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0.xml" ContentType="application/vnd.openxmlformats-officedocument.drawingml.chart+xml"/>
  <Override PartName="/xl/drawings/drawing12.xml" ContentType="application/vnd.openxmlformats-officedocument.drawing+xml"/>
  <Override PartName="/xl/charts/chart14.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9.xml" ContentType="application/vnd.openxmlformats-officedocument.drawingml.chart+xml"/>
  <Override PartName="/xl/drawings/drawing16.xml" ContentType="application/vnd.openxmlformats-officedocument.drawing+xml"/>
  <Override PartName="/xl/worksheets/sheet1.xml" ContentType="application/vnd.openxmlformats-officedocument.spreadsheetml.worksheet+xml"/>
  <Override PartName="/xl/drawings/drawing15.xml" ContentType="application/vnd.openxmlformats-officedocument.drawing+xml"/>
  <Override PartName="/xl/charts/chart17.xml" ContentType="application/vnd.openxmlformats-officedocument.drawingml.chart+xml"/>
  <Override PartName="/xl/drawings/drawing14.xml" ContentType="application/vnd.openxmlformats-officedocument.drawing+xml"/>
  <Override PartName="/xl/drawings/drawing8.xml" ContentType="application/vnd.openxmlformats-officedocument.drawing+xml"/>
  <Override PartName="/xl/charts/chart18.xml" ContentType="application/vnd.openxmlformats-officedocument.drawingml.char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style4.xml" ContentType="application/vnd.ms-office.chartstyle+xml"/>
  <Override PartName="/xl/charts/chart4.xml" ContentType="application/vnd.openxmlformats-officedocument.drawingml.chart+xml"/>
  <Override PartName="/xl/charts/colors3.xml" ContentType="application/vnd.ms-office.chartcolorstyle+xml"/>
  <Override PartName="/xl/charts/style3.xml" ContentType="application/vnd.ms-office.chartstyle+xml"/>
  <Override PartName="/xl/charts/chart3.xml" ContentType="application/vnd.openxmlformats-officedocument.drawingml.chart+xml"/>
  <Override PartName="/xl/charts/chart10.xml" ContentType="application/vnd.openxmlformats-officedocument.drawingml.chart+xml"/>
  <Override PartName="/xl/charts/style2.xml" ContentType="application/vnd.ms-office.chartstyle+xml"/>
  <Override PartName="/xl/charts/chart2.xml" ContentType="application/vnd.openxmlformats-officedocument.drawingml.chart+xml"/>
  <Override PartName="/xl/charts/colors1.xml" ContentType="application/vnd.ms-office.chartcolorstyle+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charts/colors4.xml" ContentType="application/vnd.ms-office.chartcolorstyle+xml"/>
  <Override PartName="/xl/charts/colors2.xml" ContentType="application/vnd.ms-office.chartcolorstyle+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3.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docProps/custom.xml" ContentType="application/vnd.openxmlformats-officedocument.custom-properties+xml"/>
  <Override PartName="/xl/comments4.xml" ContentType="application/vnd.openxmlformats-officedocument.spreadsheetml.comments+xml"/>
  <Override PartName="/xl/comments3.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comments2.xml" ContentType="application/vnd.openxmlformats-officedocument.spreadsheetml.comment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comments1.xml" ContentType="application/vnd.openxmlformats-officedocument.spreadsheetml.comments+xml"/>
  <Override PartName="/xl/externalLinks/externalLink10.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codeName="ThisWorkbook" defaultThemeVersion="124226"/>
  <mc:AlternateContent xmlns:mc="http://schemas.openxmlformats.org/markup-compatibility/2006">
    <mc:Choice Requires="x15">
      <x15ac:absPath xmlns:x15ac="http://schemas.microsoft.com/office/spreadsheetml/2010/11/ac" url="C:\wrk\30_ava\3046-9 - 2018 GRC\dir\_wps\_fnl\"/>
    </mc:Choice>
  </mc:AlternateContent>
  <bookViews>
    <workbookView xWindow="-15" yWindow="-15" windowWidth="11610" windowHeight="8445" tabRatio="819" firstSheet="1" activeTab="1"/>
  </bookViews>
  <sheets>
    <sheet name="Plant Trends" sheetId="147" state="hidden" r:id="rId1"/>
    <sheet name="1.01) 2018 Summary" sheetId="126" r:id="rId2"/>
    <sheet name="1.02) 2019 Summary" sheetId="177" r:id="rId3"/>
    <sheet name="1.03) 2020 Summary" sheetId="178" r:id="rId4"/>
    <sheet name="2) ROR" sheetId="110" r:id="rId5"/>
    <sheet name="3.01) Attrition 2016 to 2018" sheetId="120" r:id="rId6"/>
    <sheet name="3.02) Attrition 2016 to 2019" sheetId="175" r:id="rId7"/>
    <sheet name="3.03) Attrition 2016 to 2020" sheetId="176" r:id="rId8"/>
    <sheet name="4.01" sheetId="158" r:id="rId9"/>
    <sheet name="4.02" sheetId="159" r:id="rId10"/>
    <sheet name="4.03" sheetId="160" r:id="rId11"/>
    <sheet name="4.04" sheetId="161" r:id="rId12"/>
    <sheet name="4.05" sheetId="162" r:id="rId13"/>
    <sheet name="4.06" sheetId="163" r:id="rId14"/>
    <sheet name="4.07" sheetId="164" r:id="rId15"/>
    <sheet name="4.08" sheetId="165" r:id="rId16"/>
    <sheet name="4.09" sheetId="166" r:id="rId17"/>
    <sheet name="4.10" sheetId="167" r:id="rId18"/>
    <sheet name="4.11" sheetId="168" r:id="rId19"/>
    <sheet name="4.12" sheetId="169" r:id="rId20"/>
    <sheet name="4.13" sheetId="170" r:id="rId21"/>
    <sheet name="4.14" sheetId="171" r:id="rId22"/>
    <sheet name="4.15" sheetId="172" r:id="rId23"/>
    <sheet name="4.16" sheetId="173" r:id="rId24"/>
    <sheet name="Cost Trends" sheetId="122" r:id="rId25"/>
    <sheet name="Sheet1 (2)" sheetId="174" r:id="rId26"/>
    <sheet name="456 Revenue" sheetId="140" state="hidden" r:id="rId27"/>
    <sheet name="CS2-Colstrip 2016 Incrmntl Exp" sheetId="141" state="hidden" r:id="rId28"/>
    <sheet name="Reg Amorts" sheetId="129" r:id="rId29"/>
    <sheet name="DSM" sheetId="91" state="hidden" r:id="rId30"/>
    <sheet name="ResX" sheetId="94" r:id="rId31"/>
    <sheet name="CBR Hist" sheetId="133" r:id="rId32"/>
    <sheet name="PS Consolidated" sheetId="134" r:id="rId33"/>
    <sheet name="Other Rev" sheetId="130" r:id="rId34"/>
    <sheet name="Sheet1" sheetId="138" state="hidden"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Actuals_Mo">[1]Tables!$B$19</definedName>
    <definedName name="Base1_Billing2" localSheetId="2">#REF!</definedName>
    <definedName name="Base1_Billing2" localSheetId="3">#REF!</definedName>
    <definedName name="Base1_Billing2" localSheetId="6">#REF!</definedName>
    <definedName name="Base1_Billing2" localSheetId="7">#REF!</definedName>
    <definedName name="Base1_Billing2" localSheetId="8">#REF!</definedName>
    <definedName name="Base1_Billing2" localSheetId="9">#REF!</definedName>
    <definedName name="Base1_Billing2" localSheetId="10">#REF!</definedName>
    <definedName name="Base1_Billing2" localSheetId="11">#REF!</definedName>
    <definedName name="Base1_Billing2" localSheetId="12">#REF!</definedName>
    <definedName name="Base1_Billing2" localSheetId="13">#REF!</definedName>
    <definedName name="Base1_Billing2" localSheetId="14">#REF!</definedName>
    <definedName name="Base1_Billing2" localSheetId="15">#REF!</definedName>
    <definedName name="Base1_Billing2" localSheetId="16">#REF!</definedName>
    <definedName name="Base1_Billing2" localSheetId="17">#REF!</definedName>
    <definedName name="Base1_Billing2" localSheetId="18">#REF!</definedName>
    <definedName name="Base1_Billing2" localSheetId="19">#REF!</definedName>
    <definedName name="Base1_Billing2" localSheetId="20">#REF!</definedName>
    <definedName name="Base1_Billing2" localSheetId="21">#REF!</definedName>
    <definedName name="Base1_Billing2" localSheetId="22">#REF!</definedName>
    <definedName name="Base1_Billing2" localSheetId="23">#REF!</definedName>
    <definedName name="Base1_Billing2" localSheetId="31">#REF!</definedName>
    <definedName name="Base1_Billing2" localSheetId="32">#REF!</definedName>
    <definedName name="Base1_Billing2" localSheetId="25">#REF!</definedName>
    <definedName name="Base1_Billing2">#REF!</definedName>
    <definedName name="BaseRev60_EntryLookup">INDEX('[2]Rev Summary'!$F$1176:$F$1177,2):'[2]Rev Summary'!$F$1221</definedName>
    <definedName name="Basic">'[2]Rev Summary'!$I$1279:$I$1322</definedName>
    <definedName name="BilledRev60_EntryLookup">INDEX('[2]Rev Summary'!$F$70:$F$71,2):'[2]Rev Summary'!$F$115</definedName>
    <definedName name="CalRev60_EntryLookup">INDEX('[2]Rev Summary'!$F$373:$F$374,2):'[2]Rev Summary'!$F$418</definedName>
    <definedName name="ClassEntry">'[2]Rev Summary'!$D$2</definedName>
    <definedName name="ClassEntryNo">'[2]Rev Summary'!$D$3</definedName>
    <definedName name="CopyClasses">'[2]Rev Summary'!$F$1279:INDEX('[2]Rev Summary'!$F$1279:$F$1323,COUNTA('[2]Rev Summary'!$F$1279:$F$1323))</definedName>
    <definedName name="CustMos">'[1]Cust Load'!$D$3</definedName>
    <definedName name="DSMFlag">'[2]Exp Summary'!$E$30</definedName>
    <definedName name="EndMo">[1]Tables!$B$16</definedName>
    <definedName name="ERM">'[3]Rate Design'!$D$45</definedName>
    <definedName name="GRCRev60_EntryLookup">INDEX('[2]Rev Summary'!$F$1075:$F$1076,2):'[2]Rev Summary'!$F$1120</definedName>
    <definedName name="GrossUnbillAccrRev60_EntryLookup">INDEX('[2]Rev Summary'!$F$873:$F$874,2):'[2]Rev Summary'!$F$918</definedName>
    <definedName name="GrossUnbillRevRev60_EntryLookup">INDEX('[2]Rev Summary'!$F$974:$F$975,2):'[2]Rev Summary'!$F$1019</definedName>
    <definedName name="ID" localSheetId="2">#REF!</definedName>
    <definedName name="ID" localSheetId="3">#REF!</definedName>
    <definedName name="ID" localSheetId="6">#REF!</definedName>
    <definedName name="ID" localSheetId="7">#REF!</definedName>
    <definedName name="ID" localSheetId="8">#REF!</definedName>
    <definedName name="ID" localSheetId="9">#REF!</definedName>
    <definedName name="ID" localSheetId="10">#REF!</definedName>
    <definedName name="ID" localSheetId="11">#REF!</definedName>
    <definedName name="ID" localSheetId="12">#REF!</definedName>
    <definedName name="ID" localSheetId="13">#REF!</definedName>
    <definedName name="ID" localSheetId="14">#REF!</definedName>
    <definedName name="ID" localSheetId="15">#REF!</definedName>
    <definedName name="ID" localSheetId="16">#REF!</definedName>
    <definedName name="ID" localSheetId="17">#REF!</definedName>
    <definedName name="ID" localSheetId="18">#REF!</definedName>
    <definedName name="ID" localSheetId="19">#REF!</definedName>
    <definedName name="ID" localSheetId="20">#REF!</definedName>
    <definedName name="ID" localSheetId="21">#REF!</definedName>
    <definedName name="ID" localSheetId="22">#REF!</definedName>
    <definedName name="ID" localSheetId="23">#REF!</definedName>
    <definedName name="ID" localSheetId="25">#REF!</definedName>
    <definedName name="ID">#REF!</definedName>
    <definedName name="ID_001b" localSheetId="2">#REF!</definedName>
    <definedName name="ID_001b" localSheetId="3">#REF!</definedName>
    <definedName name="ID_001b" localSheetId="6">#REF!</definedName>
    <definedName name="ID_001b" localSheetId="7">#REF!</definedName>
    <definedName name="ID_001b" localSheetId="8">#REF!</definedName>
    <definedName name="ID_001b" localSheetId="9">#REF!</definedName>
    <definedName name="ID_001b" localSheetId="10">#REF!</definedName>
    <definedName name="ID_001b" localSheetId="11">#REF!</definedName>
    <definedName name="ID_001b" localSheetId="12">#REF!</definedName>
    <definedName name="ID_001b" localSheetId="13">#REF!</definedName>
    <definedName name="ID_001b" localSheetId="14">#REF!</definedName>
    <definedName name="ID_001b" localSheetId="15">#REF!</definedName>
    <definedName name="ID_001b" localSheetId="16">#REF!</definedName>
    <definedName name="ID_001b" localSheetId="17">#REF!</definedName>
    <definedName name="ID_001b" localSheetId="18">#REF!</definedName>
    <definedName name="ID_001b" localSheetId="19">#REF!</definedName>
    <definedName name="ID_001b" localSheetId="20">#REF!</definedName>
    <definedName name="ID_001b" localSheetId="21">#REF!</definedName>
    <definedName name="ID_001b" localSheetId="22">#REF!</definedName>
    <definedName name="ID_001b" localSheetId="23">#REF!</definedName>
    <definedName name="ID_001b" localSheetId="31">#REF!</definedName>
    <definedName name="ID_001b" localSheetId="32">#REF!</definedName>
    <definedName name="ID_001b" localSheetId="25">#REF!</definedName>
    <definedName name="ID_001b">#REF!</definedName>
    <definedName name="ID_011b" localSheetId="2">#REF!</definedName>
    <definedName name="ID_011b" localSheetId="3">#REF!</definedName>
    <definedName name="ID_011b" localSheetId="6">#REF!</definedName>
    <definedName name="ID_011b" localSheetId="7">#REF!</definedName>
    <definedName name="ID_011b" localSheetId="8">#REF!</definedName>
    <definedName name="ID_011b" localSheetId="9">#REF!</definedName>
    <definedName name="ID_011b" localSheetId="10">#REF!</definedName>
    <definedName name="ID_011b" localSheetId="11">#REF!</definedName>
    <definedName name="ID_011b" localSheetId="12">#REF!</definedName>
    <definedName name="ID_011b" localSheetId="13">#REF!</definedName>
    <definedName name="ID_011b" localSheetId="14">#REF!</definedName>
    <definedName name="ID_011b" localSheetId="15">#REF!</definedName>
    <definedName name="ID_011b" localSheetId="16">#REF!</definedName>
    <definedName name="ID_011b" localSheetId="17">#REF!</definedName>
    <definedName name="ID_011b" localSheetId="18">#REF!</definedName>
    <definedName name="ID_011b" localSheetId="19">#REF!</definedName>
    <definedName name="ID_011b" localSheetId="20">#REF!</definedName>
    <definedName name="ID_011b" localSheetId="21">#REF!</definedName>
    <definedName name="ID_011b" localSheetId="22">#REF!</definedName>
    <definedName name="ID_011b" localSheetId="23">#REF!</definedName>
    <definedName name="ID_011b" localSheetId="31">#REF!</definedName>
    <definedName name="ID_011b" localSheetId="32">#REF!</definedName>
    <definedName name="ID_011b" localSheetId="25">#REF!</definedName>
    <definedName name="ID_011b">#REF!</definedName>
    <definedName name="ID_012b" localSheetId="2">#REF!</definedName>
    <definedName name="ID_012b" localSheetId="3">#REF!</definedName>
    <definedName name="ID_012b" localSheetId="6">#REF!</definedName>
    <definedName name="ID_012b" localSheetId="7">#REF!</definedName>
    <definedName name="ID_012b" localSheetId="8">#REF!</definedName>
    <definedName name="ID_012b" localSheetId="9">#REF!</definedName>
    <definedName name="ID_012b" localSheetId="10">#REF!</definedName>
    <definedName name="ID_012b" localSheetId="11">#REF!</definedName>
    <definedName name="ID_012b" localSheetId="12">#REF!</definedName>
    <definedName name="ID_012b" localSheetId="13">#REF!</definedName>
    <definedName name="ID_012b" localSheetId="14">#REF!</definedName>
    <definedName name="ID_012b" localSheetId="15">#REF!</definedName>
    <definedName name="ID_012b" localSheetId="16">#REF!</definedName>
    <definedName name="ID_012b" localSheetId="17">#REF!</definedName>
    <definedName name="ID_012b" localSheetId="18">#REF!</definedName>
    <definedName name="ID_012b" localSheetId="19">#REF!</definedName>
    <definedName name="ID_012b" localSheetId="20">#REF!</definedName>
    <definedName name="ID_012b" localSheetId="21">#REF!</definedName>
    <definedName name="ID_012b" localSheetId="22">#REF!</definedName>
    <definedName name="ID_012b" localSheetId="23">#REF!</definedName>
    <definedName name="ID_012b" localSheetId="31">#REF!</definedName>
    <definedName name="ID_012b" localSheetId="32">#REF!</definedName>
    <definedName name="ID_012b" localSheetId="25">#REF!</definedName>
    <definedName name="ID_012b">#REF!</definedName>
    <definedName name="ID_021b" localSheetId="2">#REF!</definedName>
    <definedName name="ID_021b" localSheetId="3">#REF!</definedName>
    <definedName name="ID_021b" localSheetId="6">#REF!</definedName>
    <definedName name="ID_021b" localSheetId="7">#REF!</definedName>
    <definedName name="ID_021b" localSheetId="8">#REF!</definedName>
    <definedName name="ID_021b" localSheetId="9">#REF!</definedName>
    <definedName name="ID_021b" localSheetId="10">#REF!</definedName>
    <definedName name="ID_021b" localSheetId="11">#REF!</definedName>
    <definedName name="ID_021b" localSheetId="12">#REF!</definedName>
    <definedName name="ID_021b" localSheetId="13">#REF!</definedName>
    <definedName name="ID_021b" localSheetId="14">#REF!</definedName>
    <definedName name="ID_021b" localSheetId="15">#REF!</definedName>
    <definedName name="ID_021b" localSheetId="16">#REF!</definedName>
    <definedName name="ID_021b" localSheetId="17">#REF!</definedName>
    <definedName name="ID_021b" localSheetId="18">#REF!</definedName>
    <definedName name="ID_021b" localSheetId="19">#REF!</definedName>
    <definedName name="ID_021b" localSheetId="20">#REF!</definedName>
    <definedName name="ID_021b" localSheetId="21">#REF!</definedName>
    <definedName name="ID_021b" localSheetId="22">#REF!</definedName>
    <definedName name="ID_021b" localSheetId="23">#REF!</definedName>
    <definedName name="ID_021b" localSheetId="31">#REF!</definedName>
    <definedName name="ID_021b" localSheetId="32">#REF!</definedName>
    <definedName name="ID_021b" localSheetId="25">#REF!</definedName>
    <definedName name="ID_021b">#REF!</definedName>
    <definedName name="ID_Gas" localSheetId="2">'[4]DEBT CALC'!#REF!</definedName>
    <definedName name="ID_Gas" localSheetId="3">'[4]DEBT CALC'!#REF!</definedName>
    <definedName name="ID_Gas" localSheetId="5">'[4]DEBT CALC'!#REF!</definedName>
    <definedName name="ID_Gas" localSheetId="6">'[4]DEBT CALC'!#REF!</definedName>
    <definedName name="ID_Gas" localSheetId="7">'[4]DEBT CALC'!#REF!</definedName>
    <definedName name="ID_Gas" localSheetId="8">'[4]DEBT CALC'!#REF!</definedName>
    <definedName name="ID_Gas" localSheetId="9">'[4]DEBT CALC'!#REF!</definedName>
    <definedName name="ID_Gas" localSheetId="10">'[4]DEBT CALC'!#REF!</definedName>
    <definedName name="ID_Gas" localSheetId="11">'[4]DEBT CALC'!#REF!</definedName>
    <definedName name="ID_Gas" localSheetId="12">'[4]DEBT CALC'!#REF!</definedName>
    <definedName name="ID_Gas" localSheetId="13">'[4]DEBT CALC'!#REF!</definedName>
    <definedName name="ID_Gas" localSheetId="14">'[4]DEBT CALC'!#REF!</definedName>
    <definedName name="ID_Gas" localSheetId="15">'[4]DEBT CALC'!#REF!</definedName>
    <definedName name="ID_Gas" localSheetId="16">'[4]DEBT CALC'!#REF!</definedName>
    <definedName name="ID_Gas" localSheetId="17">'[4]DEBT CALC'!#REF!</definedName>
    <definedName name="ID_Gas" localSheetId="18">'[4]DEBT CALC'!#REF!</definedName>
    <definedName name="ID_Gas" localSheetId="19">'[4]DEBT CALC'!#REF!</definedName>
    <definedName name="ID_Gas" localSheetId="20">'[4]DEBT CALC'!#REF!</definedName>
    <definedName name="ID_Gas" localSheetId="21">'[4]DEBT CALC'!#REF!</definedName>
    <definedName name="ID_Gas" localSheetId="22">'[4]DEBT CALC'!#REF!</definedName>
    <definedName name="ID_Gas" localSheetId="23">'[4]DEBT CALC'!#REF!</definedName>
    <definedName name="ID_Gas" localSheetId="31">'[4]DEBT CALC'!#REF!</definedName>
    <definedName name="ID_Gas" localSheetId="24">'[4]DEBT CALC'!#REF!</definedName>
    <definedName name="ID_Gas" localSheetId="32">'[4]DEBT CALC'!#REF!</definedName>
    <definedName name="ID_Gas" localSheetId="25">'[4]DEBT CALC'!#REF!</definedName>
    <definedName name="ID_Gas">'[4]DEBT CALC'!#REF!</definedName>
    <definedName name="ID04X">[2]Rates!$O$121:$V$121</definedName>
    <definedName name="IDPPRider">[2]Rates!$O$124:$V$124</definedName>
    <definedName name="IDResEx">[2]Rates!$O$125:$V$125</definedName>
    <definedName name="IDSurch">[2]Rates!$O$122:$V$122</definedName>
    <definedName name="ManualSched">'[2]Rev Summary'!$B$36</definedName>
    <definedName name="Month1">[2]Setup!$B$3</definedName>
    <definedName name="NetUnbillRev60_EntryLookup">INDEX('[2]Rev Summary'!$F$272:$F$273,2):'[2]Rev Summary'!$F$317</definedName>
    <definedName name="PPRev60_EntryLookup">INDEX('[2]Rev Summary'!$F$671:$F$672,2):'[2]Rev Summary'!$F$716</definedName>
    <definedName name="_xlnm.Print_Area" localSheetId="1">'1.01) 2018 Summary'!$A$1:$H$36</definedName>
    <definedName name="_xlnm.Print_Area" localSheetId="2">'1.02) 2019 Summary'!$A$1:$H$40</definedName>
    <definedName name="_xlnm.Print_Area" localSheetId="3">'1.03) 2020 Summary'!$A$1:$H$41</definedName>
    <definedName name="_xlnm.Print_Area" localSheetId="4">'2) ROR'!$A$1:$N$26</definedName>
    <definedName name="_xlnm.Print_Area" localSheetId="5">'3.01) Attrition 2016 to 2018'!$A$1:$Y$92</definedName>
    <definedName name="_xlnm.Print_Area" localSheetId="6">'3.02) Attrition 2016 to 2019'!$A$1:$Y$92</definedName>
    <definedName name="_xlnm.Print_Area" localSheetId="7">'3.03) Attrition 2016 to 2020'!$A$1:$Y$92</definedName>
    <definedName name="_xlnm.Print_Area" localSheetId="8">'4.01'!$A$1:$R$60</definedName>
    <definedName name="_xlnm.Print_Area" localSheetId="9">'4.02'!$A$1:$R$60</definedName>
    <definedName name="_xlnm.Print_Area" localSheetId="10">'4.03'!$A$1:$R$60</definedName>
    <definedName name="_xlnm.Print_Area" localSheetId="11">'4.04'!$A$1:$R$60</definedName>
    <definedName name="_xlnm.Print_Area" localSheetId="12">'4.05'!$A$1:$R$60</definedName>
    <definedName name="_xlnm.Print_Area" localSheetId="13">'4.06'!$A$1:$R$60</definedName>
    <definedName name="_xlnm.Print_Area" localSheetId="14">'4.07'!$A$1:$R$60</definedName>
    <definedName name="_xlnm.Print_Area" localSheetId="15">'4.08'!$A$1:$R$60</definedName>
    <definedName name="_xlnm.Print_Area" localSheetId="16">'4.09'!$A$1:$R$60</definedName>
    <definedName name="_xlnm.Print_Area" localSheetId="17">'4.10'!$A$1:$R$60</definedName>
    <definedName name="_xlnm.Print_Area" localSheetId="18">'4.11'!$A$1:$R$60</definedName>
    <definedName name="_xlnm.Print_Area" localSheetId="19">'4.12'!$A$1:$R$60</definedName>
    <definedName name="_xlnm.Print_Area" localSheetId="20">'4.13'!$A$1:$R$60</definedName>
    <definedName name="_xlnm.Print_Area" localSheetId="21">'4.14'!$A$1:$R$60</definedName>
    <definedName name="_xlnm.Print_Area" localSheetId="22">'4.15'!$A$1:$R$60</definedName>
    <definedName name="_xlnm.Print_Area" localSheetId="23">'4.16'!$A$1:$R$60</definedName>
    <definedName name="_xlnm.Print_Area" localSheetId="31">'CBR Hist'!$A$1:$U$79</definedName>
    <definedName name="_xlnm.Print_Area" localSheetId="24">'Cost Trends'!$A$1:$V$142</definedName>
    <definedName name="Print_for_Checking" localSheetId="2">'[4]ADJ SUMMARY'!#REF!:'[4]ADJ SUMMARY'!#REF!</definedName>
    <definedName name="Print_for_Checking" localSheetId="3">'[4]ADJ SUMMARY'!#REF!:'[4]ADJ SUMMARY'!#REF!</definedName>
    <definedName name="Print_for_Checking" localSheetId="5">'[4]ADJ SUMMARY'!#REF!:'[4]ADJ SUMMARY'!#REF!</definedName>
    <definedName name="Print_for_Checking" localSheetId="6">'[4]ADJ SUMMARY'!#REF!:'[4]ADJ SUMMARY'!#REF!</definedName>
    <definedName name="Print_for_Checking" localSheetId="7">'[4]ADJ SUMMARY'!#REF!:'[4]ADJ SUMMARY'!#REF!</definedName>
    <definedName name="Print_for_Checking" localSheetId="8">'[4]ADJ SUMMARY'!#REF!:'[4]ADJ SUMMARY'!#REF!</definedName>
    <definedName name="Print_for_Checking" localSheetId="9">'[4]ADJ SUMMARY'!#REF!:'[4]ADJ SUMMARY'!#REF!</definedName>
    <definedName name="Print_for_Checking" localSheetId="10">'[4]ADJ SUMMARY'!#REF!:'[4]ADJ SUMMARY'!#REF!</definedName>
    <definedName name="Print_for_Checking" localSheetId="11">'[4]ADJ SUMMARY'!#REF!:'[4]ADJ SUMMARY'!#REF!</definedName>
    <definedName name="Print_for_Checking" localSheetId="12">'[4]ADJ SUMMARY'!#REF!:'[4]ADJ SUMMARY'!#REF!</definedName>
    <definedName name="Print_for_Checking" localSheetId="13">'[4]ADJ SUMMARY'!#REF!:'[4]ADJ SUMMARY'!#REF!</definedName>
    <definedName name="Print_for_Checking" localSheetId="14">'[4]ADJ SUMMARY'!#REF!:'[4]ADJ SUMMARY'!#REF!</definedName>
    <definedName name="Print_for_Checking" localSheetId="15">'[4]ADJ SUMMARY'!#REF!:'[4]ADJ SUMMARY'!#REF!</definedName>
    <definedName name="Print_for_Checking" localSheetId="16">'[4]ADJ SUMMARY'!#REF!:'[4]ADJ SUMMARY'!#REF!</definedName>
    <definedName name="Print_for_Checking" localSheetId="17">'[4]ADJ SUMMARY'!#REF!:'[4]ADJ SUMMARY'!#REF!</definedName>
    <definedName name="Print_for_Checking" localSheetId="18">'[4]ADJ SUMMARY'!#REF!:'[4]ADJ SUMMARY'!#REF!</definedName>
    <definedName name="Print_for_Checking" localSheetId="19">'[4]ADJ SUMMARY'!#REF!:'[4]ADJ SUMMARY'!#REF!</definedName>
    <definedName name="Print_for_Checking" localSheetId="20">'[4]ADJ SUMMARY'!#REF!:'[4]ADJ SUMMARY'!#REF!</definedName>
    <definedName name="Print_for_Checking" localSheetId="21">'[4]ADJ SUMMARY'!#REF!:'[4]ADJ SUMMARY'!#REF!</definedName>
    <definedName name="Print_for_Checking" localSheetId="22">'[4]ADJ SUMMARY'!#REF!:'[4]ADJ SUMMARY'!#REF!</definedName>
    <definedName name="Print_for_Checking" localSheetId="23">'[4]ADJ SUMMARY'!#REF!:'[4]ADJ SUMMARY'!#REF!</definedName>
    <definedName name="Print_for_Checking" localSheetId="31">'[4]ADJ SUMMARY'!#REF!:'[4]ADJ SUMMARY'!#REF!</definedName>
    <definedName name="Print_for_Checking" localSheetId="24">'[4]ADJ SUMMARY'!#REF!:'[4]ADJ SUMMARY'!#REF!</definedName>
    <definedName name="Print_for_Checking" localSheetId="32">'[4]ADJ SUMMARY'!#REF!:'[4]ADJ SUMMARY'!#REF!</definedName>
    <definedName name="Print_for_Checking" localSheetId="25">'[4]ADJ SUMMARY'!#REF!:'[4]ADJ SUMMARY'!#REF!</definedName>
    <definedName name="Print_for_Checking">'[4]ADJ SUMMARY'!#REF!:'[4]ADJ SUMMARY'!#REF!</definedName>
    <definedName name="_xlnm.Print_Titles" localSheetId="31">'CBR Hist'!$A:$D,'CBR Hist'!$1:$9</definedName>
    <definedName name="_xlnm.Print_Titles" localSheetId="24">'Cost Trends'!$2:$2</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[5]Macro1!$A$92</definedName>
    <definedName name="ResExchRev60_EntryLookup">INDEX('[2]Rev Summary'!$F$772:$F$773,2):'[2]Rev Summary'!$F$817</definedName>
    <definedName name="RevMos">[1]Rev!$C$2</definedName>
    <definedName name="RH">CHOOSE([1]Rev!$B$5, [1]!Rates_WA[#Headers], [1]!Rates_ID[#Headers])</definedName>
    <definedName name="RH_2">CHOOSE('[1]Manual Rev'!$C1, [1]!Rates_WA[#Headers], [1]!Rates_ID[#Headers])</definedName>
    <definedName name="s" localSheetId="2">#REF!</definedName>
    <definedName name="s" localSheetId="3">#REF!</definedName>
    <definedName name="s" localSheetId="6">#REF!</definedName>
    <definedName name="s" localSheetId="7">#REF!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#REF!</definedName>
    <definedName name="Sch">CHOOSE([1]Rev!$B$5, [1]!Rates_WA[St-Sch], [1]!Rates_ID[St-Sch])</definedName>
    <definedName name="Sch_2">CHOOSE('[1]Manual Rev'!$C1, [1]!Rates_WA[St-Sch], [1]!Rates_ID[St-Sch])</definedName>
    <definedName name="Sched">'[2]Rev Summary'!$E$2</definedName>
    <definedName name="SL_RateIncr">'[3]St Lts'!$AD$1</definedName>
    <definedName name="StartMo">[1]Tables!$B$13</definedName>
    <definedName name="Summary" localSheetId="2">#REF!</definedName>
    <definedName name="Summary" localSheetId="3">#REF!</definedName>
    <definedName name="Summary" localSheetId="5">#REF!</definedName>
    <definedName name="Summary" localSheetId="6">#REF!</definedName>
    <definedName name="Summary" localSheetId="7">#REF!</definedName>
    <definedName name="Summary" localSheetId="8">#REF!</definedName>
    <definedName name="Summary" localSheetId="9">#REF!</definedName>
    <definedName name="Summary" localSheetId="10">#REF!</definedName>
    <definedName name="Summary" localSheetId="11">#REF!</definedName>
    <definedName name="Summary" localSheetId="12">#REF!</definedName>
    <definedName name="Summary" localSheetId="13">#REF!</definedName>
    <definedName name="Summary" localSheetId="14">#REF!</definedName>
    <definedName name="Summary" localSheetId="15">#REF!</definedName>
    <definedName name="Summary" localSheetId="16">#REF!</definedName>
    <definedName name="Summary" localSheetId="17">#REF!</definedName>
    <definedName name="Summary" localSheetId="18">#REF!</definedName>
    <definedName name="Summary" localSheetId="19">#REF!</definedName>
    <definedName name="Summary" localSheetId="20">#REF!</definedName>
    <definedName name="Summary" localSheetId="21">#REF!</definedName>
    <definedName name="Summary" localSheetId="22">#REF!</definedName>
    <definedName name="Summary" localSheetId="23">#REF!</definedName>
    <definedName name="Summary" localSheetId="31">#REF!</definedName>
    <definedName name="Summary" localSheetId="24">#REF!</definedName>
    <definedName name="Summary" localSheetId="32">#REF!</definedName>
    <definedName name="Summary" localSheetId="25">#REF!</definedName>
    <definedName name="Summary">#REF!</definedName>
    <definedName name="SurchRev60_EntryLookup">INDEX('[2]Rev Summary'!$F$474:$F$475,2):'[2]Rev Summary'!$F$519</definedName>
    <definedName name="TableName">"Dummy"</definedName>
    <definedName name="TaxCreditRev60_EntryLookup">INDEX('[2]Rev Summary'!$F$572:$F$621,2):'[2]Rev Summary'!$F$617</definedName>
    <definedName name="TaxRev60_EntryLookup">INDEX('[2]Rev Summary'!$F$171:$F$216,2):'[2]Rev Summary'!$F$216</definedName>
    <definedName name="Utility">[2]Setup!$B$1</definedName>
    <definedName name="vl_tbl_SchedClass">[1]!tbl_SchedAll[StClSch]</definedName>
    <definedName name="WA_001b" localSheetId="2">#REF!</definedName>
    <definedName name="WA_001b" localSheetId="3">#REF!</definedName>
    <definedName name="WA_001b" localSheetId="6">#REF!</definedName>
    <definedName name="WA_001b" localSheetId="7">#REF!</definedName>
    <definedName name="WA_001b" localSheetId="8">#REF!</definedName>
    <definedName name="WA_001b" localSheetId="9">#REF!</definedName>
    <definedName name="WA_001b" localSheetId="10">#REF!</definedName>
    <definedName name="WA_001b" localSheetId="11">#REF!</definedName>
    <definedName name="WA_001b" localSheetId="12">#REF!</definedName>
    <definedName name="WA_001b" localSheetId="13">#REF!</definedName>
    <definedName name="WA_001b" localSheetId="14">#REF!</definedName>
    <definedName name="WA_001b" localSheetId="15">#REF!</definedName>
    <definedName name="WA_001b" localSheetId="16">#REF!</definedName>
    <definedName name="WA_001b" localSheetId="17">#REF!</definedName>
    <definedName name="WA_001b" localSheetId="18">#REF!</definedName>
    <definedName name="WA_001b" localSheetId="19">#REF!</definedName>
    <definedName name="WA_001b" localSheetId="20">#REF!</definedName>
    <definedName name="WA_001b" localSheetId="21">#REF!</definedName>
    <definedName name="WA_001b" localSheetId="22">#REF!</definedName>
    <definedName name="WA_001b" localSheetId="23">#REF!</definedName>
    <definedName name="WA_001b" localSheetId="31">#REF!</definedName>
    <definedName name="WA_001b" localSheetId="32">#REF!</definedName>
    <definedName name="WA_001b" localSheetId="25">#REF!</definedName>
    <definedName name="WA_001b">#REF!</definedName>
    <definedName name="WA_011b" localSheetId="2">#REF!</definedName>
    <definedName name="WA_011b" localSheetId="3">#REF!</definedName>
    <definedName name="WA_011b" localSheetId="6">#REF!</definedName>
    <definedName name="WA_011b" localSheetId="7">#REF!</definedName>
    <definedName name="WA_011b" localSheetId="8">#REF!</definedName>
    <definedName name="WA_011b" localSheetId="9">#REF!</definedName>
    <definedName name="WA_011b" localSheetId="10">#REF!</definedName>
    <definedName name="WA_011b" localSheetId="11">#REF!</definedName>
    <definedName name="WA_011b" localSheetId="12">#REF!</definedName>
    <definedName name="WA_011b" localSheetId="13">#REF!</definedName>
    <definedName name="WA_011b" localSheetId="14">#REF!</definedName>
    <definedName name="WA_011b" localSheetId="15">#REF!</definedName>
    <definedName name="WA_011b" localSheetId="16">#REF!</definedName>
    <definedName name="WA_011b" localSheetId="17">#REF!</definedName>
    <definedName name="WA_011b" localSheetId="18">#REF!</definedName>
    <definedName name="WA_011b" localSheetId="19">#REF!</definedName>
    <definedName name="WA_011b" localSheetId="20">#REF!</definedName>
    <definedName name="WA_011b" localSheetId="21">#REF!</definedName>
    <definedName name="WA_011b" localSheetId="22">#REF!</definedName>
    <definedName name="WA_011b" localSheetId="23">#REF!</definedName>
    <definedName name="WA_011b" localSheetId="31">#REF!</definedName>
    <definedName name="WA_011b" localSheetId="32">#REF!</definedName>
    <definedName name="WA_011b" localSheetId="25">#REF!</definedName>
    <definedName name="WA_011b">#REF!</definedName>
    <definedName name="WA_012b" localSheetId="2">#REF!</definedName>
    <definedName name="WA_012b" localSheetId="3">#REF!</definedName>
    <definedName name="WA_012b" localSheetId="6">#REF!</definedName>
    <definedName name="WA_012b" localSheetId="7">#REF!</definedName>
    <definedName name="WA_012b" localSheetId="8">#REF!</definedName>
    <definedName name="WA_012b" localSheetId="9">#REF!</definedName>
    <definedName name="WA_012b" localSheetId="10">#REF!</definedName>
    <definedName name="WA_012b" localSheetId="11">#REF!</definedName>
    <definedName name="WA_012b" localSheetId="12">#REF!</definedName>
    <definedName name="WA_012b" localSheetId="13">#REF!</definedName>
    <definedName name="WA_012b" localSheetId="14">#REF!</definedName>
    <definedName name="WA_012b" localSheetId="15">#REF!</definedName>
    <definedName name="WA_012b" localSheetId="16">#REF!</definedName>
    <definedName name="WA_012b" localSheetId="17">#REF!</definedName>
    <definedName name="WA_012b" localSheetId="18">#REF!</definedName>
    <definedName name="WA_012b" localSheetId="19">#REF!</definedName>
    <definedName name="WA_012b" localSheetId="20">#REF!</definedName>
    <definedName name="WA_012b" localSheetId="21">#REF!</definedName>
    <definedName name="WA_012b" localSheetId="22">#REF!</definedName>
    <definedName name="WA_012b" localSheetId="23">#REF!</definedName>
    <definedName name="WA_012b" localSheetId="31">#REF!</definedName>
    <definedName name="WA_012b" localSheetId="32">#REF!</definedName>
    <definedName name="WA_012b" localSheetId="25">#REF!</definedName>
    <definedName name="WA_012b">#REF!</definedName>
    <definedName name="WA_021b" localSheetId="2">#REF!</definedName>
    <definedName name="WA_021b" localSheetId="3">#REF!</definedName>
    <definedName name="WA_021b" localSheetId="6">#REF!</definedName>
    <definedName name="WA_021b" localSheetId="7">#REF!</definedName>
    <definedName name="WA_021b" localSheetId="8">#REF!</definedName>
    <definedName name="WA_021b" localSheetId="9">#REF!</definedName>
    <definedName name="WA_021b" localSheetId="10">#REF!</definedName>
    <definedName name="WA_021b" localSheetId="11">#REF!</definedName>
    <definedName name="WA_021b" localSheetId="12">#REF!</definedName>
    <definedName name="WA_021b" localSheetId="13">#REF!</definedName>
    <definedName name="WA_021b" localSheetId="14">#REF!</definedName>
    <definedName name="WA_021b" localSheetId="15">#REF!</definedName>
    <definedName name="WA_021b" localSheetId="16">#REF!</definedName>
    <definedName name="WA_021b" localSheetId="17">#REF!</definedName>
    <definedName name="WA_021b" localSheetId="18">#REF!</definedName>
    <definedName name="WA_021b" localSheetId="19">#REF!</definedName>
    <definedName name="WA_021b" localSheetId="20">#REF!</definedName>
    <definedName name="WA_021b" localSheetId="21">#REF!</definedName>
    <definedName name="WA_021b" localSheetId="22">#REF!</definedName>
    <definedName name="WA_021b" localSheetId="23">#REF!</definedName>
    <definedName name="WA_021b" localSheetId="31">#REF!</definedName>
    <definedName name="WA_021b" localSheetId="32">#REF!</definedName>
    <definedName name="WA_021b" localSheetId="25">#REF!</definedName>
    <definedName name="WA_021b">#REF!</definedName>
    <definedName name="WA_Gas" localSheetId="2">'[4]DEBT CALC'!#REF!</definedName>
    <definedName name="WA_Gas" localSheetId="3">'[4]DEBT CALC'!#REF!</definedName>
    <definedName name="WA_Gas" localSheetId="5">'[4]DEBT CALC'!#REF!</definedName>
    <definedName name="WA_Gas" localSheetId="6">'[4]DEBT CALC'!#REF!</definedName>
    <definedName name="WA_Gas" localSheetId="7">'[4]DEBT CALC'!#REF!</definedName>
    <definedName name="WA_Gas" localSheetId="8">'[4]DEBT CALC'!#REF!</definedName>
    <definedName name="WA_Gas" localSheetId="9">'[4]DEBT CALC'!#REF!</definedName>
    <definedName name="WA_Gas" localSheetId="10">'[4]DEBT CALC'!#REF!</definedName>
    <definedName name="WA_Gas" localSheetId="11">'[4]DEBT CALC'!#REF!</definedName>
    <definedName name="WA_Gas" localSheetId="12">'[4]DEBT CALC'!#REF!</definedName>
    <definedName name="WA_Gas" localSheetId="13">'[4]DEBT CALC'!#REF!</definedName>
    <definedName name="WA_Gas" localSheetId="14">'[4]DEBT CALC'!#REF!</definedName>
    <definedName name="WA_Gas" localSheetId="15">'[4]DEBT CALC'!#REF!</definedName>
    <definedName name="WA_Gas" localSheetId="16">'[4]DEBT CALC'!#REF!</definedName>
    <definedName name="WA_Gas" localSheetId="17">'[4]DEBT CALC'!#REF!</definedName>
    <definedName name="WA_Gas" localSheetId="18">'[4]DEBT CALC'!#REF!</definedName>
    <definedName name="WA_Gas" localSheetId="19">'[4]DEBT CALC'!#REF!</definedName>
    <definedName name="WA_Gas" localSheetId="20">'[4]DEBT CALC'!#REF!</definedName>
    <definedName name="WA_Gas" localSheetId="21">'[4]DEBT CALC'!#REF!</definedName>
    <definedName name="WA_Gas" localSheetId="22">'[4]DEBT CALC'!#REF!</definedName>
    <definedName name="WA_Gas" localSheetId="23">'[4]DEBT CALC'!#REF!</definedName>
    <definedName name="WA_Gas" localSheetId="31">'[4]DEBT CALC'!#REF!</definedName>
    <definedName name="WA_Gas" localSheetId="24">'[4]DEBT CALC'!#REF!</definedName>
    <definedName name="WA_Gas" localSheetId="27">'[4]DEBT CALC'!#REF!</definedName>
    <definedName name="WA_Gas" localSheetId="32">'[4]DEBT CALC'!#REF!</definedName>
    <definedName name="WA_Gas" localSheetId="25">'[4]DEBT CALC'!#REF!</definedName>
    <definedName name="WA_Gas">'[4]DEBT CALC'!#REF!</definedName>
    <definedName name="WA04X">[2]Rates!$D$121:$K$121</definedName>
    <definedName name="WAPPRider">[2]Rates!$D$124:$K$124</definedName>
    <definedName name="WAResEx">[2]Rates!$D$125:$K$125</definedName>
    <definedName name="WASurch">[2]Rates!$D$122:$K$122</definedName>
    <definedName name="Year1">[2]Setup!$B$2</definedName>
    <definedName name="Z_6E1B8C45_B07F_11D2_B0DC_0000832CDFF0_.wvu.Cols" localSheetId="31" hidden="1">'CBR Hist'!#REF!,'CBR Hist'!$E:$E</definedName>
    <definedName name="Z_6E1B8C45_B07F_11D2_B0DC_0000832CDFF0_.wvu.PrintArea" localSheetId="31" hidden="1">'CBR Hist'!$E:$E</definedName>
    <definedName name="Z_6E1B8C45_B07F_11D2_B0DC_0000832CDFF0_.wvu.PrintTitles" localSheetId="31" hidden="1">'CBR Hist'!$A:$D,'CBR Hist'!$1:$9</definedName>
    <definedName name="Z_A15D1962_B049_11D2_8670_0000832CEEE8_.wvu.Cols" localSheetId="31" hidden="1">'CBR Hist'!$E:$E</definedName>
  </definedNames>
  <calcPr calcId="171027" calcMode="manual"/>
</workbook>
</file>

<file path=xl/calcChain.xml><?xml version="1.0" encoding="utf-8"?>
<calcChain xmlns="http://schemas.openxmlformats.org/spreadsheetml/2006/main">
  <c r="E11" i="110" l="1"/>
  <c r="N16" i="110" l="1"/>
  <c r="N12" i="110"/>
  <c r="J79" i="176"/>
  <c r="E79" i="176"/>
  <c r="L79" i="176" s="1"/>
  <c r="P79" i="176" s="1"/>
  <c r="Q79" i="176" s="1"/>
  <c r="Y79" i="176" s="1"/>
  <c r="J78" i="176"/>
  <c r="G78" i="176"/>
  <c r="E78" i="176"/>
  <c r="J76" i="176"/>
  <c r="E76" i="176"/>
  <c r="L76" i="176" s="1"/>
  <c r="R75" i="176"/>
  <c r="W73" i="176"/>
  <c r="V73" i="176"/>
  <c r="K73" i="176"/>
  <c r="J73" i="176"/>
  <c r="I73" i="176"/>
  <c r="H73" i="176"/>
  <c r="G73" i="176"/>
  <c r="F73" i="176"/>
  <c r="J72" i="176"/>
  <c r="E72" i="176"/>
  <c r="L72" i="176" s="1"/>
  <c r="J71" i="176"/>
  <c r="E71" i="176"/>
  <c r="L71" i="176" s="1"/>
  <c r="J70" i="176"/>
  <c r="E70" i="176"/>
  <c r="L70" i="176" s="1"/>
  <c r="J69" i="176"/>
  <c r="E69" i="176"/>
  <c r="L69" i="176" s="1"/>
  <c r="J68" i="176"/>
  <c r="E68" i="176"/>
  <c r="L68" i="176" s="1"/>
  <c r="Y67" i="176"/>
  <c r="W66" i="176"/>
  <c r="W75" i="176" s="1"/>
  <c r="V66" i="176"/>
  <c r="V75" i="176" s="1"/>
  <c r="K66" i="176"/>
  <c r="K75" i="176" s="1"/>
  <c r="K77" i="176" s="1"/>
  <c r="K81" i="176" s="1"/>
  <c r="K53" i="176" s="1"/>
  <c r="J66" i="176"/>
  <c r="J75" i="176" s="1"/>
  <c r="J77" i="176" s="1"/>
  <c r="J81" i="176" s="1"/>
  <c r="I66" i="176"/>
  <c r="I75" i="176" s="1"/>
  <c r="I77" i="176" s="1"/>
  <c r="I81" i="176" s="1"/>
  <c r="I53" i="176" s="1"/>
  <c r="H66" i="176"/>
  <c r="H75" i="176" s="1"/>
  <c r="H77" i="176" s="1"/>
  <c r="H81" i="176" s="1"/>
  <c r="H53" i="176" s="1"/>
  <c r="G66" i="176"/>
  <c r="G75" i="176" s="1"/>
  <c r="G77" i="176" s="1"/>
  <c r="F66" i="176"/>
  <c r="F75" i="176" s="1"/>
  <c r="F77" i="176" s="1"/>
  <c r="F81" i="176" s="1"/>
  <c r="J65" i="176"/>
  <c r="E65" i="176"/>
  <c r="L65" i="176" s="1"/>
  <c r="J64" i="176"/>
  <c r="E64" i="176"/>
  <c r="L64" i="176" s="1"/>
  <c r="J63" i="176"/>
  <c r="E63" i="176"/>
  <c r="L63" i="176" s="1"/>
  <c r="J62" i="176"/>
  <c r="E62" i="176"/>
  <c r="L62" i="176" s="1"/>
  <c r="J61" i="176"/>
  <c r="E61" i="176"/>
  <c r="L61" i="176" s="1"/>
  <c r="J55" i="176"/>
  <c r="E55" i="176"/>
  <c r="L55" i="176" s="1"/>
  <c r="P55" i="176" s="1"/>
  <c r="Q55" i="176" s="1"/>
  <c r="Y55" i="176" s="1"/>
  <c r="J54" i="176"/>
  <c r="E54" i="176"/>
  <c r="L54" i="176" s="1"/>
  <c r="P54" i="176" s="1"/>
  <c r="Q54" i="176" s="1"/>
  <c r="Y54" i="176" s="1"/>
  <c r="J53" i="176"/>
  <c r="F53" i="176"/>
  <c r="M52" i="176"/>
  <c r="F52" i="176"/>
  <c r="M51" i="176"/>
  <c r="Y50" i="176"/>
  <c r="W50" i="176"/>
  <c r="V50" i="176"/>
  <c r="T50" i="176"/>
  <c r="S50" i="176"/>
  <c r="R50" i="176"/>
  <c r="Q50" i="176"/>
  <c r="P50" i="176"/>
  <c r="O50" i="176"/>
  <c r="N50" i="176"/>
  <c r="M50" i="176"/>
  <c r="L50" i="176"/>
  <c r="K50" i="176"/>
  <c r="J50" i="176"/>
  <c r="I50" i="176"/>
  <c r="H50" i="176"/>
  <c r="G50" i="176"/>
  <c r="F50" i="176"/>
  <c r="E50" i="176"/>
  <c r="Y49" i="176"/>
  <c r="W49" i="176"/>
  <c r="V49" i="176"/>
  <c r="T49" i="176"/>
  <c r="S49" i="176"/>
  <c r="R49" i="176"/>
  <c r="Q49" i="176"/>
  <c r="P49" i="176"/>
  <c r="O49" i="176"/>
  <c r="N49" i="176"/>
  <c r="M49" i="176"/>
  <c r="L49" i="176"/>
  <c r="K49" i="176"/>
  <c r="J49" i="176"/>
  <c r="I49" i="176"/>
  <c r="H49" i="176"/>
  <c r="G49" i="176"/>
  <c r="F49" i="176"/>
  <c r="E49" i="176"/>
  <c r="R43" i="176"/>
  <c r="W40" i="176"/>
  <c r="V40" i="176"/>
  <c r="T40" i="176"/>
  <c r="S40" i="176"/>
  <c r="I40" i="176"/>
  <c r="H40" i="176"/>
  <c r="G40" i="176"/>
  <c r="F40" i="176"/>
  <c r="J39" i="176"/>
  <c r="L39" i="176" s="1"/>
  <c r="P39" i="176" s="1"/>
  <c r="Q39" i="176" s="1"/>
  <c r="Y39" i="176" s="1"/>
  <c r="J38" i="176"/>
  <c r="E38" i="176"/>
  <c r="L38" i="176" s="1"/>
  <c r="J37" i="176"/>
  <c r="J40" i="176" s="1"/>
  <c r="E37" i="176"/>
  <c r="J34" i="176"/>
  <c r="E34" i="176"/>
  <c r="L34" i="176" s="1"/>
  <c r="P34" i="176" s="1"/>
  <c r="Q34" i="176" s="1"/>
  <c r="Y34" i="176" s="1"/>
  <c r="N33" i="176"/>
  <c r="J33" i="176"/>
  <c r="E33" i="176"/>
  <c r="L33" i="176" s="1"/>
  <c r="J32" i="176"/>
  <c r="E32" i="176"/>
  <c r="W30" i="176"/>
  <c r="V30" i="176"/>
  <c r="T30" i="176"/>
  <c r="S30" i="176"/>
  <c r="I30" i="176"/>
  <c r="H30" i="176"/>
  <c r="G30" i="176"/>
  <c r="F30" i="176"/>
  <c r="J29" i="176"/>
  <c r="E29" i="176"/>
  <c r="J28" i="176"/>
  <c r="L28" i="176" s="1"/>
  <c r="Q28" i="176" s="1"/>
  <c r="Y28" i="176" s="1"/>
  <c r="J27" i="176"/>
  <c r="J30" i="176" s="1"/>
  <c r="E27" i="176"/>
  <c r="L27" i="176" s="1"/>
  <c r="E26" i="176"/>
  <c r="W23" i="176"/>
  <c r="W41" i="176" s="1"/>
  <c r="W43" i="176" s="1"/>
  <c r="V23" i="176"/>
  <c r="V41" i="176" s="1"/>
  <c r="T23" i="176"/>
  <c r="T41" i="176" s="1"/>
  <c r="K23" i="176"/>
  <c r="I23" i="176"/>
  <c r="I41" i="176" s="1"/>
  <c r="H23" i="176"/>
  <c r="H41" i="176" s="1"/>
  <c r="J22" i="176"/>
  <c r="E22" i="176"/>
  <c r="L22" i="176" s="1"/>
  <c r="J21" i="176"/>
  <c r="G21" i="176"/>
  <c r="E21" i="176"/>
  <c r="J20" i="176"/>
  <c r="E20" i="176"/>
  <c r="L20" i="176" s="1"/>
  <c r="S19" i="176"/>
  <c r="J19" i="176"/>
  <c r="F19" i="176"/>
  <c r="E19" i="176"/>
  <c r="S18" i="176"/>
  <c r="S23" i="176" s="1"/>
  <c r="S41" i="176" s="1"/>
  <c r="J18" i="176"/>
  <c r="J23" i="176" s="1"/>
  <c r="J41" i="176" s="1"/>
  <c r="G18" i="176"/>
  <c r="F18" i="176"/>
  <c r="E18" i="176"/>
  <c r="V14" i="176"/>
  <c r="I14" i="176"/>
  <c r="H14" i="176"/>
  <c r="H43" i="176" s="1"/>
  <c r="G14" i="176"/>
  <c r="S13" i="176"/>
  <c r="K13" i="176"/>
  <c r="J13" i="176"/>
  <c r="F13" i="176"/>
  <c r="F14" i="176" s="1"/>
  <c r="E13" i="176"/>
  <c r="V12" i="176"/>
  <c r="T12" i="176"/>
  <c r="F12" i="176"/>
  <c r="S11" i="176"/>
  <c r="S12" i="176" s="1"/>
  <c r="J11" i="176"/>
  <c r="F11" i="176"/>
  <c r="E11" i="176"/>
  <c r="J10" i="176"/>
  <c r="E10" i="176"/>
  <c r="L10" i="176" s="1"/>
  <c r="N9" i="176"/>
  <c r="Y91" i="176" s="1"/>
  <c r="G11" i="178" s="1"/>
  <c r="G17" i="178" s="1"/>
  <c r="K9" i="176"/>
  <c r="K37" i="176" s="1"/>
  <c r="K40" i="176" s="1"/>
  <c r="J9" i="176"/>
  <c r="J12" i="176" s="1"/>
  <c r="J14" i="176" s="1"/>
  <c r="E9" i="176"/>
  <c r="A9" i="176"/>
  <c r="W81" i="175"/>
  <c r="V81" i="175"/>
  <c r="K81" i="175"/>
  <c r="I81" i="175"/>
  <c r="H81" i="175"/>
  <c r="F81" i="175"/>
  <c r="J79" i="175"/>
  <c r="E79" i="175"/>
  <c r="L79" i="175" s="1"/>
  <c r="P79" i="175" s="1"/>
  <c r="Q79" i="175" s="1"/>
  <c r="Y79" i="175" s="1"/>
  <c r="J78" i="175"/>
  <c r="G78" i="175"/>
  <c r="G81" i="175" s="1"/>
  <c r="E78" i="175"/>
  <c r="W77" i="175"/>
  <c r="V77" i="175"/>
  <c r="K77" i="175"/>
  <c r="I77" i="175"/>
  <c r="H77" i="175"/>
  <c r="G77" i="175"/>
  <c r="F77" i="175"/>
  <c r="J76" i="175"/>
  <c r="E76" i="175"/>
  <c r="L76" i="175" s="1"/>
  <c r="W75" i="175"/>
  <c r="V75" i="175"/>
  <c r="R75" i="175"/>
  <c r="K75" i="175"/>
  <c r="J75" i="175"/>
  <c r="J77" i="175" s="1"/>
  <c r="J81" i="175" s="1"/>
  <c r="I75" i="175"/>
  <c r="H75" i="175"/>
  <c r="G75" i="175"/>
  <c r="F75" i="175"/>
  <c r="W73" i="175"/>
  <c r="V73" i="175"/>
  <c r="K73" i="175"/>
  <c r="J73" i="175"/>
  <c r="I73" i="175"/>
  <c r="H73" i="175"/>
  <c r="G73" i="175"/>
  <c r="F73" i="175"/>
  <c r="J72" i="175"/>
  <c r="E72" i="175"/>
  <c r="L72" i="175" s="1"/>
  <c r="J71" i="175"/>
  <c r="E71" i="175"/>
  <c r="L71" i="175" s="1"/>
  <c r="J70" i="175"/>
  <c r="E70" i="175"/>
  <c r="L70" i="175" s="1"/>
  <c r="J69" i="175"/>
  <c r="E69" i="175"/>
  <c r="L69" i="175" s="1"/>
  <c r="J68" i="175"/>
  <c r="E68" i="175"/>
  <c r="L68" i="175" s="1"/>
  <c r="Y67" i="175"/>
  <c r="W66" i="175"/>
  <c r="V66" i="175"/>
  <c r="K66" i="175"/>
  <c r="J66" i="175"/>
  <c r="I66" i="175"/>
  <c r="H66" i="175"/>
  <c r="G66" i="175"/>
  <c r="F66" i="175"/>
  <c r="J65" i="175"/>
  <c r="E65" i="175"/>
  <c r="L65" i="175" s="1"/>
  <c r="J64" i="175"/>
  <c r="E64" i="175"/>
  <c r="L64" i="175" s="1"/>
  <c r="J63" i="175"/>
  <c r="E63" i="175"/>
  <c r="L63" i="175" s="1"/>
  <c r="J62" i="175"/>
  <c r="E62" i="175"/>
  <c r="L62" i="175" s="1"/>
  <c r="J61" i="175"/>
  <c r="E61" i="175"/>
  <c r="J55" i="175"/>
  <c r="E55" i="175"/>
  <c r="L55" i="175" s="1"/>
  <c r="P55" i="175" s="1"/>
  <c r="Q55" i="175" s="1"/>
  <c r="Y55" i="175" s="1"/>
  <c r="J54" i="175"/>
  <c r="E54" i="175"/>
  <c r="L54" i="175" s="1"/>
  <c r="P54" i="175" s="1"/>
  <c r="Q54" i="175" s="1"/>
  <c r="Y54" i="175" s="1"/>
  <c r="K53" i="175"/>
  <c r="J53" i="175"/>
  <c r="I53" i="175"/>
  <c r="H53" i="175"/>
  <c r="F53" i="175"/>
  <c r="V52" i="175"/>
  <c r="M52" i="175"/>
  <c r="F52" i="175"/>
  <c r="M51" i="175"/>
  <c r="Y50" i="175"/>
  <c r="W50" i="175"/>
  <c r="V50" i="175"/>
  <c r="T50" i="175"/>
  <c r="S50" i="175"/>
  <c r="R50" i="175"/>
  <c r="Q50" i="175"/>
  <c r="P50" i="175"/>
  <c r="O50" i="175"/>
  <c r="N50" i="175"/>
  <c r="M50" i="175"/>
  <c r="L50" i="175"/>
  <c r="K50" i="175"/>
  <c r="J50" i="175"/>
  <c r="I50" i="175"/>
  <c r="H50" i="175"/>
  <c r="G50" i="175"/>
  <c r="F50" i="175"/>
  <c r="E50" i="175"/>
  <c r="Y49" i="175"/>
  <c r="W49" i="175"/>
  <c r="V49" i="175"/>
  <c r="T49" i="175"/>
  <c r="S49" i="175"/>
  <c r="R49" i="175"/>
  <c r="Q49" i="175"/>
  <c r="P49" i="175"/>
  <c r="O49" i="175"/>
  <c r="N49" i="175"/>
  <c r="M49" i="175"/>
  <c r="L49" i="175"/>
  <c r="K49" i="175"/>
  <c r="J49" i="175"/>
  <c r="I49" i="175"/>
  <c r="H49" i="175"/>
  <c r="G49" i="175"/>
  <c r="F49" i="175"/>
  <c r="E49" i="175"/>
  <c r="W43" i="175"/>
  <c r="W52" i="175" s="1"/>
  <c r="W57" i="175" s="1"/>
  <c r="V43" i="175"/>
  <c r="V57" i="175" s="1"/>
  <c r="R43" i="175"/>
  <c r="I43" i="175"/>
  <c r="I57" i="175" s="1"/>
  <c r="H43" i="175"/>
  <c r="W41" i="175"/>
  <c r="V41" i="175"/>
  <c r="T41" i="175"/>
  <c r="S41" i="175"/>
  <c r="I41" i="175"/>
  <c r="H41" i="175"/>
  <c r="W40" i="175"/>
  <c r="V40" i="175"/>
  <c r="T40" i="175"/>
  <c r="S40" i="175"/>
  <c r="J40" i="175"/>
  <c r="I40" i="175"/>
  <c r="H40" i="175"/>
  <c r="G40" i="175"/>
  <c r="F40" i="175"/>
  <c r="L39" i="175"/>
  <c r="J39" i="175"/>
  <c r="J38" i="175"/>
  <c r="E38" i="175"/>
  <c r="L38" i="175" s="1"/>
  <c r="J37" i="175"/>
  <c r="E37" i="175"/>
  <c r="L34" i="175"/>
  <c r="P34" i="175" s="1"/>
  <c r="Q34" i="175" s="1"/>
  <c r="Y34" i="175" s="1"/>
  <c r="J34" i="175"/>
  <c r="E34" i="175"/>
  <c r="N33" i="175"/>
  <c r="J33" i="175"/>
  <c r="E33" i="175"/>
  <c r="L33" i="175" s="1"/>
  <c r="P33" i="175" s="1"/>
  <c r="Q33" i="175" s="1"/>
  <c r="Y33" i="175" s="1"/>
  <c r="J32" i="175"/>
  <c r="E32" i="175"/>
  <c r="W30" i="175"/>
  <c r="V30" i="175"/>
  <c r="T30" i="175"/>
  <c r="S30" i="175"/>
  <c r="J30" i="175"/>
  <c r="I30" i="175"/>
  <c r="H30" i="175"/>
  <c r="G30" i="175"/>
  <c r="F30" i="175"/>
  <c r="J29" i="175"/>
  <c r="E29" i="175"/>
  <c r="L28" i="175"/>
  <c r="J28" i="175"/>
  <c r="J27" i="175"/>
  <c r="E27" i="175"/>
  <c r="L27" i="175" s="1"/>
  <c r="E26" i="175"/>
  <c r="W23" i="175"/>
  <c r="V23" i="175"/>
  <c r="T23" i="175"/>
  <c r="S23" i="175"/>
  <c r="K23" i="175"/>
  <c r="J23" i="175"/>
  <c r="J41" i="175" s="1"/>
  <c r="I23" i="175"/>
  <c r="H23" i="175"/>
  <c r="J22" i="175"/>
  <c r="E22" i="175"/>
  <c r="L22" i="175" s="1"/>
  <c r="J21" i="175"/>
  <c r="G21" i="175"/>
  <c r="E21" i="175"/>
  <c r="J20" i="175"/>
  <c r="E20" i="175"/>
  <c r="L20" i="175" s="1"/>
  <c r="S19" i="175"/>
  <c r="J19" i="175"/>
  <c r="F19" i="175"/>
  <c r="E19" i="175"/>
  <c r="S18" i="175"/>
  <c r="J18" i="175"/>
  <c r="G18" i="175"/>
  <c r="F18" i="175"/>
  <c r="E18" i="175"/>
  <c r="V14" i="175"/>
  <c r="S14" i="175"/>
  <c r="S43" i="175" s="1"/>
  <c r="I14" i="175"/>
  <c r="H14" i="175"/>
  <c r="G14" i="175"/>
  <c r="F14" i="175"/>
  <c r="S13" i="175"/>
  <c r="K13" i="175"/>
  <c r="J13" i="175"/>
  <c r="F13" i="175"/>
  <c r="E13" i="175"/>
  <c r="V12" i="175"/>
  <c r="T12" i="175"/>
  <c r="S12" i="175"/>
  <c r="J12" i="175"/>
  <c r="J14" i="175" s="1"/>
  <c r="J43" i="175" s="1"/>
  <c r="J57" i="175" s="1"/>
  <c r="F12" i="175"/>
  <c r="Y11" i="175"/>
  <c r="S11" i="175"/>
  <c r="J11" i="175"/>
  <c r="F11" i="175"/>
  <c r="E11" i="175"/>
  <c r="L11" i="175" s="1"/>
  <c r="J10" i="175"/>
  <c r="E10" i="175"/>
  <c r="L10" i="175" s="1"/>
  <c r="N9" i="175"/>
  <c r="N10" i="175" s="1"/>
  <c r="K9" i="175"/>
  <c r="K29" i="175" s="1"/>
  <c r="J9" i="175"/>
  <c r="E9" i="175"/>
  <c r="A9" i="175"/>
  <c r="L29" i="175" l="1"/>
  <c r="F23" i="176"/>
  <c r="F41" i="176" s="1"/>
  <c r="F43" i="176" s="1"/>
  <c r="F57" i="176" s="1"/>
  <c r="Y91" i="175"/>
  <c r="G11" i="177" s="1"/>
  <c r="G17" i="177" s="1"/>
  <c r="P10" i="175"/>
  <c r="G81" i="176"/>
  <c r="L21" i="175"/>
  <c r="P21" i="175" s="1"/>
  <c r="Q21" i="175" s="1"/>
  <c r="Y21" i="175" s="1"/>
  <c r="E12" i="176"/>
  <c r="E14" i="176" s="1"/>
  <c r="E66" i="175"/>
  <c r="L9" i="175"/>
  <c r="P9" i="175" s="1"/>
  <c r="Q9" i="175" s="1"/>
  <c r="Y9" i="175" s="1"/>
  <c r="K37" i="175"/>
  <c r="L37" i="175" s="1"/>
  <c r="L40" i="175" s="1"/>
  <c r="L19" i="175"/>
  <c r="P19" i="175" s="1"/>
  <c r="Q19" i="175" s="1"/>
  <c r="Y19" i="175" s="1"/>
  <c r="G23" i="176"/>
  <c r="G41" i="176" s="1"/>
  <c r="G43" i="176" s="1"/>
  <c r="G52" i="176" s="1"/>
  <c r="L21" i="176"/>
  <c r="P21" i="176" s="1"/>
  <c r="Q21" i="176" s="1"/>
  <c r="Y21" i="176" s="1"/>
  <c r="L19" i="176"/>
  <c r="P19" i="176" s="1"/>
  <c r="Q19" i="176" s="1"/>
  <c r="Y19" i="176" s="1"/>
  <c r="K12" i="175"/>
  <c r="K14" i="175" s="1"/>
  <c r="L18" i="175"/>
  <c r="L73" i="175"/>
  <c r="L9" i="176"/>
  <c r="P9" i="176" s="1"/>
  <c r="Q9" i="176" s="1"/>
  <c r="Y9" i="176" s="1"/>
  <c r="G23" i="175"/>
  <c r="G41" i="175" s="1"/>
  <c r="G43" i="175" s="1"/>
  <c r="G52" i="175" s="1"/>
  <c r="E30" i="175"/>
  <c r="K12" i="176"/>
  <c r="K14" i="176" s="1"/>
  <c r="E40" i="175"/>
  <c r="L13" i="175"/>
  <c r="P13" i="175" s="1"/>
  <c r="Q13" i="175" s="1"/>
  <c r="L78" i="175"/>
  <c r="P78" i="175" s="1"/>
  <c r="Q78" i="175" s="1"/>
  <c r="Y78" i="175" s="1"/>
  <c r="K29" i="176"/>
  <c r="K30" i="176" s="1"/>
  <c r="E23" i="175"/>
  <c r="E73" i="175"/>
  <c r="E12" i="175"/>
  <c r="E14" i="175" s="1"/>
  <c r="F23" i="175"/>
  <c r="F41" i="175" s="1"/>
  <c r="F43" i="175" s="1"/>
  <c r="F57" i="175" s="1"/>
  <c r="L61" i="175"/>
  <c r="L66" i="175" s="1"/>
  <c r="E40" i="176"/>
  <c r="L78" i="176"/>
  <c r="P78" i="176" s="1"/>
  <c r="Q78" i="176" s="1"/>
  <c r="Y78" i="176" s="1"/>
  <c r="L13" i="176"/>
  <c r="P13" i="176" s="1"/>
  <c r="Q13" i="176" s="1"/>
  <c r="E30" i="176"/>
  <c r="L26" i="175"/>
  <c r="L11" i="176"/>
  <c r="P33" i="176"/>
  <c r="Q33" i="176" s="1"/>
  <c r="Y33" i="176" s="1"/>
  <c r="K32" i="175"/>
  <c r="L32" i="175" s="1"/>
  <c r="K30" i="175"/>
  <c r="K32" i="176"/>
  <c r="L32" i="176" s="1"/>
  <c r="H52" i="176"/>
  <c r="H57" i="176" s="1"/>
  <c r="W57" i="176"/>
  <c r="W52" i="176"/>
  <c r="W77" i="176"/>
  <c r="W81" i="176"/>
  <c r="I43" i="176"/>
  <c r="I57" i="176" s="1"/>
  <c r="S14" i="176"/>
  <c r="S43" i="176" s="1"/>
  <c r="L66" i="176"/>
  <c r="V81" i="176"/>
  <c r="V77" i="176"/>
  <c r="J43" i="176"/>
  <c r="J57" i="176" s="1"/>
  <c r="V43" i="176"/>
  <c r="L73" i="176"/>
  <c r="E23" i="176"/>
  <c r="N10" i="176"/>
  <c r="P10" i="176" s="1"/>
  <c r="Y11" i="176"/>
  <c r="L26" i="176"/>
  <c r="L37" i="176"/>
  <c r="L40" i="176" s="1"/>
  <c r="E66" i="176"/>
  <c r="E73" i="176"/>
  <c r="L18" i="176"/>
  <c r="A10" i="176"/>
  <c r="A11" i="176" s="1"/>
  <c r="S52" i="175"/>
  <c r="S57" i="175" s="1"/>
  <c r="Q10" i="175"/>
  <c r="Q28" i="175"/>
  <c r="Y28" i="175" s="1"/>
  <c r="P39" i="175"/>
  <c r="Q39" i="175" s="1"/>
  <c r="Y39" i="175" s="1"/>
  <c r="H52" i="175"/>
  <c r="H57" i="175" s="1"/>
  <c r="A10" i="175"/>
  <c r="A11" i="175" s="1"/>
  <c r="N33" i="120"/>
  <c r="N9" i="120"/>
  <c r="G27" i="177" s="1"/>
  <c r="G29" i="178" s="1"/>
  <c r="G27" i="178" s="1"/>
  <c r="L75" i="175" l="1"/>
  <c r="L77" i="175" s="1"/>
  <c r="L30" i="175"/>
  <c r="E75" i="175"/>
  <c r="E77" i="175" s="1"/>
  <c r="E81" i="175" s="1"/>
  <c r="L12" i="176"/>
  <c r="L14" i="176" s="1"/>
  <c r="L12" i="175"/>
  <c r="L14" i="175" s="1"/>
  <c r="H31" i="177"/>
  <c r="K40" i="175"/>
  <c r="K41" i="175" s="1"/>
  <c r="K43" i="175" s="1"/>
  <c r="K52" i="175" s="1"/>
  <c r="K57" i="175" s="1"/>
  <c r="L29" i="176"/>
  <c r="L30" i="176" s="1"/>
  <c r="L23" i="175"/>
  <c r="L23" i="176"/>
  <c r="P12" i="175"/>
  <c r="P14" i="175" s="1"/>
  <c r="E41" i="175"/>
  <c r="E43" i="175" s="1"/>
  <c r="K41" i="176"/>
  <c r="K43" i="176" s="1"/>
  <c r="K52" i="176" s="1"/>
  <c r="E41" i="176"/>
  <c r="E43" i="176" s="1"/>
  <c r="E75" i="176"/>
  <c r="E77" i="176" s="1"/>
  <c r="E81" i="176" s="1"/>
  <c r="P12" i="176"/>
  <c r="P14" i="176" s="1"/>
  <c r="Q10" i="176"/>
  <c r="L75" i="176"/>
  <c r="A12" i="176"/>
  <c r="A13" i="176" s="1"/>
  <c r="V57" i="176"/>
  <c r="V52" i="176"/>
  <c r="S52" i="176"/>
  <c r="S57" i="176"/>
  <c r="A12" i="175"/>
  <c r="Y10" i="175"/>
  <c r="Y12" i="175" s="1"/>
  <c r="Q12" i="175"/>
  <c r="Q14" i="175" s="1"/>
  <c r="L41" i="175" l="1"/>
  <c r="L81" i="175"/>
  <c r="L43" i="175"/>
  <c r="L41" i="176"/>
  <c r="L43" i="176" s="1"/>
  <c r="K57" i="176"/>
  <c r="Y10" i="176"/>
  <c r="Y12" i="176" s="1"/>
  <c r="Q12" i="176"/>
  <c r="Q14" i="176" s="1"/>
  <c r="A14" i="176"/>
  <c r="L77" i="176"/>
  <c r="L81" i="176"/>
  <c r="A13" i="175"/>
  <c r="A16" i="176" l="1"/>
  <c r="A17" i="176" s="1"/>
  <c r="A14" i="175"/>
  <c r="A18" i="176" l="1"/>
  <c r="A19" i="176" s="1"/>
  <c r="A16" i="175"/>
  <c r="A20" i="176" l="1"/>
  <c r="A21" i="176" s="1"/>
  <c r="A22" i="176" s="1"/>
  <c r="A23" i="176" s="1"/>
  <c r="A17" i="175"/>
  <c r="A25" i="176" l="1"/>
  <c r="A18" i="175"/>
  <c r="A26" i="176" l="1"/>
  <c r="A27" i="176" s="1"/>
  <c r="A28" i="176" s="1"/>
  <c r="A29" i="176" s="1"/>
  <c r="A30" i="176" s="1"/>
  <c r="A32" i="176" s="1"/>
  <c r="A33" i="176" s="1"/>
  <c r="A34" i="176" s="1"/>
  <c r="A36" i="176" s="1"/>
  <c r="A37" i="176" s="1"/>
  <c r="A38" i="176" s="1"/>
  <c r="A39" i="176" s="1"/>
  <c r="A40" i="176" s="1"/>
  <c r="A41" i="176" s="1"/>
  <c r="A43" i="176" s="1"/>
  <c r="A51" i="176" s="1"/>
  <c r="A52" i="176" s="1"/>
  <c r="A53" i="176" s="1"/>
  <c r="A54" i="176" s="1"/>
  <c r="A55" i="176" s="1"/>
  <c r="A57" i="176" s="1"/>
  <c r="A59" i="176" s="1"/>
  <c r="A60" i="176" s="1"/>
  <c r="A61" i="176" s="1"/>
  <c r="A62" i="176" s="1"/>
  <c r="A63" i="176" s="1"/>
  <c r="A64" i="176" s="1"/>
  <c r="A65" i="176" s="1"/>
  <c r="A66" i="176" s="1"/>
  <c r="A67" i="176" s="1"/>
  <c r="A68" i="176" s="1"/>
  <c r="A69" i="176" s="1"/>
  <c r="A70" i="176" s="1"/>
  <c r="A71" i="176" s="1"/>
  <c r="A72" i="176" s="1"/>
  <c r="A73" i="176" s="1"/>
  <c r="A75" i="176" s="1"/>
  <c r="A76" i="176" s="1"/>
  <c r="A77" i="176" s="1"/>
  <c r="A78" i="176" s="1"/>
  <c r="A79" i="176" s="1"/>
  <c r="A80" i="176" s="1"/>
  <c r="A81" i="176" s="1"/>
  <c r="A83" i="176" s="1"/>
  <c r="A85" i="176" s="1"/>
  <c r="A86" i="176" s="1"/>
  <c r="A87" i="176" s="1"/>
  <c r="A88" i="176" s="1"/>
  <c r="A89" i="176" s="1"/>
  <c r="A90" i="176" s="1"/>
  <c r="A91" i="176" s="1"/>
  <c r="A92" i="176" s="1"/>
  <c r="A19" i="175"/>
  <c r="A20" i="175" s="1"/>
  <c r="A21" i="175" s="1"/>
  <c r="A22" i="175" s="1"/>
  <c r="A23" i="175" s="1"/>
  <c r="A25" i="175" s="1"/>
  <c r="A26" i="175" s="1"/>
  <c r="A27" i="175" s="1"/>
  <c r="A28" i="175" s="1"/>
  <c r="A29" i="175" s="1"/>
  <c r="A30" i="175" s="1"/>
  <c r="A32" i="175" s="1"/>
  <c r="A33" i="175" s="1"/>
  <c r="A34" i="175" s="1"/>
  <c r="A36" i="175" s="1"/>
  <c r="A37" i="175" s="1"/>
  <c r="A38" i="175" s="1"/>
  <c r="A39" i="175" s="1"/>
  <c r="A40" i="175" s="1"/>
  <c r="A41" i="175" s="1"/>
  <c r="A43" i="175" s="1"/>
  <c r="A51" i="175" s="1"/>
  <c r="A52" i="175" s="1"/>
  <c r="A53" i="175" s="1"/>
  <c r="A54" i="175" s="1"/>
  <c r="A55" i="175" s="1"/>
  <c r="A57" i="175" s="1"/>
  <c r="A59" i="175" s="1"/>
  <c r="A60" i="175" s="1"/>
  <c r="A61" i="175" s="1"/>
  <c r="A62" i="175" s="1"/>
  <c r="A63" i="175" s="1"/>
  <c r="A64" i="175" s="1"/>
  <c r="A65" i="175" s="1"/>
  <c r="A66" i="175" s="1"/>
  <c r="A67" i="175" s="1"/>
  <c r="A68" i="175" s="1"/>
  <c r="A69" i="175" s="1"/>
  <c r="A70" i="175" s="1"/>
  <c r="A71" i="175" s="1"/>
  <c r="A72" i="175" s="1"/>
  <c r="A73" i="175" s="1"/>
  <c r="A75" i="175" s="1"/>
  <c r="A76" i="175" s="1"/>
  <c r="A77" i="175" s="1"/>
  <c r="A78" i="175" s="1"/>
  <c r="A79" i="175" s="1"/>
  <c r="A80" i="175" s="1"/>
  <c r="A81" i="175" s="1"/>
  <c r="A83" i="175" s="1"/>
  <c r="A85" i="175" s="1"/>
  <c r="A86" i="175" s="1"/>
  <c r="A87" i="175" s="1"/>
  <c r="A88" i="175" s="1"/>
  <c r="A89" i="175" s="1"/>
  <c r="A90" i="175" s="1"/>
  <c r="A91" i="175" s="1"/>
  <c r="A92" i="175" s="1"/>
  <c r="G78" i="120" l="1"/>
  <c r="G21" i="120"/>
  <c r="G18" i="120"/>
  <c r="S19" i="120"/>
  <c r="S18" i="120"/>
  <c r="S13" i="120"/>
  <c r="S11" i="120"/>
  <c r="F19" i="120"/>
  <c r="F18" i="120"/>
  <c r="F13" i="120"/>
  <c r="F11" i="120"/>
  <c r="K13" i="120" l="1"/>
  <c r="K9" i="120"/>
  <c r="K29" i="120" s="1"/>
  <c r="K32" i="120" l="1"/>
  <c r="E79" i="120"/>
  <c r="E78" i="120"/>
  <c r="E76" i="120"/>
  <c r="E72" i="120"/>
  <c r="E71" i="120"/>
  <c r="E70" i="120"/>
  <c r="E69" i="120"/>
  <c r="E68" i="120"/>
  <c r="E65" i="120"/>
  <c r="E64" i="120"/>
  <c r="E63" i="120"/>
  <c r="E62" i="120"/>
  <c r="E61" i="120"/>
  <c r="E55" i="120"/>
  <c r="E54" i="120"/>
  <c r="E38" i="120"/>
  <c r="E37" i="120"/>
  <c r="E33" i="120"/>
  <c r="E32" i="120"/>
  <c r="E29" i="120"/>
  <c r="E27" i="120"/>
  <c r="E26" i="120"/>
  <c r="E22" i="120"/>
  <c r="E21" i="120"/>
  <c r="E20" i="120"/>
  <c r="E19" i="120"/>
  <c r="E18" i="120"/>
  <c r="E13" i="120"/>
  <c r="E11" i="120"/>
  <c r="E10" i="120"/>
  <c r="E9" i="120"/>
  <c r="R13" i="168" l="1"/>
  <c r="Q13" i="168"/>
  <c r="P11" i="165" l="1"/>
  <c r="Q11" i="165"/>
  <c r="R11" i="165"/>
  <c r="P12" i="165"/>
  <c r="Q12" i="165"/>
  <c r="R12" i="165"/>
  <c r="P15" i="165"/>
  <c r="Q15" i="165"/>
  <c r="R15" i="165"/>
  <c r="Q75" i="165"/>
  <c r="Q76" i="165" s="1"/>
  <c r="P75" i="165"/>
  <c r="P76" i="165" s="1"/>
  <c r="R74" i="165"/>
  <c r="R75" i="165" s="1"/>
  <c r="R76" i="165" s="1"/>
  <c r="Q74" i="165"/>
  <c r="P74" i="165"/>
  <c r="R73" i="165"/>
  <c r="Q73" i="165"/>
  <c r="P73" i="165"/>
  <c r="R69" i="165"/>
  <c r="Q69" i="165"/>
  <c r="P69" i="165"/>
  <c r="R75" i="167"/>
  <c r="R76" i="167" s="1"/>
  <c r="Q75" i="167"/>
  <c r="Q76" i="167" s="1"/>
  <c r="P75" i="167"/>
  <c r="P76" i="167" s="1"/>
  <c r="R74" i="167"/>
  <c r="Q74" i="167"/>
  <c r="P74" i="167"/>
  <c r="R73" i="167"/>
  <c r="Q73" i="167"/>
  <c r="P73" i="167"/>
  <c r="R69" i="167"/>
  <c r="Q69" i="167"/>
  <c r="P69" i="167"/>
  <c r="R74" i="168"/>
  <c r="Q74" i="168"/>
  <c r="P74" i="168"/>
  <c r="R73" i="168"/>
  <c r="Q73" i="168"/>
  <c r="P73" i="168"/>
  <c r="R69" i="168"/>
  <c r="Q69" i="168"/>
  <c r="P69" i="168"/>
  <c r="R73" i="169"/>
  <c r="R74" i="169" s="1"/>
  <c r="Q73" i="169"/>
  <c r="Q74" i="169" s="1"/>
  <c r="P73" i="169"/>
  <c r="P74" i="169" s="1"/>
  <c r="R72" i="169"/>
  <c r="Q72" i="169"/>
  <c r="P72" i="169"/>
  <c r="R71" i="169"/>
  <c r="Q71" i="169"/>
  <c r="P71" i="169"/>
  <c r="R67" i="169"/>
  <c r="Q67" i="169"/>
  <c r="P67" i="169"/>
  <c r="R74" i="170"/>
  <c r="R75" i="170" s="1"/>
  <c r="Q74" i="170"/>
  <c r="Q75" i="170" s="1"/>
  <c r="P74" i="170"/>
  <c r="P75" i="170" s="1"/>
  <c r="R73" i="170"/>
  <c r="Q73" i="170"/>
  <c r="P73" i="170"/>
  <c r="R72" i="170"/>
  <c r="Q72" i="170"/>
  <c r="P72" i="170"/>
  <c r="R68" i="170"/>
  <c r="Q68" i="170"/>
  <c r="P68" i="170"/>
  <c r="P74" i="171"/>
  <c r="P75" i="171" s="1"/>
  <c r="P76" i="171" s="1"/>
  <c r="R73" i="171"/>
  <c r="Q73" i="171"/>
  <c r="P73" i="171"/>
  <c r="R69" i="171"/>
  <c r="Q69" i="171"/>
  <c r="P69" i="171"/>
  <c r="O74" i="172"/>
  <c r="P74" i="172" s="1"/>
  <c r="R73" i="172"/>
  <c r="Q73" i="172"/>
  <c r="P73" i="172"/>
  <c r="O73" i="172"/>
  <c r="R69" i="172"/>
  <c r="Q69" i="172"/>
  <c r="P69" i="172"/>
  <c r="O69" i="172"/>
  <c r="O74" i="173"/>
  <c r="P74" i="173" s="1"/>
  <c r="R73" i="173"/>
  <c r="Q73" i="173"/>
  <c r="P73" i="173"/>
  <c r="O73" i="173"/>
  <c r="R69" i="173"/>
  <c r="Q69" i="173"/>
  <c r="P69" i="173"/>
  <c r="O69" i="173"/>
  <c r="P11" i="173"/>
  <c r="P14" i="173" s="1"/>
  <c r="Q11" i="173"/>
  <c r="R11" i="173"/>
  <c r="Q14" i="173"/>
  <c r="R14" i="173"/>
  <c r="P11" i="172"/>
  <c r="P15" i="172" s="1"/>
  <c r="Q11" i="172"/>
  <c r="R11" i="172"/>
  <c r="P12" i="172"/>
  <c r="Q12" i="172"/>
  <c r="R12" i="172"/>
  <c r="Q15" i="172"/>
  <c r="R15" i="172"/>
  <c r="P11" i="171"/>
  <c r="P15" i="171" s="1"/>
  <c r="Q11" i="171"/>
  <c r="R11" i="171"/>
  <c r="P12" i="171"/>
  <c r="Q12" i="171"/>
  <c r="R12" i="171"/>
  <c r="Q15" i="171"/>
  <c r="R15" i="171"/>
  <c r="Q11" i="170"/>
  <c r="R11" i="170"/>
  <c r="Q12" i="170"/>
  <c r="R12" i="170"/>
  <c r="Q15" i="170"/>
  <c r="R15" i="170"/>
  <c r="P11" i="169"/>
  <c r="P15" i="169" s="1"/>
  <c r="Q11" i="169"/>
  <c r="R11" i="169"/>
  <c r="P12" i="169"/>
  <c r="Q12" i="169"/>
  <c r="R12" i="169"/>
  <c r="Q15" i="169"/>
  <c r="R15" i="169"/>
  <c r="P11" i="168"/>
  <c r="Q11" i="168"/>
  <c r="R11" i="168"/>
  <c r="P12" i="168"/>
  <c r="Q12" i="168"/>
  <c r="R12" i="168"/>
  <c r="P15" i="168"/>
  <c r="Q15" i="168"/>
  <c r="R15" i="168"/>
  <c r="P11" i="167"/>
  <c r="Q11" i="167"/>
  <c r="R11" i="167"/>
  <c r="P12" i="167"/>
  <c r="P16" i="167" s="1"/>
  <c r="Q12" i="167"/>
  <c r="R12" i="167"/>
  <c r="Q16" i="167"/>
  <c r="R16" i="167"/>
  <c r="O69" i="166"/>
  <c r="P69" i="166"/>
  <c r="Q69" i="166"/>
  <c r="R69" i="166"/>
  <c r="O73" i="166"/>
  <c r="P73" i="166"/>
  <c r="Q73" i="166"/>
  <c r="O75" i="166" s="1"/>
  <c r="O76" i="166" s="1"/>
  <c r="R73" i="166"/>
  <c r="O74" i="166"/>
  <c r="P74" i="166"/>
  <c r="Q74" i="166" s="1"/>
  <c r="P11" i="166"/>
  <c r="Q11" i="166"/>
  <c r="R11" i="166"/>
  <c r="P12" i="166"/>
  <c r="Q12" i="166"/>
  <c r="Q15" i="166" s="1"/>
  <c r="R12" i="166"/>
  <c r="R15" i="166" s="1"/>
  <c r="P13" i="166"/>
  <c r="P15" i="166" s="1"/>
  <c r="Q13" i="166"/>
  <c r="R13" i="166"/>
  <c r="O69" i="161"/>
  <c r="P69" i="161"/>
  <c r="Q69" i="161"/>
  <c r="R69" i="161"/>
  <c r="O73" i="161"/>
  <c r="P73" i="161"/>
  <c r="Q73" i="161"/>
  <c r="R73" i="161"/>
  <c r="O74" i="161"/>
  <c r="P74" i="161" s="1"/>
  <c r="O11" i="161"/>
  <c r="P11" i="161"/>
  <c r="Q11" i="161"/>
  <c r="Q13" i="161" s="1"/>
  <c r="R11" i="161"/>
  <c r="R13" i="161" s="1"/>
  <c r="O13" i="161"/>
  <c r="P13" i="161"/>
  <c r="O69" i="159"/>
  <c r="P69" i="159"/>
  <c r="Q69" i="159"/>
  <c r="R69" i="159"/>
  <c r="O73" i="159"/>
  <c r="P73" i="159"/>
  <c r="Q73" i="159"/>
  <c r="R73" i="159"/>
  <c r="O74" i="159"/>
  <c r="P74" i="159" s="1"/>
  <c r="R11" i="159"/>
  <c r="P11" i="159"/>
  <c r="P14" i="159" s="1"/>
  <c r="Q11" i="159"/>
  <c r="Q14" i="159"/>
  <c r="R14" i="159"/>
  <c r="P72" i="158"/>
  <c r="Q72" i="158"/>
  <c r="R72" i="158"/>
  <c r="P73" i="158"/>
  <c r="Q73" i="158"/>
  <c r="R73" i="158" s="1"/>
  <c r="R74" i="158" s="1"/>
  <c r="R75" i="158" s="1"/>
  <c r="P74" i="158"/>
  <c r="P75" i="158" s="1"/>
  <c r="Q74" i="158"/>
  <c r="Q75" i="158" s="1"/>
  <c r="P68" i="158"/>
  <c r="Q68" i="158"/>
  <c r="R68" i="158"/>
  <c r="Q11" i="158"/>
  <c r="R11" i="158"/>
  <c r="R14" i="158" s="1"/>
  <c r="Q12" i="158"/>
  <c r="R12" i="158"/>
  <c r="Q14" i="158"/>
  <c r="R73" i="160"/>
  <c r="R74" i="160"/>
  <c r="R75" i="160"/>
  <c r="R76" i="160" s="1"/>
  <c r="Q73" i="160"/>
  <c r="Q74" i="160"/>
  <c r="Q75" i="160" s="1"/>
  <c r="Q76" i="160" s="1"/>
  <c r="Q11" i="160"/>
  <c r="Q13" i="160" s="1"/>
  <c r="R11" i="160"/>
  <c r="R13" i="160" s="1"/>
  <c r="V141" i="122"/>
  <c r="V142" i="122" s="1"/>
  <c r="V140" i="122"/>
  <c r="V139" i="122"/>
  <c r="V137" i="122"/>
  <c r="V134" i="122"/>
  <c r="V133" i="122"/>
  <c r="V131" i="122"/>
  <c r="V130" i="122"/>
  <c r="V126" i="122"/>
  <c r="V125" i="122"/>
  <c r="V124" i="122"/>
  <c r="V127" i="122" s="1"/>
  <c r="V128" i="122" s="1"/>
  <c r="V123" i="122"/>
  <c r="V122" i="122"/>
  <c r="V121" i="122"/>
  <c r="V117" i="122"/>
  <c r="V116" i="122"/>
  <c r="V115" i="122"/>
  <c r="V111" i="122"/>
  <c r="V112" i="122" s="1"/>
  <c r="V110" i="122"/>
  <c r="V109" i="122"/>
  <c r="V108" i="122"/>
  <c r="V102" i="122"/>
  <c r="V101" i="122"/>
  <c r="V99" i="122"/>
  <c r="V104" i="122" s="1"/>
  <c r="V105" i="122" s="1"/>
  <c r="V98" i="122"/>
  <c r="V97" i="122"/>
  <c r="V96" i="122"/>
  <c r="V95" i="122"/>
  <c r="V94" i="122"/>
  <c r="V93" i="122"/>
  <c r="V92" i="122"/>
  <c r="V75" i="122"/>
  <c r="V74" i="122"/>
  <c r="V67" i="122"/>
  <c r="V51" i="122"/>
  <c r="V43" i="122"/>
  <c r="V41" i="122"/>
  <c r="V40" i="122"/>
  <c r="V30" i="122"/>
  <c r="V24" i="122"/>
  <c r="V13" i="122"/>
  <c r="V15" i="122" s="1"/>
  <c r="Q74" i="171" l="1"/>
  <c r="Q74" i="172"/>
  <c r="P75" i="172"/>
  <c r="P76" i="172" s="1"/>
  <c r="O75" i="172"/>
  <c r="O76" i="172" s="1"/>
  <c r="Q74" i="173"/>
  <c r="R74" i="166"/>
  <c r="R75" i="166" s="1"/>
  <c r="R76" i="166" s="1"/>
  <c r="Q75" i="166"/>
  <c r="Q76" i="166" s="1"/>
  <c r="P75" i="166"/>
  <c r="P76" i="166" s="1"/>
  <c r="Q74" i="161"/>
  <c r="Q74" i="159"/>
  <c r="Q75" i="171" l="1"/>
  <c r="Q76" i="171" s="1"/>
  <c r="R74" i="171"/>
  <c r="R75" i="171" s="1"/>
  <c r="R76" i="171" s="1"/>
  <c r="R74" i="172"/>
  <c r="R75" i="172" s="1"/>
  <c r="R76" i="172" s="1"/>
  <c r="Q75" i="172"/>
  <c r="Q76" i="172" s="1"/>
  <c r="R74" i="173"/>
  <c r="R74" i="161"/>
  <c r="R74" i="159"/>
  <c r="T103" i="129" l="1"/>
  <c r="T94" i="129"/>
  <c r="T93" i="129"/>
  <c r="T92" i="129"/>
  <c r="T71" i="129"/>
  <c r="T70" i="129"/>
  <c r="T108" i="129" s="1"/>
  <c r="T68" i="129"/>
  <c r="T64" i="129"/>
  <c r="T63" i="129"/>
  <c r="T62" i="129"/>
  <c r="T61" i="129"/>
  <c r="T60" i="129"/>
  <c r="T57" i="129"/>
  <c r="T56" i="129"/>
  <c r="T55" i="129"/>
  <c r="T54" i="129"/>
  <c r="T53" i="129"/>
  <c r="T50" i="129"/>
  <c r="T75" i="129" s="1"/>
  <c r="T34" i="129"/>
  <c r="T31" i="129"/>
  <c r="T20" i="129"/>
  <c r="T12" i="129"/>
  <c r="T11" i="129"/>
  <c r="U32" i="133"/>
  <c r="T32" i="133"/>
  <c r="S32" i="133"/>
  <c r="R32" i="133"/>
  <c r="Q32" i="133"/>
  <c r="P32" i="133"/>
  <c r="O32" i="133"/>
  <c r="O23" i="122"/>
  <c r="P23" i="122"/>
  <c r="Q23" i="122"/>
  <c r="R23" i="122"/>
  <c r="S23" i="122"/>
  <c r="T23" i="122"/>
  <c r="T43" i="129" l="1"/>
  <c r="T48" i="129" s="1"/>
  <c r="T58" i="129"/>
  <c r="T65" i="129"/>
  <c r="T45" i="129"/>
  <c r="T46" i="129" s="1"/>
  <c r="T66" i="129" l="1"/>
  <c r="T69" i="129" s="1"/>
  <c r="T73" i="129" s="1"/>
  <c r="J79" i="120"/>
  <c r="J78" i="120"/>
  <c r="J76" i="120"/>
  <c r="J72" i="120"/>
  <c r="J71" i="120"/>
  <c r="J70" i="120"/>
  <c r="J69" i="120"/>
  <c r="J68" i="120"/>
  <c r="J65" i="120"/>
  <c r="J64" i="120"/>
  <c r="J63" i="120"/>
  <c r="J62" i="120"/>
  <c r="J61" i="120"/>
  <c r="J55" i="120"/>
  <c r="J54" i="120"/>
  <c r="J53" i="120"/>
  <c r="J13" i="120"/>
  <c r="J11" i="120"/>
  <c r="J10" i="120"/>
  <c r="J9" i="120"/>
  <c r="F53" i="120"/>
  <c r="F52" i="120"/>
  <c r="J39" i="120"/>
  <c r="J38" i="120"/>
  <c r="J37" i="120"/>
  <c r="J34" i="120"/>
  <c r="E34" i="120"/>
  <c r="J33" i="120"/>
  <c r="J32" i="120"/>
  <c r="J29" i="120"/>
  <c r="J28" i="120"/>
  <c r="J27" i="120"/>
  <c r="J22" i="120"/>
  <c r="J21" i="120"/>
  <c r="J20" i="120"/>
  <c r="J19" i="120"/>
  <c r="J18" i="120"/>
  <c r="F49" i="120" l="1"/>
  <c r="G49" i="120"/>
  <c r="H49" i="120"/>
  <c r="I49" i="120"/>
  <c r="J49" i="120"/>
  <c r="K49" i="120"/>
  <c r="L49" i="120"/>
  <c r="E49" i="120"/>
  <c r="U70" i="133" l="1"/>
  <c r="U63" i="133"/>
  <c r="U71" i="133" s="1"/>
  <c r="U74" i="133" s="1"/>
  <c r="U78" i="133" s="1"/>
  <c r="U43" i="133"/>
  <c r="U33" i="133"/>
  <c r="U27" i="133"/>
  <c r="U18" i="133"/>
  <c r="U16" i="133"/>
  <c r="L9" i="120"/>
  <c r="J73" i="120"/>
  <c r="J66" i="120"/>
  <c r="J30" i="120"/>
  <c r="J23" i="120"/>
  <c r="J12" i="120"/>
  <c r="J14" i="120" s="1"/>
  <c r="J50" i="120"/>
  <c r="J40" i="120"/>
  <c r="U44" i="133" l="1"/>
  <c r="U46" i="133" s="1"/>
  <c r="U54" i="133" s="1"/>
  <c r="U79" i="133" s="1"/>
  <c r="J41" i="120"/>
  <c r="J43" i="120" s="1"/>
  <c r="J57" i="120" s="1"/>
  <c r="J75" i="120"/>
  <c r="J77" i="120" s="1"/>
  <c r="J81" i="120" s="1"/>
  <c r="A9" i="120" l="1"/>
  <c r="N49" i="120"/>
  <c r="A10" i="120" l="1"/>
  <c r="A11" i="120" l="1"/>
  <c r="A12" i="120" l="1"/>
  <c r="A13" i="120" l="1"/>
  <c r="A14" i="120" l="1"/>
  <c r="A16" i="120" l="1"/>
  <c r="A17" i="120" s="1"/>
  <c r="A18" i="120" s="1"/>
  <c r="A19" i="120" s="1"/>
  <c r="A20" i="120" s="1"/>
  <c r="A21" i="120" s="1"/>
  <c r="A22" i="120" l="1"/>
  <c r="A23" i="120" l="1"/>
  <c r="A25" i="120" s="1"/>
  <c r="A26" i="120" s="1"/>
  <c r="A27" i="120" s="1"/>
  <c r="A28" i="120" s="1"/>
  <c r="A29" i="120" s="1"/>
  <c r="A30" i="120" s="1"/>
  <c r="A32" i="120" s="1"/>
  <c r="A33" i="120" s="1"/>
  <c r="A34" i="120" s="1"/>
  <c r="A36" i="120" s="1"/>
  <c r="A37" i="120" s="1"/>
  <c r="A38" i="120" s="1"/>
  <c r="A39" i="120" s="1"/>
  <c r="A40" i="120" s="1"/>
  <c r="A41" i="120" s="1"/>
  <c r="A43" i="120" s="1"/>
  <c r="A51" i="120" l="1"/>
  <c r="A52" i="120" s="1"/>
  <c r="A53" i="120" s="1"/>
  <c r="A54" i="120" s="1"/>
  <c r="A55" i="120" s="1"/>
  <c r="A57" i="120" s="1"/>
  <c r="A59" i="120" s="1"/>
  <c r="A60" i="120" s="1"/>
  <c r="A61" i="120" s="1"/>
  <c r="A62" i="120" s="1"/>
  <c r="A63" i="120" s="1"/>
  <c r="A64" i="120" s="1"/>
  <c r="A65" i="120" s="1"/>
  <c r="A66" i="120" s="1"/>
  <c r="A67" i="120" s="1"/>
  <c r="A68" i="120" s="1"/>
  <c r="A69" i="120" s="1"/>
  <c r="A70" i="120" s="1"/>
  <c r="A71" i="120" s="1"/>
  <c r="A72" i="120" s="1"/>
  <c r="A73" i="120" s="1"/>
  <c r="A75" i="120" s="1"/>
  <c r="A76" i="120" s="1"/>
  <c r="A77" i="120" s="1"/>
  <c r="A78" i="120" s="1"/>
  <c r="A79" i="120" s="1"/>
  <c r="A80" i="120" s="1"/>
  <c r="A81" i="120" s="1"/>
  <c r="A83" i="120" s="1"/>
  <c r="A85" i="120" s="1"/>
  <c r="A86" i="120" s="1"/>
  <c r="A87" i="120" s="1"/>
  <c r="A88" i="120" s="1"/>
  <c r="A89" i="120" s="1"/>
  <c r="A90" i="120" s="1"/>
  <c r="A91" i="120" s="1"/>
  <c r="A92" i="120" s="1"/>
  <c r="M50" i="120" l="1"/>
  <c r="M51" i="120"/>
  <c r="M52" i="120"/>
  <c r="A22" i="173" l="1"/>
  <c r="A23" i="172"/>
  <c r="A23" i="171"/>
  <c r="A23" i="170"/>
  <c r="A23" i="169"/>
  <c r="A23" i="168"/>
  <c r="D11" i="174" l="1"/>
  <c r="E11" i="174"/>
  <c r="F11" i="174"/>
  <c r="G11" i="174"/>
  <c r="A24" i="167" l="1"/>
  <c r="O12" i="167"/>
  <c r="A23" i="166"/>
  <c r="O13" i="166"/>
  <c r="O12" i="166"/>
  <c r="A11" i="166"/>
  <c r="A23" i="165"/>
  <c r="O12" i="165"/>
  <c r="M12" i="165"/>
  <c r="L12" i="165"/>
  <c r="K12" i="165"/>
  <c r="J12" i="165"/>
  <c r="I12" i="165"/>
  <c r="H12" i="165"/>
  <c r="G12" i="165"/>
  <c r="E12" i="165"/>
  <c r="D12" i="165"/>
  <c r="C12" i="165"/>
  <c r="B12" i="165"/>
  <c r="A11" i="165"/>
  <c r="A25" i="164"/>
  <c r="R14" i="164"/>
  <c r="P14" i="164"/>
  <c r="O14" i="164"/>
  <c r="R13" i="164"/>
  <c r="P13" i="164"/>
  <c r="O13" i="164"/>
  <c r="A24" i="163"/>
  <c r="R13" i="163"/>
  <c r="P13" i="163"/>
  <c r="O13" i="163"/>
  <c r="R12" i="163"/>
  <c r="P12" i="163"/>
  <c r="O12" i="163"/>
  <c r="A21" i="162"/>
  <c r="A21" i="161"/>
  <c r="A21" i="160"/>
  <c r="A22" i="159"/>
  <c r="O11" i="159"/>
  <c r="O14" i="159" s="1"/>
  <c r="N11" i="159"/>
  <c r="N14" i="159" s="1"/>
  <c r="M11" i="159"/>
  <c r="M14" i="159" s="1"/>
  <c r="L11" i="159"/>
  <c r="K11" i="159"/>
  <c r="J11" i="159"/>
  <c r="I11" i="159"/>
  <c r="H11" i="159"/>
  <c r="G11" i="159"/>
  <c r="F11" i="159"/>
  <c r="E11" i="159"/>
  <c r="D11" i="159"/>
  <c r="C11" i="159"/>
  <c r="B11" i="159"/>
  <c r="A22" i="158"/>
  <c r="C74" i="173"/>
  <c r="D74" i="173" s="1"/>
  <c r="N73" i="173"/>
  <c r="M73" i="173"/>
  <c r="L73" i="173"/>
  <c r="K73" i="173"/>
  <c r="J73" i="173"/>
  <c r="I73" i="173"/>
  <c r="H73" i="173"/>
  <c r="G73" i="173"/>
  <c r="F73" i="173"/>
  <c r="E73" i="173"/>
  <c r="D73" i="173"/>
  <c r="C73" i="173"/>
  <c r="B73" i="173"/>
  <c r="N69" i="173"/>
  <c r="M69" i="173"/>
  <c r="L69" i="173"/>
  <c r="K69" i="173"/>
  <c r="J69" i="173"/>
  <c r="A14" i="173"/>
  <c r="I9" i="173"/>
  <c r="I69" i="173" s="1"/>
  <c r="C74" i="172"/>
  <c r="D74" i="172" s="1"/>
  <c r="E74" i="172" s="1"/>
  <c r="F74" i="172" s="1"/>
  <c r="G74" i="172" s="1"/>
  <c r="N73" i="172"/>
  <c r="M73" i="172"/>
  <c r="L73" i="172"/>
  <c r="K73" i="172"/>
  <c r="J73" i="172"/>
  <c r="I73" i="172"/>
  <c r="H73" i="172"/>
  <c r="G73" i="172"/>
  <c r="F73" i="172"/>
  <c r="E73" i="172"/>
  <c r="D73" i="172"/>
  <c r="C73" i="172"/>
  <c r="B73" i="172"/>
  <c r="N69" i="172"/>
  <c r="M69" i="172"/>
  <c r="L69" i="172"/>
  <c r="K69" i="172"/>
  <c r="J69" i="172"/>
  <c r="A15" i="172"/>
  <c r="L12" i="172"/>
  <c r="K12" i="172"/>
  <c r="J12" i="172"/>
  <c r="I12" i="172"/>
  <c r="I9" i="172"/>
  <c r="I69" i="172" s="1"/>
  <c r="C74" i="171"/>
  <c r="D74" i="171" s="1"/>
  <c r="O73" i="171"/>
  <c r="N73" i="171"/>
  <c r="M73" i="171"/>
  <c r="L73" i="171"/>
  <c r="K73" i="171"/>
  <c r="J73" i="171"/>
  <c r="I73" i="171"/>
  <c r="H73" i="171"/>
  <c r="G73" i="171"/>
  <c r="F73" i="171"/>
  <c r="E73" i="171"/>
  <c r="D73" i="171"/>
  <c r="C73" i="171"/>
  <c r="B73" i="171"/>
  <c r="O69" i="171"/>
  <c r="N69" i="171"/>
  <c r="M69" i="171"/>
  <c r="L69" i="171"/>
  <c r="K69" i="171"/>
  <c r="J69" i="171"/>
  <c r="A15" i="171"/>
  <c r="L12" i="171"/>
  <c r="K12" i="171"/>
  <c r="J12" i="171"/>
  <c r="I12" i="171"/>
  <c r="I9" i="171"/>
  <c r="I69" i="171" s="1"/>
  <c r="C73" i="170"/>
  <c r="D73" i="170" s="1"/>
  <c r="E73" i="170" s="1"/>
  <c r="O72" i="170"/>
  <c r="N72" i="170"/>
  <c r="M72" i="170"/>
  <c r="L72" i="170"/>
  <c r="K72" i="170"/>
  <c r="J72" i="170"/>
  <c r="I72" i="170"/>
  <c r="H72" i="170"/>
  <c r="G72" i="170"/>
  <c r="F72" i="170"/>
  <c r="E72" i="170"/>
  <c r="D72" i="170"/>
  <c r="C72" i="170"/>
  <c r="B72" i="170"/>
  <c r="O68" i="170"/>
  <c r="N68" i="170"/>
  <c r="M68" i="170"/>
  <c r="L68" i="170"/>
  <c r="K68" i="170"/>
  <c r="J68" i="170"/>
  <c r="A15" i="170"/>
  <c r="L12" i="170"/>
  <c r="K12" i="170"/>
  <c r="J12" i="170"/>
  <c r="I12" i="170"/>
  <c r="I9" i="170"/>
  <c r="C72" i="169"/>
  <c r="D72" i="169" s="1"/>
  <c r="O71" i="169"/>
  <c r="N71" i="169"/>
  <c r="M71" i="169"/>
  <c r="L71" i="169"/>
  <c r="K71" i="169"/>
  <c r="J71" i="169"/>
  <c r="I71" i="169"/>
  <c r="H71" i="169"/>
  <c r="G71" i="169"/>
  <c r="F71" i="169"/>
  <c r="E71" i="169"/>
  <c r="D71" i="169"/>
  <c r="C71" i="169"/>
  <c r="B71" i="169"/>
  <c r="O67" i="169"/>
  <c r="N67" i="169"/>
  <c r="M67" i="169"/>
  <c r="L67" i="169"/>
  <c r="K67" i="169"/>
  <c r="J67" i="169"/>
  <c r="A15" i="169"/>
  <c r="L12" i="169"/>
  <c r="K12" i="169"/>
  <c r="J12" i="169"/>
  <c r="I12" i="169"/>
  <c r="I9" i="169"/>
  <c r="H9" i="169" s="1"/>
  <c r="C74" i="168"/>
  <c r="D74" i="168" s="1"/>
  <c r="O73" i="168"/>
  <c r="N73" i="168"/>
  <c r="M73" i="168"/>
  <c r="L73" i="168"/>
  <c r="K73" i="168"/>
  <c r="J73" i="168"/>
  <c r="I73" i="168"/>
  <c r="H73" i="168"/>
  <c r="G73" i="168"/>
  <c r="F73" i="168"/>
  <c r="E73" i="168"/>
  <c r="D73" i="168"/>
  <c r="C73" i="168"/>
  <c r="B73" i="168"/>
  <c r="O69" i="168"/>
  <c r="N69" i="168"/>
  <c r="M69" i="168"/>
  <c r="L69" i="168"/>
  <c r="K69" i="168"/>
  <c r="J69" i="168"/>
  <c r="A15" i="168"/>
  <c r="L12" i="168"/>
  <c r="K12" i="168"/>
  <c r="J12" i="168"/>
  <c r="I12" i="168"/>
  <c r="I9" i="168"/>
  <c r="I69" i="168" s="1"/>
  <c r="C74" i="167"/>
  <c r="O73" i="167"/>
  <c r="N73" i="167"/>
  <c r="M73" i="167"/>
  <c r="L73" i="167"/>
  <c r="K73" i="167"/>
  <c r="J73" i="167"/>
  <c r="I73" i="167"/>
  <c r="H73" i="167"/>
  <c r="G73" i="167"/>
  <c r="F73" i="167"/>
  <c r="E73" i="167"/>
  <c r="D73" i="167"/>
  <c r="C73" i="167"/>
  <c r="B73" i="167"/>
  <c r="O69" i="167"/>
  <c r="N69" i="167"/>
  <c r="M69" i="167"/>
  <c r="L69" i="167"/>
  <c r="K69" i="167"/>
  <c r="J69" i="167"/>
  <c r="A16" i="167"/>
  <c r="I9" i="167"/>
  <c r="H9" i="167" s="1"/>
  <c r="H69" i="167" s="1"/>
  <c r="C74" i="166"/>
  <c r="N73" i="166"/>
  <c r="M73" i="166"/>
  <c r="L73" i="166"/>
  <c r="K73" i="166"/>
  <c r="J73" i="166"/>
  <c r="I73" i="166"/>
  <c r="H73" i="166"/>
  <c r="G73" i="166"/>
  <c r="F73" i="166"/>
  <c r="E73" i="166"/>
  <c r="D73" i="166"/>
  <c r="C73" i="166"/>
  <c r="B73" i="166"/>
  <c r="N69" i="166"/>
  <c r="M69" i="166"/>
  <c r="L69" i="166"/>
  <c r="K69" i="166"/>
  <c r="J69" i="166"/>
  <c r="A15" i="166"/>
  <c r="I9" i="166"/>
  <c r="I69" i="166" s="1"/>
  <c r="C74" i="165"/>
  <c r="D74" i="165" s="1"/>
  <c r="E74" i="165" s="1"/>
  <c r="O73" i="165"/>
  <c r="N73" i="165"/>
  <c r="M73" i="165"/>
  <c r="L73" i="165"/>
  <c r="K73" i="165"/>
  <c r="J73" i="165"/>
  <c r="I73" i="165"/>
  <c r="H73" i="165"/>
  <c r="G73" i="165"/>
  <c r="F73" i="165"/>
  <c r="E73" i="165"/>
  <c r="D73" i="165"/>
  <c r="C73" i="165"/>
  <c r="B73" i="165"/>
  <c r="O69" i="165"/>
  <c r="N69" i="165"/>
  <c r="M69" i="165"/>
  <c r="L69" i="165"/>
  <c r="K69" i="165"/>
  <c r="J69" i="165"/>
  <c r="I9" i="165"/>
  <c r="B4" i="165"/>
  <c r="A15" i="165" s="1"/>
  <c r="C74" i="164"/>
  <c r="D74" i="164" s="1"/>
  <c r="E74" i="164" s="1"/>
  <c r="R73" i="164"/>
  <c r="P73" i="164"/>
  <c r="O73" i="164"/>
  <c r="N73" i="164"/>
  <c r="M73" i="164"/>
  <c r="L73" i="164"/>
  <c r="K73" i="164"/>
  <c r="J73" i="164"/>
  <c r="I73" i="164"/>
  <c r="H73" i="164"/>
  <c r="G73" i="164"/>
  <c r="F73" i="164"/>
  <c r="E73" i="164"/>
  <c r="D73" i="164"/>
  <c r="C73" i="164"/>
  <c r="B73" i="164"/>
  <c r="R69" i="164"/>
  <c r="P69" i="164"/>
  <c r="O69" i="164"/>
  <c r="N69" i="164"/>
  <c r="M69" i="164"/>
  <c r="L69" i="164"/>
  <c r="K69" i="164"/>
  <c r="J69" i="164"/>
  <c r="A17" i="164"/>
  <c r="I9" i="164"/>
  <c r="I69" i="164" s="1"/>
  <c r="C74" i="163"/>
  <c r="D74" i="163" s="1"/>
  <c r="E74" i="163" s="1"/>
  <c r="R73" i="163"/>
  <c r="P73" i="163"/>
  <c r="O73" i="163"/>
  <c r="N73" i="163"/>
  <c r="M73" i="163"/>
  <c r="L73" i="163"/>
  <c r="K73" i="163"/>
  <c r="J73" i="163"/>
  <c r="I73" i="163"/>
  <c r="H73" i="163"/>
  <c r="G73" i="163"/>
  <c r="F73" i="163"/>
  <c r="E73" i="163"/>
  <c r="D73" i="163"/>
  <c r="C73" i="163"/>
  <c r="B73" i="163"/>
  <c r="R69" i="163"/>
  <c r="P69" i="163"/>
  <c r="O69" i="163"/>
  <c r="N69" i="163"/>
  <c r="M69" i="163"/>
  <c r="L69" i="163"/>
  <c r="K69" i="163"/>
  <c r="J69" i="163"/>
  <c r="A16" i="163"/>
  <c r="I9" i="163"/>
  <c r="I69" i="163" s="1"/>
  <c r="H9" i="163"/>
  <c r="H69" i="163" s="1"/>
  <c r="C74" i="162"/>
  <c r="D74" i="162" s="1"/>
  <c r="E74" i="162" s="1"/>
  <c r="R73" i="162"/>
  <c r="P73" i="162"/>
  <c r="O73" i="162"/>
  <c r="N73" i="162"/>
  <c r="M73" i="162"/>
  <c r="L73" i="162"/>
  <c r="K73" i="162"/>
  <c r="J73" i="162"/>
  <c r="I73" i="162"/>
  <c r="H73" i="162"/>
  <c r="G73" i="162"/>
  <c r="F73" i="162"/>
  <c r="E73" i="162"/>
  <c r="D73" i="162"/>
  <c r="C73" i="162"/>
  <c r="B73" i="162"/>
  <c r="R69" i="162"/>
  <c r="P69" i="162"/>
  <c r="O69" i="162"/>
  <c r="N69" i="162"/>
  <c r="M69" i="162"/>
  <c r="L69" i="162"/>
  <c r="K69" i="162"/>
  <c r="J69" i="162"/>
  <c r="A13" i="162"/>
  <c r="I9" i="162"/>
  <c r="I69" i="162" s="1"/>
  <c r="C74" i="161"/>
  <c r="D74" i="161" s="1"/>
  <c r="N73" i="161"/>
  <c r="M73" i="161"/>
  <c r="L73" i="161"/>
  <c r="K73" i="161"/>
  <c r="J73" i="161"/>
  <c r="I73" i="161"/>
  <c r="H73" i="161"/>
  <c r="G73" i="161"/>
  <c r="F73" i="161"/>
  <c r="E73" i="161"/>
  <c r="D73" i="161"/>
  <c r="C73" i="161"/>
  <c r="B73" i="161"/>
  <c r="N69" i="161"/>
  <c r="M69" i="161"/>
  <c r="L69" i="161"/>
  <c r="K69" i="161"/>
  <c r="J69" i="161"/>
  <c r="A13" i="161"/>
  <c r="I9" i="161"/>
  <c r="H9" i="161" s="1"/>
  <c r="H69" i="161" s="1"/>
  <c r="C74" i="160"/>
  <c r="D74" i="160" s="1"/>
  <c r="P73" i="160"/>
  <c r="O73" i="160"/>
  <c r="N73" i="160"/>
  <c r="M73" i="160"/>
  <c r="L73" i="160"/>
  <c r="K73" i="160"/>
  <c r="J73" i="160"/>
  <c r="I73" i="160"/>
  <c r="H73" i="160"/>
  <c r="G73" i="160"/>
  <c r="F73" i="160"/>
  <c r="E73" i="160"/>
  <c r="D73" i="160"/>
  <c r="C73" i="160"/>
  <c r="B73" i="160"/>
  <c r="P69" i="160"/>
  <c r="O69" i="160"/>
  <c r="N69" i="160"/>
  <c r="M69" i="160"/>
  <c r="L69" i="160"/>
  <c r="K69" i="160"/>
  <c r="J69" i="160"/>
  <c r="A13" i="160"/>
  <c r="I9" i="160"/>
  <c r="I69" i="160" s="1"/>
  <c r="H9" i="160"/>
  <c r="G9" i="160" s="1"/>
  <c r="G69" i="160" s="1"/>
  <c r="C74" i="159"/>
  <c r="D74" i="159" s="1"/>
  <c r="N73" i="159"/>
  <c r="M73" i="159"/>
  <c r="L73" i="159"/>
  <c r="K73" i="159"/>
  <c r="J73" i="159"/>
  <c r="I73" i="159"/>
  <c r="H73" i="159"/>
  <c r="G73" i="159"/>
  <c r="F73" i="159"/>
  <c r="E73" i="159"/>
  <c r="D73" i="159"/>
  <c r="C73" i="159"/>
  <c r="B73" i="159"/>
  <c r="N69" i="159"/>
  <c r="M69" i="159"/>
  <c r="L69" i="159"/>
  <c r="K69" i="159"/>
  <c r="J69" i="159"/>
  <c r="A14" i="159"/>
  <c r="I9" i="159"/>
  <c r="H9" i="159" s="1"/>
  <c r="H69" i="159" s="1"/>
  <c r="C73" i="158"/>
  <c r="D73" i="158" s="1"/>
  <c r="O72" i="158"/>
  <c r="N72" i="158"/>
  <c r="M72" i="158"/>
  <c r="L72" i="158"/>
  <c r="K72" i="158"/>
  <c r="J72" i="158"/>
  <c r="I72" i="158"/>
  <c r="H72" i="158"/>
  <c r="G72" i="158"/>
  <c r="F72" i="158"/>
  <c r="E72" i="158"/>
  <c r="D72" i="158"/>
  <c r="C72" i="158"/>
  <c r="B72" i="158"/>
  <c r="O68" i="158"/>
  <c r="N68" i="158"/>
  <c r="M68" i="158"/>
  <c r="L68" i="158"/>
  <c r="K68" i="158"/>
  <c r="J68" i="158"/>
  <c r="A14" i="158"/>
  <c r="I9" i="158"/>
  <c r="I68" i="158" s="1"/>
  <c r="O75" i="159" l="1"/>
  <c r="O76" i="159" s="1"/>
  <c r="P75" i="159"/>
  <c r="P76" i="159" s="1"/>
  <c r="Q75" i="159"/>
  <c r="Q76" i="159" s="1"/>
  <c r="R75" i="159"/>
  <c r="R76" i="159" s="1"/>
  <c r="R75" i="168"/>
  <c r="R76" i="168" s="1"/>
  <c r="Q75" i="168"/>
  <c r="Q76" i="168" s="1"/>
  <c r="P75" i="168"/>
  <c r="P76" i="168" s="1"/>
  <c r="O75" i="173"/>
  <c r="O76" i="173" s="1"/>
  <c r="P75" i="173"/>
  <c r="P76" i="173" s="1"/>
  <c r="Q75" i="173"/>
  <c r="Q76" i="173" s="1"/>
  <c r="R75" i="173"/>
  <c r="R76" i="173" s="1"/>
  <c r="O75" i="161"/>
  <c r="O76" i="161" s="1"/>
  <c r="P75" i="161"/>
  <c r="P76" i="161" s="1"/>
  <c r="Q75" i="161"/>
  <c r="Q76" i="161" s="1"/>
  <c r="R75" i="161"/>
  <c r="R76" i="161" s="1"/>
  <c r="I69" i="161"/>
  <c r="H9" i="166"/>
  <c r="H69" i="166" s="1"/>
  <c r="G9" i="159"/>
  <c r="G69" i="159" s="1"/>
  <c r="E75" i="163"/>
  <c r="B75" i="173"/>
  <c r="H67" i="169"/>
  <c r="G9" i="169"/>
  <c r="G67" i="169" s="1"/>
  <c r="I67" i="169"/>
  <c r="C73" i="169"/>
  <c r="I69" i="167"/>
  <c r="H9" i="172"/>
  <c r="H69" i="172" s="1"/>
  <c r="G9" i="172"/>
  <c r="G69" i="172" s="1"/>
  <c r="H74" i="172"/>
  <c r="H75" i="172" s="1"/>
  <c r="G75" i="172"/>
  <c r="F73" i="170"/>
  <c r="F74" i="170" s="1"/>
  <c r="E74" i="170"/>
  <c r="G9" i="167"/>
  <c r="F9" i="167" s="1"/>
  <c r="B75" i="168"/>
  <c r="C75" i="168"/>
  <c r="H9" i="173"/>
  <c r="G9" i="173" s="1"/>
  <c r="B74" i="158"/>
  <c r="H9" i="158"/>
  <c r="F9" i="159"/>
  <c r="E9" i="159" s="1"/>
  <c r="D9" i="159" s="1"/>
  <c r="F9" i="160"/>
  <c r="H9" i="162"/>
  <c r="G9" i="162" s="1"/>
  <c r="C75" i="162"/>
  <c r="C75" i="165"/>
  <c r="G9" i="166"/>
  <c r="H9" i="171"/>
  <c r="G9" i="171" s="1"/>
  <c r="G69" i="171" s="1"/>
  <c r="I69" i="159"/>
  <c r="B75" i="159" s="1"/>
  <c r="H69" i="160"/>
  <c r="G9" i="163"/>
  <c r="G69" i="163" s="1"/>
  <c r="B75" i="163" s="1"/>
  <c r="H9" i="164"/>
  <c r="H69" i="164" s="1"/>
  <c r="C75" i="164" s="1"/>
  <c r="C75" i="166"/>
  <c r="B75" i="161"/>
  <c r="D75" i="165"/>
  <c r="B75" i="166"/>
  <c r="D74" i="166"/>
  <c r="C75" i="173"/>
  <c r="F74" i="165"/>
  <c r="E75" i="165"/>
  <c r="E73" i="158"/>
  <c r="D74" i="158"/>
  <c r="D75" i="160"/>
  <c r="E74" i="160"/>
  <c r="C74" i="158"/>
  <c r="F74" i="162"/>
  <c r="E75" i="162"/>
  <c r="G9" i="164"/>
  <c r="F74" i="164"/>
  <c r="E75" i="164"/>
  <c r="D75" i="159"/>
  <c r="C75" i="159"/>
  <c r="D75" i="161"/>
  <c r="C75" i="161"/>
  <c r="H69" i="162"/>
  <c r="F74" i="163"/>
  <c r="E74" i="166"/>
  <c r="D75" i="166"/>
  <c r="E74" i="159"/>
  <c r="B75" i="160"/>
  <c r="C75" i="160"/>
  <c r="E74" i="161"/>
  <c r="D75" i="162"/>
  <c r="D75" i="164"/>
  <c r="E74" i="168"/>
  <c r="D75" i="168"/>
  <c r="G9" i="161"/>
  <c r="B75" i="162"/>
  <c r="B75" i="167"/>
  <c r="C75" i="167"/>
  <c r="B73" i="169"/>
  <c r="D73" i="169"/>
  <c r="E72" i="169"/>
  <c r="D75" i="163"/>
  <c r="C75" i="163"/>
  <c r="I69" i="165"/>
  <c r="H9" i="165"/>
  <c r="B75" i="165"/>
  <c r="D74" i="167"/>
  <c r="G73" i="170"/>
  <c r="I74" i="172"/>
  <c r="D75" i="173"/>
  <c r="E74" i="173"/>
  <c r="I68" i="170"/>
  <c r="B74" i="170" s="1"/>
  <c r="H9" i="170"/>
  <c r="B75" i="171"/>
  <c r="D75" i="171"/>
  <c r="E74" i="171"/>
  <c r="C75" i="171"/>
  <c r="D74" i="170"/>
  <c r="C74" i="170"/>
  <c r="D75" i="172"/>
  <c r="B75" i="172"/>
  <c r="F75" i="172"/>
  <c r="E75" i="172"/>
  <c r="H9" i="168"/>
  <c r="C75" i="172"/>
  <c r="V50" i="120"/>
  <c r="W50" i="120"/>
  <c r="H50" i="120"/>
  <c r="I50" i="120"/>
  <c r="F9" i="172" l="1"/>
  <c r="F9" i="169"/>
  <c r="F67" i="169" s="1"/>
  <c r="G69" i="167"/>
  <c r="F9" i="163"/>
  <c r="H69" i="173"/>
  <c r="H69" i="171"/>
  <c r="F9" i="171"/>
  <c r="F69" i="171" s="1"/>
  <c r="F69" i="159"/>
  <c r="E69" i="159"/>
  <c r="G69" i="166"/>
  <c r="F9" i="166"/>
  <c r="F69" i="160"/>
  <c r="E9" i="160"/>
  <c r="G69" i="173"/>
  <c r="F9" i="173"/>
  <c r="H68" i="158"/>
  <c r="G9" i="158"/>
  <c r="J74" i="172"/>
  <c r="I75" i="172"/>
  <c r="F74" i="168"/>
  <c r="E75" i="168"/>
  <c r="G69" i="162"/>
  <c r="F9" i="162"/>
  <c r="F75" i="164"/>
  <c r="G74" i="164"/>
  <c r="F75" i="162"/>
  <c r="G74" i="162"/>
  <c r="F75" i="165"/>
  <c r="F76" i="165" s="1"/>
  <c r="G74" i="165"/>
  <c r="H68" i="170"/>
  <c r="G9" i="170"/>
  <c r="H69" i="165"/>
  <c r="G9" i="165"/>
  <c r="E73" i="169"/>
  <c r="F72" i="169"/>
  <c r="E9" i="163"/>
  <c r="F69" i="163"/>
  <c r="E9" i="169"/>
  <c r="C9" i="159"/>
  <c r="D69" i="159"/>
  <c r="G9" i="168"/>
  <c r="H69" i="168"/>
  <c r="F74" i="171"/>
  <c r="E75" i="171"/>
  <c r="H73" i="170"/>
  <c r="G74" i="170"/>
  <c r="E9" i="171"/>
  <c r="F74" i="159"/>
  <c r="E75" i="159"/>
  <c r="E75" i="166"/>
  <c r="F74" i="166"/>
  <c r="G74" i="163"/>
  <c r="F75" i="163"/>
  <c r="F9" i="164"/>
  <c r="G69" i="164"/>
  <c r="B75" i="164" s="1"/>
  <c r="F74" i="160"/>
  <c r="E75" i="160"/>
  <c r="E74" i="158"/>
  <c r="F73" i="158"/>
  <c r="F74" i="173"/>
  <c r="E75" i="173"/>
  <c r="E76" i="173" s="1"/>
  <c r="E74" i="167"/>
  <c r="D75" i="167"/>
  <c r="E9" i="167"/>
  <c r="F69" i="167"/>
  <c r="G69" i="161"/>
  <c r="F9" i="161"/>
  <c r="F74" i="161"/>
  <c r="E75" i="161"/>
  <c r="Y49" i="120"/>
  <c r="W49" i="120"/>
  <c r="V49" i="120"/>
  <c r="F69" i="172" l="1"/>
  <c r="E9" i="172"/>
  <c r="F9" i="158"/>
  <c r="G68" i="158"/>
  <c r="E69" i="160"/>
  <c r="D9" i="160"/>
  <c r="E9" i="173"/>
  <c r="F69" i="173"/>
  <c r="F69" i="166"/>
  <c r="E9" i="166"/>
  <c r="E9" i="161"/>
  <c r="F69" i="161"/>
  <c r="F75" i="173"/>
  <c r="F76" i="173" s="1"/>
  <c r="G74" i="173"/>
  <c r="H74" i="163"/>
  <c r="G75" i="163"/>
  <c r="F75" i="159"/>
  <c r="G74" i="159"/>
  <c r="F75" i="171"/>
  <c r="G74" i="171"/>
  <c r="G69" i="168"/>
  <c r="F9" i="168"/>
  <c r="G68" i="170"/>
  <c r="F9" i="170"/>
  <c r="E75" i="167"/>
  <c r="F74" i="167"/>
  <c r="E9" i="164"/>
  <c r="F69" i="164"/>
  <c r="G74" i="166"/>
  <c r="F75" i="166"/>
  <c r="H74" i="170"/>
  <c r="I73" i="170"/>
  <c r="E67" i="169"/>
  <c r="D9" i="169"/>
  <c r="G69" i="165"/>
  <c r="F9" i="165"/>
  <c r="G75" i="162"/>
  <c r="H74" i="162"/>
  <c r="F75" i="161"/>
  <c r="G74" i="161"/>
  <c r="F75" i="160"/>
  <c r="G74" i="160"/>
  <c r="C69" i="159"/>
  <c r="B9" i="159"/>
  <c r="H74" i="165"/>
  <c r="G75" i="165"/>
  <c r="G76" i="165" s="1"/>
  <c r="F69" i="162"/>
  <c r="E9" i="162"/>
  <c r="F75" i="168"/>
  <c r="G74" i="168"/>
  <c r="E69" i="167"/>
  <c r="D9" i="167"/>
  <c r="G73" i="158"/>
  <c r="F74" i="158"/>
  <c r="E69" i="171"/>
  <c r="D9" i="171"/>
  <c r="E69" i="163"/>
  <c r="D9" i="163"/>
  <c r="F73" i="169"/>
  <c r="G72" i="169"/>
  <c r="G75" i="164"/>
  <c r="H74" i="164"/>
  <c r="J75" i="172"/>
  <c r="K74" i="172"/>
  <c r="V73" i="120"/>
  <c r="V66" i="120"/>
  <c r="V12" i="120"/>
  <c r="V14" i="120" s="1"/>
  <c r="V30" i="120"/>
  <c r="V40" i="120"/>
  <c r="E69" i="172" l="1"/>
  <c r="D9" i="172"/>
  <c r="E69" i="166"/>
  <c r="D9" i="166"/>
  <c r="C9" i="160"/>
  <c r="D69" i="160"/>
  <c r="E69" i="173"/>
  <c r="D9" i="173"/>
  <c r="F68" i="158"/>
  <c r="E9" i="158"/>
  <c r="G74" i="158"/>
  <c r="G75" i="158" s="1"/>
  <c r="H73" i="158"/>
  <c r="D67" i="169"/>
  <c r="C9" i="169"/>
  <c r="E69" i="164"/>
  <c r="D9" i="164"/>
  <c r="H74" i="171"/>
  <c r="G75" i="171"/>
  <c r="F76" i="159"/>
  <c r="H75" i="164"/>
  <c r="I74" i="164"/>
  <c r="D69" i="163"/>
  <c r="C9" i="163"/>
  <c r="D69" i="167"/>
  <c r="C9" i="167"/>
  <c r="E69" i="162"/>
  <c r="D9" i="162"/>
  <c r="H75" i="165"/>
  <c r="H76" i="165" s="1"/>
  <c r="I74" i="165"/>
  <c r="H74" i="160"/>
  <c r="G75" i="160"/>
  <c r="F69" i="165"/>
  <c r="E9" i="165"/>
  <c r="H74" i="161"/>
  <c r="G75" i="161"/>
  <c r="G75" i="166"/>
  <c r="H74" i="166"/>
  <c r="F75" i="167"/>
  <c r="G74" i="167"/>
  <c r="F68" i="170"/>
  <c r="E9" i="170"/>
  <c r="F69" i="168"/>
  <c r="E9" i="168"/>
  <c r="H75" i="163"/>
  <c r="I74" i="163"/>
  <c r="H74" i="173"/>
  <c r="G75" i="173"/>
  <c r="G76" i="173" s="1"/>
  <c r="E69" i="161"/>
  <c r="D9" i="161"/>
  <c r="L74" i="172"/>
  <c r="K75" i="172"/>
  <c r="K76" i="172" s="1"/>
  <c r="H72" i="169"/>
  <c r="G73" i="169"/>
  <c r="C9" i="171"/>
  <c r="D69" i="171"/>
  <c r="G75" i="168"/>
  <c r="G76" i="168" s="1"/>
  <c r="H74" i="168"/>
  <c r="B69" i="159"/>
  <c r="H75" i="162"/>
  <c r="I74" i="162"/>
  <c r="J73" i="170"/>
  <c r="I74" i="170"/>
  <c r="H74" i="159"/>
  <c r="G75" i="159"/>
  <c r="G76" i="159" s="1"/>
  <c r="V75" i="120"/>
  <c r="V23" i="120"/>
  <c r="V41" i="120" s="1"/>
  <c r="V43" i="120" s="1"/>
  <c r="V52" i="120" s="1"/>
  <c r="C9" i="172" l="1"/>
  <c r="D69" i="172"/>
  <c r="D9" i="158"/>
  <c r="E68" i="158"/>
  <c r="B9" i="160"/>
  <c r="B69" i="160" s="1"/>
  <c r="C69" i="160"/>
  <c r="C9" i="173"/>
  <c r="D69" i="173"/>
  <c r="D69" i="166"/>
  <c r="C9" i="166"/>
  <c r="C69" i="171"/>
  <c r="B9" i="171"/>
  <c r="E69" i="168"/>
  <c r="D9" i="168"/>
  <c r="G75" i="167"/>
  <c r="H74" i="167"/>
  <c r="E69" i="165"/>
  <c r="D9" i="165"/>
  <c r="C9" i="162"/>
  <c r="D69" i="162"/>
  <c r="I74" i="168"/>
  <c r="H75" i="168"/>
  <c r="H76" i="168" s="1"/>
  <c r="L75" i="172"/>
  <c r="L76" i="172" s="1"/>
  <c r="M74" i="172"/>
  <c r="H75" i="173"/>
  <c r="H76" i="173" s="1"/>
  <c r="I74" i="173"/>
  <c r="I74" i="160"/>
  <c r="H75" i="160"/>
  <c r="C69" i="163"/>
  <c r="B9" i="163"/>
  <c r="H75" i="171"/>
  <c r="I74" i="171"/>
  <c r="J74" i="170"/>
  <c r="K73" i="170"/>
  <c r="D69" i="161"/>
  <c r="C9" i="161"/>
  <c r="I75" i="163"/>
  <c r="J74" i="163"/>
  <c r="D9" i="170"/>
  <c r="E68" i="170"/>
  <c r="H75" i="166"/>
  <c r="H76" i="166" s="1"/>
  <c r="I74" i="166"/>
  <c r="H75" i="161"/>
  <c r="I74" i="161"/>
  <c r="J74" i="165"/>
  <c r="I75" i="165"/>
  <c r="I76" i="165" s="1"/>
  <c r="B9" i="167"/>
  <c r="C69" i="167"/>
  <c r="C67" i="169"/>
  <c r="B9" i="169"/>
  <c r="H75" i="159"/>
  <c r="I74" i="159"/>
  <c r="J74" i="162"/>
  <c r="I75" i="162"/>
  <c r="H73" i="169"/>
  <c r="I72" i="169"/>
  <c r="J74" i="164"/>
  <c r="I75" i="164"/>
  <c r="C9" i="164"/>
  <c r="D69" i="164"/>
  <c r="I73" i="158"/>
  <c r="H74" i="158"/>
  <c r="H75" i="158" s="1"/>
  <c r="V81" i="120"/>
  <c r="V77" i="120"/>
  <c r="C69" i="172" l="1"/>
  <c r="B9" i="172"/>
  <c r="B69" i="172" s="1"/>
  <c r="C69" i="166"/>
  <c r="B9" i="166"/>
  <c r="B69" i="166" s="1"/>
  <c r="C69" i="173"/>
  <c r="B9" i="173"/>
  <c r="B69" i="173" s="1"/>
  <c r="D68" i="158"/>
  <c r="C9" i="158"/>
  <c r="C69" i="164"/>
  <c r="B9" i="164"/>
  <c r="J75" i="165"/>
  <c r="J76" i="165" s="1"/>
  <c r="K74" i="165"/>
  <c r="J74" i="166"/>
  <c r="I75" i="166"/>
  <c r="I76" i="166" s="1"/>
  <c r="K74" i="163"/>
  <c r="J75" i="163"/>
  <c r="B69" i="163"/>
  <c r="I74" i="167"/>
  <c r="H75" i="167"/>
  <c r="B69" i="171"/>
  <c r="I73" i="169"/>
  <c r="J72" i="169"/>
  <c r="J75" i="162"/>
  <c r="J76" i="162" s="1"/>
  <c r="K74" i="162"/>
  <c r="B67" i="169"/>
  <c r="L73" i="170"/>
  <c r="K74" i="170"/>
  <c r="K75" i="170" s="1"/>
  <c r="J74" i="173"/>
  <c r="I75" i="173"/>
  <c r="I76" i="173" s="1"/>
  <c r="I74" i="158"/>
  <c r="I75" i="158" s="1"/>
  <c r="J73" i="158"/>
  <c r="J75" i="164"/>
  <c r="K74" i="164"/>
  <c r="J74" i="159"/>
  <c r="I75" i="159"/>
  <c r="B69" i="167"/>
  <c r="J74" i="161"/>
  <c r="I75" i="161"/>
  <c r="C69" i="161"/>
  <c r="B9" i="161"/>
  <c r="J74" i="171"/>
  <c r="I75" i="171"/>
  <c r="J74" i="168"/>
  <c r="I75" i="168"/>
  <c r="I76" i="168" s="1"/>
  <c r="D69" i="165"/>
  <c r="C9" i="165"/>
  <c r="C9" i="168"/>
  <c r="D69" i="168"/>
  <c r="H76" i="159"/>
  <c r="C9" i="170"/>
  <c r="D68" i="170"/>
  <c r="J74" i="160"/>
  <c r="I75" i="160"/>
  <c r="N74" i="172"/>
  <c r="M75" i="172"/>
  <c r="M76" i="172" s="1"/>
  <c r="C69" i="162"/>
  <c r="B9" i="162"/>
  <c r="B9" i="158" l="1"/>
  <c r="B68" i="158" s="1"/>
  <c r="C68" i="158"/>
  <c r="C68" i="170"/>
  <c r="B9" i="170"/>
  <c r="C69" i="165"/>
  <c r="B9" i="165"/>
  <c r="K74" i="159"/>
  <c r="J75" i="159"/>
  <c r="K73" i="158"/>
  <c r="J74" i="158"/>
  <c r="J75" i="158" s="1"/>
  <c r="J75" i="173"/>
  <c r="J76" i="173" s="1"/>
  <c r="K74" i="173"/>
  <c r="K74" i="166"/>
  <c r="J75" i="166"/>
  <c r="J76" i="166" s="1"/>
  <c r="B69" i="164"/>
  <c r="J75" i="160"/>
  <c r="K74" i="160"/>
  <c r="K74" i="161"/>
  <c r="J75" i="161"/>
  <c r="L74" i="162"/>
  <c r="K75" i="162"/>
  <c r="K76" i="162" s="1"/>
  <c r="I75" i="167"/>
  <c r="J74" i="167"/>
  <c r="L74" i="165"/>
  <c r="K75" i="165"/>
  <c r="K76" i="165" s="1"/>
  <c r="B69" i="162"/>
  <c r="N75" i="172"/>
  <c r="N76" i="172" s="1"/>
  <c r="J75" i="171"/>
  <c r="K74" i="171"/>
  <c r="B69" i="161"/>
  <c r="L74" i="164"/>
  <c r="K75" i="164"/>
  <c r="L74" i="163"/>
  <c r="K75" i="163"/>
  <c r="B9" i="168"/>
  <c r="C69" i="168"/>
  <c r="J75" i="168"/>
  <c r="J76" i="168" s="1"/>
  <c r="K74" i="168"/>
  <c r="I76" i="159"/>
  <c r="L74" i="170"/>
  <c r="L75" i="170" s="1"/>
  <c r="M73" i="170"/>
  <c r="J73" i="169"/>
  <c r="K72" i="169"/>
  <c r="L75" i="163" l="1"/>
  <c r="M74" i="163"/>
  <c r="M74" i="165"/>
  <c r="L75" i="165"/>
  <c r="L76" i="165" s="1"/>
  <c r="L74" i="159"/>
  <c r="K75" i="159"/>
  <c r="K76" i="159" s="1"/>
  <c r="B68" i="170"/>
  <c r="L72" i="169"/>
  <c r="K73" i="169"/>
  <c r="K74" i="169" s="1"/>
  <c r="B69" i="168"/>
  <c r="K74" i="167"/>
  <c r="J75" i="167"/>
  <c r="K75" i="166"/>
  <c r="K76" i="166" s="1"/>
  <c r="L74" i="166"/>
  <c r="K75" i="168"/>
  <c r="K76" i="168" s="1"/>
  <c r="L74" i="168"/>
  <c r="L75" i="164"/>
  <c r="M74" i="164"/>
  <c r="L74" i="171"/>
  <c r="K75" i="171"/>
  <c r="K76" i="171" s="1"/>
  <c r="L75" i="162"/>
  <c r="L76" i="162" s="1"/>
  <c r="M74" i="162"/>
  <c r="L74" i="161"/>
  <c r="K75" i="161"/>
  <c r="K76" i="161" s="1"/>
  <c r="L74" i="160"/>
  <c r="K75" i="160"/>
  <c r="K76" i="160" s="1"/>
  <c r="L73" i="158"/>
  <c r="K74" i="158"/>
  <c r="K75" i="158" s="1"/>
  <c r="N73" i="170"/>
  <c r="M74" i="170"/>
  <c r="M75" i="170" s="1"/>
  <c r="L74" i="173"/>
  <c r="K75" i="173"/>
  <c r="K76" i="173" s="1"/>
  <c r="J76" i="159"/>
  <c r="B69" i="165"/>
  <c r="M73" i="158" l="1"/>
  <c r="L74" i="158"/>
  <c r="L75" i="158" s="1"/>
  <c r="N74" i="164"/>
  <c r="M75" i="164"/>
  <c r="M76" i="164" s="1"/>
  <c r="N74" i="163"/>
  <c r="M75" i="163"/>
  <c r="M76" i="163" s="1"/>
  <c r="L75" i="161"/>
  <c r="L76" i="161" s="1"/>
  <c r="M74" i="161"/>
  <c r="L73" i="169"/>
  <c r="L74" i="169" s="1"/>
  <c r="M72" i="169"/>
  <c r="N74" i="165"/>
  <c r="M75" i="165"/>
  <c r="M76" i="165" s="1"/>
  <c r="N74" i="170"/>
  <c r="N75" i="170" s="1"/>
  <c r="O73" i="170"/>
  <c r="N74" i="162"/>
  <c r="M75" i="162"/>
  <c r="M76" i="162" s="1"/>
  <c r="M74" i="168"/>
  <c r="L75" i="168"/>
  <c r="L76" i="168" s="1"/>
  <c r="M74" i="160"/>
  <c r="L75" i="160"/>
  <c r="L76" i="160" s="1"/>
  <c r="L75" i="171"/>
  <c r="L76" i="171" s="1"/>
  <c r="M74" i="171"/>
  <c r="L75" i="166"/>
  <c r="L76" i="166" s="1"/>
  <c r="M74" i="166"/>
  <c r="K75" i="167"/>
  <c r="K76" i="167" s="1"/>
  <c r="L74" i="167"/>
  <c r="L75" i="159"/>
  <c r="L76" i="159" s="1"/>
  <c r="M74" i="159"/>
  <c r="L75" i="173"/>
  <c r="L76" i="173" s="1"/>
  <c r="M74" i="173"/>
  <c r="N74" i="173" l="1"/>
  <c r="M75" i="173"/>
  <c r="M76" i="173" s="1"/>
  <c r="N74" i="168"/>
  <c r="M75" i="168"/>
  <c r="M76" i="168" s="1"/>
  <c r="N75" i="164"/>
  <c r="N76" i="164" s="1"/>
  <c r="O74" i="164"/>
  <c r="N75" i="162"/>
  <c r="N76" i="162" s="1"/>
  <c r="O74" i="162"/>
  <c r="N74" i="161"/>
  <c r="M75" i="161"/>
  <c r="M76" i="161" s="1"/>
  <c r="M74" i="167"/>
  <c r="L75" i="167"/>
  <c r="L76" i="167" s="1"/>
  <c r="N74" i="171"/>
  <c r="M75" i="171"/>
  <c r="M76" i="171" s="1"/>
  <c r="O74" i="170"/>
  <c r="O75" i="170" s="1"/>
  <c r="N75" i="165"/>
  <c r="N76" i="165" s="1"/>
  <c r="O74" i="165"/>
  <c r="M73" i="169"/>
  <c r="M74" i="169" s="1"/>
  <c r="N72" i="169"/>
  <c r="N75" i="163"/>
  <c r="N76" i="163" s="1"/>
  <c r="O74" i="163"/>
  <c r="M74" i="158"/>
  <c r="M75" i="158" s="1"/>
  <c r="N73" i="158"/>
  <c r="N74" i="159"/>
  <c r="M75" i="159"/>
  <c r="M76" i="159" s="1"/>
  <c r="M75" i="166"/>
  <c r="M76" i="166" s="1"/>
  <c r="N74" i="166"/>
  <c r="N74" i="160"/>
  <c r="M75" i="160"/>
  <c r="M76" i="160" s="1"/>
  <c r="W40" i="120"/>
  <c r="W30" i="120"/>
  <c r="W23" i="120"/>
  <c r="O75" i="165" l="1"/>
  <c r="O76" i="165" s="1"/>
  <c r="N75" i="168"/>
  <c r="N76" i="168" s="1"/>
  <c r="O74" i="168"/>
  <c r="N75" i="171"/>
  <c r="N76" i="171" s="1"/>
  <c r="O74" i="171"/>
  <c r="N75" i="161"/>
  <c r="N76" i="161" s="1"/>
  <c r="N75" i="160"/>
  <c r="N76" i="160" s="1"/>
  <c r="O74" i="160"/>
  <c r="N75" i="159"/>
  <c r="N76" i="159" s="1"/>
  <c r="M75" i="167"/>
  <c r="M76" i="167" s="1"/>
  <c r="N74" i="167"/>
  <c r="N75" i="166"/>
  <c r="N76" i="166" s="1"/>
  <c r="O73" i="158"/>
  <c r="N74" i="158"/>
  <c r="N75" i="158" s="1"/>
  <c r="P74" i="163"/>
  <c r="O75" i="163"/>
  <c r="O76" i="163" s="1"/>
  <c r="N73" i="169"/>
  <c r="N74" i="169" s="1"/>
  <c r="O72" i="169"/>
  <c r="P74" i="162"/>
  <c r="O75" i="162"/>
  <c r="O76" i="162" s="1"/>
  <c r="P74" i="164"/>
  <c r="O75" i="164"/>
  <c r="O76" i="164" s="1"/>
  <c r="N75" i="173"/>
  <c r="N76" i="173" s="1"/>
  <c r="W41" i="120"/>
  <c r="L28" i="120"/>
  <c r="Q28" i="120" s="1"/>
  <c r="Y28" i="120" s="1"/>
  <c r="H30" i="120"/>
  <c r="F30" i="120"/>
  <c r="G30" i="120"/>
  <c r="I14" i="120"/>
  <c r="H66" i="120"/>
  <c r="H73" i="120"/>
  <c r="H40" i="120"/>
  <c r="H23" i="120"/>
  <c r="H14" i="120"/>
  <c r="R74" i="164" l="1"/>
  <c r="R75" i="164" s="1"/>
  <c r="R76" i="164" s="1"/>
  <c r="P75" i="164"/>
  <c r="P76" i="164" s="1"/>
  <c r="O75" i="160"/>
  <c r="O76" i="160" s="1"/>
  <c r="P74" i="160"/>
  <c r="O75" i="168"/>
  <c r="O76" i="168" s="1"/>
  <c r="N75" i="167"/>
  <c r="N76" i="167" s="1"/>
  <c r="O74" i="167"/>
  <c r="R74" i="162"/>
  <c r="R75" i="162" s="1"/>
  <c r="R76" i="162" s="1"/>
  <c r="P75" i="162"/>
  <c r="P76" i="162" s="1"/>
  <c r="P75" i="163"/>
  <c r="P76" i="163" s="1"/>
  <c r="R74" i="163"/>
  <c r="R75" i="163" s="1"/>
  <c r="R76" i="163" s="1"/>
  <c r="O74" i="158"/>
  <c r="O75" i="158" s="1"/>
  <c r="O75" i="171"/>
  <c r="O76" i="171" s="1"/>
  <c r="O73" i="169"/>
  <c r="O74" i="169" s="1"/>
  <c r="H75" i="120"/>
  <c r="H77" i="120" s="1"/>
  <c r="H81" i="120" s="1"/>
  <c r="H53" i="120" s="1"/>
  <c r="H41" i="120"/>
  <c r="H43" i="120" s="1"/>
  <c r="O75" i="167" l="1"/>
  <c r="O76" i="167" s="1"/>
  <c r="P75" i="160"/>
  <c r="P76" i="160" s="1"/>
  <c r="H52" i="120"/>
  <c r="H57" i="120" s="1"/>
  <c r="Y91" i="120" l="1"/>
  <c r="I40" i="120" l="1"/>
  <c r="I30" i="120"/>
  <c r="I23" i="120"/>
  <c r="I73" i="120" l="1"/>
  <c r="I41" i="120"/>
  <c r="I43" i="120" s="1"/>
  <c r="I66" i="120"/>
  <c r="T16" i="130"/>
  <c r="T7" i="130"/>
  <c r="I75" i="120" l="1"/>
  <c r="I77" i="120" s="1"/>
  <c r="I81" i="120" s="1"/>
  <c r="P9" i="120" l="1"/>
  <c r="Q9" i="120" s="1"/>
  <c r="Y9" i="120" s="1"/>
  <c r="L79" i="120"/>
  <c r="L78" i="120"/>
  <c r="L27" i="120"/>
  <c r="L26" i="120"/>
  <c r="L22" i="120"/>
  <c r="L21" i="120"/>
  <c r="L20" i="120"/>
  <c r="E73" i="120" l="1"/>
  <c r="S16" i="130"/>
  <c r="R16" i="130"/>
  <c r="T14" i="130"/>
  <c r="S14" i="130"/>
  <c r="T13" i="130"/>
  <c r="S13" i="130"/>
  <c r="R13" i="130"/>
  <c r="S9" i="130"/>
  <c r="S17" i="130" s="1"/>
  <c r="S7" i="130"/>
  <c r="S6" i="130"/>
  <c r="S10" i="130" l="1"/>
  <c r="S19" i="130"/>
  <c r="T139" i="122" s="1"/>
  <c r="S21" i="130"/>
  <c r="S23" i="130" s="1"/>
  <c r="T140" i="122"/>
  <c r="T100" i="122"/>
  <c r="U54" i="134"/>
  <c r="S93" i="129"/>
  <c r="D76" i="173"/>
  <c r="J76" i="160"/>
  <c r="R11" i="162"/>
  <c r="R13" i="162" s="1"/>
  <c r="I76" i="162" s="1"/>
  <c r="E76" i="165"/>
  <c r="R12" i="164"/>
  <c r="J76" i="167"/>
  <c r="J74" i="169" l="1"/>
  <c r="J76" i="172"/>
  <c r="F76" i="168"/>
  <c r="J75" i="170"/>
  <c r="R11" i="164"/>
  <c r="R17" i="164" s="1"/>
  <c r="L76" i="164" s="1"/>
  <c r="R11" i="163"/>
  <c r="R16" i="163" s="1"/>
  <c r="L76" i="163" s="1"/>
  <c r="J76" i="171"/>
  <c r="J76" i="161"/>
  <c r="G76" i="166"/>
  <c r="W73" i="120" l="1"/>
  <c r="W66" i="120"/>
  <c r="W75" i="120" l="1"/>
  <c r="W81" i="120" l="1"/>
  <c r="W77" i="120"/>
  <c r="N184" i="122"/>
  <c r="L65" i="120" l="1"/>
  <c r="W43" i="120"/>
  <c r="W52" i="120" l="1"/>
  <c r="H20" i="147"/>
  <c r="G20" i="147"/>
  <c r="F20" i="147"/>
  <c r="E20" i="147"/>
  <c r="D20" i="147"/>
  <c r="C20" i="147"/>
  <c r="H19" i="147"/>
  <c r="G19" i="147"/>
  <c r="F19" i="147"/>
  <c r="E19" i="147"/>
  <c r="D19" i="147"/>
  <c r="C19" i="147"/>
  <c r="H18" i="147"/>
  <c r="G18" i="147"/>
  <c r="F18" i="147"/>
  <c r="E18" i="147"/>
  <c r="D18" i="147"/>
  <c r="C18" i="147"/>
  <c r="H17" i="147"/>
  <c r="G17" i="147"/>
  <c r="F17" i="147"/>
  <c r="E17" i="147"/>
  <c r="D17" i="147"/>
  <c r="C17" i="147"/>
  <c r="H16" i="147"/>
  <c r="G16" i="147"/>
  <c r="F16" i="147"/>
  <c r="E16" i="147"/>
  <c r="D16" i="147"/>
  <c r="C16" i="147"/>
  <c r="O23" i="133" l="1"/>
  <c r="D4" i="141" l="1"/>
  <c r="D5" i="141"/>
  <c r="F5" i="141"/>
  <c r="F4" i="141"/>
  <c r="G5" i="141" l="1"/>
  <c r="G4" i="141"/>
  <c r="F6" i="141"/>
  <c r="D6" i="141"/>
  <c r="F10" i="141" l="1"/>
  <c r="G6" i="141"/>
  <c r="J25" i="140" l="1"/>
  <c r="R9" i="130" l="1"/>
  <c r="R31" i="129"/>
  <c r="S94" i="129"/>
  <c r="U24" i="94"/>
  <c r="S31" i="129"/>
  <c r="S38" i="129"/>
  <c r="R12" i="129"/>
  <c r="R11" i="129"/>
  <c r="S12" i="129"/>
  <c r="S11" i="129"/>
  <c r="J27" i="140"/>
  <c r="J28" i="140"/>
  <c r="J29" i="140"/>
  <c r="J26" i="140"/>
  <c r="J24" i="140"/>
  <c r="I31" i="140"/>
  <c r="I32" i="140"/>
  <c r="I30" i="140"/>
  <c r="I18" i="140"/>
  <c r="I19" i="140"/>
  <c r="I20" i="140"/>
  <c r="I21" i="140"/>
  <c r="I22" i="140"/>
  <c r="I23" i="140"/>
  <c r="I17" i="140"/>
  <c r="J34" i="140" l="1"/>
  <c r="I34" i="140"/>
  <c r="K37" i="120"/>
  <c r="D8" i="141" l="1"/>
  <c r="D10" i="141" s="1"/>
  <c r="H10" i="141" s="1"/>
  <c r="T10" i="122" l="1"/>
  <c r="T11" i="122"/>
  <c r="T12" i="122"/>
  <c r="T14" i="122"/>
  <c r="T137" i="122" s="1"/>
  <c r="T19" i="122"/>
  <c r="T20" i="122"/>
  <c r="T93" i="122" s="1"/>
  <c r="P12" i="158" s="1"/>
  <c r="T27" i="122"/>
  <c r="T94" i="122" s="1"/>
  <c r="I76" i="161" s="1"/>
  <c r="T28" i="122"/>
  <c r="T109" i="122" s="1"/>
  <c r="P11" i="162" s="1"/>
  <c r="P13" i="162" s="1"/>
  <c r="H76" i="162" s="1"/>
  <c r="T29" i="122"/>
  <c r="T122" i="122" s="1"/>
  <c r="T32" i="122"/>
  <c r="T95" i="122" s="1"/>
  <c r="T33" i="122"/>
  <c r="T96" i="122" s="1"/>
  <c r="D76" i="165" s="1"/>
  <c r="T34" i="122"/>
  <c r="T97" i="122" s="1"/>
  <c r="P12" i="164" s="1"/>
  <c r="T37" i="122"/>
  <c r="T98" i="122" s="1"/>
  <c r="F76" i="166" s="1"/>
  <c r="T38" i="122"/>
  <c r="T110" i="122" s="1"/>
  <c r="I76" i="167" s="1"/>
  <c r="T39" i="122"/>
  <c r="T123" i="122" s="1"/>
  <c r="T46" i="122"/>
  <c r="T47" i="122"/>
  <c r="T48" i="122"/>
  <c r="T49" i="122"/>
  <c r="T59" i="122"/>
  <c r="T90" i="122"/>
  <c r="T101" i="122"/>
  <c r="T102" i="122"/>
  <c r="T116" i="122"/>
  <c r="T125" i="122"/>
  <c r="T126" i="122"/>
  <c r="P11" i="163" l="1"/>
  <c r="P16" i="163" s="1"/>
  <c r="K76" i="163" s="1"/>
  <c r="P11" i="164"/>
  <c r="P17" i="164" s="1"/>
  <c r="K76" i="164" s="1"/>
  <c r="T92" i="122"/>
  <c r="T99" i="122" s="1"/>
  <c r="P11" i="158"/>
  <c r="P14" i="158" s="1"/>
  <c r="E75" i="158" s="1"/>
  <c r="T13" i="122"/>
  <c r="T15" i="122" s="1"/>
  <c r="T121" i="122"/>
  <c r="T30" i="122"/>
  <c r="T40" i="122"/>
  <c r="S20" i="129"/>
  <c r="S34" i="129"/>
  <c r="S43" i="129" s="1"/>
  <c r="S53" i="129"/>
  <c r="S54" i="129"/>
  <c r="T63" i="122" s="1"/>
  <c r="S55" i="129"/>
  <c r="T64" i="122" s="1"/>
  <c r="P11" i="170" s="1"/>
  <c r="S56" i="129"/>
  <c r="T65" i="122" s="1"/>
  <c r="S57" i="129"/>
  <c r="T66" i="122" s="1"/>
  <c r="S60" i="129"/>
  <c r="T69" i="122" s="1"/>
  <c r="S61" i="129"/>
  <c r="T70" i="122" s="1"/>
  <c r="S62" i="129"/>
  <c r="T71" i="122" s="1"/>
  <c r="P12" i="170" s="1"/>
  <c r="S63" i="129"/>
  <c r="T72" i="122" s="1"/>
  <c r="S64" i="129"/>
  <c r="T73" i="122" s="1"/>
  <c r="S68" i="129"/>
  <c r="T77" i="122" s="1"/>
  <c r="C76" i="173" s="1"/>
  <c r="S70" i="129"/>
  <c r="S108" i="129" s="1"/>
  <c r="S71" i="129"/>
  <c r="T80" i="122" s="1"/>
  <c r="S75" i="129"/>
  <c r="S92" i="129"/>
  <c r="S103" i="129" s="1"/>
  <c r="T79" i="122" s="1"/>
  <c r="T16" i="133"/>
  <c r="T18" i="133" s="1"/>
  <c r="T27" i="133"/>
  <c r="T33" i="133"/>
  <c r="T43" i="133"/>
  <c r="T63" i="133"/>
  <c r="T70" i="133"/>
  <c r="P15" i="170" l="1"/>
  <c r="I75" i="170" s="1"/>
  <c r="I76" i="172"/>
  <c r="I76" i="171"/>
  <c r="T124" i="122"/>
  <c r="T127" i="122" s="1"/>
  <c r="P11" i="160"/>
  <c r="P13" i="160" s="1"/>
  <c r="I76" i="160" s="1"/>
  <c r="I74" i="169"/>
  <c r="T71" i="133"/>
  <c r="T74" i="133" s="1"/>
  <c r="T78" i="133" s="1"/>
  <c r="T82" i="122" s="1"/>
  <c r="T133" i="122" s="1"/>
  <c r="S58" i="129"/>
  <c r="T62" i="122"/>
  <c r="T74" i="122"/>
  <c r="S65" i="129"/>
  <c r="S48" i="129"/>
  <c r="T22" i="122"/>
  <c r="S45" i="129"/>
  <c r="T44" i="133"/>
  <c r="T46" i="133" s="1"/>
  <c r="T54" i="133" s="1"/>
  <c r="T79" i="133" s="1"/>
  <c r="T67" i="122" l="1"/>
  <c r="E76" i="168"/>
  <c r="S66" i="129"/>
  <c r="S69" i="129" s="1"/>
  <c r="S73" i="129" s="1"/>
  <c r="T75" i="122"/>
  <c r="T78" i="122" s="1"/>
  <c r="T115" i="122"/>
  <c r="T117" i="122" s="1"/>
  <c r="T21" i="122"/>
  <c r="T83" i="122" l="1"/>
  <c r="T130" i="122"/>
  <c r="T108" i="122"/>
  <c r="T111" i="122" s="1"/>
  <c r="T24" i="122"/>
  <c r="T41" i="122" s="1"/>
  <c r="T43" i="122" s="1"/>
  <c r="F13" i="110"/>
  <c r="L19" i="120" l="1"/>
  <c r="T21" i="134"/>
  <c r="F39" i="110" l="1"/>
  <c r="E30" i="120" l="1"/>
  <c r="G140" i="122" l="1"/>
  <c r="R17" i="130" l="1"/>
  <c r="R19" i="130" s="1"/>
  <c r="S139" i="122" s="1"/>
  <c r="S140" i="122"/>
  <c r="Q16" i="130"/>
  <c r="R140" i="122" s="1"/>
  <c r="R14" i="130"/>
  <c r="R21" i="130" l="1"/>
  <c r="R10" i="130"/>
  <c r="R29" i="134"/>
  <c r="R23" i="130" l="1"/>
  <c r="S90" i="122" l="1"/>
  <c r="S100" i="122"/>
  <c r="S101" i="122"/>
  <c r="S102" i="122"/>
  <c r="S116" i="122"/>
  <c r="S125" i="122"/>
  <c r="S126" i="122"/>
  <c r="R94" i="129"/>
  <c r="R93" i="129"/>
  <c r="R92" i="129"/>
  <c r="R103" i="129" s="1"/>
  <c r="Q92" i="129"/>
  <c r="R75" i="129"/>
  <c r="R53" i="129"/>
  <c r="S62" i="122" s="1"/>
  <c r="O11" i="168" s="1"/>
  <c r="R54" i="129"/>
  <c r="S63" i="122" s="1"/>
  <c r="O11" i="169" s="1"/>
  <c r="R55" i="129"/>
  <c r="S64" i="122" s="1"/>
  <c r="O11" i="170" s="1"/>
  <c r="O15" i="170" s="1"/>
  <c r="H75" i="170" s="1"/>
  <c r="R56" i="129"/>
  <c r="S65" i="122" s="1"/>
  <c r="O11" i="171" s="1"/>
  <c r="R57" i="129"/>
  <c r="S66" i="122" s="1"/>
  <c r="O11" i="172" s="1"/>
  <c r="R60" i="129"/>
  <c r="S69" i="122" s="1"/>
  <c r="O12" i="168" s="1"/>
  <c r="R61" i="129"/>
  <c r="S70" i="122" s="1"/>
  <c r="O12" i="169" s="1"/>
  <c r="R62" i="129"/>
  <c r="S71" i="122" s="1"/>
  <c r="O12" i="170" s="1"/>
  <c r="R63" i="129"/>
  <c r="R64" i="129"/>
  <c r="S73" i="122" s="1"/>
  <c r="O12" i="172" s="1"/>
  <c r="R68" i="129"/>
  <c r="S77" i="122" s="1"/>
  <c r="O11" i="173" s="1"/>
  <c r="O14" i="173" s="1"/>
  <c r="B76" i="173" s="1"/>
  <c r="R70" i="129"/>
  <c r="R108" i="129" s="1"/>
  <c r="R71" i="129"/>
  <c r="S80" i="122" s="1"/>
  <c r="R34" i="129"/>
  <c r="R35" i="129"/>
  <c r="R20" i="129"/>
  <c r="S59" i="122"/>
  <c r="S11" i="122"/>
  <c r="S10" i="122"/>
  <c r="S12" i="122"/>
  <c r="S14" i="122"/>
  <c r="S137" i="122" s="1"/>
  <c r="S19" i="122"/>
  <c r="S20" i="122"/>
  <c r="S93" i="122" s="1"/>
  <c r="S121" i="122"/>
  <c r="O11" i="160" s="1"/>
  <c r="O13" i="160" s="1"/>
  <c r="H76" i="160" s="1"/>
  <c r="S27" i="122"/>
  <c r="S94" i="122" s="1"/>
  <c r="H76" i="161" s="1"/>
  <c r="S28" i="122"/>
  <c r="S109" i="122" s="1"/>
  <c r="O11" i="162" s="1"/>
  <c r="O13" i="162" s="1"/>
  <c r="G76" i="162" s="1"/>
  <c r="S29" i="122"/>
  <c r="S122" i="122" s="1"/>
  <c r="S32" i="122"/>
  <c r="S95" i="122" s="1"/>
  <c r="S33" i="122"/>
  <c r="S96" i="122" s="1"/>
  <c r="O11" i="165" s="1"/>
  <c r="O15" i="165" s="1"/>
  <c r="C76" i="165" s="1"/>
  <c r="S34" i="122"/>
  <c r="S97" i="122" s="1"/>
  <c r="O12" i="164" s="1"/>
  <c r="S37" i="122"/>
  <c r="S38" i="122"/>
  <c r="S110" i="122" s="1"/>
  <c r="O11" i="167" s="1"/>
  <c r="O16" i="167" s="1"/>
  <c r="H76" i="167" s="1"/>
  <c r="S39" i="122"/>
  <c r="S123" i="122" s="1"/>
  <c r="S46" i="122"/>
  <c r="S47" i="122"/>
  <c r="S48" i="122"/>
  <c r="S49" i="122"/>
  <c r="S50" i="122"/>
  <c r="S70" i="133"/>
  <c r="S63" i="133"/>
  <c r="S43" i="133"/>
  <c r="S33" i="133"/>
  <c r="S27" i="133"/>
  <c r="S16" i="133"/>
  <c r="S18" i="133" s="1"/>
  <c r="O15" i="172" l="1"/>
  <c r="H76" i="172" s="1"/>
  <c r="O15" i="168"/>
  <c r="D76" i="168" s="1"/>
  <c r="O11" i="164"/>
  <c r="O17" i="164" s="1"/>
  <c r="J76" i="164" s="1"/>
  <c r="O11" i="163"/>
  <c r="O16" i="163" s="1"/>
  <c r="J76" i="163" s="1"/>
  <c r="B80" i="173" a="1"/>
  <c r="B20" i="173"/>
  <c r="B19" i="173"/>
  <c r="B21" i="173" s="1"/>
  <c r="B22" i="173" s="1"/>
  <c r="N76" i="176" s="1"/>
  <c r="P76" i="176" s="1"/>
  <c r="Q76" i="176" s="1"/>
  <c r="Y76" i="176" s="1"/>
  <c r="S92" i="122"/>
  <c r="O11" i="158"/>
  <c r="O15" i="169"/>
  <c r="H74" i="169" s="1"/>
  <c r="O12" i="158"/>
  <c r="R43" i="129"/>
  <c r="R45" i="129" s="1"/>
  <c r="S71" i="133"/>
  <c r="S74" i="133" s="1"/>
  <c r="S78" i="133" s="1"/>
  <c r="S82" i="122" s="1"/>
  <c r="S133" i="122" s="1"/>
  <c r="T176" i="122" s="1"/>
  <c r="S40" i="122"/>
  <c r="S124" i="122"/>
  <c r="S127" i="122" s="1"/>
  <c r="T172" i="122" s="1"/>
  <c r="R65" i="129"/>
  <c r="R58" i="129"/>
  <c r="S98" i="122"/>
  <c r="S30" i="122"/>
  <c r="S72" i="122"/>
  <c r="S141" i="122"/>
  <c r="S67" i="122"/>
  <c r="S13" i="122"/>
  <c r="S15" i="122" s="1"/>
  <c r="S44" i="133"/>
  <c r="S46" i="133" s="1"/>
  <c r="S54" i="133" s="1"/>
  <c r="N76" i="120" l="1"/>
  <c r="N76" i="175"/>
  <c r="P76" i="175" s="1"/>
  <c r="Q76" i="175" s="1"/>
  <c r="Y76" i="175" s="1"/>
  <c r="O14" i="158"/>
  <c r="D75" i="158" s="1"/>
  <c r="C84" i="173"/>
  <c r="B82" i="173"/>
  <c r="B81" i="173"/>
  <c r="C82" i="173"/>
  <c r="B84" i="173"/>
  <c r="C80" i="173"/>
  <c r="B83" i="173"/>
  <c r="C81" i="173"/>
  <c r="C83" i="173"/>
  <c r="B80" i="173"/>
  <c r="S74" i="122"/>
  <c r="O12" i="171"/>
  <c r="O15" i="171" s="1"/>
  <c r="H76" i="171" s="1"/>
  <c r="S99" i="122"/>
  <c r="S104" i="122" s="1"/>
  <c r="O11" i="166"/>
  <c r="O15" i="166" s="1"/>
  <c r="E76" i="166" s="1"/>
  <c r="R48" i="129"/>
  <c r="S22" i="122"/>
  <c r="S21" i="122" s="1"/>
  <c r="S24" i="122" s="1"/>
  <c r="S41" i="122" s="1"/>
  <c r="S43" i="122" s="1"/>
  <c r="S51" i="122" s="1"/>
  <c r="T188" i="122"/>
  <c r="T156" i="122"/>
  <c r="T128" i="122"/>
  <c r="T192" i="122"/>
  <c r="T134" i="122"/>
  <c r="T160" i="122"/>
  <c r="R66" i="129"/>
  <c r="R69" i="129" s="1"/>
  <c r="R73" i="129" s="1"/>
  <c r="S75" i="122"/>
  <c r="S78" i="122" s="1"/>
  <c r="S79" i="122"/>
  <c r="S79" i="133"/>
  <c r="B87" i="173" l="1"/>
  <c r="B88" i="173" s="1"/>
  <c r="S108" i="122"/>
  <c r="S111" i="122" s="1"/>
  <c r="T170" i="122" s="1"/>
  <c r="T186" i="122" s="1"/>
  <c r="S115" i="122"/>
  <c r="S117" i="122" s="1"/>
  <c r="S130" i="122"/>
  <c r="S83" i="122"/>
  <c r="T154" i="122" l="1"/>
  <c r="T112" i="122"/>
  <c r="T174" i="122"/>
  <c r="T190" i="122" s="1"/>
  <c r="T158" i="122"/>
  <c r="T131" i="122"/>
  <c r="G59" i="122" l="1"/>
  <c r="H59" i="122"/>
  <c r="I59" i="122"/>
  <c r="J59" i="122"/>
  <c r="K59" i="122"/>
  <c r="L59" i="122"/>
  <c r="M59" i="122"/>
  <c r="N59" i="122"/>
  <c r="O59" i="122"/>
  <c r="P59" i="122"/>
  <c r="Q59" i="122"/>
  <c r="R59" i="122"/>
  <c r="F59" i="122"/>
  <c r="A58" i="122"/>
  <c r="A88" i="122" s="1"/>
  <c r="A55" i="122"/>
  <c r="E55" i="122"/>
  <c r="F139" i="122"/>
  <c r="G90" i="122"/>
  <c r="H90" i="122"/>
  <c r="I90" i="122"/>
  <c r="J90" i="122"/>
  <c r="K90" i="122"/>
  <c r="L90" i="122"/>
  <c r="M90" i="122"/>
  <c r="N90" i="122"/>
  <c r="O90" i="122"/>
  <c r="P90" i="122"/>
  <c r="Q90" i="122"/>
  <c r="R90" i="122"/>
  <c r="F90" i="122"/>
  <c r="G116" i="122"/>
  <c r="H116" i="122"/>
  <c r="I116" i="122"/>
  <c r="K116" i="122"/>
  <c r="M116" i="122"/>
  <c r="N116" i="122"/>
  <c r="O116" i="122"/>
  <c r="P116" i="122"/>
  <c r="R116" i="122"/>
  <c r="F116" i="122"/>
  <c r="F75" i="129" l="1"/>
  <c r="G75" i="129"/>
  <c r="H75" i="129"/>
  <c r="I75" i="129"/>
  <c r="J75" i="129"/>
  <c r="K75" i="129"/>
  <c r="L75" i="129"/>
  <c r="M75" i="129"/>
  <c r="N75" i="129"/>
  <c r="O75" i="129"/>
  <c r="P75" i="129"/>
  <c r="Q75" i="129"/>
  <c r="E75" i="129"/>
  <c r="H39" i="94" l="1"/>
  <c r="H34" i="91"/>
  <c r="H31" i="91" l="1"/>
  <c r="H31" i="94"/>
  <c r="H39" i="91"/>
  <c r="H34" i="94"/>
  <c r="N18" i="110"/>
  <c r="N20" i="110" s="1"/>
  <c r="H12" i="91" l="1"/>
  <c r="N22" i="110"/>
  <c r="N24" i="110" s="1"/>
  <c r="H12" i="94"/>
  <c r="Y89" i="176" l="1"/>
  <c r="Y89" i="175"/>
  <c r="H23" i="178"/>
  <c r="H23" i="177"/>
  <c r="Y89" i="120"/>
  <c r="H23" i="126"/>
  <c r="R10" i="122"/>
  <c r="R11" i="122"/>
  <c r="T27" i="134" l="1"/>
  <c r="T18" i="134"/>
  <c r="T19" i="134"/>
  <c r="T20" i="134"/>
  <c r="T22" i="134"/>
  <c r="T23" i="134"/>
  <c r="T24" i="134"/>
  <c r="T17" i="134"/>
  <c r="T13" i="134"/>
  <c r="T11" i="134"/>
  <c r="T12" i="134"/>
  <c r="T10" i="134"/>
  <c r="T9" i="130" l="1"/>
  <c r="T9" i="134"/>
  <c r="T6" i="130" s="1"/>
  <c r="R14" i="134"/>
  <c r="R31" i="134" s="1"/>
  <c r="R33" i="134" s="1"/>
  <c r="I16" i="130"/>
  <c r="J140" i="122" s="1"/>
  <c r="T14" i="134" l="1"/>
  <c r="T17" i="130"/>
  <c r="T21" i="130" s="1"/>
  <c r="T10" i="130"/>
  <c r="R35" i="134"/>
  <c r="R54" i="134"/>
  <c r="P16" i="130"/>
  <c r="Q140" i="122" s="1"/>
  <c r="J16" i="130"/>
  <c r="K140" i="122" s="1"/>
  <c r="K16" i="130"/>
  <c r="L140" i="122" s="1"/>
  <c r="L16" i="130"/>
  <c r="M140" i="122" s="1"/>
  <c r="M16" i="130"/>
  <c r="N140" i="122" s="1"/>
  <c r="N16" i="130"/>
  <c r="O140" i="122" s="1"/>
  <c r="O16" i="130"/>
  <c r="P140" i="122" s="1"/>
  <c r="T19" i="130" l="1"/>
  <c r="T23" i="130"/>
  <c r="E17" i="130"/>
  <c r="E19" i="130" s="1"/>
  <c r="F140" i="122" s="1"/>
  <c r="Q9" i="130"/>
  <c r="T141" i="122" l="1"/>
  <c r="T142" i="122" l="1"/>
  <c r="T178" i="122"/>
  <c r="T194" i="122" s="1"/>
  <c r="T162" i="122"/>
  <c r="T25" i="134"/>
  <c r="T26" i="134" l="1"/>
  <c r="T29" i="134" s="1"/>
  <c r="R75" i="120"/>
  <c r="F73" i="120"/>
  <c r="F66" i="120"/>
  <c r="F75" i="158" l="1"/>
  <c r="T166" i="122"/>
  <c r="T104" i="122"/>
  <c r="T31" i="134"/>
  <c r="T33" i="134" s="1"/>
  <c r="T54" i="134" s="1"/>
  <c r="F75" i="120"/>
  <c r="F77" i="120" s="1"/>
  <c r="F81" i="120" s="1"/>
  <c r="L76" i="120"/>
  <c r="P76" i="120" s="1"/>
  <c r="Q76" i="120" s="1"/>
  <c r="Y76" i="120" s="1"/>
  <c r="L69" i="120"/>
  <c r="L13" i="120"/>
  <c r="P13" i="120" s="1"/>
  <c r="Q13" i="120" s="1"/>
  <c r="L34" i="120"/>
  <c r="L39" i="120"/>
  <c r="L64" i="120"/>
  <c r="L72" i="120"/>
  <c r="L38" i="120"/>
  <c r="L55" i="120"/>
  <c r="L70" i="120"/>
  <c r="G23" i="120"/>
  <c r="L32" i="120"/>
  <c r="L54" i="120"/>
  <c r="L10" i="120"/>
  <c r="L62" i="120"/>
  <c r="L11" i="120"/>
  <c r="L33" i="120"/>
  <c r="L61" i="120"/>
  <c r="L63" i="120"/>
  <c r="L71" i="120"/>
  <c r="L29" i="120"/>
  <c r="L30" i="120" s="1"/>
  <c r="G14" i="120"/>
  <c r="L68" i="120"/>
  <c r="G66" i="120"/>
  <c r="G73" i="120"/>
  <c r="K66" i="120"/>
  <c r="K73" i="120"/>
  <c r="D11" i="110"/>
  <c r="F11" i="110" s="1"/>
  <c r="G53" i="175" l="1"/>
  <c r="G57" i="175" s="1"/>
  <c r="G53" i="176"/>
  <c r="G57" i="176" s="1"/>
  <c r="V57" i="120"/>
  <c r="W57" i="120"/>
  <c r="T50" i="122"/>
  <c r="T51" i="122" s="1"/>
  <c r="T152" i="122"/>
  <c r="T182" i="122"/>
  <c r="T105" i="122"/>
  <c r="T35" i="134"/>
  <c r="D15" i="110"/>
  <c r="F15" i="110"/>
  <c r="L18" i="120"/>
  <c r="L23" i="120" s="1"/>
  <c r="G75" i="120"/>
  <c r="L12" i="120"/>
  <c r="K75" i="120"/>
  <c r="K77" i="120" s="1"/>
  <c r="K81" i="120" s="1"/>
  <c r="Y86" i="120" l="1"/>
  <c r="V83" i="120" s="1"/>
  <c r="H13" i="178"/>
  <c r="Y86" i="175"/>
  <c r="H13" i="177"/>
  <c r="Y86" i="176"/>
  <c r="F23" i="120"/>
  <c r="G77" i="120"/>
  <c r="G81" i="120" s="1"/>
  <c r="G53" i="120" s="1"/>
  <c r="L50" i="120"/>
  <c r="N50" i="120"/>
  <c r="O50" i="120"/>
  <c r="P50" i="120"/>
  <c r="Q50" i="120"/>
  <c r="R50" i="120"/>
  <c r="S50" i="120"/>
  <c r="T50" i="120"/>
  <c r="Y50" i="120"/>
  <c r="F50" i="120"/>
  <c r="G50" i="120"/>
  <c r="K50" i="120"/>
  <c r="E50" i="120"/>
  <c r="M49" i="120"/>
  <c r="O49" i="120"/>
  <c r="P49" i="120"/>
  <c r="Q49" i="120"/>
  <c r="R49" i="120"/>
  <c r="S49" i="120"/>
  <c r="T49" i="120"/>
  <c r="W83" i="120" l="1"/>
  <c r="W83" i="175"/>
  <c r="V83" i="175"/>
  <c r="W83" i="176"/>
  <c r="V83" i="176"/>
  <c r="H13" i="126"/>
  <c r="F13" i="130"/>
  <c r="G13" i="130"/>
  <c r="H13" i="130"/>
  <c r="I13" i="130"/>
  <c r="J13" i="130"/>
  <c r="K13" i="130"/>
  <c r="L13" i="130"/>
  <c r="M13" i="130"/>
  <c r="N13" i="130"/>
  <c r="O13" i="130"/>
  <c r="P13" i="130"/>
  <c r="Q13" i="130"/>
  <c r="F14" i="130"/>
  <c r="F21" i="130" s="1"/>
  <c r="G14" i="130"/>
  <c r="H14" i="130"/>
  <c r="I14" i="130"/>
  <c r="J14" i="130"/>
  <c r="K14" i="130"/>
  <c r="L14" i="130"/>
  <c r="M14" i="130"/>
  <c r="N14" i="130"/>
  <c r="O14" i="130"/>
  <c r="P14" i="130"/>
  <c r="Q14" i="130"/>
  <c r="E14" i="130"/>
  <c r="E21" i="130" s="1"/>
  <c r="E23" i="130" s="1"/>
  <c r="E13" i="130"/>
  <c r="F29" i="134"/>
  <c r="G100" i="122" s="1"/>
  <c r="G29" i="134"/>
  <c r="H100" i="122" s="1"/>
  <c r="H29" i="134"/>
  <c r="I100" i="122" s="1"/>
  <c r="I29" i="134"/>
  <c r="J100" i="122" s="1"/>
  <c r="J29" i="134"/>
  <c r="K100" i="122" s="1"/>
  <c r="K29" i="134"/>
  <c r="L100" i="122" s="1"/>
  <c r="L29" i="134"/>
  <c r="M100" i="122" s="1"/>
  <c r="M29" i="134"/>
  <c r="N100" i="122" s="1"/>
  <c r="N29" i="134"/>
  <c r="O100" i="122" s="1"/>
  <c r="O29" i="134"/>
  <c r="P100" i="122" s="1"/>
  <c r="P29" i="134"/>
  <c r="Q100" i="122" s="1"/>
  <c r="Q29" i="134"/>
  <c r="R100" i="122" s="1"/>
  <c r="F14" i="134" l="1"/>
  <c r="F31" i="134" s="1"/>
  <c r="G14" i="134"/>
  <c r="G31" i="134" s="1"/>
  <c r="H14" i="134"/>
  <c r="H31" i="134" s="1"/>
  <c r="I14" i="134"/>
  <c r="I31" i="134" s="1"/>
  <c r="J14" i="134"/>
  <c r="J31" i="134" s="1"/>
  <c r="K14" i="134"/>
  <c r="K31" i="134" s="1"/>
  <c r="L14" i="134"/>
  <c r="L31" i="134" s="1"/>
  <c r="M14" i="134"/>
  <c r="M31" i="134" s="1"/>
  <c r="N14" i="134"/>
  <c r="N31" i="134" s="1"/>
  <c r="O14" i="134"/>
  <c r="O31" i="134" s="1"/>
  <c r="P14" i="134"/>
  <c r="P31" i="134" s="1"/>
  <c r="Q14" i="134"/>
  <c r="Q31" i="134" s="1"/>
  <c r="E14" i="134"/>
  <c r="E29" i="134"/>
  <c r="F100" i="122" s="1"/>
  <c r="M33" i="134" l="1"/>
  <c r="P33" i="134"/>
  <c r="L33" i="134"/>
  <c r="H33" i="134"/>
  <c r="H35" i="134" s="1"/>
  <c r="I33" i="134"/>
  <c r="I35" i="134" s="1"/>
  <c r="N33" i="134"/>
  <c r="J33" i="134"/>
  <c r="J54" i="134" s="1"/>
  <c r="F33" i="134"/>
  <c r="F35" i="134" s="1"/>
  <c r="O33" i="134"/>
  <c r="K33" i="134"/>
  <c r="G33" i="134"/>
  <c r="G35" i="134" s="1"/>
  <c r="Q33" i="134"/>
  <c r="E31" i="134"/>
  <c r="E33" i="134" s="1"/>
  <c r="E66" i="120"/>
  <c r="Q12" i="129"/>
  <c r="Q11" i="129"/>
  <c r="P11" i="129"/>
  <c r="P12" i="129"/>
  <c r="F11" i="129"/>
  <c r="G11" i="129"/>
  <c r="H11" i="129"/>
  <c r="I11" i="129"/>
  <c r="J11" i="129"/>
  <c r="K11" i="129"/>
  <c r="L11" i="129"/>
  <c r="M11" i="129"/>
  <c r="N11" i="129"/>
  <c r="O11" i="129"/>
  <c r="E11" i="129"/>
  <c r="G82" i="122"/>
  <c r="G133" i="122" s="1"/>
  <c r="H82" i="122"/>
  <c r="H133" i="122" s="1"/>
  <c r="I82" i="122"/>
  <c r="I133" i="122" s="1"/>
  <c r="J82" i="122"/>
  <c r="J133" i="122" s="1"/>
  <c r="K82" i="122"/>
  <c r="K133" i="122" s="1"/>
  <c r="L82" i="122"/>
  <c r="L133" i="122" s="1"/>
  <c r="M176" i="122" s="1"/>
  <c r="M82" i="122"/>
  <c r="M133" i="122" s="1"/>
  <c r="N176" i="122" s="1"/>
  <c r="N82" i="122"/>
  <c r="N133" i="122" s="1"/>
  <c r="O176" i="122" s="1"/>
  <c r="O82" i="122"/>
  <c r="O133" i="122" s="1"/>
  <c r="P176" i="122" s="1"/>
  <c r="P82" i="122"/>
  <c r="P133" i="122" s="1"/>
  <c r="Q176" i="122" s="1"/>
  <c r="Q82" i="122"/>
  <c r="Q133" i="122" s="1"/>
  <c r="R176" i="122" s="1"/>
  <c r="R82" i="122"/>
  <c r="R133" i="122" s="1"/>
  <c r="F82" i="122"/>
  <c r="F133" i="122" s="1"/>
  <c r="F70" i="129"/>
  <c r="G70" i="129"/>
  <c r="H70" i="129"/>
  <c r="I70" i="129"/>
  <c r="J70" i="129"/>
  <c r="K70" i="129"/>
  <c r="L70" i="129"/>
  <c r="M70" i="129"/>
  <c r="N70" i="129"/>
  <c r="O70" i="129"/>
  <c r="P70" i="129"/>
  <c r="P108" i="129" s="1"/>
  <c r="Q70" i="129"/>
  <c r="Q108" i="129" s="1"/>
  <c r="F71" i="129"/>
  <c r="G71" i="129"/>
  <c r="H71" i="129"/>
  <c r="I71" i="129"/>
  <c r="J71" i="129"/>
  <c r="K71" i="129"/>
  <c r="L71" i="129"/>
  <c r="M71" i="129"/>
  <c r="N71" i="129"/>
  <c r="O71" i="129"/>
  <c r="P71" i="129"/>
  <c r="Q71" i="129"/>
  <c r="E71" i="129"/>
  <c r="Q60" i="129"/>
  <c r="R69" i="122" s="1"/>
  <c r="N12" i="168" s="1"/>
  <c r="Q61" i="129"/>
  <c r="R70" i="122" s="1"/>
  <c r="N12" i="169" s="1"/>
  <c r="Q62" i="129"/>
  <c r="R71" i="122" s="1"/>
  <c r="N12" i="170" s="1"/>
  <c r="Q63" i="129"/>
  <c r="R72" i="122" s="1"/>
  <c r="N12" i="171" s="1"/>
  <c r="Q64" i="129"/>
  <c r="R73" i="122" s="1"/>
  <c r="N12" i="172" s="1"/>
  <c r="P61" i="129"/>
  <c r="Q70" i="122" s="1"/>
  <c r="M12" i="169" s="1"/>
  <c r="P62" i="129"/>
  <c r="Q71" i="122" s="1"/>
  <c r="M12" i="170" s="1"/>
  <c r="P63" i="129"/>
  <c r="Q72" i="122" s="1"/>
  <c r="M12" i="171" s="1"/>
  <c r="P64" i="129"/>
  <c r="Q73" i="122" s="1"/>
  <c r="M12" i="172" s="1"/>
  <c r="P60" i="129"/>
  <c r="Q69" i="122" s="1"/>
  <c r="M12" i="168" s="1"/>
  <c r="P53" i="129"/>
  <c r="Q53" i="129"/>
  <c r="P54" i="129"/>
  <c r="Q54" i="129"/>
  <c r="P55" i="129"/>
  <c r="Q55" i="129"/>
  <c r="P56" i="129"/>
  <c r="Q56" i="129"/>
  <c r="P57" i="129"/>
  <c r="Q57" i="129"/>
  <c r="P68" i="129"/>
  <c r="Q77" i="122" s="1"/>
  <c r="M11" i="173" s="1"/>
  <c r="M14" i="173" s="1"/>
  <c r="Q68" i="129"/>
  <c r="R77" i="122" s="1"/>
  <c r="N11" i="173" s="1"/>
  <c r="N14" i="173" s="1"/>
  <c r="F53" i="129"/>
  <c r="G53" i="129"/>
  <c r="H53" i="129"/>
  <c r="I53" i="129"/>
  <c r="J53" i="129"/>
  <c r="K53" i="129"/>
  <c r="L53" i="129"/>
  <c r="M53" i="129"/>
  <c r="N53" i="129"/>
  <c r="O53" i="129"/>
  <c r="F54" i="129"/>
  <c r="G54" i="129"/>
  <c r="H54" i="129"/>
  <c r="I54" i="129"/>
  <c r="J54" i="129"/>
  <c r="K54" i="129"/>
  <c r="L54" i="129"/>
  <c r="M54" i="129"/>
  <c r="N54" i="129"/>
  <c r="O54" i="129"/>
  <c r="F55" i="129"/>
  <c r="G55" i="129"/>
  <c r="H55" i="129"/>
  <c r="I55" i="129"/>
  <c r="J55" i="129"/>
  <c r="K55" i="129"/>
  <c r="L55" i="129"/>
  <c r="M55" i="129"/>
  <c r="N55" i="129"/>
  <c r="O55" i="129"/>
  <c r="F56" i="129"/>
  <c r="G56" i="129"/>
  <c r="H56" i="129"/>
  <c r="I56" i="129"/>
  <c r="J56" i="129"/>
  <c r="K56" i="129"/>
  <c r="L56" i="129"/>
  <c r="M56" i="129"/>
  <c r="N56" i="129"/>
  <c r="O56" i="129"/>
  <c r="F57" i="129"/>
  <c r="G57" i="129"/>
  <c r="H57" i="129"/>
  <c r="I57" i="129"/>
  <c r="J57" i="129"/>
  <c r="K57" i="129"/>
  <c r="L57" i="129"/>
  <c r="M57" i="129"/>
  <c r="N57" i="129"/>
  <c r="O57" i="129"/>
  <c r="F65" i="129"/>
  <c r="G65" i="129"/>
  <c r="H65" i="129"/>
  <c r="I65" i="129"/>
  <c r="J65" i="129"/>
  <c r="K65" i="129"/>
  <c r="L65" i="129"/>
  <c r="M65" i="129"/>
  <c r="N65" i="129"/>
  <c r="O65" i="129"/>
  <c r="F68" i="129"/>
  <c r="G68" i="129"/>
  <c r="H68" i="129"/>
  <c r="I68" i="129"/>
  <c r="J68" i="129"/>
  <c r="K68" i="129"/>
  <c r="L68" i="129"/>
  <c r="M68" i="129"/>
  <c r="N68" i="129"/>
  <c r="O68" i="129"/>
  <c r="E70" i="129"/>
  <c r="E68" i="129"/>
  <c r="E65" i="129"/>
  <c r="E54" i="129"/>
  <c r="E55" i="129"/>
  <c r="E56" i="129"/>
  <c r="E57" i="129"/>
  <c r="E53" i="129"/>
  <c r="G10" i="122"/>
  <c r="H10" i="122"/>
  <c r="I10" i="122"/>
  <c r="J10" i="122"/>
  <c r="K10" i="122"/>
  <c r="L10" i="122"/>
  <c r="M10" i="122"/>
  <c r="N10" i="122"/>
  <c r="O10" i="122"/>
  <c r="P10" i="122"/>
  <c r="Q10" i="122"/>
  <c r="G11" i="122"/>
  <c r="H11" i="122"/>
  <c r="I11" i="122"/>
  <c r="J11" i="122"/>
  <c r="K11" i="122"/>
  <c r="L11" i="122"/>
  <c r="M11" i="122"/>
  <c r="N11" i="122"/>
  <c r="O11" i="122"/>
  <c r="P11" i="122"/>
  <c r="Q11" i="122"/>
  <c r="G12" i="122"/>
  <c r="H12" i="122"/>
  <c r="I12" i="122"/>
  <c r="J12" i="122"/>
  <c r="K12" i="122"/>
  <c r="L12" i="122"/>
  <c r="M12" i="122"/>
  <c r="N12" i="122"/>
  <c r="O12" i="122"/>
  <c r="P12" i="122"/>
  <c r="Q12" i="122"/>
  <c r="R12" i="122"/>
  <c r="R13" i="122" s="1"/>
  <c r="G14" i="122"/>
  <c r="G137" i="122" s="1"/>
  <c r="H14" i="122"/>
  <c r="H137" i="122" s="1"/>
  <c r="I14" i="122"/>
  <c r="I137" i="122" s="1"/>
  <c r="J14" i="122"/>
  <c r="J137" i="122" s="1"/>
  <c r="K14" i="122"/>
  <c r="K137" i="122" s="1"/>
  <c r="L14" i="122"/>
  <c r="L137" i="122" s="1"/>
  <c r="M14" i="122"/>
  <c r="M137" i="122" s="1"/>
  <c r="N14" i="122"/>
  <c r="N137" i="122" s="1"/>
  <c r="O14" i="122"/>
  <c r="O137" i="122" s="1"/>
  <c r="P14" i="122"/>
  <c r="P137" i="122" s="1"/>
  <c r="Q14" i="122"/>
  <c r="Q137" i="122" s="1"/>
  <c r="R14" i="122"/>
  <c r="R137" i="122" s="1"/>
  <c r="G19" i="122"/>
  <c r="H19" i="122"/>
  <c r="I19" i="122"/>
  <c r="J19" i="122"/>
  <c r="K19" i="122"/>
  <c r="L19" i="122"/>
  <c r="M19" i="122"/>
  <c r="N19" i="122"/>
  <c r="O19" i="122"/>
  <c r="P19" i="122"/>
  <c r="Q19" i="122"/>
  <c r="R19" i="122"/>
  <c r="G20" i="122"/>
  <c r="G93" i="122" s="1"/>
  <c r="C12" i="158" s="1"/>
  <c r="H20" i="122"/>
  <c r="H93" i="122" s="1"/>
  <c r="D12" i="158" s="1"/>
  <c r="I20" i="122"/>
  <c r="I93" i="122" s="1"/>
  <c r="E12" i="158" s="1"/>
  <c r="J20" i="122"/>
  <c r="J93" i="122" s="1"/>
  <c r="F12" i="158" s="1"/>
  <c r="K20" i="122"/>
  <c r="K93" i="122" s="1"/>
  <c r="G12" i="158" s="1"/>
  <c r="L20" i="122"/>
  <c r="L93" i="122" s="1"/>
  <c r="H12" i="158" s="1"/>
  <c r="M20" i="122"/>
  <c r="M93" i="122" s="1"/>
  <c r="I12" i="158" s="1"/>
  <c r="N20" i="122"/>
  <c r="N93" i="122" s="1"/>
  <c r="J12" i="158" s="1"/>
  <c r="O20" i="122"/>
  <c r="O93" i="122" s="1"/>
  <c r="K12" i="158" s="1"/>
  <c r="P20" i="122"/>
  <c r="P93" i="122" s="1"/>
  <c r="L12" i="158" s="1"/>
  <c r="Q20" i="122"/>
  <c r="Q93" i="122" s="1"/>
  <c r="M12" i="158" s="1"/>
  <c r="R20" i="122"/>
  <c r="R93" i="122" s="1"/>
  <c r="N12" i="158" s="1"/>
  <c r="G23" i="122"/>
  <c r="G121" i="122" s="1"/>
  <c r="C11" i="160" s="1"/>
  <c r="C13" i="160" s="1"/>
  <c r="H23" i="122"/>
  <c r="H121" i="122" s="1"/>
  <c r="D11" i="160" s="1"/>
  <c r="D13" i="160" s="1"/>
  <c r="I23" i="122"/>
  <c r="I121" i="122" s="1"/>
  <c r="E11" i="160" s="1"/>
  <c r="E13" i="160" s="1"/>
  <c r="J23" i="122"/>
  <c r="J121" i="122" s="1"/>
  <c r="F11" i="160" s="1"/>
  <c r="F13" i="160" s="1"/>
  <c r="K23" i="122"/>
  <c r="K121" i="122" s="1"/>
  <c r="G11" i="160" s="1"/>
  <c r="G13" i="160" s="1"/>
  <c r="L23" i="122"/>
  <c r="L121" i="122" s="1"/>
  <c r="H11" i="160" s="1"/>
  <c r="H13" i="160" s="1"/>
  <c r="M23" i="122"/>
  <c r="M121" i="122" s="1"/>
  <c r="I11" i="160" s="1"/>
  <c r="I13" i="160" s="1"/>
  <c r="B76" i="160" s="1"/>
  <c r="N23" i="122"/>
  <c r="N121" i="122" s="1"/>
  <c r="J11" i="160" s="1"/>
  <c r="J13" i="160" s="1"/>
  <c r="C76" i="160" s="1"/>
  <c r="O121" i="122"/>
  <c r="K11" i="160" s="1"/>
  <c r="K13" i="160" s="1"/>
  <c r="D76" i="160" s="1"/>
  <c r="P121" i="122"/>
  <c r="L11" i="160" s="1"/>
  <c r="L13" i="160" s="1"/>
  <c r="E76" i="160" s="1"/>
  <c r="Q121" i="122"/>
  <c r="M11" i="160" s="1"/>
  <c r="M13" i="160" s="1"/>
  <c r="F76" i="160" s="1"/>
  <c r="R121" i="122"/>
  <c r="N11" i="160" s="1"/>
  <c r="N13" i="160" s="1"/>
  <c r="G76" i="160" s="1"/>
  <c r="G27" i="122"/>
  <c r="G94" i="122" s="1"/>
  <c r="C11" i="161" s="1"/>
  <c r="C13" i="161" s="1"/>
  <c r="H27" i="122"/>
  <c r="H94" i="122" s="1"/>
  <c r="D11" i="161" s="1"/>
  <c r="D13" i="161" s="1"/>
  <c r="I27" i="122"/>
  <c r="I94" i="122" s="1"/>
  <c r="E11" i="161" s="1"/>
  <c r="E13" i="161" s="1"/>
  <c r="J27" i="122"/>
  <c r="J94" i="122" s="1"/>
  <c r="F11" i="161" s="1"/>
  <c r="F13" i="161" s="1"/>
  <c r="K27" i="122"/>
  <c r="K94" i="122" s="1"/>
  <c r="G11" i="161" s="1"/>
  <c r="G13" i="161" s="1"/>
  <c r="L27" i="122"/>
  <c r="L94" i="122" s="1"/>
  <c r="H11" i="161" s="1"/>
  <c r="H13" i="161" s="1"/>
  <c r="M27" i="122"/>
  <c r="M94" i="122" s="1"/>
  <c r="I11" i="161" s="1"/>
  <c r="I13" i="161" s="1"/>
  <c r="B76" i="161" s="1"/>
  <c r="N27" i="122"/>
  <c r="N94" i="122" s="1"/>
  <c r="J11" i="161" s="1"/>
  <c r="J13" i="161" s="1"/>
  <c r="C76" i="161" s="1"/>
  <c r="O27" i="122"/>
  <c r="O94" i="122" s="1"/>
  <c r="K11" i="161" s="1"/>
  <c r="K13" i="161" s="1"/>
  <c r="D76" i="161" s="1"/>
  <c r="P27" i="122"/>
  <c r="P94" i="122" s="1"/>
  <c r="L11" i="161" s="1"/>
  <c r="L13" i="161" s="1"/>
  <c r="E76" i="161" s="1"/>
  <c r="Q27" i="122"/>
  <c r="Q94" i="122" s="1"/>
  <c r="M11" i="161" s="1"/>
  <c r="M13" i="161" s="1"/>
  <c r="F76" i="161" s="1"/>
  <c r="R27" i="122"/>
  <c r="R94" i="122" s="1"/>
  <c r="N11" i="161" s="1"/>
  <c r="N13" i="161" s="1"/>
  <c r="G76" i="161" s="1"/>
  <c r="G28" i="122"/>
  <c r="G109" i="122" s="1"/>
  <c r="C11" i="162" s="1"/>
  <c r="C13" i="162" s="1"/>
  <c r="H28" i="122"/>
  <c r="H109" i="122" s="1"/>
  <c r="D11" i="162" s="1"/>
  <c r="D13" i="162" s="1"/>
  <c r="I28" i="122"/>
  <c r="I109" i="122" s="1"/>
  <c r="E11" i="162" s="1"/>
  <c r="E13" i="162" s="1"/>
  <c r="J28" i="122"/>
  <c r="J109" i="122" s="1"/>
  <c r="F11" i="162" s="1"/>
  <c r="F13" i="162" s="1"/>
  <c r="K28" i="122"/>
  <c r="K109" i="122" s="1"/>
  <c r="G11" i="162" s="1"/>
  <c r="G13" i="162" s="1"/>
  <c r="L28" i="122"/>
  <c r="L109" i="122" s="1"/>
  <c r="H11" i="162" s="1"/>
  <c r="H13" i="162" s="1"/>
  <c r="M28" i="122"/>
  <c r="M109" i="122" s="1"/>
  <c r="I11" i="162" s="1"/>
  <c r="I13" i="162" s="1"/>
  <c r="N28" i="122"/>
  <c r="N109" i="122" s="1"/>
  <c r="J11" i="162" s="1"/>
  <c r="J13" i="162" s="1"/>
  <c r="B76" i="162" s="1"/>
  <c r="O28" i="122"/>
  <c r="O109" i="122" s="1"/>
  <c r="K11" i="162" s="1"/>
  <c r="K13" i="162" s="1"/>
  <c r="C76" i="162" s="1"/>
  <c r="P28" i="122"/>
  <c r="P109" i="122" s="1"/>
  <c r="L11" i="162" s="1"/>
  <c r="L13" i="162" s="1"/>
  <c r="D76" i="162" s="1"/>
  <c r="Q28" i="122"/>
  <c r="Q109" i="122" s="1"/>
  <c r="M11" i="162" s="1"/>
  <c r="M13" i="162" s="1"/>
  <c r="E76" i="162" s="1"/>
  <c r="R28" i="122"/>
  <c r="R109" i="122" s="1"/>
  <c r="N11" i="162" s="1"/>
  <c r="N13" i="162" s="1"/>
  <c r="F76" i="162" s="1"/>
  <c r="G29" i="122"/>
  <c r="G122" i="122" s="1"/>
  <c r="H29" i="122"/>
  <c r="H122" i="122" s="1"/>
  <c r="I29" i="122"/>
  <c r="I122" i="122" s="1"/>
  <c r="J29" i="122"/>
  <c r="J122" i="122" s="1"/>
  <c r="K29" i="122"/>
  <c r="K122" i="122" s="1"/>
  <c r="L29" i="122"/>
  <c r="L122" i="122" s="1"/>
  <c r="M29" i="122"/>
  <c r="M122" i="122" s="1"/>
  <c r="N29" i="122"/>
  <c r="N122" i="122" s="1"/>
  <c r="O29" i="122"/>
  <c r="O122" i="122" s="1"/>
  <c r="P29" i="122"/>
  <c r="P122" i="122" s="1"/>
  <c r="Q29" i="122"/>
  <c r="Q122" i="122" s="1"/>
  <c r="R29" i="122"/>
  <c r="R122" i="122" s="1"/>
  <c r="G32" i="122"/>
  <c r="G95" i="122" s="1"/>
  <c r="H32" i="122"/>
  <c r="H95" i="122" s="1"/>
  <c r="I32" i="122"/>
  <c r="I95" i="122" s="1"/>
  <c r="J32" i="122"/>
  <c r="J95" i="122" s="1"/>
  <c r="K32" i="122"/>
  <c r="K95" i="122" s="1"/>
  <c r="L32" i="122"/>
  <c r="L95" i="122" s="1"/>
  <c r="M32" i="122"/>
  <c r="M95" i="122" s="1"/>
  <c r="N32" i="122"/>
  <c r="N95" i="122" s="1"/>
  <c r="O32" i="122"/>
  <c r="O95" i="122" s="1"/>
  <c r="P32" i="122"/>
  <c r="P95" i="122" s="1"/>
  <c r="Q32" i="122"/>
  <c r="Q95" i="122" s="1"/>
  <c r="R32" i="122"/>
  <c r="R95" i="122" s="1"/>
  <c r="G33" i="122"/>
  <c r="G96" i="122" s="1"/>
  <c r="C11" i="165" s="1"/>
  <c r="C15" i="165" s="1"/>
  <c r="H33" i="122"/>
  <c r="H96" i="122" s="1"/>
  <c r="D11" i="165" s="1"/>
  <c r="D15" i="165" s="1"/>
  <c r="I33" i="122"/>
  <c r="I96" i="122" s="1"/>
  <c r="E11" i="165" s="1"/>
  <c r="E15" i="165" s="1"/>
  <c r="J33" i="122"/>
  <c r="J96" i="122" s="1"/>
  <c r="F11" i="165" s="1"/>
  <c r="K33" i="122"/>
  <c r="K96" i="122" s="1"/>
  <c r="G11" i="165" s="1"/>
  <c r="G15" i="165" s="1"/>
  <c r="L33" i="122"/>
  <c r="L96" i="122" s="1"/>
  <c r="H11" i="165" s="1"/>
  <c r="H15" i="165" s="1"/>
  <c r="M33" i="122"/>
  <c r="M96" i="122" s="1"/>
  <c r="I11" i="165" s="1"/>
  <c r="I15" i="165" s="1"/>
  <c r="N33" i="122"/>
  <c r="N96" i="122" s="1"/>
  <c r="J11" i="165" s="1"/>
  <c r="J15" i="165" s="1"/>
  <c r="O33" i="122"/>
  <c r="O96" i="122" s="1"/>
  <c r="K11" i="165" s="1"/>
  <c r="K15" i="165" s="1"/>
  <c r="P33" i="122"/>
  <c r="P96" i="122" s="1"/>
  <c r="L11" i="165" s="1"/>
  <c r="L15" i="165" s="1"/>
  <c r="Q33" i="122"/>
  <c r="Q96" i="122" s="1"/>
  <c r="M11" i="165" s="1"/>
  <c r="M15" i="165" s="1"/>
  <c r="R33" i="122"/>
  <c r="R96" i="122" s="1"/>
  <c r="N11" i="165" s="1"/>
  <c r="G34" i="122"/>
  <c r="G97" i="122" s="1"/>
  <c r="C12" i="164" s="1"/>
  <c r="H34" i="122"/>
  <c r="H97" i="122" s="1"/>
  <c r="D12" i="164" s="1"/>
  <c r="I34" i="122"/>
  <c r="I97" i="122" s="1"/>
  <c r="E12" i="164" s="1"/>
  <c r="J34" i="122"/>
  <c r="J97" i="122" s="1"/>
  <c r="F12" i="164" s="1"/>
  <c r="K34" i="122"/>
  <c r="K97" i="122" s="1"/>
  <c r="G12" i="164" s="1"/>
  <c r="L34" i="122"/>
  <c r="L97" i="122" s="1"/>
  <c r="H12" i="164" s="1"/>
  <c r="M34" i="122"/>
  <c r="M97" i="122" s="1"/>
  <c r="I12" i="164" s="1"/>
  <c r="N34" i="122"/>
  <c r="N97" i="122" s="1"/>
  <c r="J12" i="164" s="1"/>
  <c r="O34" i="122"/>
  <c r="O97" i="122" s="1"/>
  <c r="K12" i="164" s="1"/>
  <c r="P34" i="122"/>
  <c r="P97" i="122" s="1"/>
  <c r="L12" i="164" s="1"/>
  <c r="Q34" i="122"/>
  <c r="Q97" i="122" s="1"/>
  <c r="M12" i="164" s="1"/>
  <c r="R34" i="122"/>
  <c r="R97" i="122" s="1"/>
  <c r="N12" i="164" s="1"/>
  <c r="G37" i="122"/>
  <c r="G98" i="122" s="1"/>
  <c r="C11" i="166" s="1"/>
  <c r="H37" i="122"/>
  <c r="H98" i="122" s="1"/>
  <c r="D11" i="166" s="1"/>
  <c r="I37" i="122"/>
  <c r="I98" i="122" s="1"/>
  <c r="E11" i="166" s="1"/>
  <c r="J37" i="122"/>
  <c r="J98" i="122" s="1"/>
  <c r="F11" i="166" s="1"/>
  <c r="K37" i="122"/>
  <c r="K98" i="122" s="1"/>
  <c r="G11" i="166" s="1"/>
  <c r="L37" i="122"/>
  <c r="L98" i="122" s="1"/>
  <c r="H11" i="166" s="1"/>
  <c r="M37" i="122"/>
  <c r="M98" i="122" s="1"/>
  <c r="I11" i="166" s="1"/>
  <c r="N37" i="122"/>
  <c r="N98" i="122" s="1"/>
  <c r="J11" i="166" s="1"/>
  <c r="O37" i="122"/>
  <c r="O98" i="122" s="1"/>
  <c r="K11" i="166" s="1"/>
  <c r="P37" i="122"/>
  <c r="P98" i="122" s="1"/>
  <c r="L11" i="166" s="1"/>
  <c r="Q37" i="122"/>
  <c r="Q98" i="122" s="1"/>
  <c r="M11" i="166" s="1"/>
  <c r="R37" i="122"/>
  <c r="R98" i="122" s="1"/>
  <c r="N11" i="166" s="1"/>
  <c r="G38" i="122"/>
  <c r="G110" i="122" s="1"/>
  <c r="C11" i="167" s="1"/>
  <c r="H38" i="122"/>
  <c r="H110" i="122" s="1"/>
  <c r="D11" i="167" s="1"/>
  <c r="I38" i="122"/>
  <c r="I110" i="122" s="1"/>
  <c r="E11" i="167" s="1"/>
  <c r="J38" i="122"/>
  <c r="J110" i="122" s="1"/>
  <c r="F11" i="167" s="1"/>
  <c r="K38" i="122"/>
  <c r="K110" i="122" s="1"/>
  <c r="G11" i="167" s="1"/>
  <c r="L38" i="122"/>
  <c r="L110" i="122" s="1"/>
  <c r="H11" i="167" s="1"/>
  <c r="M38" i="122"/>
  <c r="M110" i="122" s="1"/>
  <c r="I11" i="167" s="1"/>
  <c r="N38" i="122"/>
  <c r="N110" i="122" s="1"/>
  <c r="J11" i="167" s="1"/>
  <c r="O38" i="122"/>
  <c r="O110" i="122" s="1"/>
  <c r="K11" i="167" s="1"/>
  <c r="P38" i="122"/>
  <c r="P110" i="122" s="1"/>
  <c r="L11" i="167" s="1"/>
  <c r="Q38" i="122"/>
  <c r="Q110" i="122" s="1"/>
  <c r="M11" i="167" s="1"/>
  <c r="R38" i="122"/>
  <c r="R110" i="122" s="1"/>
  <c r="N11" i="167" s="1"/>
  <c r="G39" i="122"/>
  <c r="G123" i="122" s="1"/>
  <c r="H39" i="122"/>
  <c r="H123" i="122" s="1"/>
  <c r="I39" i="122"/>
  <c r="I123" i="122" s="1"/>
  <c r="J39" i="122"/>
  <c r="J123" i="122" s="1"/>
  <c r="K39" i="122"/>
  <c r="K123" i="122" s="1"/>
  <c r="L39" i="122"/>
  <c r="L123" i="122" s="1"/>
  <c r="M39" i="122"/>
  <c r="M123" i="122" s="1"/>
  <c r="N39" i="122"/>
  <c r="N123" i="122" s="1"/>
  <c r="O39" i="122"/>
  <c r="O123" i="122" s="1"/>
  <c r="P39" i="122"/>
  <c r="P123" i="122" s="1"/>
  <c r="Q39" i="122"/>
  <c r="Q123" i="122" s="1"/>
  <c r="R39" i="122"/>
  <c r="R123" i="122" s="1"/>
  <c r="G40" i="122"/>
  <c r="H40" i="122"/>
  <c r="I40" i="122"/>
  <c r="M40" i="122"/>
  <c r="N40" i="122"/>
  <c r="O40" i="122"/>
  <c r="P40" i="122"/>
  <c r="Q40" i="122"/>
  <c r="G46" i="122"/>
  <c r="H46" i="122"/>
  <c r="I46" i="122"/>
  <c r="J46" i="122"/>
  <c r="K46" i="122"/>
  <c r="L46" i="122"/>
  <c r="M46" i="122"/>
  <c r="N46" i="122"/>
  <c r="O46" i="122"/>
  <c r="P46" i="122"/>
  <c r="Q46" i="122"/>
  <c r="R46" i="122"/>
  <c r="G47" i="122"/>
  <c r="H47" i="122"/>
  <c r="I47" i="122"/>
  <c r="J47" i="122"/>
  <c r="K47" i="122"/>
  <c r="L47" i="122"/>
  <c r="M47" i="122"/>
  <c r="N47" i="122"/>
  <c r="O47" i="122"/>
  <c r="P47" i="122"/>
  <c r="Q47" i="122"/>
  <c r="R47" i="122"/>
  <c r="G48" i="122"/>
  <c r="H48" i="122"/>
  <c r="I48" i="122"/>
  <c r="J48" i="122"/>
  <c r="K48" i="122"/>
  <c r="L48" i="122"/>
  <c r="M48" i="122"/>
  <c r="N48" i="122"/>
  <c r="O48" i="122"/>
  <c r="P48" i="122"/>
  <c r="Q48" i="122"/>
  <c r="R48" i="122"/>
  <c r="G49" i="122"/>
  <c r="H49" i="122"/>
  <c r="I49" i="122"/>
  <c r="J49" i="122"/>
  <c r="K49" i="122"/>
  <c r="L49" i="122"/>
  <c r="M49" i="122"/>
  <c r="N49" i="122"/>
  <c r="O49" i="122"/>
  <c r="P49" i="122"/>
  <c r="Q49" i="122"/>
  <c r="R49" i="122"/>
  <c r="G50" i="122"/>
  <c r="H50" i="122"/>
  <c r="I50" i="122"/>
  <c r="J50" i="122"/>
  <c r="K50" i="122"/>
  <c r="L50" i="122"/>
  <c r="M50" i="122"/>
  <c r="N50" i="122"/>
  <c r="O50" i="122"/>
  <c r="P50" i="122"/>
  <c r="Q50" i="122"/>
  <c r="R50" i="122"/>
  <c r="F47" i="122"/>
  <c r="F48" i="122"/>
  <c r="F49" i="122"/>
  <c r="F50" i="122"/>
  <c r="F46" i="122"/>
  <c r="F38" i="122"/>
  <c r="F110" i="122" s="1"/>
  <c r="B11" i="167" s="1"/>
  <c r="F39" i="122"/>
  <c r="F123" i="122" s="1"/>
  <c r="F37" i="122"/>
  <c r="F98" i="122" s="1"/>
  <c r="B11" i="166" s="1"/>
  <c r="F34" i="122"/>
  <c r="F97" i="122" s="1"/>
  <c r="B12" i="164" s="1"/>
  <c r="F33" i="122"/>
  <c r="F96" i="122" s="1"/>
  <c r="B11" i="165" s="1"/>
  <c r="B15" i="165" s="1"/>
  <c r="F32" i="122"/>
  <c r="F95" i="122" s="1"/>
  <c r="B11" i="164" s="1"/>
  <c r="F28" i="122"/>
  <c r="F109" i="122" s="1"/>
  <c r="B11" i="162" s="1"/>
  <c r="B13" i="162" s="1"/>
  <c r="F29" i="122"/>
  <c r="F122" i="122" s="1"/>
  <c r="B11" i="163" s="1"/>
  <c r="F27" i="122"/>
  <c r="F94" i="122" s="1"/>
  <c r="B11" i="161" s="1"/>
  <c r="B13" i="161" s="1"/>
  <c r="F23" i="122"/>
  <c r="F121" i="122" s="1"/>
  <c r="B11" i="160" s="1"/>
  <c r="B13" i="160" s="1"/>
  <c r="F20" i="122"/>
  <c r="F93" i="122" s="1"/>
  <c r="B12" i="158" s="1"/>
  <c r="F19" i="122"/>
  <c r="F12" i="122"/>
  <c r="F14" i="122"/>
  <c r="F137" i="122" s="1"/>
  <c r="F141" i="122" s="1"/>
  <c r="F11" i="122"/>
  <c r="F10" i="122"/>
  <c r="R79" i="133"/>
  <c r="O79" i="133"/>
  <c r="N79" i="133"/>
  <c r="K79" i="133"/>
  <c r="J79" i="133"/>
  <c r="G79" i="133"/>
  <c r="F79" i="133"/>
  <c r="Q79" i="133"/>
  <c r="P79" i="133"/>
  <c r="M79" i="133"/>
  <c r="L79" i="133"/>
  <c r="I79" i="133"/>
  <c r="H79" i="133"/>
  <c r="L40" i="122" l="1"/>
  <c r="K40" i="122"/>
  <c r="J40" i="122"/>
  <c r="F92" i="122"/>
  <c r="B11" i="158"/>
  <c r="B14" i="158" s="1"/>
  <c r="B19" i="162"/>
  <c r="B18" i="162"/>
  <c r="B20" i="162" s="1"/>
  <c r="B21" i="162" s="1"/>
  <c r="N27" i="176" s="1"/>
  <c r="P27" i="176" s="1"/>
  <c r="Q27" i="176" s="1"/>
  <c r="Y27" i="176" s="1"/>
  <c r="B80" i="162" a="1"/>
  <c r="H11" i="163"/>
  <c r="H11" i="164"/>
  <c r="P92" i="122"/>
  <c r="L11" i="158"/>
  <c r="L14" i="158" s="1"/>
  <c r="L92" i="122"/>
  <c r="H11" i="158"/>
  <c r="H14" i="158" s="1"/>
  <c r="H92" i="122"/>
  <c r="D11" i="158"/>
  <c r="D14" i="158" s="1"/>
  <c r="N11" i="164"/>
  <c r="N11" i="163"/>
  <c r="L11" i="163"/>
  <c r="L11" i="164"/>
  <c r="D11" i="163"/>
  <c r="D11" i="164"/>
  <c r="K11" i="164"/>
  <c r="K11" i="163"/>
  <c r="G11" i="164"/>
  <c r="G11" i="163"/>
  <c r="C11" i="164"/>
  <c r="C11" i="163"/>
  <c r="O92" i="122"/>
  <c r="K11" i="158"/>
  <c r="K14" i="158" s="1"/>
  <c r="K92" i="122"/>
  <c r="G11" i="158"/>
  <c r="G14" i="158" s="1"/>
  <c r="G92" i="122"/>
  <c r="C11" i="158"/>
  <c r="C14" i="158" s="1"/>
  <c r="J11" i="164"/>
  <c r="J11" i="163"/>
  <c r="F11" i="164"/>
  <c r="F11" i="163"/>
  <c r="R92" i="122"/>
  <c r="N11" i="158"/>
  <c r="N14" i="158" s="1"/>
  <c r="C75" i="158" s="1"/>
  <c r="N92" i="122"/>
  <c r="J11" i="158"/>
  <c r="J14" i="158" s="1"/>
  <c r="J92" i="122"/>
  <c r="F11" i="158"/>
  <c r="F14" i="158" s="1"/>
  <c r="M11" i="164"/>
  <c r="M11" i="163"/>
  <c r="I11" i="164"/>
  <c r="I11" i="163"/>
  <c r="E11" i="164"/>
  <c r="E11" i="163"/>
  <c r="B19" i="161"/>
  <c r="B80" i="161" a="1"/>
  <c r="B18" i="161"/>
  <c r="B20" i="161" s="1"/>
  <c r="B21" i="161" s="1"/>
  <c r="B80" i="160" a="1"/>
  <c r="B18" i="160"/>
  <c r="B20" i="160" s="1"/>
  <c r="B21" i="160" s="1"/>
  <c r="N22" i="176" s="1"/>
  <c r="P22" i="176" s="1"/>
  <c r="Q22" i="176" s="1"/>
  <c r="Y22" i="176" s="1"/>
  <c r="B19" i="160"/>
  <c r="Q92" i="122"/>
  <c r="M11" i="158"/>
  <c r="M14" i="158" s="1"/>
  <c r="B75" i="158" s="1"/>
  <c r="M92" i="122"/>
  <c r="I11" i="158"/>
  <c r="I14" i="158" s="1"/>
  <c r="I92" i="122"/>
  <c r="I99" i="122" s="1"/>
  <c r="E11" i="158"/>
  <c r="E14" i="158" s="1"/>
  <c r="Q74" i="122"/>
  <c r="S176" i="122"/>
  <c r="S192" i="122" s="1"/>
  <c r="R192" i="122"/>
  <c r="N192" i="122"/>
  <c r="J176" i="122"/>
  <c r="J192" i="122" s="1"/>
  <c r="O192" i="122"/>
  <c r="K176" i="122"/>
  <c r="K192" i="122" s="1"/>
  <c r="P192" i="122"/>
  <c r="L176" i="122"/>
  <c r="L192" i="122" s="1"/>
  <c r="H176" i="122"/>
  <c r="H192" i="122" s="1"/>
  <c r="Q192" i="122"/>
  <c r="M192" i="122"/>
  <c r="I176" i="122"/>
  <c r="I192" i="122" s="1"/>
  <c r="Q35" i="134"/>
  <c r="Q54" i="134"/>
  <c r="M35" i="134"/>
  <c r="M54" i="134"/>
  <c r="O35" i="134"/>
  <c r="O54" i="134"/>
  <c r="N35" i="134"/>
  <c r="N54" i="134"/>
  <c r="P35" i="134"/>
  <c r="P54" i="134"/>
  <c r="K35" i="134"/>
  <c r="K54" i="134"/>
  <c r="L35" i="134"/>
  <c r="L54" i="134"/>
  <c r="J35" i="134"/>
  <c r="N58" i="129"/>
  <c r="N66" i="129" s="1"/>
  <c r="N69" i="129" s="1"/>
  <c r="N73" i="129" s="1"/>
  <c r="F58" i="129"/>
  <c r="F66" i="129" s="1"/>
  <c r="F69" i="129" s="1"/>
  <c r="F73" i="129" s="1"/>
  <c r="S134" i="122"/>
  <c r="S160" i="122"/>
  <c r="E35" i="134"/>
  <c r="E58" i="129"/>
  <c r="J58" i="129"/>
  <c r="J66" i="129" s="1"/>
  <c r="J69" i="129" s="1"/>
  <c r="J73" i="129" s="1"/>
  <c r="I58" i="129"/>
  <c r="I66" i="129" s="1"/>
  <c r="I69" i="129" s="1"/>
  <c r="I73" i="129" s="1"/>
  <c r="M58" i="129"/>
  <c r="M66" i="129" s="1"/>
  <c r="M69" i="129" s="1"/>
  <c r="M73" i="129" s="1"/>
  <c r="R74" i="122"/>
  <c r="I30" i="122"/>
  <c r="N30" i="122"/>
  <c r="G30" i="122"/>
  <c r="R40" i="122"/>
  <c r="J30" i="122"/>
  <c r="P160" i="122"/>
  <c r="H160" i="122"/>
  <c r="Q160" i="122"/>
  <c r="M160" i="122"/>
  <c r="I160" i="122"/>
  <c r="O160" i="122"/>
  <c r="K160" i="122"/>
  <c r="R30" i="122"/>
  <c r="M30" i="122"/>
  <c r="L160" i="122"/>
  <c r="N160" i="122"/>
  <c r="J160" i="122"/>
  <c r="P124" i="122"/>
  <c r="P30" i="122"/>
  <c r="Q30" i="122"/>
  <c r="L30" i="122"/>
  <c r="R160" i="122"/>
  <c r="O30" i="122"/>
  <c r="K30" i="122"/>
  <c r="H30" i="122"/>
  <c r="G13" i="122"/>
  <c r="G15" i="122" s="1"/>
  <c r="O13" i="122"/>
  <c r="O15" i="122" s="1"/>
  <c r="F124" i="122"/>
  <c r="R134" i="122"/>
  <c r="N134" i="122"/>
  <c r="J134" i="122"/>
  <c r="Q134" i="122"/>
  <c r="M134" i="122"/>
  <c r="I134" i="122"/>
  <c r="K134" i="122"/>
  <c r="G134" i="122"/>
  <c r="P134" i="122"/>
  <c r="L134" i="122"/>
  <c r="H134" i="122"/>
  <c r="O134" i="122"/>
  <c r="M124" i="122"/>
  <c r="R124" i="122"/>
  <c r="J124" i="122"/>
  <c r="J127" i="122" s="1"/>
  <c r="K172" i="122" s="1"/>
  <c r="K188" i="122" s="1"/>
  <c r="O124" i="122"/>
  <c r="K124" i="122"/>
  <c r="G124" i="122"/>
  <c r="Q124" i="122"/>
  <c r="I124" i="122"/>
  <c r="N124" i="122"/>
  <c r="L124" i="122"/>
  <c r="L127" i="122" s="1"/>
  <c r="H124" i="122"/>
  <c r="N99" i="122"/>
  <c r="K99" i="122"/>
  <c r="Q99" i="122"/>
  <c r="M99" i="122"/>
  <c r="R99" i="122"/>
  <c r="J99" i="122"/>
  <c r="J104" i="122" s="1"/>
  <c r="F99" i="122"/>
  <c r="O99" i="122"/>
  <c r="G99" i="122"/>
  <c r="P99" i="122"/>
  <c r="L99" i="122"/>
  <c r="L104" i="122" s="1"/>
  <c r="H99" i="122"/>
  <c r="F30" i="122"/>
  <c r="K13" i="122"/>
  <c r="K15" i="122" s="1"/>
  <c r="F40" i="122"/>
  <c r="J13" i="122"/>
  <c r="J15" i="122" s="1"/>
  <c r="M13" i="122"/>
  <c r="M15" i="122" s="1"/>
  <c r="N13" i="122"/>
  <c r="N15" i="122" s="1"/>
  <c r="Q13" i="122"/>
  <c r="Q15" i="122" s="1"/>
  <c r="I13" i="122"/>
  <c r="I15" i="122" s="1"/>
  <c r="O58" i="129"/>
  <c r="O66" i="129" s="1"/>
  <c r="O69" i="129" s="1"/>
  <c r="O73" i="129" s="1"/>
  <c r="K58" i="129"/>
  <c r="K66" i="129" s="1"/>
  <c r="K69" i="129" s="1"/>
  <c r="K73" i="129" s="1"/>
  <c r="G58" i="129"/>
  <c r="G66" i="129" s="1"/>
  <c r="G69" i="129" s="1"/>
  <c r="G73" i="129" s="1"/>
  <c r="Q58" i="129"/>
  <c r="Q65" i="129"/>
  <c r="F13" i="122"/>
  <c r="F15" i="122" s="1"/>
  <c r="P13" i="122"/>
  <c r="P15" i="122" s="1"/>
  <c r="L13" i="122"/>
  <c r="L15" i="122" s="1"/>
  <c r="H13" i="122"/>
  <c r="H15" i="122" s="1"/>
  <c r="L58" i="129"/>
  <c r="L66" i="129" s="1"/>
  <c r="L69" i="129" s="1"/>
  <c r="L73" i="129" s="1"/>
  <c r="H58" i="129"/>
  <c r="H66" i="129" s="1"/>
  <c r="H69" i="129" s="1"/>
  <c r="H73" i="129" s="1"/>
  <c r="P65" i="129"/>
  <c r="P58" i="129"/>
  <c r="E75" i="120"/>
  <c r="E77" i="120" s="1"/>
  <c r="E81" i="120" s="1"/>
  <c r="R15" i="122"/>
  <c r="N26" i="175" l="1"/>
  <c r="P26" i="175" s="1"/>
  <c r="N26" i="176"/>
  <c r="P26" i="176" s="1"/>
  <c r="Q26" i="176" s="1"/>
  <c r="N26" i="120"/>
  <c r="N27" i="120"/>
  <c r="N27" i="175"/>
  <c r="P27" i="175" s="1"/>
  <c r="Q27" i="175" s="1"/>
  <c r="Y27" i="175" s="1"/>
  <c r="N22" i="120"/>
  <c r="N22" i="175"/>
  <c r="P22" i="175" s="1"/>
  <c r="Q22" i="175" s="1"/>
  <c r="Y22" i="175" s="1"/>
  <c r="C84" i="161"/>
  <c r="B82" i="161"/>
  <c r="B81" i="161"/>
  <c r="B84" i="161"/>
  <c r="C81" i="161"/>
  <c r="C82" i="161"/>
  <c r="B80" i="161"/>
  <c r="C83" i="161"/>
  <c r="C80" i="161"/>
  <c r="B83" i="161"/>
  <c r="B79" i="158" a="1"/>
  <c r="B19" i="158"/>
  <c r="B21" i="158" s="1"/>
  <c r="B22" i="158" s="1"/>
  <c r="B20" i="158"/>
  <c r="C80" i="160"/>
  <c r="C82" i="160"/>
  <c r="B81" i="160"/>
  <c r="C83" i="160"/>
  <c r="C84" i="160"/>
  <c r="B80" i="160"/>
  <c r="B84" i="160"/>
  <c r="B83" i="160"/>
  <c r="C81" i="160"/>
  <c r="B82" i="160"/>
  <c r="C84" i="162"/>
  <c r="C82" i="162"/>
  <c r="C81" i="162"/>
  <c r="B81" i="162"/>
  <c r="B83" i="162"/>
  <c r="B82" i="162"/>
  <c r="C80" i="162"/>
  <c r="C83" i="162"/>
  <c r="B84" i="162"/>
  <c r="B80" i="162"/>
  <c r="M166" i="122"/>
  <c r="M182" i="122" s="1"/>
  <c r="M172" i="122"/>
  <c r="M188" i="122" s="1"/>
  <c r="Q66" i="129"/>
  <c r="Q69" i="129" s="1"/>
  <c r="Q73" i="129" s="1"/>
  <c r="P66" i="129"/>
  <c r="P69" i="129" s="1"/>
  <c r="P73" i="129" s="1"/>
  <c r="N18" i="175" l="1"/>
  <c r="P18" i="175" s="1"/>
  <c r="N18" i="176"/>
  <c r="P18" i="176" s="1"/>
  <c r="Q18" i="176" s="1"/>
  <c r="N18" i="120"/>
  <c r="Y26" i="176"/>
  <c r="Q26" i="175"/>
  <c r="B87" i="161"/>
  <c r="B88" i="161" s="1"/>
  <c r="B87" i="162"/>
  <c r="B88" i="162" s="1"/>
  <c r="B87" i="160"/>
  <c r="B88" i="160" s="1"/>
  <c r="B80" i="158"/>
  <c r="C82" i="158"/>
  <c r="B79" i="158"/>
  <c r="B83" i="158"/>
  <c r="C83" i="158"/>
  <c r="C80" i="158"/>
  <c r="B82" i="158"/>
  <c r="C79" i="158"/>
  <c r="C81" i="158"/>
  <c r="B81" i="158"/>
  <c r="Q17" i="130"/>
  <c r="Q19" i="130" s="1"/>
  <c r="P17" i="130"/>
  <c r="O17" i="130"/>
  <c r="N17" i="130"/>
  <c r="M17" i="130"/>
  <c r="L17" i="130"/>
  <c r="K17" i="130"/>
  <c r="J17" i="130"/>
  <c r="I17" i="130"/>
  <c r="H17" i="130"/>
  <c r="H19" i="130" s="1"/>
  <c r="I139" i="122" s="1"/>
  <c r="G17" i="130"/>
  <c r="G19" i="130" s="1"/>
  <c r="H139" i="122" s="1"/>
  <c r="F17" i="130"/>
  <c r="H16" i="130"/>
  <c r="I140" i="122" s="1"/>
  <c r="G16" i="130"/>
  <c r="H140" i="122" s="1"/>
  <c r="Q10" i="130"/>
  <c r="P10" i="130"/>
  <c r="O10" i="130"/>
  <c r="N10" i="130"/>
  <c r="M10" i="130"/>
  <c r="L10" i="130"/>
  <c r="K10" i="130"/>
  <c r="J10" i="130"/>
  <c r="I10" i="130"/>
  <c r="H10" i="130"/>
  <c r="G10" i="130"/>
  <c r="F10" i="130"/>
  <c r="E10" i="130"/>
  <c r="R63" i="122"/>
  <c r="N11" i="169" s="1"/>
  <c r="N15" i="169" s="1"/>
  <c r="G74" i="169" s="1"/>
  <c r="R65" i="122"/>
  <c r="N11" i="171" s="1"/>
  <c r="N15" i="171" s="1"/>
  <c r="G76" i="171" s="1"/>
  <c r="Q65" i="122"/>
  <c r="M11" i="171" s="1"/>
  <c r="M15" i="171" s="1"/>
  <c r="F76" i="171" s="1"/>
  <c r="Q63" i="122"/>
  <c r="M11" i="169" s="1"/>
  <c r="M15" i="169" s="1"/>
  <c r="F74" i="169" s="1"/>
  <c r="G80" i="122"/>
  <c r="H80" i="122"/>
  <c r="I80" i="122"/>
  <c r="J80" i="122"/>
  <c r="K80" i="122"/>
  <c r="L80" i="122"/>
  <c r="M80" i="122"/>
  <c r="N80" i="122"/>
  <c r="O80" i="122"/>
  <c r="P80" i="122"/>
  <c r="F80" i="122"/>
  <c r="R80" i="122"/>
  <c r="Q62" i="122"/>
  <c r="M11" i="168" s="1"/>
  <c r="M15" i="168" s="1"/>
  <c r="B76" i="168" s="1"/>
  <c r="R62" i="122"/>
  <c r="N11" i="168" s="1"/>
  <c r="N15" i="168" s="1"/>
  <c r="C76" i="168" s="1"/>
  <c r="Q64" i="122"/>
  <c r="M11" i="170" s="1"/>
  <c r="M15" i="170" s="1"/>
  <c r="F75" i="170" s="1"/>
  <c r="R64" i="122"/>
  <c r="N11" i="170" s="1"/>
  <c r="N15" i="170" s="1"/>
  <c r="G75" i="170" s="1"/>
  <c r="Q66" i="122"/>
  <c r="M11" i="172" s="1"/>
  <c r="M15" i="172" s="1"/>
  <c r="F76" i="172" s="1"/>
  <c r="R66" i="122"/>
  <c r="N11" i="172" s="1"/>
  <c r="N15" i="172" s="1"/>
  <c r="G76" i="172" s="1"/>
  <c r="G62" i="122"/>
  <c r="C11" i="168" s="1"/>
  <c r="H62" i="122"/>
  <c r="D11" i="168" s="1"/>
  <c r="I62" i="122"/>
  <c r="E11" i="168" s="1"/>
  <c r="J62" i="122"/>
  <c r="F11" i="168" s="1"/>
  <c r="K62" i="122"/>
  <c r="G11" i="168" s="1"/>
  <c r="M62" i="122"/>
  <c r="I11" i="168" s="1"/>
  <c r="I15" i="168" s="1"/>
  <c r="N62" i="122"/>
  <c r="J11" i="168" s="1"/>
  <c r="J15" i="168" s="1"/>
  <c r="O62" i="122"/>
  <c r="K11" i="168" s="1"/>
  <c r="K15" i="168" s="1"/>
  <c r="P62" i="122"/>
  <c r="L11" i="168" s="1"/>
  <c r="L15" i="168" s="1"/>
  <c r="G64" i="122"/>
  <c r="C11" i="170" s="1"/>
  <c r="H64" i="122"/>
  <c r="D11" i="170" s="1"/>
  <c r="I64" i="122"/>
  <c r="E11" i="170" s="1"/>
  <c r="J64" i="122"/>
  <c r="F11" i="170" s="1"/>
  <c r="K64" i="122"/>
  <c r="G11" i="170" s="1"/>
  <c r="M64" i="122"/>
  <c r="I11" i="170" s="1"/>
  <c r="I15" i="170" s="1"/>
  <c r="B75" i="170" s="1"/>
  <c r="N64" i="122"/>
  <c r="J11" i="170" s="1"/>
  <c r="J15" i="170" s="1"/>
  <c r="C75" i="170" s="1"/>
  <c r="O64" i="122"/>
  <c r="K11" i="170" s="1"/>
  <c r="K15" i="170" s="1"/>
  <c r="D75" i="170" s="1"/>
  <c r="P64" i="122"/>
  <c r="L11" i="170" s="1"/>
  <c r="L15" i="170" s="1"/>
  <c r="E75" i="170" s="1"/>
  <c r="G66" i="122"/>
  <c r="C11" i="172" s="1"/>
  <c r="H66" i="122"/>
  <c r="D11" i="172" s="1"/>
  <c r="I66" i="122"/>
  <c r="E11" i="172" s="1"/>
  <c r="J66" i="122"/>
  <c r="F11" i="172" s="1"/>
  <c r="K66" i="122"/>
  <c r="G11" i="172" s="1"/>
  <c r="M66" i="122"/>
  <c r="I11" i="172" s="1"/>
  <c r="I15" i="172" s="1"/>
  <c r="B76" i="172" s="1"/>
  <c r="N66" i="122"/>
  <c r="J11" i="172" s="1"/>
  <c r="J15" i="172" s="1"/>
  <c r="C76" i="172" s="1"/>
  <c r="O66" i="122"/>
  <c r="K11" i="172" s="1"/>
  <c r="K15" i="172" s="1"/>
  <c r="D76" i="172" s="1"/>
  <c r="P66" i="122"/>
  <c r="L11" i="172" s="1"/>
  <c r="L15" i="172" s="1"/>
  <c r="E76" i="172" s="1"/>
  <c r="O74" i="129"/>
  <c r="J74" i="129"/>
  <c r="I74" i="129"/>
  <c r="G74" i="129"/>
  <c r="H74" i="129"/>
  <c r="L74" i="129"/>
  <c r="M74" i="129"/>
  <c r="N74" i="129"/>
  <c r="P74" i="129"/>
  <c r="Q74" i="129"/>
  <c r="F66" i="122"/>
  <c r="B11" i="172" s="1"/>
  <c r="F64" i="122"/>
  <c r="B11" i="170" s="1"/>
  <c r="F62" i="122"/>
  <c r="B11" i="168" s="1"/>
  <c r="L64" i="122"/>
  <c r="H11" i="170" s="1"/>
  <c r="L66" i="122"/>
  <c r="H11" i="172" s="1"/>
  <c r="L62" i="122"/>
  <c r="H11" i="168" s="1"/>
  <c r="K74" i="129"/>
  <c r="E66" i="129"/>
  <c r="F104" i="129"/>
  <c r="G63" i="122" s="1"/>
  <c r="C11" i="169" s="1"/>
  <c r="G104" i="129"/>
  <c r="H63" i="122" s="1"/>
  <c r="D11" i="169" s="1"/>
  <c r="H104" i="129"/>
  <c r="I63" i="122" s="1"/>
  <c r="E11" i="169" s="1"/>
  <c r="I104" i="129"/>
  <c r="J63" i="122" s="1"/>
  <c r="F11" i="169" s="1"/>
  <c r="J104" i="129"/>
  <c r="K63" i="122" s="1"/>
  <c r="G11" i="169" s="1"/>
  <c r="K104" i="129"/>
  <c r="L63" i="122" s="1"/>
  <c r="H11" i="169" s="1"/>
  <c r="L104" i="129"/>
  <c r="M63" i="122" s="1"/>
  <c r="I11" i="169" s="1"/>
  <c r="I15" i="169" s="1"/>
  <c r="B74" i="169" s="1"/>
  <c r="M104" i="129"/>
  <c r="N63" i="122" s="1"/>
  <c r="J11" i="169" s="1"/>
  <c r="J15" i="169" s="1"/>
  <c r="C74" i="169" s="1"/>
  <c r="F105" i="129"/>
  <c r="G65" i="122" s="1"/>
  <c r="C11" i="171" s="1"/>
  <c r="G105" i="129"/>
  <c r="H65" i="122" s="1"/>
  <c r="D11" i="171" s="1"/>
  <c r="H105" i="129"/>
  <c r="I65" i="122" s="1"/>
  <c r="E11" i="171" s="1"/>
  <c r="I105" i="129"/>
  <c r="J65" i="122" s="1"/>
  <c r="F11" i="171" s="1"/>
  <c r="J105" i="129"/>
  <c r="K65" i="122" s="1"/>
  <c r="G11" i="171" s="1"/>
  <c r="K105" i="129"/>
  <c r="L65" i="122" s="1"/>
  <c r="H11" i="171" s="1"/>
  <c r="L105" i="129"/>
  <c r="M65" i="122" s="1"/>
  <c r="I11" i="171" s="1"/>
  <c r="I15" i="171" s="1"/>
  <c r="B76" i="171" s="1"/>
  <c r="M105" i="129"/>
  <c r="N65" i="122" s="1"/>
  <c r="J11" i="171" s="1"/>
  <c r="J15" i="171" s="1"/>
  <c r="C76" i="171" s="1"/>
  <c r="N105" i="129"/>
  <c r="O65" i="122" s="1"/>
  <c r="K11" i="171" s="1"/>
  <c r="K15" i="171" s="1"/>
  <c r="D76" i="171" s="1"/>
  <c r="O105" i="129"/>
  <c r="P65" i="122" s="1"/>
  <c r="L11" i="171" s="1"/>
  <c r="L15" i="171" s="1"/>
  <c r="E76" i="171" s="1"/>
  <c r="F106" i="129"/>
  <c r="G74" i="122" s="1"/>
  <c r="G106" i="129"/>
  <c r="H74" i="122" s="1"/>
  <c r="H106" i="129"/>
  <c r="I74" i="122" s="1"/>
  <c r="I106" i="129"/>
  <c r="J74" i="122" s="1"/>
  <c r="J106" i="129"/>
  <c r="K74" i="122" s="1"/>
  <c r="K106" i="129"/>
  <c r="L74" i="122" s="1"/>
  <c r="L106" i="129"/>
  <c r="M74" i="122" s="1"/>
  <c r="M106" i="129"/>
  <c r="N74" i="122" s="1"/>
  <c r="N106" i="129"/>
  <c r="O74" i="122" s="1"/>
  <c r="O106" i="129"/>
  <c r="P74" i="122" s="1"/>
  <c r="F107" i="129"/>
  <c r="G77" i="122" s="1"/>
  <c r="C11" i="173" s="1"/>
  <c r="C14" i="173" s="1"/>
  <c r="G107" i="129"/>
  <c r="H77" i="122" s="1"/>
  <c r="D11" i="173" s="1"/>
  <c r="D14" i="173" s="1"/>
  <c r="H107" i="129"/>
  <c r="I77" i="122" s="1"/>
  <c r="E11" i="173" s="1"/>
  <c r="E14" i="173" s="1"/>
  <c r="I107" i="129"/>
  <c r="J77" i="122" s="1"/>
  <c r="F11" i="173" s="1"/>
  <c r="F14" i="173" s="1"/>
  <c r="J107" i="129"/>
  <c r="K77" i="122" s="1"/>
  <c r="G11" i="173" s="1"/>
  <c r="G14" i="173" s="1"/>
  <c r="K107" i="129"/>
  <c r="L77" i="122" s="1"/>
  <c r="H11" i="173" s="1"/>
  <c r="H14" i="173" s="1"/>
  <c r="L107" i="129"/>
  <c r="M77" i="122" s="1"/>
  <c r="I11" i="173" s="1"/>
  <c r="I14" i="173" s="1"/>
  <c r="M107" i="129"/>
  <c r="N77" i="122" s="1"/>
  <c r="J11" i="173" s="1"/>
  <c r="J14" i="173" s="1"/>
  <c r="F108" i="129"/>
  <c r="G108" i="129"/>
  <c r="H108" i="129"/>
  <c r="I108" i="129"/>
  <c r="J108" i="129"/>
  <c r="K108" i="129"/>
  <c r="L108" i="129"/>
  <c r="M108" i="129"/>
  <c r="N108" i="129"/>
  <c r="O108" i="129"/>
  <c r="E107" i="129"/>
  <c r="F77" i="122" s="1"/>
  <c r="B11" i="173" s="1"/>
  <c r="B14" i="173" s="1"/>
  <c r="E106" i="129"/>
  <c r="F74" i="122" s="1"/>
  <c r="E105" i="129"/>
  <c r="F65" i="122" s="1"/>
  <c r="B11" i="171" s="1"/>
  <c r="E104" i="129"/>
  <c r="F63" i="122" s="1"/>
  <c r="B11" i="169" s="1"/>
  <c r="N94" i="129"/>
  <c r="N107" i="129" s="1"/>
  <c r="O77" i="122" s="1"/>
  <c r="K11" i="173" s="1"/>
  <c r="K14" i="173" s="1"/>
  <c r="N92" i="129"/>
  <c r="N104" i="129" s="1"/>
  <c r="O63" i="122" s="1"/>
  <c r="K11" i="169" s="1"/>
  <c r="K15" i="169" s="1"/>
  <c r="D74" i="169" s="1"/>
  <c r="E108" i="129"/>
  <c r="M103" i="129"/>
  <c r="N79" i="122" s="1"/>
  <c r="L103" i="129"/>
  <c r="M79" i="122" s="1"/>
  <c r="K103" i="129"/>
  <c r="L79" i="122" s="1"/>
  <c r="J103" i="129"/>
  <c r="K79" i="122" s="1"/>
  <c r="I103" i="129"/>
  <c r="J79" i="122" s="1"/>
  <c r="H103" i="129"/>
  <c r="I79" i="122" s="1"/>
  <c r="G103" i="129"/>
  <c r="H79" i="122" s="1"/>
  <c r="F103" i="129"/>
  <c r="G79" i="122" s="1"/>
  <c r="E103" i="129"/>
  <c r="F79" i="122" s="1"/>
  <c r="O94" i="129"/>
  <c r="O107" i="129" s="1"/>
  <c r="P77" i="122" s="1"/>
  <c r="L11" i="173" s="1"/>
  <c r="L14" i="173" s="1"/>
  <c r="O92" i="129"/>
  <c r="Q94" i="129"/>
  <c r="Q93" i="129"/>
  <c r="P100" i="129"/>
  <c r="P94" i="129"/>
  <c r="P92" i="129"/>
  <c r="T24" i="94"/>
  <c r="Q116" i="122" s="1"/>
  <c r="J16" i="129"/>
  <c r="I16" i="129"/>
  <c r="H16" i="129"/>
  <c r="G16" i="129"/>
  <c r="F16" i="129"/>
  <c r="E16" i="129"/>
  <c r="Q16" i="129"/>
  <c r="Q20" i="129" s="1"/>
  <c r="Q23" i="129"/>
  <c r="P23" i="129"/>
  <c r="P16" i="129"/>
  <c r="O23" i="129"/>
  <c r="O16" i="129"/>
  <c r="N23" i="129"/>
  <c r="N16" i="129"/>
  <c r="M23" i="129"/>
  <c r="M43" i="129" s="1"/>
  <c r="M16" i="129"/>
  <c r="L23" i="129"/>
  <c r="L43" i="129" s="1"/>
  <c r="L16" i="129"/>
  <c r="K23" i="129"/>
  <c r="K16" i="129"/>
  <c r="J23" i="129"/>
  <c r="J43" i="129" s="1"/>
  <c r="I23" i="129"/>
  <c r="H23" i="129"/>
  <c r="G23" i="129"/>
  <c r="F23" i="129"/>
  <c r="E23" i="129"/>
  <c r="Q35" i="129"/>
  <c r="Q34" i="129"/>
  <c r="Q31" i="129"/>
  <c r="P31" i="129"/>
  <c r="P18" i="129"/>
  <c r="O33" i="129"/>
  <c r="O18" i="129"/>
  <c r="O31" i="129"/>
  <c r="N18" i="129"/>
  <c r="N20" i="129" s="1"/>
  <c r="N31" i="129"/>
  <c r="M18" i="129"/>
  <c r="L17" i="129"/>
  <c r="L18" i="129"/>
  <c r="K28" i="129"/>
  <c r="K18" i="129"/>
  <c r="K17" i="129"/>
  <c r="J18" i="129"/>
  <c r="I28" i="129"/>
  <c r="I18" i="129"/>
  <c r="I22" i="129"/>
  <c r="I17" i="129"/>
  <c r="H22" i="129"/>
  <c r="H43" i="129" s="1"/>
  <c r="H18" i="129"/>
  <c r="H17" i="129"/>
  <c r="G26" i="129"/>
  <c r="G22" i="129"/>
  <c r="G18" i="129"/>
  <c r="G17" i="129"/>
  <c r="F25" i="129"/>
  <c r="F26" i="129"/>
  <c r="F27" i="129"/>
  <c r="F22" i="129"/>
  <c r="F17" i="129"/>
  <c r="F18" i="129"/>
  <c r="E26" i="129"/>
  <c r="E22" i="129"/>
  <c r="E25" i="129"/>
  <c r="E24" i="129"/>
  <c r="E18" i="129"/>
  <c r="E17" i="129"/>
  <c r="U35" i="91"/>
  <c r="N12" i="165" s="1"/>
  <c r="N15" i="165" s="1"/>
  <c r="B76" i="165" s="1"/>
  <c r="Y18" i="176" l="1"/>
  <c r="Q18" i="175"/>
  <c r="Y26" i="175"/>
  <c r="B20" i="165"/>
  <c r="B22" i="165" s="1"/>
  <c r="B80" i="165" a="1"/>
  <c r="B21" i="165"/>
  <c r="K22" i="122"/>
  <c r="G12" i="159"/>
  <c r="G14" i="159" s="1"/>
  <c r="N43" i="129"/>
  <c r="M22" i="122"/>
  <c r="I12" i="159"/>
  <c r="I14" i="159" s="1"/>
  <c r="B76" i="159" s="1"/>
  <c r="K43" i="129"/>
  <c r="H12" i="159" s="1"/>
  <c r="H14" i="159" s="1"/>
  <c r="I22" i="122"/>
  <c r="E12" i="159"/>
  <c r="E14" i="159" s="1"/>
  <c r="I20" i="129"/>
  <c r="P20" i="129"/>
  <c r="N22" i="122"/>
  <c r="J12" i="159"/>
  <c r="J14" i="159" s="1"/>
  <c r="C76" i="159" s="1"/>
  <c r="D12" i="171"/>
  <c r="D15" i="171" s="1"/>
  <c r="D12" i="169"/>
  <c r="D15" i="169" s="1"/>
  <c r="D12" i="170"/>
  <c r="D15" i="170" s="1"/>
  <c r="D12" i="168"/>
  <c r="D15" i="168" s="1"/>
  <c r="D12" i="172"/>
  <c r="F12" i="169"/>
  <c r="F15" i="169" s="1"/>
  <c r="F12" i="168"/>
  <c r="F12" i="171"/>
  <c r="F15" i="171" s="1"/>
  <c r="F12" i="172"/>
  <c r="F15" i="172" s="1"/>
  <c r="F12" i="170"/>
  <c r="B12" i="169"/>
  <c r="B15" i="169" s="1"/>
  <c r="B12" i="171"/>
  <c r="B15" i="171" s="1"/>
  <c r="B12" i="168"/>
  <c r="B15" i="168" s="1"/>
  <c r="B12" i="172"/>
  <c r="B15" i="172" s="1"/>
  <c r="B12" i="170"/>
  <c r="B15" i="170" s="1"/>
  <c r="G12" i="172"/>
  <c r="G15" i="172" s="1"/>
  <c r="G12" i="168"/>
  <c r="G15" i="168" s="1"/>
  <c r="G12" i="170"/>
  <c r="G15" i="170" s="1"/>
  <c r="G12" i="171"/>
  <c r="G15" i="171" s="1"/>
  <c r="G12" i="169"/>
  <c r="G15" i="169" s="1"/>
  <c r="C12" i="172"/>
  <c r="C15" i="172" s="1"/>
  <c r="C12" i="168"/>
  <c r="C15" i="168" s="1"/>
  <c r="C12" i="171"/>
  <c r="C15" i="171" s="1"/>
  <c r="C12" i="170"/>
  <c r="C15" i="170" s="1"/>
  <c r="C12" i="169"/>
  <c r="C15" i="169" s="1"/>
  <c r="B80" i="171" a="1"/>
  <c r="B20" i="171"/>
  <c r="B22" i="171" s="1"/>
  <c r="B23" i="171" s="1"/>
  <c r="N64" i="176" s="1"/>
  <c r="B21" i="171"/>
  <c r="H12" i="171"/>
  <c r="H15" i="171" s="1"/>
  <c r="H12" i="170"/>
  <c r="H15" i="170" s="1"/>
  <c r="H12" i="169"/>
  <c r="H15" i="169" s="1"/>
  <c r="H12" i="172"/>
  <c r="H15" i="172" s="1"/>
  <c r="H12" i="168"/>
  <c r="H15" i="168" s="1"/>
  <c r="F15" i="170"/>
  <c r="B86" i="158"/>
  <c r="B87" i="158" s="1"/>
  <c r="B21" i="172"/>
  <c r="B80" i="172" a="1"/>
  <c r="B20" i="172"/>
  <c r="B22" i="172" s="1"/>
  <c r="B23" i="172" s="1"/>
  <c r="N65" i="176" s="1"/>
  <c r="D15" i="172"/>
  <c r="F15" i="168"/>
  <c r="E12" i="170"/>
  <c r="E15" i="170" s="1"/>
  <c r="E12" i="169"/>
  <c r="E15" i="169" s="1"/>
  <c r="E12" i="172"/>
  <c r="E15" i="172" s="1"/>
  <c r="E12" i="168"/>
  <c r="E15" i="168" s="1"/>
  <c r="E12" i="171"/>
  <c r="E15" i="171" s="1"/>
  <c r="B79" i="170" a="1"/>
  <c r="B21" i="170"/>
  <c r="B20" i="170"/>
  <c r="B22" i="170" s="1"/>
  <c r="B23" i="170" s="1"/>
  <c r="N63" i="176" s="1"/>
  <c r="B80" i="168" a="1"/>
  <c r="B21" i="168"/>
  <c r="B20" i="168"/>
  <c r="B22" i="168" s="1"/>
  <c r="B23" i="168" s="1"/>
  <c r="G20" i="129"/>
  <c r="P43" i="129"/>
  <c r="Q22" i="122" s="1"/>
  <c r="J20" i="129"/>
  <c r="J45" i="129" s="1"/>
  <c r="J46" i="129" s="1"/>
  <c r="O103" i="129"/>
  <c r="P79" i="122" s="1"/>
  <c r="G43" i="129"/>
  <c r="N103" i="129"/>
  <c r="O79" i="122" s="1"/>
  <c r="M20" i="129"/>
  <c r="M45" i="129" s="1"/>
  <c r="M46" i="129" s="1"/>
  <c r="O20" i="129"/>
  <c r="N115" i="122"/>
  <c r="N117" i="122" s="1"/>
  <c r="N21" i="122"/>
  <c r="K21" i="122"/>
  <c r="K115" i="122"/>
  <c r="K117" i="122" s="1"/>
  <c r="E20" i="129"/>
  <c r="F43" i="129"/>
  <c r="F48" i="129" s="1"/>
  <c r="H20" i="129"/>
  <c r="I43" i="129"/>
  <c r="K20" i="129"/>
  <c r="K45" i="129" s="1"/>
  <c r="K46" i="129" s="1"/>
  <c r="L20" i="129"/>
  <c r="L45" i="129" s="1"/>
  <c r="O43" i="129"/>
  <c r="I115" i="122"/>
  <c r="I117" i="122" s="1"/>
  <c r="I21" i="122"/>
  <c r="K48" i="129"/>
  <c r="L22" i="122"/>
  <c r="E43" i="129"/>
  <c r="M21" i="122"/>
  <c r="M115" i="122"/>
  <c r="M117" i="122" s="1"/>
  <c r="R139" i="122"/>
  <c r="R141" i="122" s="1"/>
  <c r="S178" i="122" s="1"/>
  <c r="S194" i="122" s="1"/>
  <c r="L19" i="130"/>
  <c r="L21" i="130"/>
  <c r="L23" i="130" s="1"/>
  <c r="I141" i="122"/>
  <c r="J178" i="122" s="1"/>
  <c r="J194" i="122" s="1"/>
  <c r="H21" i="130"/>
  <c r="H23" i="130" s="1"/>
  <c r="I19" i="130"/>
  <c r="I21" i="130"/>
  <c r="I23" i="130" s="1"/>
  <c r="M19" i="130"/>
  <c r="M21" i="130"/>
  <c r="M23" i="130" s="1"/>
  <c r="H141" i="122"/>
  <c r="I178" i="122" s="1"/>
  <c r="I194" i="122" s="1"/>
  <c r="G21" i="130"/>
  <c r="G23" i="130" s="1"/>
  <c r="P19" i="130"/>
  <c r="P21" i="130"/>
  <c r="P23" i="130" s="1"/>
  <c r="K19" i="130"/>
  <c r="K21" i="130"/>
  <c r="K23" i="130" s="1"/>
  <c r="O19" i="130"/>
  <c r="O21" i="130"/>
  <c r="O23" i="130" s="1"/>
  <c r="F19" i="130"/>
  <c r="F23" i="130"/>
  <c r="J19" i="130"/>
  <c r="J21" i="130"/>
  <c r="J23" i="130" s="1"/>
  <c r="N19" i="130"/>
  <c r="N21" i="130"/>
  <c r="N23" i="130" s="1"/>
  <c r="Q21" i="130"/>
  <c r="Q23" i="130" s="1"/>
  <c r="E69" i="129"/>
  <c r="E73" i="129" s="1"/>
  <c r="E74" i="129" s="1"/>
  <c r="J67" i="122"/>
  <c r="F67" i="122"/>
  <c r="O67" i="122"/>
  <c r="N67" i="122"/>
  <c r="I67" i="122"/>
  <c r="K67" i="122"/>
  <c r="G67" i="122"/>
  <c r="Q67" i="122"/>
  <c r="M67" i="122"/>
  <c r="H67" i="122"/>
  <c r="R67" i="122"/>
  <c r="L67" i="122"/>
  <c r="F74" i="129"/>
  <c r="P103" i="129"/>
  <c r="Q103" i="129"/>
  <c r="O104" i="129"/>
  <c r="P63" i="122" s="1"/>
  <c r="F20" i="129"/>
  <c r="Q43" i="129"/>
  <c r="Q45" i="129" s="1"/>
  <c r="Q46" i="129" s="1"/>
  <c r="G48" i="129"/>
  <c r="H48" i="129"/>
  <c r="N45" i="129"/>
  <c r="N46" i="129" s="1"/>
  <c r="N48" i="129"/>
  <c r="G45" i="129"/>
  <c r="G46" i="129" s="1"/>
  <c r="H45" i="129"/>
  <c r="H46" i="129" s="1"/>
  <c r="L46" i="129"/>
  <c r="M48" i="129"/>
  <c r="L48" i="129"/>
  <c r="J48" i="129"/>
  <c r="N71" i="176" l="1"/>
  <c r="P71" i="176" s="1"/>
  <c r="Q71" i="176" s="1"/>
  <c r="Y71" i="176" s="1"/>
  <c r="P64" i="176"/>
  <c r="Q64" i="176" s="1"/>
  <c r="Y64" i="176" s="1"/>
  <c r="N61" i="175"/>
  <c r="N68" i="175" s="1"/>
  <c r="P68" i="175" s="1"/>
  <c r="N61" i="176"/>
  <c r="N70" i="176"/>
  <c r="P70" i="176" s="1"/>
  <c r="Q70" i="176" s="1"/>
  <c r="Y70" i="176" s="1"/>
  <c r="P63" i="176"/>
  <c r="Q63" i="176" s="1"/>
  <c r="Y63" i="176" s="1"/>
  <c r="N72" i="176"/>
  <c r="P72" i="176" s="1"/>
  <c r="Q72" i="176" s="1"/>
  <c r="Y72" i="176" s="1"/>
  <c r="P65" i="176"/>
  <c r="Q65" i="176" s="1"/>
  <c r="Y65" i="176" s="1"/>
  <c r="N64" i="120"/>
  <c r="N64" i="175"/>
  <c r="N63" i="120"/>
  <c r="N63" i="175"/>
  <c r="N65" i="120"/>
  <c r="N65" i="175"/>
  <c r="Y18" i="175"/>
  <c r="N61" i="120"/>
  <c r="N68" i="120" s="1"/>
  <c r="P68" i="120" s="1"/>
  <c r="Q68" i="120" s="1"/>
  <c r="Y68" i="120" s="1"/>
  <c r="P48" i="129"/>
  <c r="G22" i="122"/>
  <c r="C12" i="159"/>
  <c r="C14" i="159" s="1"/>
  <c r="P22" i="122"/>
  <c r="P21" i="122" s="1"/>
  <c r="L12" i="159"/>
  <c r="L14" i="159" s="1"/>
  <c r="E76" i="159" s="1"/>
  <c r="F22" i="122"/>
  <c r="F115" i="122" s="1"/>
  <c r="F117" i="122" s="1"/>
  <c r="B12" i="159"/>
  <c r="B14" i="159" s="1"/>
  <c r="H22" i="122"/>
  <c r="D12" i="159"/>
  <c r="D14" i="159" s="1"/>
  <c r="O22" i="122"/>
  <c r="K12" i="159"/>
  <c r="K14" i="159" s="1"/>
  <c r="D76" i="159" s="1"/>
  <c r="P45" i="129"/>
  <c r="P46" i="129" s="1"/>
  <c r="J22" i="122"/>
  <c r="F12" i="159"/>
  <c r="F14" i="159" s="1"/>
  <c r="C80" i="165"/>
  <c r="C84" i="165"/>
  <c r="C81" i="165"/>
  <c r="B82" i="165"/>
  <c r="C83" i="165"/>
  <c r="C82" i="165"/>
  <c r="B81" i="165"/>
  <c r="B80" i="165"/>
  <c r="B83" i="165"/>
  <c r="B84" i="165"/>
  <c r="C84" i="171"/>
  <c r="C80" i="171"/>
  <c r="C82" i="171"/>
  <c r="B83" i="171"/>
  <c r="B80" i="171"/>
  <c r="B84" i="171"/>
  <c r="C81" i="171"/>
  <c r="B81" i="171"/>
  <c r="C83" i="171"/>
  <c r="B82" i="171"/>
  <c r="C83" i="168"/>
  <c r="B80" i="168"/>
  <c r="C82" i="168"/>
  <c r="C81" i="168"/>
  <c r="B84" i="168"/>
  <c r="C80" i="168"/>
  <c r="B82" i="168"/>
  <c r="C84" i="168"/>
  <c r="B81" i="168"/>
  <c r="B83" i="168"/>
  <c r="P67" i="122"/>
  <c r="L11" i="169"/>
  <c r="L15" i="169" s="1"/>
  <c r="E74" i="169" s="1"/>
  <c r="C80" i="172"/>
  <c r="B80" i="172"/>
  <c r="C82" i="172"/>
  <c r="C83" i="172"/>
  <c r="B81" i="172"/>
  <c r="B83" i="172"/>
  <c r="C84" i="172"/>
  <c r="C81" i="172"/>
  <c r="B82" i="172"/>
  <c r="B84" i="172"/>
  <c r="C79" i="170"/>
  <c r="B83" i="170"/>
  <c r="C82" i="170"/>
  <c r="B79" i="170"/>
  <c r="C83" i="170"/>
  <c r="C80" i="170"/>
  <c r="B80" i="170"/>
  <c r="C81" i="170"/>
  <c r="B82" i="170"/>
  <c r="B81" i="170"/>
  <c r="F45" i="129"/>
  <c r="F46" i="129" s="1"/>
  <c r="R75" i="122"/>
  <c r="R78" i="122" s="1"/>
  <c r="Q75" i="122"/>
  <c r="Q78" i="122" s="1"/>
  <c r="I48" i="129"/>
  <c r="I45" i="129"/>
  <c r="I46" i="129" s="1"/>
  <c r="P115" i="122"/>
  <c r="P117" i="122" s="1"/>
  <c r="O48" i="129"/>
  <c r="E48" i="129"/>
  <c r="E45" i="129"/>
  <c r="E46" i="129" s="1"/>
  <c r="K139" i="122"/>
  <c r="K141" i="122" s="1"/>
  <c r="P139" i="122"/>
  <c r="P141" i="122" s="1"/>
  <c r="Q178" i="122" s="1"/>
  <c r="Q194" i="122" s="1"/>
  <c r="Q139" i="122"/>
  <c r="Q141" i="122" s="1"/>
  <c r="N139" i="122"/>
  <c r="N141" i="122" s="1"/>
  <c r="G21" i="122"/>
  <c r="G115" i="122"/>
  <c r="G117" i="122" s="1"/>
  <c r="K108" i="122"/>
  <c r="K111" i="122" s="1"/>
  <c r="K24" i="122"/>
  <c r="K41" i="122" s="1"/>
  <c r="K43" i="122" s="1"/>
  <c r="K51" i="122" s="1"/>
  <c r="Q48" i="129"/>
  <c r="R22" i="122"/>
  <c r="P110" i="129"/>
  <c r="P111" i="129" s="1"/>
  <c r="Q80" i="122" s="1"/>
  <c r="Q79" i="122"/>
  <c r="I108" i="122"/>
  <c r="I111" i="122" s="1"/>
  <c r="I24" i="122"/>
  <c r="I41" i="122" s="1"/>
  <c r="I43" i="122" s="1"/>
  <c r="I51" i="122" s="1"/>
  <c r="M108" i="122"/>
  <c r="M111" i="122" s="1"/>
  <c r="M24" i="122"/>
  <c r="M41" i="122" s="1"/>
  <c r="M43" i="122" s="1"/>
  <c r="M51" i="122" s="1"/>
  <c r="L21" i="122"/>
  <c r="L115" i="122"/>
  <c r="L117" i="122" s="1"/>
  <c r="Q115" i="122"/>
  <c r="Q117" i="122" s="1"/>
  <c r="Q21" i="122"/>
  <c r="N108" i="122"/>
  <c r="N111" i="122" s="1"/>
  <c r="N24" i="122"/>
  <c r="N41" i="122" s="1"/>
  <c r="N43" i="122" s="1"/>
  <c r="N51" i="122" s="1"/>
  <c r="O45" i="129"/>
  <c r="O46" i="129" s="1"/>
  <c r="O139" i="122"/>
  <c r="O141" i="122" s="1"/>
  <c r="P178" i="122" s="1"/>
  <c r="P194" i="122" s="1"/>
  <c r="G139" i="122"/>
  <c r="G141" i="122" s="1"/>
  <c r="L139" i="122"/>
  <c r="L141" i="122" s="1"/>
  <c r="J139" i="122"/>
  <c r="J141" i="122" s="1"/>
  <c r="M139" i="122"/>
  <c r="M141" i="122" s="1"/>
  <c r="N178" i="122" s="1"/>
  <c r="N194" i="122" s="1"/>
  <c r="J21" i="122"/>
  <c r="J115" i="122"/>
  <c r="J117" i="122" s="1"/>
  <c r="S162" i="122"/>
  <c r="S142" i="122"/>
  <c r="I162" i="122"/>
  <c r="I142" i="122"/>
  <c r="R79" i="122"/>
  <c r="F21" i="122"/>
  <c r="P61" i="175" l="1"/>
  <c r="Q61" i="175" s="1"/>
  <c r="N68" i="176"/>
  <c r="P68" i="176" s="1"/>
  <c r="P61" i="176"/>
  <c r="P63" i="175"/>
  <c r="Q63" i="175" s="1"/>
  <c r="Y63" i="175" s="1"/>
  <c r="N70" i="175"/>
  <c r="P70" i="175" s="1"/>
  <c r="Q70" i="175" s="1"/>
  <c r="Y70" i="175" s="1"/>
  <c r="Q68" i="175"/>
  <c r="P64" i="175"/>
  <c r="Q64" i="175" s="1"/>
  <c r="Y64" i="175" s="1"/>
  <c r="N71" i="175"/>
  <c r="P71" i="175" s="1"/>
  <c r="Q71" i="175" s="1"/>
  <c r="Y71" i="175" s="1"/>
  <c r="P65" i="175"/>
  <c r="Q65" i="175" s="1"/>
  <c r="Y65" i="175" s="1"/>
  <c r="N72" i="175"/>
  <c r="P72" i="175" s="1"/>
  <c r="Q72" i="175" s="1"/>
  <c r="Y72" i="175" s="1"/>
  <c r="B19" i="159"/>
  <c r="B21" i="159" s="1"/>
  <c r="B22" i="159" s="1"/>
  <c r="N20" i="176" s="1"/>
  <c r="P20" i="176" s="1"/>
  <c r="B80" i="159" a="1"/>
  <c r="B84" i="159" s="1"/>
  <c r="O21" i="122"/>
  <c r="O115" i="122"/>
  <c r="O117" i="122" s="1"/>
  <c r="H115" i="122"/>
  <c r="H117" i="122" s="1"/>
  <c r="H21" i="122"/>
  <c r="B20" i="159"/>
  <c r="B87" i="165"/>
  <c r="B88" i="165" s="1"/>
  <c r="B86" i="170"/>
  <c r="B87" i="170" s="1"/>
  <c r="B87" i="172"/>
  <c r="B88" i="172" s="1"/>
  <c r="B87" i="168"/>
  <c r="B88" i="168" s="1"/>
  <c r="B20" i="169"/>
  <c r="B22" i="169" s="1"/>
  <c r="B23" i="169" s="1"/>
  <c r="N62" i="176" s="1"/>
  <c r="B21" i="169"/>
  <c r="B78" i="169" a="1"/>
  <c r="B87" i="171"/>
  <c r="B88" i="171" s="1"/>
  <c r="R83" i="122"/>
  <c r="R130" i="122"/>
  <c r="S174" i="122" s="1"/>
  <c r="S190" i="122" s="1"/>
  <c r="O170" i="122"/>
  <c r="O186" i="122" s="1"/>
  <c r="N170" i="122"/>
  <c r="N186" i="122" s="1"/>
  <c r="R178" i="122"/>
  <c r="R194" i="122" s="1"/>
  <c r="M178" i="122"/>
  <c r="M194" i="122" s="1"/>
  <c r="O178" i="122"/>
  <c r="O194" i="122" s="1"/>
  <c r="Q83" i="122"/>
  <c r="O142" i="122"/>
  <c r="M162" i="122"/>
  <c r="K178" i="122"/>
  <c r="K194" i="122" s="1"/>
  <c r="J142" i="122"/>
  <c r="J162" i="122"/>
  <c r="L178" i="122"/>
  <c r="L194" i="122" s="1"/>
  <c r="K142" i="122"/>
  <c r="K162" i="122"/>
  <c r="H178" i="122"/>
  <c r="H194" i="122" s="1"/>
  <c r="G142" i="122"/>
  <c r="H142" i="122"/>
  <c r="H162" i="122"/>
  <c r="Q142" i="122"/>
  <c r="R142" i="122"/>
  <c r="R162" i="122"/>
  <c r="Q162" i="122"/>
  <c r="N154" i="122"/>
  <c r="N112" i="122"/>
  <c r="J170" i="122"/>
  <c r="J186" i="122" s="1"/>
  <c r="O162" i="122"/>
  <c r="Q108" i="122"/>
  <c r="Q111" i="122" s="1"/>
  <c r="R170" i="122" s="1"/>
  <c r="Q24" i="122"/>
  <c r="Q41" i="122" s="1"/>
  <c r="Q43" i="122" s="1"/>
  <c r="Q51" i="122" s="1"/>
  <c r="L108" i="122"/>
  <c r="L111" i="122" s="1"/>
  <c r="M154" i="122" s="1"/>
  <c r="L24" i="122"/>
  <c r="L41" i="122" s="1"/>
  <c r="L43" i="122" s="1"/>
  <c r="L51" i="122" s="1"/>
  <c r="N162" i="122"/>
  <c r="P142" i="122"/>
  <c r="M142" i="122"/>
  <c r="L162" i="122"/>
  <c r="J108" i="122"/>
  <c r="J111" i="122" s="1"/>
  <c r="K154" i="122" s="1"/>
  <c r="J24" i="122"/>
  <c r="J41" i="122" s="1"/>
  <c r="J43" i="122" s="1"/>
  <c r="J51" i="122" s="1"/>
  <c r="L170" i="122"/>
  <c r="L186" i="122" s="1"/>
  <c r="G108" i="122"/>
  <c r="G111" i="122" s="1"/>
  <c r="H170" i="122" s="1"/>
  <c r="H186" i="122" s="1"/>
  <c r="G24" i="122"/>
  <c r="G41" i="122" s="1"/>
  <c r="G43" i="122" s="1"/>
  <c r="G51" i="122" s="1"/>
  <c r="P24" i="122"/>
  <c r="P41" i="122" s="1"/>
  <c r="P43" i="122" s="1"/>
  <c r="P51" i="122" s="1"/>
  <c r="P108" i="122"/>
  <c r="P111" i="122" s="1"/>
  <c r="Q170" i="122" s="1"/>
  <c r="N142" i="122"/>
  <c r="P162" i="122"/>
  <c r="L142" i="122"/>
  <c r="R21" i="122"/>
  <c r="R115" i="122"/>
  <c r="R117" i="122" s="1"/>
  <c r="F24" i="122"/>
  <c r="F41" i="122" s="1"/>
  <c r="F43" i="122" s="1"/>
  <c r="F51" i="122" s="1"/>
  <c r="F108" i="122"/>
  <c r="F111" i="122" s="1"/>
  <c r="U12" i="91"/>
  <c r="U15" i="91" s="1"/>
  <c r="U17" i="91" s="1"/>
  <c r="U12" i="94"/>
  <c r="U15" i="94" s="1"/>
  <c r="U17" i="94" s="1"/>
  <c r="U26" i="94"/>
  <c r="U26" i="91"/>
  <c r="N69" i="176" l="1"/>
  <c r="P69" i="176" s="1"/>
  <c r="Q69" i="176" s="1"/>
  <c r="Y69" i="176" s="1"/>
  <c r="P62" i="176"/>
  <c r="Q62" i="176" s="1"/>
  <c r="Y62" i="176" s="1"/>
  <c r="Q20" i="176"/>
  <c r="P23" i="176"/>
  <c r="Q61" i="176"/>
  <c r="Q68" i="176"/>
  <c r="N62" i="120"/>
  <c r="N62" i="175"/>
  <c r="Y61" i="175"/>
  <c r="N20" i="120"/>
  <c r="N20" i="175"/>
  <c r="P20" i="175" s="1"/>
  <c r="Y68" i="175"/>
  <c r="C81" i="159"/>
  <c r="B80" i="159"/>
  <c r="B82" i="159"/>
  <c r="B81" i="159"/>
  <c r="C80" i="159"/>
  <c r="C83" i="159"/>
  <c r="C84" i="159"/>
  <c r="C82" i="159"/>
  <c r="B83" i="159"/>
  <c r="H108" i="122"/>
  <c r="H111" i="122" s="1"/>
  <c r="H24" i="122"/>
  <c r="H41" i="122" s="1"/>
  <c r="H43" i="122" s="1"/>
  <c r="H51" i="122" s="1"/>
  <c r="O108" i="122"/>
  <c r="O111" i="122" s="1"/>
  <c r="O24" i="122"/>
  <c r="O41" i="122" s="1"/>
  <c r="O43" i="122" s="1"/>
  <c r="O51" i="122" s="1"/>
  <c r="C82" i="169"/>
  <c r="B78" i="169"/>
  <c r="B82" i="169"/>
  <c r="C79" i="169"/>
  <c r="C81" i="169"/>
  <c r="B80" i="169"/>
  <c r="C80" i="169"/>
  <c r="B81" i="169"/>
  <c r="B79" i="169"/>
  <c r="C78" i="169"/>
  <c r="S158" i="122"/>
  <c r="S131" i="122"/>
  <c r="M112" i="122"/>
  <c r="M170" i="122"/>
  <c r="M186" i="122" s="1"/>
  <c r="H112" i="122"/>
  <c r="H154" i="122"/>
  <c r="R186" i="122"/>
  <c r="Q154" i="122"/>
  <c r="Q112" i="122"/>
  <c r="K170" i="122"/>
  <c r="K186" i="122" s="1"/>
  <c r="J112" i="122"/>
  <c r="J154" i="122"/>
  <c r="P112" i="122"/>
  <c r="P154" i="122"/>
  <c r="Q186" i="122"/>
  <c r="K112" i="122"/>
  <c r="L154" i="122"/>
  <c r="L112" i="122"/>
  <c r="R108" i="122"/>
  <c r="R111" i="122" s="1"/>
  <c r="S170" i="122" s="1"/>
  <c r="R24" i="122"/>
  <c r="R41" i="122" s="1"/>
  <c r="R43" i="122" s="1"/>
  <c r="R51" i="122" s="1"/>
  <c r="U39" i="94"/>
  <c r="G112" i="122"/>
  <c r="U34" i="94"/>
  <c r="N13" i="164" s="1"/>
  <c r="U31" i="94"/>
  <c r="U34" i="91"/>
  <c r="N14" i="164" s="1"/>
  <c r="U39" i="91"/>
  <c r="U31" i="91"/>
  <c r="S30" i="120"/>
  <c r="S40" i="120"/>
  <c r="P55" i="120"/>
  <c r="Q55" i="120" s="1"/>
  <c r="Y55" i="120" s="1"/>
  <c r="K75" i="122"/>
  <c r="N75" i="122"/>
  <c r="N78" i="122" s="1"/>
  <c r="M75" i="122"/>
  <c r="M78" i="122" s="1"/>
  <c r="H75" i="122"/>
  <c r="H78" i="122" s="1"/>
  <c r="G75" i="122"/>
  <c r="G78" i="122" s="1"/>
  <c r="F75" i="122"/>
  <c r="F78" i="122" s="1"/>
  <c r="Y67" i="120"/>
  <c r="R43" i="120"/>
  <c r="F40" i="120"/>
  <c r="D37" i="110"/>
  <c r="F37" i="110" s="1"/>
  <c r="T26" i="94"/>
  <c r="S26" i="94"/>
  <c r="R26" i="94"/>
  <c r="Q26" i="94"/>
  <c r="P26" i="94"/>
  <c r="O26" i="94"/>
  <c r="N26" i="94"/>
  <c r="M26" i="94"/>
  <c r="L26" i="94"/>
  <c r="K26" i="94"/>
  <c r="J26" i="94"/>
  <c r="I26" i="94"/>
  <c r="T12" i="94"/>
  <c r="T31" i="94" s="1"/>
  <c r="S12" i="94"/>
  <c r="S34" i="94" s="1"/>
  <c r="L13" i="164" s="1"/>
  <c r="R12" i="94"/>
  <c r="R39" i="94" s="1"/>
  <c r="Q12" i="94"/>
  <c r="P12" i="94"/>
  <c r="P15" i="94" s="1"/>
  <c r="P17" i="94" s="1"/>
  <c r="O12" i="94"/>
  <c r="O15" i="94" s="1"/>
  <c r="O17" i="94" s="1"/>
  <c r="N12" i="94"/>
  <c r="N31" i="94" s="1"/>
  <c r="M12" i="94"/>
  <c r="M34" i="94" s="1"/>
  <c r="F13" i="164" s="1"/>
  <c r="L12" i="94"/>
  <c r="L31" i="94" s="1"/>
  <c r="E12" i="163" s="1"/>
  <c r="K12" i="94"/>
  <c r="K39" i="94" s="1"/>
  <c r="D13" i="166" s="1"/>
  <c r="J12" i="94"/>
  <c r="J31" i="94" s="1"/>
  <c r="C12" i="163" s="1"/>
  <c r="I12" i="94"/>
  <c r="I34" i="94" s="1"/>
  <c r="B13" i="164" s="1"/>
  <c r="M35" i="91"/>
  <c r="F12" i="165" s="1"/>
  <c r="F15" i="165" s="1"/>
  <c r="T26" i="91"/>
  <c r="S26" i="91"/>
  <c r="R26" i="91"/>
  <c r="Q26" i="91"/>
  <c r="P26" i="91"/>
  <c r="O26" i="91"/>
  <c r="N26" i="91"/>
  <c r="M26" i="91"/>
  <c r="L26" i="91"/>
  <c r="K26" i="91"/>
  <c r="J26" i="91"/>
  <c r="I26" i="91"/>
  <c r="T12" i="91"/>
  <c r="T15" i="91" s="1"/>
  <c r="T17" i="91" s="1"/>
  <c r="S12" i="91"/>
  <c r="S34" i="91" s="1"/>
  <c r="L14" i="164" s="1"/>
  <c r="R12" i="91"/>
  <c r="R34" i="91" s="1"/>
  <c r="K14" i="164" s="1"/>
  <c r="Q12" i="91"/>
  <c r="Q34" i="91" s="1"/>
  <c r="J14" i="164" s="1"/>
  <c r="P12" i="91"/>
  <c r="P34" i="91" s="1"/>
  <c r="I14" i="164" s="1"/>
  <c r="O12" i="91"/>
  <c r="O39" i="91" s="1"/>
  <c r="N12" i="91"/>
  <c r="N34" i="91" s="1"/>
  <c r="G14" i="164" s="1"/>
  <c r="M12" i="91"/>
  <c r="M34" i="91" s="1"/>
  <c r="F14" i="164" s="1"/>
  <c r="L12" i="91"/>
  <c r="L34" i="91" s="1"/>
  <c r="E14" i="164" s="1"/>
  <c r="K12" i="91"/>
  <c r="K15" i="91" s="1"/>
  <c r="K17" i="91" s="1"/>
  <c r="J12" i="91"/>
  <c r="J34" i="91" s="1"/>
  <c r="C14" i="164" s="1"/>
  <c r="I12" i="91"/>
  <c r="I34" i="91" s="1"/>
  <c r="B14" i="164" s="1"/>
  <c r="N39" i="91"/>
  <c r="Q39" i="91"/>
  <c r="R39" i="91"/>
  <c r="N31" i="91"/>
  <c r="N32" i="91" s="1"/>
  <c r="R31" i="91"/>
  <c r="T31" i="91"/>
  <c r="R34" i="94"/>
  <c r="K13" i="164" s="1"/>
  <c r="O31" i="94"/>
  <c r="T34" i="94"/>
  <c r="M13" i="164" s="1"/>
  <c r="P54" i="120"/>
  <c r="Q54" i="120" s="1"/>
  <c r="Y54" i="120" s="1"/>
  <c r="P19" i="120"/>
  <c r="Q19" i="120" s="1"/>
  <c r="F12" i="120"/>
  <c r="K30" i="120"/>
  <c r="I75" i="122"/>
  <c r="I78" i="122" s="1"/>
  <c r="K23" i="120"/>
  <c r="O39" i="94"/>
  <c r="P66" i="176" l="1"/>
  <c r="P73" i="176"/>
  <c r="Q73" i="176"/>
  <c r="Y68" i="176"/>
  <c r="Y73" i="176" s="1"/>
  <c r="Y61" i="176"/>
  <c r="Y66" i="176" s="1"/>
  <c r="Q66" i="176"/>
  <c r="Y20" i="176"/>
  <c r="Y23" i="176" s="1"/>
  <c r="Q23" i="176"/>
  <c r="Q20" i="175"/>
  <c r="P23" i="175"/>
  <c r="P62" i="175"/>
  <c r="N69" i="175"/>
  <c r="P69" i="175" s="1"/>
  <c r="B87" i="159"/>
  <c r="B88" i="159" s="1"/>
  <c r="N17" i="164"/>
  <c r="I76" i="164" s="1"/>
  <c r="K17" i="164"/>
  <c r="F76" i="164" s="1"/>
  <c r="L17" i="164"/>
  <c r="G76" i="164" s="1"/>
  <c r="O42" i="94"/>
  <c r="H13" i="166"/>
  <c r="O32" i="94"/>
  <c r="H12" i="163"/>
  <c r="Q42" i="91"/>
  <c r="J12" i="167"/>
  <c r="J16" i="167" s="1"/>
  <c r="C76" i="167" s="1"/>
  <c r="J12" i="166"/>
  <c r="R42" i="94"/>
  <c r="K13" i="166"/>
  <c r="R126" i="122"/>
  <c r="N12" i="163"/>
  <c r="N16" i="163" s="1"/>
  <c r="I76" i="163" s="1"/>
  <c r="N42" i="91"/>
  <c r="G12" i="166"/>
  <c r="G12" i="167"/>
  <c r="G16" i="167" s="1"/>
  <c r="Q125" i="122"/>
  <c r="M13" i="163"/>
  <c r="Q126" i="122"/>
  <c r="M12" i="163"/>
  <c r="O125" i="122"/>
  <c r="K13" i="163"/>
  <c r="O42" i="91"/>
  <c r="H12" i="166"/>
  <c r="H12" i="167"/>
  <c r="H16" i="167" s="1"/>
  <c r="U42" i="94"/>
  <c r="N13" i="166"/>
  <c r="P170" i="122"/>
  <c r="P186" i="122" s="1"/>
  <c r="O154" i="122"/>
  <c r="O112" i="122"/>
  <c r="K126" i="122"/>
  <c r="G12" i="163"/>
  <c r="P15" i="91"/>
  <c r="P17" i="91" s="1"/>
  <c r="R125" i="122"/>
  <c r="N13" i="163"/>
  <c r="I112" i="122"/>
  <c r="I170" i="122"/>
  <c r="I186" i="122" s="1"/>
  <c r="I154" i="122"/>
  <c r="K125" i="122"/>
  <c r="G13" i="163"/>
  <c r="R42" i="91"/>
  <c r="K12" i="167"/>
  <c r="K16" i="167" s="1"/>
  <c r="D76" i="167" s="1"/>
  <c r="K12" i="166"/>
  <c r="K15" i="166" s="1"/>
  <c r="N15" i="94"/>
  <c r="N17" i="94" s="1"/>
  <c r="U42" i="91"/>
  <c r="N12" i="166"/>
  <c r="N15" i="166" s="1"/>
  <c r="D76" i="166" s="1"/>
  <c r="N12" i="167"/>
  <c r="N16" i="167" s="1"/>
  <c r="G76" i="167" s="1"/>
  <c r="B85" i="169"/>
  <c r="B86" i="169" s="1"/>
  <c r="B17" i="164"/>
  <c r="F17" i="164"/>
  <c r="P39" i="94"/>
  <c r="P39" i="91"/>
  <c r="M101" i="122" s="1"/>
  <c r="R101" i="122"/>
  <c r="T39" i="91"/>
  <c r="T39" i="94"/>
  <c r="T34" i="91"/>
  <c r="P31" i="94"/>
  <c r="Q31" i="91"/>
  <c r="J13" i="163" s="1"/>
  <c r="T32" i="94"/>
  <c r="R32" i="91"/>
  <c r="R43" i="91" s="1"/>
  <c r="P34" i="94"/>
  <c r="I13" i="164" s="1"/>
  <c r="I17" i="164" s="1"/>
  <c r="D76" i="164" s="1"/>
  <c r="P31" i="91"/>
  <c r="Q15" i="91"/>
  <c r="Q17" i="91" s="1"/>
  <c r="N32" i="94"/>
  <c r="P32" i="94"/>
  <c r="R31" i="94"/>
  <c r="N34" i="94"/>
  <c r="G13" i="164" s="1"/>
  <c r="G17" i="164" s="1"/>
  <c r="B76" i="164" s="1"/>
  <c r="R15" i="91"/>
  <c r="R17" i="91" s="1"/>
  <c r="N39" i="94"/>
  <c r="O34" i="94"/>
  <c r="N15" i="91"/>
  <c r="N17" i="91" s="1"/>
  <c r="R15" i="94"/>
  <c r="R17" i="94" s="1"/>
  <c r="Q127" i="122"/>
  <c r="R172" i="122" s="1"/>
  <c r="R188" i="122" s="1"/>
  <c r="I53" i="120"/>
  <c r="I57" i="120" s="1"/>
  <c r="K127" i="122"/>
  <c r="L156" i="122" s="1"/>
  <c r="R127" i="122"/>
  <c r="S172" i="122" s="1"/>
  <c r="S188" i="122" s="1"/>
  <c r="O102" i="122"/>
  <c r="S31" i="91"/>
  <c r="S15" i="91"/>
  <c r="S17" i="91" s="1"/>
  <c r="O15" i="91"/>
  <c r="O17" i="91" s="1"/>
  <c r="S39" i="91"/>
  <c r="P101" i="122" s="1"/>
  <c r="R102" i="122"/>
  <c r="Q34" i="94"/>
  <c r="J13" i="164" s="1"/>
  <c r="J17" i="164" s="1"/>
  <c r="E76" i="164" s="1"/>
  <c r="Q31" i="94"/>
  <c r="Q39" i="94"/>
  <c r="P32" i="91"/>
  <c r="N43" i="91"/>
  <c r="N101" i="122"/>
  <c r="S15" i="94"/>
  <c r="S17" i="94" s="1"/>
  <c r="S31" i="94"/>
  <c r="L12" i="163" s="1"/>
  <c r="S186" i="122"/>
  <c r="S154" i="122"/>
  <c r="R154" i="122"/>
  <c r="R112" i="122"/>
  <c r="S112" i="122"/>
  <c r="O34" i="91"/>
  <c r="H14" i="164" s="1"/>
  <c r="O31" i="91"/>
  <c r="R32" i="94"/>
  <c r="R43" i="94" s="1"/>
  <c r="R45" i="94" s="1"/>
  <c r="R48" i="94" s="1"/>
  <c r="R53" i="94" s="1"/>
  <c r="Q15" i="94"/>
  <c r="Q17" i="94" s="1"/>
  <c r="M102" i="122"/>
  <c r="T32" i="91"/>
  <c r="K101" i="122"/>
  <c r="O101" i="122"/>
  <c r="M39" i="91"/>
  <c r="K53" i="120"/>
  <c r="H130" i="122"/>
  <c r="H83" i="122"/>
  <c r="G130" i="122"/>
  <c r="G83" i="122"/>
  <c r="F130" i="122"/>
  <c r="F83" i="122"/>
  <c r="N130" i="122"/>
  <c r="O174" i="122" s="1"/>
  <c r="N83" i="122"/>
  <c r="I130" i="122"/>
  <c r="J174" i="122" s="1"/>
  <c r="J190" i="122" s="1"/>
  <c r="I83" i="122"/>
  <c r="M130" i="122"/>
  <c r="N174" i="122" s="1"/>
  <c r="M83" i="122"/>
  <c r="J39" i="91"/>
  <c r="I126" i="122"/>
  <c r="G126" i="122"/>
  <c r="L39" i="94"/>
  <c r="E13" i="166" s="1"/>
  <c r="M39" i="94"/>
  <c r="D41" i="110"/>
  <c r="L34" i="94"/>
  <c r="E13" i="164" s="1"/>
  <c r="E17" i="164" s="1"/>
  <c r="L15" i="94"/>
  <c r="L17" i="94" s="1"/>
  <c r="L32" i="94"/>
  <c r="K34" i="94"/>
  <c r="D13" i="164" s="1"/>
  <c r="I15" i="91"/>
  <c r="I17" i="91" s="1"/>
  <c r="F41" i="110"/>
  <c r="J15" i="94"/>
  <c r="J17" i="94" s="1"/>
  <c r="J34" i="94"/>
  <c r="C13" i="164" s="1"/>
  <c r="C17" i="164" s="1"/>
  <c r="M31" i="91"/>
  <c r="L15" i="91"/>
  <c r="L17" i="91" s="1"/>
  <c r="I31" i="91"/>
  <c r="M15" i="91"/>
  <c r="M17" i="91" s="1"/>
  <c r="I39" i="91"/>
  <c r="J32" i="94"/>
  <c r="L31" i="91"/>
  <c r="L39" i="91"/>
  <c r="K42" i="94"/>
  <c r="K15" i="94"/>
  <c r="K17" i="94" s="1"/>
  <c r="I31" i="94"/>
  <c r="K31" i="94"/>
  <c r="I39" i="94"/>
  <c r="I15" i="94"/>
  <c r="I17" i="94" s="1"/>
  <c r="M15" i="94"/>
  <c r="M17" i="94" s="1"/>
  <c r="M31" i="94"/>
  <c r="J39" i="94"/>
  <c r="C13" i="166" s="1"/>
  <c r="K34" i="91"/>
  <c r="D14" i="164" s="1"/>
  <c r="K31" i="91"/>
  <c r="D13" i="163" s="1"/>
  <c r="J31" i="91"/>
  <c r="J15" i="91"/>
  <c r="J17" i="91" s="1"/>
  <c r="K39" i="91"/>
  <c r="F41" i="120"/>
  <c r="F14" i="120"/>
  <c r="Q130" i="122"/>
  <c r="K78" i="122"/>
  <c r="T15" i="94"/>
  <c r="T17" i="94" s="1"/>
  <c r="U32" i="94"/>
  <c r="U43" i="94" s="1"/>
  <c r="U45" i="94" s="1"/>
  <c r="U48" i="94" s="1"/>
  <c r="U53" i="94" s="1"/>
  <c r="U32" i="91"/>
  <c r="U43" i="91" s="1"/>
  <c r="E12" i="120"/>
  <c r="E14" i="120" s="1"/>
  <c r="E23" i="120"/>
  <c r="E40" i="120"/>
  <c r="L66" i="120"/>
  <c r="L73" i="120"/>
  <c r="K12" i="120"/>
  <c r="K14" i="120" s="1"/>
  <c r="K40" i="120"/>
  <c r="K41" i="120" s="1"/>
  <c r="S32" i="91"/>
  <c r="S39" i="94"/>
  <c r="Q75" i="176" l="1"/>
  <c r="Q81" i="176" s="1"/>
  <c r="P75" i="176"/>
  <c r="P81" i="176" s="1"/>
  <c r="P53" i="176" s="1"/>
  <c r="Y75" i="176"/>
  <c r="Y77" i="176" s="1"/>
  <c r="Q69" i="175"/>
  <c r="P73" i="175"/>
  <c r="Q62" i="175"/>
  <c r="P66" i="175"/>
  <c r="Y20" i="175"/>
  <c r="Y23" i="175" s="1"/>
  <c r="Q23" i="175"/>
  <c r="H15" i="166"/>
  <c r="P102" i="122"/>
  <c r="L13" i="166"/>
  <c r="N126" i="122"/>
  <c r="J12" i="163"/>
  <c r="J16" i="163" s="1"/>
  <c r="E76" i="163" s="1"/>
  <c r="Q101" i="122"/>
  <c r="M14" i="164"/>
  <c r="M17" i="164" s="1"/>
  <c r="H76" i="164" s="1"/>
  <c r="T42" i="94"/>
  <c r="T43" i="94" s="1"/>
  <c r="T45" i="94" s="1"/>
  <c r="M13" i="166"/>
  <c r="O32" i="91"/>
  <c r="O43" i="91" s="1"/>
  <c r="H13" i="163"/>
  <c r="H16" i="163" s="1"/>
  <c r="C76" i="163" s="1"/>
  <c r="O43" i="94"/>
  <c r="O45" i="94" s="1"/>
  <c r="H13" i="164"/>
  <c r="H17" i="164" s="1"/>
  <c r="C76" i="164" s="1"/>
  <c r="M125" i="122"/>
  <c r="I13" i="163"/>
  <c r="T42" i="91"/>
  <c r="M12" i="166"/>
  <c r="M12" i="167"/>
  <c r="M16" i="167" s="1"/>
  <c r="F76" i="167" s="1"/>
  <c r="G16" i="163"/>
  <c r="B76" i="163" s="1"/>
  <c r="S43" i="91"/>
  <c r="S42" i="91"/>
  <c r="L12" i="166"/>
  <c r="L15" i="166" s="1"/>
  <c r="B76" i="166" s="1"/>
  <c r="L12" i="167"/>
  <c r="L16" i="167" s="1"/>
  <c r="E76" i="167" s="1"/>
  <c r="N42" i="94"/>
  <c r="G13" i="166"/>
  <c r="Q102" i="122"/>
  <c r="G15" i="166"/>
  <c r="P42" i="91"/>
  <c r="I12" i="166"/>
  <c r="I12" i="167"/>
  <c r="I16" i="167" s="1"/>
  <c r="B76" i="167" s="1"/>
  <c r="P43" i="91"/>
  <c r="P45" i="91" s="1"/>
  <c r="P48" i="91" s="1"/>
  <c r="P53" i="91" s="1"/>
  <c r="P125" i="122"/>
  <c r="L13" i="163"/>
  <c r="L16" i="163" s="1"/>
  <c r="G76" i="163" s="1"/>
  <c r="O126" i="122"/>
  <c r="O127" i="122" s="1"/>
  <c r="P172" i="122" s="1"/>
  <c r="P188" i="122" s="1"/>
  <c r="K12" i="163"/>
  <c r="K16" i="163" s="1"/>
  <c r="F76" i="163" s="1"/>
  <c r="P42" i="94"/>
  <c r="I13" i="166"/>
  <c r="M16" i="163"/>
  <c r="H76" i="163" s="1"/>
  <c r="Q42" i="94"/>
  <c r="J13" i="166"/>
  <c r="J15" i="166" s="1"/>
  <c r="P43" i="94"/>
  <c r="P45" i="94" s="1"/>
  <c r="M126" i="122"/>
  <c r="I12" i="163"/>
  <c r="D17" i="164"/>
  <c r="L42" i="91"/>
  <c r="E12" i="167"/>
  <c r="E16" i="167" s="1"/>
  <c r="E12" i="166"/>
  <c r="E15" i="166" s="1"/>
  <c r="M42" i="94"/>
  <c r="F13" i="166"/>
  <c r="J42" i="91"/>
  <c r="C12" i="166"/>
  <c r="C15" i="166" s="1"/>
  <c r="C12" i="167"/>
  <c r="C16" i="167" s="1"/>
  <c r="M32" i="94"/>
  <c r="F12" i="163"/>
  <c r="K42" i="91"/>
  <c r="D12" i="167"/>
  <c r="D16" i="167" s="1"/>
  <c r="D12" i="166"/>
  <c r="D15" i="166" s="1"/>
  <c r="F102" i="122"/>
  <c r="B13" i="166"/>
  <c r="I42" i="91"/>
  <c r="B12" i="167"/>
  <c r="B16" i="167" s="1"/>
  <c r="B12" i="166"/>
  <c r="M32" i="91"/>
  <c r="F13" i="163"/>
  <c r="Q104" i="122"/>
  <c r="R166" i="122" s="1"/>
  <c r="R182" i="122" s="1"/>
  <c r="G125" i="122"/>
  <c r="G127" i="122" s="1"/>
  <c r="H172" i="122" s="1"/>
  <c r="H188" i="122" s="1"/>
  <c r="C13" i="163"/>
  <c r="C16" i="163" s="1"/>
  <c r="H126" i="122"/>
  <c r="D12" i="163"/>
  <c r="D16" i="163" s="1"/>
  <c r="M42" i="91"/>
  <c r="F12" i="167"/>
  <c r="F16" i="167" s="1"/>
  <c r="F12" i="166"/>
  <c r="F126" i="122"/>
  <c r="B12" i="163"/>
  <c r="I125" i="122"/>
  <c r="I127" i="122" s="1"/>
  <c r="J172" i="122" s="1"/>
  <c r="J188" i="122" s="1"/>
  <c r="E13" i="163"/>
  <c r="E16" i="163" s="1"/>
  <c r="F125" i="122"/>
  <c r="B13" i="163"/>
  <c r="R45" i="91"/>
  <c r="R48" i="91" s="1"/>
  <c r="R53" i="91" s="1"/>
  <c r="N102" i="122"/>
  <c r="T43" i="91"/>
  <c r="T45" i="91" s="1"/>
  <c r="T48" i="91" s="1"/>
  <c r="T53" i="91" s="1"/>
  <c r="O45" i="91"/>
  <c r="O48" i="91" s="1"/>
  <c r="O53" i="91" s="1"/>
  <c r="R104" i="122"/>
  <c r="S166" i="122" s="1"/>
  <c r="S182" i="122" s="1"/>
  <c r="N43" i="94"/>
  <c r="N45" i="94" s="1"/>
  <c r="N48" i="94" s="1"/>
  <c r="N53" i="94" s="1"/>
  <c r="N125" i="122"/>
  <c r="N127" i="122" s="1"/>
  <c r="Q32" i="91"/>
  <c r="Q43" i="91" s="1"/>
  <c r="Q45" i="91" s="1"/>
  <c r="M104" i="122"/>
  <c r="O48" i="94"/>
  <c r="O53" i="94" s="1"/>
  <c r="N104" i="122"/>
  <c r="K102" i="122"/>
  <c r="K104" i="122" s="1"/>
  <c r="L166" i="122" s="1"/>
  <c r="L182" i="122" s="1"/>
  <c r="Y19" i="120"/>
  <c r="N45" i="91"/>
  <c r="R128" i="122"/>
  <c r="R156" i="122"/>
  <c r="P104" i="122"/>
  <c r="O104" i="122"/>
  <c r="R174" i="122"/>
  <c r="R190" i="122" s="1"/>
  <c r="K156" i="122"/>
  <c r="L128" i="122"/>
  <c r="S156" i="122"/>
  <c r="K128" i="122"/>
  <c r="L172" i="122"/>
  <c r="L188" i="122" s="1"/>
  <c r="S128" i="122"/>
  <c r="M105" i="122"/>
  <c r="S105" i="122"/>
  <c r="P126" i="122"/>
  <c r="P127" i="122" s="1"/>
  <c r="Q172" i="122" s="1"/>
  <c r="S32" i="94"/>
  <c r="S45" i="91"/>
  <c r="N48" i="91"/>
  <c r="N53" i="91" s="1"/>
  <c r="N190" i="122"/>
  <c r="O190" i="122"/>
  <c r="H174" i="122"/>
  <c r="H190" i="122" s="1"/>
  <c r="I174" i="122"/>
  <c r="I190" i="122" s="1"/>
  <c r="G131" i="122"/>
  <c r="N158" i="122"/>
  <c r="H131" i="122"/>
  <c r="H158" i="122"/>
  <c r="I158" i="122"/>
  <c r="N131" i="122"/>
  <c r="K130" i="122"/>
  <c r="L174" i="122" s="1"/>
  <c r="L190" i="122" s="1"/>
  <c r="K83" i="122"/>
  <c r="I131" i="122"/>
  <c r="G101" i="122"/>
  <c r="F101" i="122"/>
  <c r="K166" i="122"/>
  <c r="K182" i="122" s="1"/>
  <c r="R158" i="122"/>
  <c r="H125" i="122"/>
  <c r="G102" i="122"/>
  <c r="H102" i="122"/>
  <c r="I101" i="122"/>
  <c r="I102" i="122"/>
  <c r="H101" i="122"/>
  <c r="R131" i="122"/>
  <c r="L42" i="94"/>
  <c r="L43" i="94" s="1"/>
  <c r="L45" i="94" s="1"/>
  <c r="L48" i="94" s="1"/>
  <c r="L53" i="94" s="1"/>
  <c r="L75" i="120"/>
  <c r="L77" i="120" s="1"/>
  <c r="L32" i="91"/>
  <c r="I32" i="91"/>
  <c r="I43" i="91" s="1"/>
  <c r="K32" i="91"/>
  <c r="S12" i="120"/>
  <c r="I42" i="94"/>
  <c r="J42" i="94"/>
  <c r="J43" i="94" s="1"/>
  <c r="J45" i="94" s="1"/>
  <c r="I32" i="94"/>
  <c r="K32" i="94"/>
  <c r="K43" i="94" s="1"/>
  <c r="K45" i="94" s="1"/>
  <c r="J32" i="91"/>
  <c r="F43" i="120"/>
  <c r="U45" i="91"/>
  <c r="U48" i="91" s="1"/>
  <c r="U53" i="91" s="1"/>
  <c r="E41" i="120"/>
  <c r="E43" i="120" s="1"/>
  <c r="L75" i="122"/>
  <c r="L78" i="122" s="1"/>
  <c r="Q32" i="94"/>
  <c r="Q43" i="94" s="1"/>
  <c r="Q45" i="94" s="1"/>
  <c r="S48" i="91"/>
  <c r="S53" i="91" s="1"/>
  <c r="S42" i="94"/>
  <c r="S43" i="94" s="1"/>
  <c r="S45" i="94" s="1"/>
  <c r="L14" i="120"/>
  <c r="T48" i="94"/>
  <c r="T53" i="94" s="1"/>
  <c r="O75" i="122"/>
  <c r="O78" i="122" s="1"/>
  <c r="K43" i="120"/>
  <c r="K52" i="120" s="1"/>
  <c r="Q48" i="91"/>
  <c r="Q53" i="91" s="1"/>
  <c r="M43" i="94" l="1"/>
  <c r="M45" i="94" s="1"/>
  <c r="M48" i="94" s="1"/>
  <c r="M53" i="94" s="1"/>
  <c r="H104" i="122"/>
  <c r="F127" i="122"/>
  <c r="G128" i="122" s="1"/>
  <c r="Q77" i="176"/>
  <c r="P77" i="176"/>
  <c r="P75" i="175"/>
  <c r="P81" i="175" s="1"/>
  <c r="P53" i="175" s="1"/>
  <c r="Y62" i="175"/>
  <c r="Y66" i="175" s="1"/>
  <c r="Q66" i="175"/>
  <c r="Y69" i="175"/>
  <c r="Y73" i="175" s="1"/>
  <c r="Q73" i="175"/>
  <c r="B80" i="164" a="1"/>
  <c r="C83" i="164" s="1"/>
  <c r="I16" i="163"/>
  <c r="D76" i="163" s="1"/>
  <c r="B22" i="163" s="1"/>
  <c r="B22" i="164"/>
  <c r="B24" i="164" s="1"/>
  <c r="B25" i="164" s="1"/>
  <c r="N32" i="176" s="1"/>
  <c r="P32" i="176" s="1"/>
  <c r="Q32" i="176" s="1"/>
  <c r="Y32" i="176" s="1"/>
  <c r="B23" i="164"/>
  <c r="M127" i="122"/>
  <c r="P48" i="94"/>
  <c r="P53" i="94" s="1"/>
  <c r="R105" i="122"/>
  <c r="B21" i="167"/>
  <c r="B23" i="167" s="1"/>
  <c r="B24" i="167" s="1"/>
  <c r="N38" i="176" s="1"/>
  <c r="P38" i="176" s="1"/>
  <c r="Q38" i="176" s="1"/>
  <c r="Y38" i="176" s="1"/>
  <c r="B22" i="167"/>
  <c r="B80" i="167" a="1"/>
  <c r="J43" i="91"/>
  <c r="J45" i="91" s="1"/>
  <c r="I15" i="166"/>
  <c r="R152" i="122"/>
  <c r="S152" i="122"/>
  <c r="M15" i="166"/>
  <c r="C76" i="166" s="1"/>
  <c r="B20" i="166" s="1"/>
  <c r="B22" i="166" s="1"/>
  <c r="B23" i="166" s="1"/>
  <c r="N37" i="176" s="1"/>
  <c r="L43" i="91"/>
  <c r="L45" i="91" s="1"/>
  <c r="L48" i="91" s="1"/>
  <c r="L53" i="91" s="1"/>
  <c r="F15" i="166"/>
  <c r="M43" i="91"/>
  <c r="M45" i="91" s="1"/>
  <c r="M48" i="91" s="1"/>
  <c r="B15" i="166"/>
  <c r="F16" i="163"/>
  <c r="K43" i="91"/>
  <c r="K45" i="91" s="1"/>
  <c r="K48" i="91" s="1"/>
  <c r="K53" i="91" s="1"/>
  <c r="H127" i="122"/>
  <c r="I172" i="122" s="1"/>
  <c r="I188" i="122" s="1"/>
  <c r="B16" i="163"/>
  <c r="F104" i="122"/>
  <c r="N128" i="122"/>
  <c r="O156" i="122"/>
  <c r="N156" i="122"/>
  <c r="O172" i="122"/>
  <c r="O188" i="122" s="1"/>
  <c r="O128" i="122"/>
  <c r="M152" i="122"/>
  <c r="L105" i="122"/>
  <c r="N166" i="122"/>
  <c r="N182" i="122" s="1"/>
  <c r="Q166" i="122"/>
  <c r="Q182" i="122" s="1"/>
  <c r="O166" i="122"/>
  <c r="O182" i="122" s="1"/>
  <c r="L152" i="122"/>
  <c r="P166" i="122"/>
  <c r="P182" i="122" s="1"/>
  <c r="G104" i="122"/>
  <c r="I104" i="122"/>
  <c r="J166" i="122" s="1"/>
  <c r="J182" i="122" s="1"/>
  <c r="O105" i="122"/>
  <c r="Q152" i="122"/>
  <c r="Q188" i="122"/>
  <c r="P156" i="122"/>
  <c r="P128" i="122"/>
  <c r="Q156" i="122"/>
  <c r="Q128" i="122"/>
  <c r="N152" i="122"/>
  <c r="N105" i="122"/>
  <c r="P152" i="122"/>
  <c r="P105" i="122"/>
  <c r="O152" i="122"/>
  <c r="Q105" i="122"/>
  <c r="F57" i="120"/>
  <c r="J156" i="122"/>
  <c r="O130" i="122"/>
  <c r="P174" i="122" s="1"/>
  <c r="O83" i="122"/>
  <c r="L130" i="122"/>
  <c r="M174" i="122" s="1"/>
  <c r="L83" i="122"/>
  <c r="I166" i="122"/>
  <c r="I182" i="122" s="1"/>
  <c r="J128" i="122"/>
  <c r="K152" i="122"/>
  <c r="L81" i="120"/>
  <c r="I45" i="91"/>
  <c r="I48" i="91" s="1"/>
  <c r="I53" i="91" s="1"/>
  <c r="K48" i="94"/>
  <c r="K53" i="94" s="1"/>
  <c r="J48" i="94"/>
  <c r="J53" i="94" s="1"/>
  <c r="I43" i="94"/>
  <c r="I45" i="94" s="1"/>
  <c r="I48" i="94" s="1"/>
  <c r="I53" i="94" s="1"/>
  <c r="J75" i="122"/>
  <c r="J78" i="122" s="1"/>
  <c r="P75" i="122"/>
  <c r="P78" i="122" s="1"/>
  <c r="S48" i="94"/>
  <c r="S53" i="94" s="1"/>
  <c r="Q48" i="94"/>
  <c r="Q53" i="94" s="1"/>
  <c r="H156" i="122" l="1"/>
  <c r="H128" i="122"/>
  <c r="N37" i="120"/>
  <c r="N37" i="175"/>
  <c r="P37" i="175" s="1"/>
  <c r="P37" i="176"/>
  <c r="Q37" i="176" s="1"/>
  <c r="I156" i="122"/>
  <c r="B80" i="163" a="1"/>
  <c r="C82" i="163" s="1"/>
  <c r="P77" i="175"/>
  <c r="N38" i="120"/>
  <c r="N38" i="175"/>
  <c r="P38" i="175" s="1"/>
  <c r="Q38" i="175" s="1"/>
  <c r="Y38" i="175" s="1"/>
  <c r="Q75" i="175"/>
  <c r="Y75" i="175"/>
  <c r="N32" i="120"/>
  <c r="N32" i="175"/>
  <c r="P32" i="175" s="1"/>
  <c r="Q32" i="175" s="1"/>
  <c r="Y32" i="175" s="1"/>
  <c r="B21" i="163"/>
  <c r="B23" i="163" s="1"/>
  <c r="B24" i="163" s="1"/>
  <c r="N29" i="176" s="1"/>
  <c r="P29" i="176" s="1"/>
  <c r="B82" i="164"/>
  <c r="C84" i="164"/>
  <c r="C82" i="164"/>
  <c r="B83" i="164"/>
  <c r="B80" i="164"/>
  <c r="B81" i="164"/>
  <c r="C80" i="164"/>
  <c r="C81" i="164"/>
  <c r="B84" i="164"/>
  <c r="I128" i="122"/>
  <c r="N172" i="122"/>
  <c r="N188" i="122" s="1"/>
  <c r="M128" i="122"/>
  <c r="M156" i="122"/>
  <c r="B21" i="166"/>
  <c r="B83" i="167"/>
  <c r="C84" i="167"/>
  <c r="C81" i="167"/>
  <c r="B84" i="167"/>
  <c r="C82" i="167"/>
  <c r="B81" i="167"/>
  <c r="B82" i="167"/>
  <c r="B80" i="167"/>
  <c r="C83" i="167"/>
  <c r="C80" i="167"/>
  <c r="B80" i="166" a="1"/>
  <c r="M53" i="91"/>
  <c r="T12" i="120"/>
  <c r="Y11" i="120"/>
  <c r="P190" i="122"/>
  <c r="H166" i="122"/>
  <c r="H182" i="122" s="1"/>
  <c r="L158" i="122"/>
  <c r="M190" i="122"/>
  <c r="M131" i="122"/>
  <c r="L131" i="122"/>
  <c r="M158" i="122"/>
  <c r="P130" i="122"/>
  <c r="P83" i="122"/>
  <c r="O131" i="122"/>
  <c r="O158" i="122"/>
  <c r="J130" i="122"/>
  <c r="K174" i="122" s="1"/>
  <c r="K190" i="122" s="1"/>
  <c r="J83" i="122"/>
  <c r="H152" i="122"/>
  <c r="I152" i="122"/>
  <c r="J152" i="122"/>
  <c r="J48" i="91"/>
  <c r="J53" i="91" s="1"/>
  <c r="P40" i="176" l="1"/>
  <c r="B87" i="167"/>
  <c r="B88" i="167" s="1"/>
  <c r="C81" i="163"/>
  <c r="B83" i="163"/>
  <c r="C84" i="163"/>
  <c r="B81" i="163"/>
  <c r="C80" i="163"/>
  <c r="C83" i="163"/>
  <c r="B84" i="163"/>
  <c r="B82" i="163"/>
  <c r="B80" i="163"/>
  <c r="Q29" i="176"/>
  <c r="P30" i="176"/>
  <c r="P41" i="176" s="1"/>
  <c r="P43" i="176" s="1"/>
  <c r="Y37" i="176"/>
  <c r="Y40" i="176" s="1"/>
  <c r="Q40" i="176"/>
  <c r="Y77" i="175"/>
  <c r="Q77" i="175"/>
  <c r="Q81" i="175"/>
  <c r="N29" i="120"/>
  <c r="N29" i="175"/>
  <c r="P29" i="175" s="1"/>
  <c r="P40" i="175"/>
  <c r="Q37" i="175"/>
  <c r="B87" i="164"/>
  <c r="B88" i="164" s="1"/>
  <c r="B82" i="166"/>
  <c r="B83" i="166"/>
  <c r="C84" i="166"/>
  <c r="C83" i="166"/>
  <c r="C81" i="166"/>
  <c r="B80" i="166"/>
  <c r="B81" i="166"/>
  <c r="B84" i="166"/>
  <c r="C82" i="166"/>
  <c r="C80" i="166"/>
  <c r="Q174" i="122"/>
  <c r="Q190" i="122" s="1"/>
  <c r="P158" i="122"/>
  <c r="N69" i="120"/>
  <c r="P61" i="120"/>
  <c r="J131" i="122"/>
  <c r="J158" i="122"/>
  <c r="K131" i="122"/>
  <c r="Q158" i="122"/>
  <c r="K158" i="122"/>
  <c r="P131" i="122"/>
  <c r="Q131" i="122"/>
  <c r="B87" i="163" l="1"/>
  <c r="B88" i="163" s="1"/>
  <c r="P52" i="176"/>
  <c r="Y29" i="176"/>
  <c r="Y30" i="176" s="1"/>
  <c r="Y41" i="176" s="1"/>
  <c r="Q30" i="176"/>
  <c r="Q41" i="176" s="1"/>
  <c r="Q43" i="176" s="1"/>
  <c r="Q29" i="175"/>
  <c r="P30" i="175"/>
  <c r="P41" i="175" s="1"/>
  <c r="P43" i="175" s="1"/>
  <c r="Y37" i="175"/>
  <c r="Y40" i="175" s="1"/>
  <c r="Q40" i="175"/>
  <c r="B87" i="166"/>
  <c r="B88" i="166" s="1"/>
  <c r="G11" i="126"/>
  <c r="G17" i="126" s="1"/>
  <c r="Y80" i="176" s="1"/>
  <c r="Y81" i="176" s="1"/>
  <c r="N10" i="120"/>
  <c r="P39" i="120"/>
  <c r="Q39" i="120" s="1"/>
  <c r="Y80" i="175" l="1"/>
  <c r="Y81" i="175" s="1"/>
  <c r="Y87" i="175" s="1"/>
  <c r="Y87" i="176"/>
  <c r="F11" i="178"/>
  <c r="H11" i="178" s="1"/>
  <c r="H15" i="178" s="1"/>
  <c r="P57" i="176"/>
  <c r="P52" i="175"/>
  <c r="Y29" i="175"/>
  <c r="Y30" i="175" s="1"/>
  <c r="Y41" i="175" s="1"/>
  <c r="Q30" i="175"/>
  <c r="Q41" i="175" s="1"/>
  <c r="Q43" i="175" s="1"/>
  <c r="P10" i="120"/>
  <c r="Y39" i="120"/>
  <c r="P27" i="120"/>
  <c r="Q27" i="120" s="1"/>
  <c r="Y27" i="120" s="1"/>
  <c r="N71" i="120"/>
  <c r="P71" i="120" s="1"/>
  <c r="N72" i="120"/>
  <c r="N70" i="120"/>
  <c r="P29" i="120"/>
  <c r="Q29" i="120" s="1"/>
  <c r="P22" i="120"/>
  <c r="Q22" i="120" s="1"/>
  <c r="P21" i="120"/>
  <c r="Q21" i="120" s="1"/>
  <c r="F11" i="177" l="1"/>
  <c r="P57" i="175"/>
  <c r="Q10" i="120"/>
  <c r="Y10" i="120" s="1"/>
  <c r="P12" i="120"/>
  <c r="P14" i="120" s="1"/>
  <c r="Y22" i="120"/>
  <c r="Y29" i="120"/>
  <c r="Y21" i="120"/>
  <c r="P20" i="120"/>
  <c r="Q20" i="120" s="1"/>
  <c r="P38" i="120"/>
  <c r="Q38" i="120" s="1"/>
  <c r="Y20" i="120" l="1"/>
  <c r="Y38" i="120"/>
  <c r="T40" i="120"/>
  <c r="P26" i="120"/>
  <c r="P30" i="120" s="1"/>
  <c r="T30" i="120" l="1"/>
  <c r="P34" i="120"/>
  <c r="Q34" i="120" s="1"/>
  <c r="P33" i="120"/>
  <c r="Q33" i="120" s="1"/>
  <c r="P18" i="120"/>
  <c r="P32" i="120"/>
  <c r="Q32" i="120" s="1"/>
  <c r="Q26" i="120"/>
  <c r="Y26" i="120" l="1"/>
  <c r="Y33" i="120"/>
  <c r="Y32" i="120"/>
  <c r="Y34" i="120"/>
  <c r="Q30" i="120"/>
  <c r="Q18" i="120"/>
  <c r="P23" i="120"/>
  <c r="P78" i="120"/>
  <c r="Q78" i="120" s="1"/>
  <c r="Y78" i="120" s="1"/>
  <c r="P79" i="120"/>
  <c r="Q79" i="120" s="1"/>
  <c r="P65" i="120"/>
  <c r="Q65" i="120" s="1"/>
  <c r="Y30" i="120" l="1"/>
  <c r="Y65" i="120"/>
  <c r="Y79" i="120"/>
  <c r="Q23" i="120"/>
  <c r="P64" i="120"/>
  <c r="Q64" i="120" s="1"/>
  <c r="P72" i="120"/>
  <c r="Q72" i="120" s="1"/>
  <c r="Y64" i="120" l="1"/>
  <c r="Y72" i="120"/>
  <c r="Q71" i="120"/>
  <c r="P63" i="120"/>
  <c r="Q63" i="120" s="1"/>
  <c r="Y63" i="120" l="1"/>
  <c r="Y71" i="120"/>
  <c r="P62" i="120"/>
  <c r="Q62" i="120" s="1"/>
  <c r="P70" i="120"/>
  <c r="Q70" i="120" s="1"/>
  <c r="Y70" i="120" l="1"/>
  <c r="Y62" i="120"/>
  <c r="P69" i="120"/>
  <c r="Q69" i="120" s="1"/>
  <c r="Y69" i="120" s="1"/>
  <c r="Q61" i="120"/>
  <c r="Y61" i="120" s="1"/>
  <c r="P66" i="120"/>
  <c r="Y73" i="120" l="1"/>
  <c r="Y66" i="120"/>
  <c r="Q73" i="120"/>
  <c r="P73" i="120"/>
  <c r="P75" i="120" s="1"/>
  <c r="P77" i="120" s="1"/>
  <c r="Q66" i="120"/>
  <c r="Y75" i="120" l="1"/>
  <c r="P81" i="120"/>
  <c r="P53" i="120" s="1"/>
  <c r="Q75" i="120"/>
  <c r="Q77" i="120" s="1"/>
  <c r="Y77" i="120" l="1"/>
  <c r="Y80" i="120" s="1"/>
  <c r="Q81" i="120"/>
  <c r="K57" i="120" l="1"/>
  <c r="S14" i="120" l="1"/>
  <c r="T14" i="176" l="1"/>
  <c r="T43" i="176" s="1"/>
  <c r="Y13" i="176"/>
  <c r="Y14" i="176" s="1"/>
  <c r="Y43" i="176" s="1"/>
  <c r="T14" i="175"/>
  <c r="T43" i="175" s="1"/>
  <c r="T52" i="175" s="1"/>
  <c r="Y13" i="175"/>
  <c r="Y14" i="175" s="1"/>
  <c r="Y43" i="175" s="1"/>
  <c r="Y13" i="120"/>
  <c r="T57" i="175" l="1"/>
  <c r="T52" i="176"/>
  <c r="T57" i="176" s="1"/>
  <c r="G40" i="120"/>
  <c r="G41" i="120" s="1"/>
  <c r="G43" i="120" s="1"/>
  <c r="G52" i="120" s="1"/>
  <c r="L37" i="120"/>
  <c r="L40" i="120" l="1"/>
  <c r="L41" i="120" s="1"/>
  <c r="L43" i="120" s="1"/>
  <c r="P37" i="120"/>
  <c r="G57" i="120" l="1"/>
  <c r="Q37" i="120"/>
  <c r="P40" i="120"/>
  <c r="P41" i="120" s="1"/>
  <c r="P43" i="120" s="1"/>
  <c r="P52" i="120" l="1"/>
  <c r="Y37" i="120"/>
  <c r="Y40" i="120" s="1"/>
  <c r="Q40" i="120"/>
  <c r="Q41" i="120" s="1"/>
  <c r="P57" i="120" l="1"/>
  <c r="S23" i="120" l="1"/>
  <c r="S41" i="120" s="1"/>
  <c r="S43" i="120" s="1"/>
  <c r="S52" i="120" l="1"/>
  <c r="S57" i="120" s="1"/>
  <c r="T23" i="120" l="1"/>
  <c r="T41" i="120" s="1"/>
  <c r="Y18" i="120"/>
  <c r="Y23" i="120" s="1"/>
  <c r="Y41" i="120" s="1"/>
  <c r="H27" i="126" l="1"/>
  <c r="Q12" i="120"/>
  <c r="Q14" i="120" s="1"/>
  <c r="Q43" i="120" s="1"/>
  <c r="T14" i="120" l="1"/>
  <c r="T43" i="120" s="1"/>
  <c r="Y12" i="120"/>
  <c r="Y14" i="120" s="1"/>
  <c r="Y43" i="120" s="1"/>
  <c r="T57" i="120" l="1"/>
  <c r="Y81" i="120" l="1"/>
  <c r="H11" i="177" s="1"/>
  <c r="H15" i="177" l="1"/>
  <c r="Y87" i="120"/>
  <c r="F11" i="126"/>
  <c r="H11" i="126" s="1"/>
  <c r="H15" i="126" l="1"/>
  <c r="E53" i="176" l="1"/>
  <c r="L53" i="176" s="1"/>
  <c r="Q53" i="176" s="1"/>
  <c r="Y53" i="176" s="1"/>
  <c r="E53" i="175"/>
  <c r="L53" i="175" s="1"/>
  <c r="Q53" i="175" s="1"/>
  <c r="Y53" i="175" s="1"/>
  <c r="E53" i="120"/>
  <c r="L53" i="120" s="1"/>
  <c r="Q53" i="120" s="1"/>
  <c r="Y53" i="120" s="1"/>
  <c r="E52" i="175" l="1"/>
  <c r="E52" i="176"/>
  <c r="E52" i="120"/>
  <c r="L52" i="176" l="1"/>
  <c r="E57" i="176"/>
  <c r="E83" i="176" s="1"/>
  <c r="E57" i="120"/>
  <c r="E83" i="120" s="1"/>
  <c r="L52" i="120"/>
  <c r="E57" i="175"/>
  <c r="E83" i="175" s="1"/>
  <c r="L52" i="175"/>
  <c r="L57" i="120" l="1"/>
  <c r="Q52" i="120"/>
  <c r="L57" i="175"/>
  <c r="Q52" i="175"/>
  <c r="L57" i="176"/>
  <c r="Q52" i="176"/>
  <c r="Q57" i="176" l="1"/>
  <c r="Y52" i="176"/>
  <c r="Y57" i="176" s="1"/>
  <c r="Q57" i="175"/>
  <c r="Y52" i="175"/>
  <c r="Y57" i="175" s="1"/>
  <c r="Q57" i="120"/>
  <c r="Y52" i="120"/>
  <c r="Y57" i="120" s="1"/>
  <c r="Y88" i="175" l="1"/>
  <c r="Y90" i="175" s="1"/>
  <c r="Y92" i="175" s="1"/>
  <c r="Y83" i="175"/>
  <c r="F17" i="177"/>
  <c r="H17" i="177" s="1"/>
  <c r="Y88" i="176"/>
  <c r="Y90" i="176" s="1"/>
  <c r="Y92" i="176" s="1"/>
  <c r="Y83" i="176"/>
  <c r="F17" i="178"/>
  <c r="H17" i="178" s="1"/>
  <c r="F17" i="126"/>
  <c r="H17" i="126" s="1"/>
  <c r="Y83" i="120"/>
  <c r="Y88" i="120"/>
  <c r="Y90" i="120" s="1"/>
  <c r="Y92" i="120" s="1"/>
  <c r="H19" i="178" l="1"/>
  <c r="H21" i="178"/>
  <c r="H25" i="178" s="1"/>
  <c r="H19" i="177"/>
  <c r="H21" i="177"/>
  <c r="H25" i="177" s="1"/>
  <c r="H19" i="126"/>
  <c r="H21" i="126"/>
  <c r="H25" i="126" s="1"/>
  <c r="F27" i="178" l="1"/>
  <c r="H27" i="178" s="1"/>
  <c r="F27" i="177"/>
  <c r="H27" i="177" s="1"/>
  <c r="H29" i="177" s="1"/>
  <c r="H31" i="126"/>
  <c r="H29" i="126"/>
  <c r="F29" i="178" l="1"/>
  <c r="H29" i="178" s="1"/>
  <c r="H31" i="178" s="1"/>
  <c r="H35" i="177"/>
  <c r="H33" i="177"/>
  <c r="H33" i="178" l="1"/>
  <c r="H35" i="178" s="1"/>
  <c r="H37" i="178" l="1"/>
</calcChain>
</file>

<file path=xl/comments1.xml><?xml version="1.0" encoding="utf-8"?>
<comments xmlns="http://schemas.openxmlformats.org/spreadsheetml/2006/main">
  <authors>
    <author>gzhkw6</author>
  </authors>
  <commentList>
    <comment ref="F77" authorId="0" shapeId="0">
      <text>
        <r>
          <rPr>
            <b/>
            <sz val="8"/>
            <color indexed="81"/>
            <rFont val="Tahoma"/>
            <family val="2"/>
          </rPr>
          <t>gzhkw6:</t>
        </r>
        <r>
          <rPr>
            <sz val="8"/>
            <color indexed="81"/>
            <rFont val="Tahoma"/>
            <family val="2"/>
          </rPr>
          <t xml:space="preserve">
Segregated Deferred Taxes and Deferred Debits and Credits as if it had been shown that way prior to 2011</t>
        </r>
      </text>
    </comment>
  </commentList>
</comments>
</file>

<file path=xl/comments2.xml><?xml version="1.0" encoding="utf-8"?>
<comments xmlns="http://schemas.openxmlformats.org/spreadsheetml/2006/main">
  <authors>
    <author>gzhkw6</author>
    <author>Liz Andrews</author>
  </authors>
  <commentList>
    <comment ref="I18" authorId="0" shapeId="0">
      <text>
        <r>
          <rPr>
            <b/>
            <sz val="8"/>
            <color indexed="81"/>
            <rFont val="Tahoma"/>
            <family val="2"/>
          </rPr>
          <t>gzhkw6:</t>
        </r>
        <r>
          <rPr>
            <sz val="8"/>
            <color indexed="81"/>
            <rFont val="Tahoma"/>
            <family val="2"/>
          </rPr>
          <t xml:space="preserve">
includes100K for leased transportation vehicles amort that should have been general plant related</t>
        </r>
      </text>
    </comment>
    <comment ref="R28" authorId="1" shapeId="0">
      <text>
        <r>
          <rPr>
            <b/>
            <sz val="8"/>
            <color indexed="81"/>
            <rFont val="Tahoma"/>
            <family val="2"/>
          </rPr>
          <t>Liz Andrews:</t>
        </r>
        <r>
          <rPr>
            <sz val="8"/>
            <color indexed="81"/>
            <rFont val="Tahoma"/>
            <family val="2"/>
          </rPr>
          <t xml:space="preserve">
Removed in 12.2013 Commission Basis Report model</t>
        </r>
      </text>
    </comment>
    <comment ref="S28" authorId="1" shapeId="0">
      <text>
        <r>
          <rPr>
            <b/>
            <sz val="8"/>
            <color indexed="81"/>
            <rFont val="Tahoma"/>
            <family val="2"/>
          </rPr>
          <t>Liz Andrews:</t>
        </r>
        <r>
          <rPr>
            <sz val="8"/>
            <color indexed="81"/>
            <rFont val="Tahoma"/>
            <family val="2"/>
          </rPr>
          <t xml:space="preserve">
Removed in 12.2013 Commission Basis Report model</t>
        </r>
      </text>
    </comment>
    <comment ref="J30" authorId="0" shapeId="0">
      <text>
        <r>
          <rPr>
            <b/>
            <sz val="8"/>
            <color indexed="81"/>
            <rFont val="Tahoma"/>
            <family val="2"/>
          </rPr>
          <t>gzhkw6:</t>
        </r>
        <r>
          <rPr>
            <sz val="8"/>
            <color indexed="81"/>
            <rFont val="Tahoma"/>
            <family val="2"/>
          </rPr>
          <t xml:space="preserve">
Prior to 2006 the amortization of the write off was recorded in account 426, changed to 407 making manual CB adjustment no longer necessary</t>
        </r>
      </text>
    </comment>
    <comment ref="R33" authorId="1" shapeId="0">
      <text>
        <r>
          <rPr>
            <b/>
            <sz val="8"/>
            <color indexed="81"/>
            <rFont val="Tahoma"/>
            <family val="2"/>
          </rPr>
          <t>Liz Andrews:</t>
        </r>
        <r>
          <rPr>
            <sz val="8"/>
            <color indexed="81"/>
            <rFont val="Tahoma"/>
            <family val="2"/>
          </rPr>
          <t xml:space="preserve">
Removed in 12.2013 Commission Basis Report model</t>
        </r>
      </text>
    </comment>
    <comment ref="S33" authorId="1" shapeId="0">
      <text>
        <r>
          <rPr>
            <b/>
            <sz val="8"/>
            <color indexed="81"/>
            <rFont val="Tahoma"/>
            <family val="2"/>
          </rPr>
          <t>Liz Andrews:</t>
        </r>
        <r>
          <rPr>
            <sz val="8"/>
            <color indexed="81"/>
            <rFont val="Tahoma"/>
            <family val="2"/>
          </rPr>
          <t xml:space="preserve">
Removed in 12.2013 Commission Basis Report model</t>
        </r>
      </text>
    </comment>
    <comment ref="T33" authorId="1" shapeId="0">
      <text>
        <r>
          <rPr>
            <b/>
            <sz val="9"/>
            <color indexed="81"/>
            <rFont val="Tahoma"/>
            <family val="2"/>
          </rPr>
          <t>Liz Andrews:</t>
        </r>
        <r>
          <rPr>
            <sz val="9"/>
            <color indexed="81"/>
            <rFont val="Tahoma"/>
            <family val="2"/>
          </rPr>
          <t xml:space="preserve">
Removed in Commission Basis Report adj. 
</t>
        </r>
      </text>
    </comment>
    <comment ref="S38" authorId="0" shapeId="0">
      <text>
        <r>
          <rPr>
            <b/>
            <sz val="9"/>
            <color indexed="81"/>
            <rFont val="Tahoma"/>
            <family val="2"/>
          </rPr>
          <t>tlk:</t>
        </r>
        <r>
          <rPr>
            <sz val="9"/>
            <color indexed="81"/>
            <rFont val="Tahoma"/>
            <family val="2"/>
          </rPr>
          <t xml:space="preserve">
amortization eliminated in EAS</t>
        </r>
      </text>
    </comment>
    <comment ref="S39" authorId="0" shapeId="0">
      <text>
        <r>
          <rPr>
            <b/>
            <sz val="9"/>
            <color indexed="81"/>
            <rFont val="Tahoma"/>
            <family val="2"/>
          </rPr>
          <t>tlk:</t>
        </r>
        <r>
          <rPr>
            <sz val="9"/>
            <color indexed="81"/>
            <rFont val="Tahoma"/>
            <family val="2"/>
          </rPr>
          <t xml:space="preserve">
eliminated in EWPC
</t>
        </r>
      </text>
    </comment>
    <comment ref="G50" authorId="0" shapeId="0">
      <text>
        <r>
          <rPr>
            <b/>
            <sz val="8"/>
            <color indexed="81"/>
            <rFont val="Tahoma"/>
            <family val="2"/>
          </rPr>
          <t>gzhkw6:</t>
        </r>
        <r>
          <rPr>
            <sz val="8"/>
            <color indexed="81"/>
            <rFont val="Tahoma"/>
            <family val="2"/>
          </rPr>
          <t xml:space="preserve">
includes CS2 pro forma plant and small gen</t>
        </r>
      </text>
    </comment>
    <comment ref="H50" authorId="0" shapeId="0">
      <text>
        <r>
          <rPr>
            <b/>
            <sz val="8"/>
            <color indexed="81"/>
            <rFont val="Tahoma"/>
            <family val="2"/>
          </rPr>
          <t>gzhkw6:</t>
        </r>
        <r>
          <rPr>
            <sz val="8"/>
            <color indexed="81"/>
            <rFont val="Tahoma"/>
            <family val="2"/>
          </rPr>
          <t xml:space="preserve">
includes CS2 pro forma plant</t>
        </r>
      </text>
    </comment>
    <comment ref="I50" authorId="0" shapeId="0">
      <text>
        <r>
          <rPr>
            <b/>
            <sz val="8"/>
            <color indexed="81"/>
            <rFont val="Tahoma"/>
            <family val="2"/>
          </rPr>
          <t>gzhkw6:</t>
        </r>
        <r>
          <rPr>
            <sz val="8"/>
            <color indexed="81"/>
            <rFont val="Tahoma"/>
            <family val="2"/>
          </rPr>
          <t xml:space="preserve">
pro formed CS2</t>
        </r>
      </text>
    </comment>
  </commentList>
</comments>
</file>

<file path=xl/comments3.xml><?xml version="1.0" encoding="utf-8"?>
<comments xmlns="http://schemas.openxmlformats.org/spreadsheetml/2006/main">
  <authors>
    <author>gzhkw6</author>
  </authors>
  <commentList>
    <comment ref="I24" authorId="0" shapeId="0">
      <text>
        <r>
          <rPr>
            <b/>
            <sz val="8"/>
            <color indexed="81"/>
            <rFont val="Tahoma"/>
            <family val="2"/>
          </rPr>
          <t>gzhkw6:</t>
        </r>
        <r>
          <rPr>
            <sz val="8"/>
            <color indexed="81"/>
            <rFont val="Tahoma"/>
            <family val="2"/>
          </rPr>
          <t xml:space="preserve">
No Res X in 2000 but Centralia Gain was refunded</t>
        </r>
      </text>
    </comment>
    <comment ref="T24" authorId="0" shapeId="0">
      <text>
        <r>
          <rPr>
            <b/>
            <sz val="8"/>
            <color indexed="81"/>
            <rFont val="Tahoma"/>
            <family val="2"/>
          </rPr>
          <t>gzhkw6:</t>
        </r>
        <r>
          <rPr>
            <sz val="8"/>
            <color indexed="81"/>
            <rFont val="Tahoma"/>
            <family val="2"/>
          </rPr>
          <t xml:space="preserve">
Net with Buck a block revenue offset
</t>
        </r>
      </text>
    </comment>
  </commentList>
</comments>
</file>

<file path=xl/comments4.xml><?xml version="1.0" encoding="utf-8"?>
<comments xmlns="http://schemas.openxmlformats.org/spreadsheetml/2006/main">
  <authors>
    <author>Liz Andrews</author>
  </authors>
  <commentList>
    <comment ref="O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P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Q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R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S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T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U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List>
</comments>
</file>

<file path=xl/comments5.xml><?xml version="1.0" encoding="utf-8"?>
<comments xmlns="http://schemas.openxmlformats.org/spreadsheetml/2006/main">
  <authors>
    <author>gzhkw6</author>
  </authors>
  <commentList>
    <comment ref="E16" authorId="0" shapeId="0">
      <text>
        <r>
          <rPr>
            <b/>
            <sz val="9"/>
            <color indexed="81"/>
            <rFont val="Tahoma"/>
            <family val="2"/>
          </rPr>
          <t>gzhkw6:</t>
        </r>
        <r>
          <rPr>
            <sz val="9"/>
            <color indexed="81"/>
            <rFont val="Tahoma"/>
            <family val="2"/>
          </rPr>
          <t xml:space="preserve">
in ps wps 
11,802 * 66.29%</t>
        </r>
      </text>
    </comment>
    <comment ref="F16" authorId="0" shapeId="0">
      <text>
        <r>
          <rPr>
            <b/>
            <sz val="9"/>
            <color indexed="81"/>
            <rFont val="Tahoma"/>
            <family val="2"/>
          </rPr>
          <t>gzhkw6:</t>
        </r>
        <r>
          <rPr>
            <sz val="9"/>
            <color indexed="81"/>
            <rFont val="Tahoma"/>
            <family val="2"/>
          </rPr>
          <t xml:space="preserve">
in ps wps
14,659 * 67.48%
</t>
        </r>
      </text>
    </comment>
    <comment ref="G16" authorId="0" shapeId="0">
      <text>
        <r>
          <rPr>
            <b/>
            <sz val="9"/>
            <color indexed="81"/>
            <rFont val="Tahoma"/>
            <family val="2"/>
          </rPr>
          <t>gzhkw6:</t>
        </r>
        <r>
          <rPr>
            <sz val="9"/>
            <color indexed="81"/>
            <rFont val="Tahoma"/>
            <family val="2"/>
          </rPr>
          <t xml:space="preserve">
in ps wps</t>
        </r>
      </text>
    </comment>
    <comment ref="H16" authorId="0" shapeId="0">
      <text>
        <r>
          <rPr>
            <b/>
            <sz val="9"/>
            <color indexed="81"/>
            <rFont val="Tahoma"/>
            <family val="2"/>
          </rPr>
          <t>gzhkw6:</t>
        </r>
        <r>
          <rPr>
            <sz val="9"/>
            <color indexed="81"/>
            <rFont val="Tahoma"/>
            <family val="2"/>
          </rPr>
          <t xml:space="preserve">
2004 glm query
</t>
        </r>
      </text>
    </comment>
    <comment ref="I16" authorId="0" shapeId="0">
      <text>
        <r>
          <rPr>
            <b/>
            <sz val="9"/>
            <color indexed="81"/>
            <rFont val="Tahoma"/>
            <family val="2"/>
          </rPr>
          <t>gzhkw6:</t>
        </r>
        <r>
          <rPr>
            <sz val="9"/>
            <color indexed="81"/>
            <rFont val="Tahoma"/>
            <family val="2"/>
          </rPr>
          <t xml:space="preserve">
pf transmission per power supply adj wps
case same as CB </t>
        </r>
      </text>
    </comment>
    <comment ref="R16" authorId="0" shapeId="0">
      <text>
        <r>
          <rPr>
            <b/>
            <sz val="9"/>
            <color indexed="81"/>
            <rFont val="Tahoma"/>
            <family val="2"/>
          </rPr>
          <t>gzhkw6:</t>
        </r>
        <r>
          <rPr>
            <sz val="9"/>
            <color indexed="81"/>
            <rFont val="Tahoma"/>
            <family val="2"/>
          </rPr>
          <t xml:space="preserve">
2005 - 2012 RevTran Journal totals Allocated + WA direct</t>
        </r>
      </text>
    </comment>
  </commentList>
</comments>
</file>

<file path=xl/sharedStrings.xml><?xml version="1.0" encoding="utf-8"?>
<sst xmlns="http://schemas.openxmlformats.org/spreadsheetml/2006/main" count="2517" uniqueCount="574">
  <si>
    <t>REVENUES</t>
  </si>
  <si>
    <t>Other Revenue</t>
  </si>
  <si>
    <t>Line</t>
  </si>
  <si>
    <t>DESCRIPTION</t>
  </si>
  <si>
    <t>Avista Corporation</t>
  </si>
  <si>
    <t>WA Power Supply Net Costs</t>
  </si>
  <si>
    <t>Total</t>
  </si>
  <si>
    <t>P/T Allocation Percentages</t>
  </si>
  <si>
    <t>447 Sales for Resale</t>
  </si>
  <si>
    <t>453 Sales of Water and Water Power</t>
  </si>
  <si>
    <t>454 Misc Rents</t>
  </si>
  <si>
    <t>456 Other Electric Revenue</t>
  </si>
  <si>
    <t xml:space="preserve">   Total Revenue</t>
  </si>
  <si>
    <t>501 Thermal Fuel Expense</t>
  </si>
  <si>
    <t>546 Other Power Gen Supvsn &amp; Eng</t>
  </si>
  <si>
    <t>547 Other Fuel Expense</t>
  </si>
  <si>
    <t>536 Water for Power</t>
  </si>
  <si>
    <t>555 Purchased Power</t>
  </si>
  <si>
    <t>549 Misc Other Gen Expense</t>
  </si>
  <si>
    <t>550 Rents</t>
  </si>
  <si>
    <t>556 System Control &amp; Dispatch</t>
  </si>
  <si>
    <t>557 Other Expenses</t>
  </si>
  <si>
    <t>565 Trans. of Elec. by Others</t>
  </si>
  <si>
    <t xml:space="preserve">   Total Expense</t>
  </si>
  <si>
    <t>Net Income Before Income Taxes</t>
  </si>
  <si>
    <t>Federal Income Tax</t>
  </si>
  <si>
    <t>Net Income</t>
  </si>
  <si>
    <t>Total Washington</t>
  </si>
  <si>
    <t>WA</t>
  </si>
  <si>
    <t>Revenue Requirement</t>
  </si>
  <si>
    <t xml:space="preserve">RATE OF RETURN  </t>
  </si>
  <si>
    <t xml:space="preserve">TOTAL RATE BASE  </t>
  </si>
  <si>
    <t xml:space="preserve">DEFERRED TAXES  </t>
  </si>
  <si>
    <t xml:space="preserve">WORKING CAPITAL </t>
  </si>
  <si>
    <t xml:space="preserve">Total Plant in Service  </t>
  </si>
  <si>
    <t xml:space="preserve">General  </t>
  </si>
  <si>
    <t xml:space="preserve">Distribution  </t>
  </si>
  <si>
    <t xml:space="preserve">Transmission  </t>
  </si>
  <si>
    <t xml:space="preserve">Production  </t>
  </si>
  <si>
    <t xml:space="preserve">Intangible  </t>
  </si>
  <si>
    <t xml:space="preserve">PLANT IN SERVICE  </t>
  </si>
  <si>
    <t xml:space="preserve">RATE BASE  </t>
  </si>
  <si>
    <t xml:space="preserve">NET OPERATING INCOME  </t>
  </si>
  <si>
    <t>Amortized ITC - Noxon</t>
  </si>
  <si>
    <t xml:space="preserve">Deferred Income Taxes  </t>
  </si>
  <si>
    <t xml:space="preserve">FEDERAL INCOME TAX  </t>
  </si>
  <si>
    <t xml:space="preserve">OPERATING INCOME BEFORE FIT  </t>
  </si>
  <si>
    <t xml:space="preserve">Total Electric Expenses  </t>
  </si>
  <si>
    <t xml:space="preserve">Total Admin. &amp; General  </t>
  </si>
  <si>
    <t xml:space="preserve">Taxes  </t>
  </si>
  <si>
    <t xml:space="preserve">Operating Expenses  </t>
  </si>
  <si>
    <t xml:space="preserve">Administrative &amp; General  </t>
  </si>
  <si>
    <t xml:space="preserve">Sales Expenses  </t>
  </si>
  <si>
    <t xml:space="preserve">Customer Service &amp; Information  </t>
  </si>
  <si>
    <t xml:space="preserve">Customer Accounting  </t>
  </si>
  <si>
    <t xml:space="preserve">Total Distribution  </t>
  </si>
  <si>
    <t xml:space="preserve">Total Production &amp; Transmission  </t>
  </si>
  <si>
    <t xml:space="preserve">Purchased Power  </t>
  </si>
  <si>
    <t xml:space="preserve">Production and Transmission  </t>
  </si>
  <si>
    <t xml:space="preserve">EXPENSES  </t>
  </si>
  <si>
    <t xml:space="preserve">Total Electric Revenue  </t>
  </si>
  <si>
    <t xml:space="preserve">Other Revenue  </t>
  </si>
  <si>
    <t xml:space="preserve">Total Sales of Electricity  </t>
  </si>
  <si>
    <t xml:space="preserve">Sales for Resale  </t>
  </si>
  <si>
    <t xml:space="preserve">Interdepartmental Sales  </t>
  </si>
  <si>
    <t xml:space="preserve">Total General Business  </t>
  </si>
  <si>
    <t xml:space="preserve">REVENUES  </t>
  </si>
  <si>
    <t>Supply</t>
  </si>
  <si>
    <t>Power</t>
  </si>
  <si>
    <t>No.</t>
  </si>
  <si>
    <t>Common</t>
  </si>
  <si>
    <t>Remove</t>
  </si>
  <si>
    <t xml:space="preserve">(000'S OF DOLLARS)  </t>
  </si>
  <si>
    <t xml:space="preserve">AVISTA UTILITIES  </t>
  </si>
  <si>
    <t>Revenue Conversion Factor</t>
  </si>
  <si>
    <t xml:space="preserve"> </t>
  </si>
  <si>
    <t>Capital</t>
  </si>
  <si>
    <t>Revenue Growth Factor</t>
  </si>
  <si>
    <t>AVISTA UTILITIES</t>
  </si>
  <si>
    <t>Working Capital</t>
  </si>
  <si>
    <t>[A]</t>
  </si>
  <si>
    <t>[B]</t>
  </si>
  <si>
    <t>[D]</t>
  </si>
  <si>
    <t xml:space="preserve">WASHINGTON ELECTRIC RESULTS  </t>
  </si>
  <si>
    <t xml:space="preserve">Adjustment Number </t>
  </si>
  <si>
    <t>Workpaper Reference</t>
  </si>
  <si>
    <t xml:space="preserve">Depreciation/Amortization  </t>
  </si>
  <si>
    <t>Regulatory Amortization</t>
  </si>
  <si>
    <t>Depreciation/Amortization</t>
  </si>
  <si>
    <t xml:space="preserve">Current Accrual </t>
  </si>
  <si>
    <t>Debt Interest</t>
  </si>
  <si>
    <t>ACCUMULATED DEPRECIATION/AMORT</t>
  </si>
  <si>
    <t>Total Accumulated Depreciation</t>
  </si>
  <si>
    <t xml:space="preserve">NET PLANT </t>
  </si>
  <si>
    <t>Net Plant After DFIT</t>
  </si>
  <si>
    <t xml:space="preserve">DEFERRED DEBITS AND CREDITS </t>
  </si>
  <si>
    <t>Net Plant</t>
  </si>
  <si>
    <t>TWELVE MONTHS ENDED DECEMBER 31, 2005 - 2011</t>
  </si>
  <si>
    <t>(Note 1)</t>
  </si>
  <si>
    <t>ResX</t>
  </si>
  <si>
    <t>DSM</t>
  </si>
  <si>
    <t>(Note 2)</t>
  </si>
  <si>
    <t>Note 1:  2011 Washington electric revenue conversion factor amounts.</t>
  </si>
  <si>
    <t>Other</t>
  </si>
  <si>
    <t>Plant in Service</t>
  </si>
  <si>
    <t>Subtotal: Production and Transmission</t>
  </si>
  <si>
    <t>Subtotal: Distribution</t>
  </si>
  <si>
    <t>Accumulated Depreciation and Amortization</t>
  </si>
  <si>
    <t>Deferred Taxes</t>
  </si>
  <si>
    <t>Deferred Debits and Credits</t>
  </si>
  <si>
    <t>Subtotal: Sales of Electricity</t>
  </si>
  <si>
    <t>Subtotal: Plant in Service</t>
  </si>
  <si>
    <t>ID</t>
  </si>
  <si>
    <t>Washington - Electric System</t>
  </si>
  <si>
    <t>Weighted</t>
  </si>
  <si>
    <t>Component</t>
  </si>
  <si>
    <t>Structure</t>
  </si>
  <si>
    <t>Cost</t>
  </si>
  <si>
    <t>Total Debt</t>
  </si>
  <si>
    <t>Proposed Rate of Return</t>
  </si>
  <si>
    <t>na</t>
  </si>
  <si>
    <t>Operating Income Deficiency</t>
  </si>
  <si>
    <t>[C]</t>
  </si>
  <si>
    <t>[E]</t>
  </si>
  <si>
    <t>[F]</t>
  </si>
  <si>
    <t>[G]</t>
  </si>
  <si>
    <t>[H]</t>
  </si>
  <si>
    <t>[I]</t>
  </si>
  <si>
    <t>[J]</t>
  </si>
  <si>
    <t>Subtotal: Accumulated Depreciation and Amortization</t>
  </si>
  <si>
    <t>Net Plant After Deferred taxes</t>
  </si>
  <si>
    <t>Return on Plant in Service at Proposed Rate</t>
  </si>
  <si>
    <t>Net Plant After Deferred Income Taxes</t>
  </si>
  <si>
    <t>Normalized Cost Per Power Supply Adjustment</t>
  </si>
  <si>
    <t>TWELVE MONTHS ENDED DECEMBER 31, 2000 - 2012</t>
  </si>
  <si>
    <t>Note 2:  Adder Schedules were removed from the 2004 and 2006 case files which were provided for Commission Basis reporting those years.</t>
  </si>
  <si>
    <t>Note 3:  Adder Schedules were removed from the 2004 and 2006 case files which were provided for Commission Basis reporting those years.</t>
  </si>
  <si>
    <t>Levelized Settlement Exchange Power</t>
  </si>
  <si>
    <t>Note 2:  No ResX rate credit in 2000.  However, there was a refund of the Centralia Gain that affected both revenue and regulatory amortizations.</t>
  </si>
  <si>
    <t>P/T Depreciation/Amort as filed</t>
  </si>
  <si>
    <t>Regulatory Amortizations as filed</t>
  </si>
  <si>
    <t>403 Production Depreciation</t>
  </si>
  <si>
    <t>403 Transmission Depreciation</t>
  </si>
  <si>
    <t>404 Intangible Amortization</t>
  </si>
  <si>
    <t>405 Exchange Power Amortization</t>
  </si>
  <si>
    <t>406 Colstrip Common AFUDC</t>
  </si>
  <si>
    <t>407 Amort of CO2 credits</t>
  </si>
  <si>
    <t>407 Amort of Centralia Gain</t>
  </si>
  <si>
    <t>407 Amort of Rate Base Reduction</t>
  </si>
  <si>
    <t>407 Amort of MOPS Reg Asset</t>
  </si>
  <si>
    <t>407 Amort of Residential Exchange</t>
  </si>
  <si>
    <t>407 Small Gen Amortization</t>
  </si>
  <si>
    <t>407 Kettle Falls Disallowed Depreciation</t>
  </si>
  <si>
    <t>Rev</t>
  </si>
  <si>
    <t>407 SRR &amp; CDA Settlement Deferrals &amp; Amorts</t>
  </si>
  <si>
    <t>407 Lancaster Generation</t>
  </si>
  <si>
    <t>407 Optional Renewable Power Revenue Offset</t>
  </si>
  <si>
    <t>407 Deferred O&amp;M Deferral &amp; Amort</t>
  </si>
  <si>
    <t>407 LiDAR Deferral &amp; Amortization</t>
  </si>
  <si>
    <t>407 CNC Transmission Amortization</t>
  </si>
  <si>
    <t>407 WA Renewable Energy Credits Amortization</t>
  </si>
  <si>
    <t>407 Optional Renewable Solar Project Offset</t>
  </si>
  <si>
    <t>407 Palouse Wind Deferral</t>
  </si>
  <si>
    <t>P/T Depreciation</t>
  </si>
  <si>
    <t>Regulatory Deferrals and Amortizations</t>
  </si>
  <si>
    <t>Included in Depreciation prior to 2012, should continue in depreciation</t>
  </si>
  <si>
    <t>Check Total</t>
  </si>
  <si>
    <t>Regulatory Deferrals &amp; Amorts Excluding Revenue</t>
  </si>
  <si>
    <t>Regulatory Amortizations</t>
  </si>
  <si>
    <t>Adjusted Regulatory Amortizations</t>
  </si>
  <si>
    <t>Gain on Sale of Office Building</t>
  </si>
  <si>
    <t>Colstrip 3 Reallocation</t>
  </si>
  <si>
    <t>Colstrip Common AFUDC</t>
  </si>
  <si>
    <t>Accum Depr</t>
  </si>
  <si>
    <t>Kettle Falls Disallowance</t>
  </si>
  <si>
    <t>ADFIT</t>
  </si>
  <si>
    <t>Settlement Exchange Power</t>
  </si>
  <si>
    <t>Hydro Relicensing</t>
  </si>
  <si>
    <t>Montana Riverbed Settlement</t>
  </si>
  <si>
    <t>Lancaster Generation</t>
  </si>
  <si>
    <t>Customer Advances</t>
  </si>
  <si>
    <t>Customer Deposits</t>
  </si>
  <si>
    <t>PGE Monetization</t>
  </si>
  <si>
    <t>MOPS</t>
  </si>
  <si>
    <t>Production Plant</t>
  </si>
  <si>
    <t>Distribution Plant</t>
  </si>
  <si>
    <t>Prod Plant</t>
  </si>
  <si>
    <t>Dist Plant</t>
  </si>
  <si>
    <t>ADFIT on Gain on Sale of Office Bldg</t>
  </si>
  <si>
    <t>Non-Retail Revenue Analysis</t>
  </si>
  <si>
    <t>Power Supply Normalized</t>
  </si>
  <si>
    <t>CB Totals</t>
  </si>
  <si>
    <t>Sales for Resale</t>
  </si>
  <si>
    <t>Non-PT Other Revenue</t>
  </si>
  <si>
    <t>BPA settlement erroneously removed from gen business, should have been removed from transmission wheeling rev</t>
  </si>
  <si>
    <t>missing normalize transmission wheeling revenues adjustment for CB</t>
  </si>
  <si>
    <t>Annual Growth Rates</t>
  </si>
  <si>
    <t>2001-2002</t>
  </si>
  <si>
    <t>2002-2003</t>
  </si>
  <si>
    <t>2003-2004</t>
  </si>
  <si>
    <t>2004-2005</t>
  </si>
  <si>
    <t>2005-2006</t>
  </si>
  <si>
    <t>2006-2007</t>
  </si>
  <si>
    <t>2007-2008</t>
  </si>
  <si>
    <t>2008-2009</t>
  </si>
  <si>
    <t>2009-2010</t>
  </si>
  <si>
    <t>2010-2011</t>
  </si>
  <si>
    <t>2011-2012</t>
  </si>
  <si>
    <t>Rate base</t>
  </si>
  <si>
    <t>Adjusted Other Revenue</t>
  </si>
  <si>
    <t>TWELVE MONTHS ENDED DECEMBER RESTATED TOTALS</t>
  </si>
  <si>
    <t>As Filed</t>
  </si>
  <si>
    <t>2000</t>
  </si>
  <si>
    <t>2001</t>
  </si>
  <si>
    <t>2002</t>
  </si>
  <si>
    <t>2003</t>
  </si>
  <si>
    <t>2004</t>
  </si>
  <si>
    <t>2005</t>
  </si>
  <si>
    <t>2006</t>
  </si>
  <si>
    <t>2007</t>
  </si>
  <si>
    <t>2008</t>
  </si>
  <si>
    <t>2009</t>
  </si>
  <si>
    <t>2010</t>
  </si>
  <si>
    <t>2011</t>
  </si>
  <si>
    <t>2012</t>
  </si>
  <si>
    <t>[K]</t>
  </si>
  <si>
    <t>Note 1:  06.2013 Washington electric revenue conversion factor amounts.</t>
  </si>
  <si>
    <t>456 Transmission Wheeling Revenue</t>
  </si>
  <si>
    <t>456 Other Electric Revenue Direct WA</t>
  </si>
  <si>
    <t>557 Other Expenses Direct WA</t>
  </si>
  <si>
    <t>456 Other Wholesale Revenue</t>
  </si>
  <si>
    <t>check</t>
  </si>
  <si>
    <t xml:space="preserve">Line </t>
  </si>
  <si>
    <t>Description</t>
  </si>
  <si>
    <t>Factor</t>
  </si>
  <si>
    <t>Revenues</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</si>
  <si>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</si>
  <si>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</si>
  <si>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</si>
  <si>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</si>
  <si>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</si>
  <si>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</si>
  <si>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</si>
  <si>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</si>
  <si>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Commission Basis Results of Operations</t>
  </si>
  <si>
    <t>Deduct DSM Tariff Rider Expenses</t>
  </si>
  <si>
    <t>Deduct Res X Credit Expenses</t>
  </si>
  <si>
    <t>Adjusted Operating Expenses</t>
  </si>
  <si>
    <t>Deduct Power Supply Expenses</t>
  </si>
  <si>
    <t>Production/Transmission</t>
  </si>
  <si>
    <t>Purchased Power</t>
  </si>
  <si>
    <t>Distribution</t>
  </si>
  <si>
    <t>Customer Accounting</t>
  </si>
  <si>
    <t>Customer Service and Information</t>
  </si>
  <si>
    <t>Sales</t>
  </si>
  <si>
    <t>Adminisrtative and General</t>
  </si>
  <si>
    <t>Total Operating &amp; Maintenance Expenses</t>
  </si>
  <si>
    <t>Total Depreciation/Amortization</t>
  </si>
  <si>
    <t>Total Taxes Other Than Income Tax</t>
  </si>
  <si>
    <t>Deduct DSM Tariff Rider Excise Tax</t>
  </si>
  <si>
    <t>Deduct Res X Credit Excise Tax</t>
  </si>
  <si>
    <t>Adjusted Taxes Other Than Income Tax</t>
  </si>
  <si>
    <t>Net Plant After Deferred Income Tax</t>
  </si>
  <si>
    <t>Total Rate Base</t>
  </si>
  <si>
    <t>Exclude Power Supply and Transmission Wheeling from Other Operating Revenue</t>
  </si>
  <si>
    <t>CBR Ln 7</t>
  </si>
  <si>
    <t>CBR Ln 8</t>
  </si>
  <si>
    <t>CBR Ln 13</t>
  </si>
  <si>
    <t>CBR Ln 17</t>
  </si>
  <si>
    <t>CBR Ln 18</t>
  </si>
  <si>
    <t>CBR Ln 19</t>
  </si>
  <si>
    <t>CBR Ln 20</t>
  </si>
  <si>
    <t>CBR Ln 9</t>
  </si>
  <si>
    <t>CBR Ln 14</t>
  </si>
  <si>
    <t>CBR Ln 21</t>
  </si>
  <si>
    <t>CBR Ln 10</t>
  </si>
  <si>
    <t>CBR Ln 11</t>
  </si>
  <si>
    <t>CBR Ln 15</t>
  </si>
  <si>
    <t>CBR Ln 22</t>
  </si>
  <si>
    <t>CBR Ln 46</t>
  </si>
  <si>
    <t>CBR Ln 49</t>
  </si>
  <si>
    <t>Other Operating Revenue</t>
  </si>
  <si>
    <t>CBR Ln 5</t>
  </si>
  <si>
    <t>Deduct Power Supply Other Revenue</t>
  </si>
  <si>
    <t>Deduct Transmission Other Revenue</t>
  </si>
  <si>
    <t>Total Power Supply Other Revenue</t>
  </si>
  <si>
    <t>No</t>
  </si>
  <si>
    <t>Exclude Power Supply and Adder Schedule Expenses (DSM Tariff Rider and Residential Exchange Credit) from O&amp;M</t>
  </si>
  <si>
    <t>Exclude Adder Schedule amortizations (Residential Exchange Credit) from Regulatory Amortizations</t>
  </si>
  <si>
    <t>Note: The Deferred Debits and Credits Category has been restated in prior years to reflect consistency with the current reporting format.</t>
  </si>
  <si>
    <t>Note: The Regulatory Amortization Category has been restated in prior years to reflect consistency with the current reporting format.</t>
  </si>
  <si>
    <t>Deduct Res X Credit amortization</t>
  </si>
  <si>
    <t>ANNUAL AND COMPOUND GROWTH RATES</t>
  </si>
  <si>
    <t xml:space="preserve">WASHINGTON ELECTRIC RESULTS </t>
  </si>
  <si>
    <t xml:space="preserve"> Authorized Cap Structure</t>
  </si>
  <si>
    <t>Net Operating Income Requirement</t>
  </si>
  <si>
    <t>(000's of Dollars)</t>
  </si>
  <si>
    <t>(a)</t>
  </si>
  <si>
    <t>(b)</t>
  </si>
  <si>
    <t xml:space="preserve">(c) </t>
  </si>
  <si>
    <t>Electric Growth  Rate Analysis and Escalation Factor Calculation</t>
  </si>
  <si>
    <t>7A</t>
  </si>
  <si>
    <t>13A</t>
  </si>
  <si>
    <t>Electric Data for Escalators</t>
  </si>
  <si>
    <t>$000s</t>
  </si>
  <si>
    <t>Line No.</t>
  </si>
  <si>
    <t>Exclude Adder Schedule excise taxes (DSM Tariff Rider and Residential Exchange Credit) from Taxes Other Than Income Tax</t>
  </si>
  <si>
    <t>2013</t>
  </si>
  <si>
    <t>407 BPA Parallel Capacity Support</t>
  </si>
  <si>
    <t>407 Colstrip Outage Return</t>
  </si>
  <si>
    <t>2012-2013</t>
  </si>
  <si>
    <t>TWELVE MONTHS ENDED DECEMBER 31, 2000 - 2013</t>
  </si>
  <si>
    <t>Correction to CB Deferred Debits &amp; Credits</t>
  </si>
  <si>
    <t>Correction to CB Working Capital</t>
  </si>
  <si>
    <t>Note 1:  12.2013 Washington electric revenue conversion factor amounts.</t>
  </si>
  <si>
    <t>(Note 4)</t>
  </si>
  <si>
    <t>Note 4:  Eliminate Adder Schedules Adjustment in 2013 Commission Basis filing eliminated both the revenues and expenses associated with Res X and the Tariff Rider &amp; Buck-a-Block</t>
  </si>
  <si>
    <t>Note 3:  Eliminate Adder Schedules Adjustment in 2013 Commission Basis filing eliminated both the revenues and expenses associated with Res X and the Tariff Rider &amp; Buck-a-Block</t>
  </si>
  <si>
    <t>(Note 3)</t>
  </si>
  <si>
    <t>Resource Optimization directly assigned to WA, add to Other Wholesale</t>
  </si>
  <si>
    <t>Pro Forma Revenue Normalization Adjustment</t>
  </si>
  <si>
    <t>546-562 CS2 O&amp;M</t>
  </si>
  <si>
    <t>500-514 Colstrip O&amp;M</t>
  </si>
  <si>
    <t>Adjusted Depreciation/Amortization</t>
  </si>
  <si>
    <t>Adjusted Taxes Other than Income</t>
  </si>
  <si>
    <t>Period:&lt;All&gt;</t>
  </si>
  <si>
    <t>State Cde:&lt;All&gt;</t>
  </si>
  <si>
    <t>Revenue Amt</t>
  </si>
  <si>
    <t>Jurisdiction</t>
  </si>
  <si>
    <t>AN</t>
  </si>
  <si>
    <t>12 Month Total</t>
  </si>
  <si>
    <t>Ferc Acct</t>
  </si>
  <si>
    <t>RevClsDesc</t>
  </si>
  <si>
    <t>456017</t>
  </si>
  <si>
    <t xml:space="preserve">NR Other Electric Revenue - Non Resource </t>
  </si>
  <si>
    <t>NULL</t>
  </si>
  <si>
    <t>456100</t>
  </si>
  <si>
    <t>ET Electric Transmission</t>
  </si>
  <si>
    <t>456120</t>
  </si>
  <si>
    <t>PC Parallel Capacity Support Rev</t>
  </si>
  <si>
    <t>456700</t>
  </si>
  <si>
    <t>DE Electric Distribution</t>
  </si>
  <si>
    <t>456705</t>
  </si>
  <si>
    <t>LV Electric Distribution</t>
  </si>
  <si>
    <t>Sum</t>
  </si>
  <si>
    <t>2013/2014 Removed in CBR</t>
  </si>
  <si>
    <t>2014</t>
  </si>
  <si>
    <t>2013-2014</t>
  </si>
  <si>
    <t>2001-2014</t>
  </si>
  <si>
    <t>2003-2014</t>
  </si>
  <si>
    <t>2004-2014</t>
  </si>
  <si>
    <t>2005-2014</t>
  </si>
  <si>
    <t>2002-2014</t>
  </si>
  <si>
    <t>2 years</t>
  </si>
  <si>
    <t>UPDATED</t>
  </si>
  <si>
    <t>Electric Revenue Report by Location  Twelve Months Ended  for Report Date : '12/31/2014'</t>
  </si>
  <si>
    <t>Source Id</t>
  </si>
  <si>
    <t>456000</t>
  </si>
  <si>
    <t>REVBILLS</t>
  </si>
  <si>
    <t>GA Other Gas Allocated</t>
  </si>
  <si>
    <t>OA Other Electric Allocated</t>
  </si>
  <si>
    <t>OD Other Electric Direct</t>
  </si>
  <si>
    <t>REVCOL</t>
  </si>
  <si>
    <t>OC Other Revenue &amp; Scrap Sales - Colstrip</t>
  </si>
  <si>
    <t>REVEARNED</t>
  </si>
  <si>
    <t>AD Apprentice Lineman School Deposits</t>
  </si>
  <si>
    <t>AL Apprentice Lineman School Receivable</t>
  </si>
  <si>
    <t>PD Pre-Line School Deposits</t>
  </si>
  <si>
    <t>PL Pre-Line School Receivable</t>
  </si>
  <si>
    <t>REVPGE</t>
  </si>
  <si>
    <t>OP Other PGE</t>
  </si>
  <si>
    <t>456010</t>
  </si>
  <si>
    <t>REVFUEL</t>
  </si>
  <si>
    <t>AF Turbine Gas Financial - Clearing Agent</t>
  </si>
  <si>
    <t>AG Turbine Gas Financial Mizuho Clearing Agent</t>
  </si>
  <si>
    <t>HR Gas Heat Rate Financial Receivable</t>
  </si>
  <si>
    <t>456015</t>
  </si>
  <si>
    <t>CC Extraction Plant Credits</t>
  </si>
  <si>
    <t>GF Turbine Gas Physical</t>
  </si>
  <si>
    <t>456016</t>
  </si>
  <si>
    <t>REVREC</t>
  </si>
  <si>
    <t>RO Miscellaneous Resource Optimization</t>
  </si>
  <si>
    <t>RW REC's Exclusive to Washington State</t>
  </si>
  <si>
    <t>REVTRAN</t>
  </si>
  <si>
    <t>456020</t>
  </si>
  <si>
    <t>REVESALES</t>
  </si>
  <si>
    <t>BT BPA Excess Transm Sales</t>
  </si>
  <si>
    <t>456711</t>
  </si>
  <si>
    <t>GK Turbine Gas Bookout</t>
  </si>
  <si>
    <t>456720</t>
  </si>
  <si>
    <t>456730</t>
  </si>
  <si>
    <t>IT Intraco Thermal Gas</t>
  </si>
  <si>
    <t>Transmission</t>
  </si>
  <si>
    <t>500-562 CS2 and Colstrip</t>
  </si>
  <si>
    <t>Restate for prior years tracking CS2 and Colstrip O&amp;M</t>
  </si>
  <si>
    <t>PS 456</t>
  </si>
  <si>
    <t>Washington's Share:</t>
  </si>
  <si>
    <t>2014 HTP</t>
  </si>
  <si>
    <t>2016 RY</t>
  </si>
  <si>
    <t>Removed from base Power Supply per settlement agreement.</t>
  </si>
  <si>
    <t>Escalation 2014-2016</t>
  </si>
  <si>
    <t>Escalated Balance at 2016</t>
  </si>
  <si>
    <t>Incremental CS2/Colstrip O&amp;M above trended 2014 expense</t>
  </si>
  <si>
    <t xml:space="preserve">Net </t>
  </si>
  <si>
    <t>After Attrition - CS2-Colstrip 2016 Incramental Expense above trended historical expense.</t>
  </si>
  <si>
    <t>(No Impact)</t>
  </si>
  <si>
    <t>ACCUMULATED DEP/AMORT</t>
  </si>
  <si>
    <t>NET PLANT</t>
  </si>
  <si>
    <t>Subtotal: A&amp;G</t>
  </si>
  <si>
    <t>Linear 2-year Growth Rate</t>
  </si>
  <si>
    <t>Adjusted Operating Expenses (Avista)</t>
  </si>
  <si>
    <t>Compound Growth Rates to 2014</t>
  </si>
  <si>
    <t>Gross-up Conversion Factor</t>
  </si>
  <si>
    <t>[L]</t>
  </si>
  <si>
    <t>[M]</t>
  </si>
  <si>
    <t>ELECTRIC COST AND REVENUE TREND CALCULATIONS 2007-2015</t>
  </si>
  <si>
    <t>2014-2015</t>
  </si>
  <si>
    <t>2006-2015</t>
  </si>
  <si>
    <t>2007-2015</t>
  </si>
  <si>
    <t>2008-2015</t>
  </si>
  <si>
    <t>2009-2015</t>
  </si>
  <si>
    <t>2010-2015</t>
  </si>
  <si>
    <t>2011-2015</t>
  </si>
  <si>
    <t>2012-2015</t>
  </si>
  <si>
    <t>2013-2015</t>
  </si>
  <si>
    <t>Actual Cost of Capital AMA 09/30/2015</t>
  </si>
  <si>
    <t>Add 12.2015 Plant</t>
  </si>
  <si>
    <t>407 Amort of Spokane River TDG</t>
  </si>
  <si>
    <t>Deduct Decoupling Deferred Revenue and Provision for Rate Refund</t>
  </si>
  <si>
    <t>Deferred Dr/Cr; Reg. Amorts &amp; Misc Adjs</t>
  </si>
  <si>
    <t>[N]</t>
  </si>
  <si>
    <t>Net Retired Meter Deferral &amp; Amort Adjustment</t>
  </si>
  <si>
    <t xml:space="preserve"> Non-Energy Cost Escalation Amount [G]*[H]=[I]</t>
  </si>
  <si>
    <t>Trended 2017 Non-Energy Cost [G]+[I]=[J]</t>
  </si>
  <si>
    <t>After Attrition Adj. Spokane River Projects</t>
  </si>
  <si>
    <t>After Attrition Adj AMI Capital Project</t>
  </si>
  <si>
    <t>[O]</t>
  </si>
  <si>
    <t>(3)</t>
  </si>
  <si>
    <t xml:space="preserve">Cost / Rate Base Category: </t>
  </si>
  <si>
    <t>-</t>
  </si>
  <si>
    <t>P/T Operations Expense</t>
  </si>
  <si>
    <t xml:space="preserve">Less: Power Supply </t>
  </si>
  <si>
    <t>Statistics (Over Highlighted Period)</t>
  </si>
  <si>
    <t>Annual Growth Rate (% of 2015)</t>
  </si>
  <si>
    <t>DATA SELECTION</t>
  </si>
  <si>
    <t>Year</t>
  </si>
  <si>
    <t>Use in Trendline? (1 = Y)</t>
  </si>
  <si>
    <t>Count</t>
  </si>
  <si>
    <t>Reorder</t>
  </si>
  <si>
    <t>Reordered Year</t>
  </si>
  <si>
    <t>Reordered Cost Data</t>
  </si>
  <si>
    <t>LINEST STATS</t>
  </si>
  <si>
    <t>Slope</t>
  </si>
  <si>
    <t>Intercept</t>
  </si>
  <si>
    <t>SE Slope</t>
  </si>
  <si>
    <t>SE Intercept</t>
  </si>
  <si>
    <t>R Square</t>
  </si>
  <si>
    <t>SE Est.</t>
  </si>
  <si>
    <t>F</t>
  </si>
  <si>
    <t>df Res</t>
  </si>
  <si>
    <t>SS Reg</t>
  </si>
  <si>
    <t>SS Res</t>
  </si>
  <si>
    <t>t stat</t>
  </si>
  <si>
    <t>P-value</t>
  </si>
  <si>
    <t>P/T Depreciation (per CBR)</t>
  </si>
  <si>
    <t>Less: Reg. Amort. in Hist. P/T Depr.</t>
  </si>
  <si>
    <t>P/T Taxes</t>
  </si>
  <si>
    <t>Distribution  Operations Expense</t>
  </si>
  <si>
    <t>Distribution Depreciation Expense</t>
  </si>
  <si>
    <t>Distribution Taxes</t>
  </si>
  <si>
    <t>Less: DSM Excise</t>
  </si>
  <si>
    <t>Customer Accounting and Sales</t>
  </si>
  <si>
    <t>Sales Expense</t>
  </si>
  <si>
    <t>Less: ResEx</t>
  </si>
  <si>
    <t>Less: DSM Cost</t>
  </si>
  <si>
    <t>Administrative &amp; General Operations Expense</t>
  </si>
  <si>
    <t>Less: ResEx Cost</t>
  </si>
  <si>
    <t>Administrative &amp; General Depreciation Expense</t>
  </si>
  <si>
    <t>Intangible Net Plant</t>
  </si>
  <si>
    <t xml:space="preserve">Gross Plant </t>
  </si>
  <si>
    <t>Depreciation Reserve</t>
  </si>
  <si>
    <t>Production Net Plant</t>
  </si>
  <si>
    <t>Transmission Net Plant</t>
  </si>
  <si>
    <t>Distribution Net Plant</t>
  </si>
  <si>
    <t>General Net Plant</t>
  </si>
  <si>
    <t>Accumulated Deferred Income Taxes</t>
  </si>
  <si>
    <t>General</t>
  </si>
  <si>
    <t>Production</t>
  </si>
  <si>
    <t>Intangible</t>
  </si>
  <si>
    <t>ACCUMULATED DEPR/AMORT PER ROO/CBR Reports</t>
  </si>
  <si>
    <t>(000's)</t>
  </si>
  <si>
    <t xml:space="preserve">Washington Electric Accumulated Depreciation Balances </t>
  </si>
  <si>
    <t xml:space="preserve">Avista </t>
  </si>
  <si>
    <t>Less: Plant Not Used and Useful</t>
  </si>
  <si>
    <t>Distribution O&amp;M Expense</t>
  </si>
  <si>
    <t xml:space="preserve">Escalation Rate Evaluation </t>
  </si>
  <si>
    <t>Cost of Capital</t>
  </si>
  <si>
    <t>Establish Attrition Base</t>
  </si>
  <si>
    <t>Add Back Power Costs</t>
  </si>
  <si>
    <t>Escalation Amounts</t>
  </si>
  <si>
    <t xml:space="preserve">Post-Attrition Adj. </t>
  </si>
  <si>
    <t>Results</t>
  </si>
  <si>
    <t>Slope of Best-Fit Line</t>
  </si>
  <si>
    <t>R -Squared of Best-Fit</t>
  </si>
  <si>
    <t>Narrative</t>
  </si>
  <si>
    <t>Selected trend period highlighted green and displayed as green dots in figure</t>
  </si>
  <si>
    <t>Power Cost Incremental Load</t>
  </si>
  <si>
    <t>ATTRITION ALLOWANCE REVENUE REQUIREMENT</t>
  </si>
  <si>
    <t>Attrition Allowance Revenue Requirement</t>
  </si>
  <si>
    <t>Attrition Allowance Study Results</t>
  </si>
  <si>
    <t>Attrition Allowance Balances</t>
  </si>
  <si>
    <t xml:space="preserve"> WASHINGTON ELECTRIC ATTRITION ALLOWANCE STUDY</t>
  </si>
  <si>
    <t>Capital Structure</t>
  </si>
  <si>
    <t>Production &amp; Transmission O&amp;M Expense</t>
  </si>
  <si>
    <t>Production &amp; Transmission Depreciation Expense</t>
  </si>
  <si>
    <t>Production &amp; Transmission Taxes Other Than Income Taxes</t>
  </si>
  <si>
    <t>Distribution Taxes Other Than Income Taxes</t>
  </si>
  <si>
    <t>Less: DSM Excise Taxes</t>
  </si>
  <si>
    <t>Less: ResEx Excise Taxes</t>
  </si>
  <si>
    <t>Operating Expenses</t>
  </si>
  <si>
    <t>[E']</t>
  </si>
  <si>
    <t>Remove November 2015 Storm Expenses</t>
  </si>
  <si>
    <t>2015</t>
  </si>
  <si>
    <t>Less: Project Compass (ICNU DR 175)</t>
  </si>
  <si>
    <t>Esc. Rate</t>
  </si>
  <si>
    <t>2018 Rate Base</t>
  </si>
  <si>
    <t>2018 Net Operating Income Deficiency (Surplus)</t>
  </si>
  <si>
    <t xml:space="preserve">2018 Attrition Allowance Revenue Deficiency </t>
  </si>
  <si>
    <t>Attrition Allowance 2018 Revenue Requirement</t>
  </si>
  <si>
    <t>2018 Net Operating Income (at 2017 rates)</t>
  </si>
  <si>
    <t>2018 Rate of Return (at 2017 rates)</t>
  </si>
  <si>
    <t>2018 Total General Business Revenues (at 2017 rates)</t>
  </si>
  <si>
    <t>Percent Revenue Requirement Change (vs. 2017)</t>
  </si>
  <si>
    <t>Test Period: Twelve Months Ending December 31, 2016</t>
  </si>
  <si>
    <t>Twelve Months Ending December 31, 2016</t>
  </si>
  <si>
    <t>2018  ELECTRIC ATTRITION ALLOWANCE REVENUE REQUIREMENT CALCULATION</t>
  </si>
  <si>
    <t>(less)  Normalized Net Power Supply  Cost</t>
  </si>
  <si>
    <t>Current Authorized Net Energy Cost</t>
  </si>
  <si>
    <t>2016 AMA Escalation Base</t>
  </si>
  <si>
    <t>2016 Restated Results (BGM-3)</t>
  </si>
  <si>
    <t>2018 Electric Attrition Allowance Revenue Requirement Model</t>
  </si>
  <si>
    <t>Include Depreciation</t>
  </si>
  <si>
    <t xml:space="preserve">No. </t>
  </si>
  <si>
    <t>2018 Results: [J]+[K]+[L] = [O]</t>
  </si>
  <si>
    <t>Yrs:</t>
  </si>
  <si>
    <t>Year 1: Calculation of Attrition Allowance Revenue Requirement (May 1, 2018)</t>
  </si>
  <si>
    <t>Year 2: Calculation of Attrition Allowance Revenue Requirement (May 1, 2019)</t>
  </si>
  <si>
    <t>Year 3: Calculation of Attrition Allowance Revenue Requirement (May 1, 2020)</t>
  </si>
  <si>
    <t>2019  ELECTRIC ATTRITION ALLOWANCE REVENUE REQUIREMENT CALCULATION</t>
  </si>
  <si>
    <t>2020  ELECTRIC ATTRITION ALLOWANCE REVENUE REQUIREMENT CALCULATION</t>
  </si>
  <si>
    <t>2020 Results: [J]+[K]+[L] = [O]</t>
  </si>
  <si>
    <t>2019 Results: [J]+[K]+[L] = [O]</t>
  </si>
  <si>
    <t>2019 Rate Base</t>
  </si>
  <si>
    <t>2019 Net Operating Income (at 2017 rates)</t>
  </si>
  <si>
    <t>2019 Rate of Return (at 2017 rates)</t>
  </si>
  <si>
    <t>2019 Net Operating Income Deficiency (Surplus)</t>
  </si>
  <si>
    <t>Attrition Allowance 2019 Revenue Requirement</t>
  </si>
  <si>
    <t>2020 Net Operating Income (at 2017 rates)</t>
  </si>
  <si>
    <t>2020 Rate of Return (at 2017 rates)</t>
  </si>
  <si>
    <t>2020 Net Operating Income Deficiency (Surplus)</t>
  </si>
  <si>
    <t>Attrition Allowance 2020 Revenue Requirement</t>
  </si>
  <si>
    <t>2020 Rate Base</t>
  </si>
  <si>
    <t>Less: 2018 Incremental Revenues</t>
  </si>
  <si>
    <t>Incremental 2019 Revenues</t>
  </si>
  <si>
    <t>2019 Attrition Allowance Revenue Deficiency (at 2017 Rates)</t>
  </si>
  <si>
    <t>2019 Total General Business Revenues (at 2018 rates)</t>
  </si>
  <si>
    <t>2020 Attrition Allowance Revenue Deficiency (at 2017 rates)</t>
  </si>
  <si>
    <t>Less: 2019 Incremental Revenues</t>
  </si>
  <si>
    <t>Incremental 2020 Revenues</t>
  </si>
  <si>
    <t>2020 Total General Business Revenues (at 2019 rates)</t>
  </si>
  <si>
    <t>Percent Revenue Requirement Change (vs. 2019)</t>
  </si>
  <si>
    <t>Percent Revenue Requirement Change (vs. 2018)</t>
  </si>
  <si>
    <t>Include O&amp;M</t>
  </si>
  <si>
    <t>Base Escalation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</si>
</sst>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_(&quot;$&quot;* #,##0_);_(&quot;$&quot;* \(#,##0\);_(&quot;$&quot;* &quot;-&quot;??_);_(@_)"/>
    <numFmt numFmtId="168" formatCode="0.000%"/>
    <numFmt numFmtId="169" formatCode="_(&quot;$&quot;#,###_);_(&quot;$&quot;\ \(#,###\);_(* _);_(@_)"/>
    <numFmt numFmtId="170" formatCode="#,##0.000000"/>
    <numFmt numFmtId="171" formatCode="#,##0.000_);\(#,##0.000\)"/>
    <numFmt numFmtId="172" formatCode="0.000_);\(0.000\)"/>
    <numFmt numFmtId="173" formatCode="0.000"/>
    <numFmt numFmtId="174" formatCode="0.000000_);\(0.000000\)"/>
    <numFmt numFmtId="175" formatCode="0.000000"/>
    <numFmt numFmtId="176" formatCode="0.00000"/>
    <numFmt numFmtId="177" formatCode="_(* #,##0.000000_);_(* \(#,##0.000000\);_(* &quot;-&quot;??_);_(@_)"/>
    <numFmt numFmtId="178" formatCode="[$-409]mmm\-yy;@"/>
    <numFmt numFmtId="179" formatCode="[$-F800]dddd\,\ mmmm\ dd\,\ yyyy"/>
    <numFmt numFmtId="180" formatCode="mmmm\ d\,\ yyyy"/>
    <numFmt numFmtId="181" formatCode="[$-409]mmmm\-yy;@"/>
    <numFmt numFmtId="182" formatCode="#,##0_%_);\(#,##0\)_%;#,##0_%_);@_%_)"/>
    <numFmt numFmtId="183" formatCode="_._.* #,##0.0_)_%;_._.* \(#,##0.0\)_%"/>
    <numFmt numFmtId="184" formatCode="_._.* #,##0.00_)_%;_._.* \(#,##0.00\)_%"/>
    <numFmt numFmtId="185" formatCode="_._.* #,##0.000_)_%;_._.* \(#,##0.000\)_%"/>
    <numFmt numFmtId="186" formatCode="_(* #,##0.00_);_(* \(\ #,##0.00\ \);_(* &quot;-&quot;??_);_(\ @_ \)"/>
    <numFmt numFmtId="187" formatCode="_._.* #,##0_)_%;_._.* #,##0_)_%;_._.* 0_)_%;_._.@_)_%"/>
    <numFmt numFmtId="188" formatCode="_._.&quot;$&quot;* #,##0.0_)_%;_._.&quot;$&quot;* \(#,##0.0\)_%"/>
    <numFmt numFmtId="189" formatCode="_._.&quot;$&quot;* #,##0.00_)_%;_._.&quot;$&quot;* \(#,##0.00\)_%"/>
    <numFmt numFmtId="190" formatCode="_._.&quot;$&quot;* #,##0.000_)_%;_._.&quot;$&quot;* \(#,##0.000\)_%"/>
    <numFmt numFmtId="191" formatCode="_._.&quot;$&quot;* #,###_)_%;_._.&quot;$&quot;* #,###_)_%;_._.&quot;$&quot;* 0_)_%;_._.@_)_%"/>
    <numFmt numFmtId="192" formatCode="#,###,##0.00;\(#,###,##0.00\)"/>
    <numFmt numFmtId="193" formatCode="#,###,##0;\(#,###,##0\)"/>
    <numFmt numFmtId="194" formatCode="0.0"/>
    <numFmt numFmtId="195" formatCode="_(&quot;$&quot;* #,##0.0_);_(&quot;$&quot;* \(#,##0.0\);_(&quot;$&quot;* &quot;-&quot;??_);_(@_)"/>
    <numFmt numFmtId="196" formatCode="&quot;$&quot;#,###,##0.00;\(&quot;$&quot;#,###,##0.00\)"/>
    <numFmt numFmtId="197" formatCode="&quot;$&quot;#,###,##0;\(&quot;$&quot;#,###,##0\)"/>
    <numFmt numFmtId="198" formatCode="#,##0.00%;\(#,##0.00%\)"/>
    <numFmt numFmtId="199" formatCode="_(0_)%;\(0\)%"/>
    <numFmt numFmtId="200" formatCode="_._._(* 0_)%;_._.* \(0\)%"/>
    <numFmt numFmtId="201" formatCode="_(0.0_)%;\(0.0\)%"/>
    <numFmt numFmtId="202" formatCode="_._._(* 0.0_)%;_._.* \(0.0\)%"/>
    <numFmt numFmtId="203" formatCode="_(0.00_)%;\(0.00\)%"/>
    <numFmt numFmtId="204" formatCode="_._._(* 0.00_)%;_._.* \(0.00\)%"/>
    <numFmt numFmtId="205" formatCode="_(0.000_)%;\(0.000\)%"/>
    <numFmt numFmtId="206" formatCode="_._._(* 0.000_)%;_._.* \(0.000\)%"/>
    <numFmt numFmtId="207" formatCode="_(0.0000_)%;\(0.0000\)%"/>
    <numFmt numFmtId="208" formatCode="_._._(* 0.0000_)%;_._.* \(0.0000\)%"/>
    <numFmt numFmtId="209" formatCode="_(* #,##0_);_(* \(#,##0\);_(* 0_);_(@_)"/>
    <numFmt numFmtId="210" formatCode="_(* #,##0.0_);_(* \(#,##0.0\)"/>
    <numFmt numFmtId="211" formatCode="_(* #,##0.00_);_(* \(#,##0.00\)"/>
    <numFmt numFmtId="212" formatCode="_(* #,##0.000_);_(* \(#,##0.000\)"/>
    <numFmt numFmtId="213" formatCode="_(&quot;$&quot;* #,##0_);_(&quot;$&quot;* \(#,##0\);_(&quot;$&quot;* 0_);_(@_)"/>
    <numFmt numFmtId="214" formatCode="_(&quot;$&quot;* #,##0.0_);_(&quot;$&quot;* \(#,##0.0\)"/>
    <numFmt numFmtId="215" formatCode="_(&quot;$&quot;* #,##0.00_);_(&quot;$&quot;* \(#,##0.00\)"/>
    <numFmt numFmtId="216" formatCode="_(&quot;$&quot;* #,##0.000_);_(&quot;$&quot;* \(#,##0.000\)"/>
    <numFmt numFmtId="217" formatCode="#,##0.0_x_x"/>
    <numFmt numFmtId="218" formatCode="&quot;$&quot;#,##0\ ;\(&quot;$&quot;#,##0\)"/>
    <numFmt numFmtId="219" formatCode="#,##0.00;[Red]\(#,##0.00\)"/>
    <numFmt numFmtId="220" formatCode="##,###,###,###,###,###,###,###,###,###,###,###,##0.00"/>
    <numFmt numFmtId="221" formatCode="_(* #,##0.00000_);_(* \(#,##0.00000\);_(* &quot;-&quot;_);_(@_)"/>
    <numFmt numFmtId="222" formatCode="_(&quot;$&quot;\ #,##0_);_(&quot;$&quot;\ \(#,##0\);_(&quot;$&quot;\ \ &quot;-&quot;_);_(@_)"/>
    <numFmt numFmtId="223" formatCode="_(&quot;$&quot;\ #,##0_);_(&quot;$&quot;\ \(#,##0\);_(&quot;$&quot;\ &quot;-&quot;_);_(@_)"/>
    <numFmt numFmtId="224" formatCode="_(* #,##0.00000_);_(* \(#,##0.0000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sz val="9"/>
      <name val="Times New Roman"/>
      <family val="1"/>
    </font>
    <font>
      <b/>
      <sz val="9"/>
      <name val="Times New Roman"/>
      <family val="1"/>
    </font>
    <font>
      <u/>
      <sz val="10"/>
      <name val="Arial"/>
      <family val="2"/>
    </font>
    <font>
      <sz val="10"/>
      <name val="Arial"/>
      <family val="2"/>
    </font>
    <font>
      <b/>
      <sz val="11"/>
      <name val="Arial"/>
      <family val="2"/>
    </font>
    <font>
      <sz val="10"/>
      <color indexed="12"/>
      <name val="Arial"/>
      <family val="2"/>
    </font>
    <font>
      <b/>
      <sz val="10"/>
      <name val="Arial"/>
      <family val="2"/>
    </font>
    <font>
      <b/>
      <sz val="8"/>
      <color indexed="81"/>
      <name val="Tahoma"/>
      <family val="2"/>
    </font>
    <font>
      <sz val="8"/>
      <color indexed="81"/>
      <name val="Tahoma"/>
      <family val="2"/>
    </font>
    <font>
      <sz val="10"/>
      <name val="Geneva"/>
      <family val="2"/>
    </font>
    <font>
      <sz val="10"/>
      <name val="Geneva"/>
    </font>
    <font>
      <b/>
      <sz val="16"/>
      <name val="Times New Roman"/>
      <family val="1"/>
    </font>
    <font>
      <sz val="12"/>
      <name val="Times New Roman"/>
      <family val="1"/>
    </font>
    <font>
      <sz val="10"/>
      <name val="Arial"/>
      <family val="2"/>
    </font>
    <font>
      <sz val="10"/>
      <name val="Arial"/>
      <family val="2"/>
    </font>
    <font>
      <sz val="10"/>
      <name val="Times New Roman"/>
      <family val="1"/>
    </font>
    <font>
      <b/>
      <sz val="10"/>
      <name val="Times New Roman"/>
      <family val="1"/>
    </font>
    <font>
      <u/>
      <sz val="7.5"/>
      <color indexed="9"/>
      <name val="Arial"/>
      <family val="2"/>
    </font>
    <font>
      <b/>
      <sz val="9"/>
      <name val="Arial"/>
      <family val="2"/>
    </font>
    <font>
      <sz val="10"/>
      <color indexed="12"/>
      <name val="Times New Roman"/>
      <family val="1"/>
    </font>
    <font>
      <sz val="12"/>
      <color indexed="10"/>
      <name val="Times New Roman"/>
      <family val="1"/>
    </font>
    <font>
      <sz val="8"/>
      <name val="Arial"/>
      <family val="2"/>
    </font>
    <font>
      <u/>
      <sz val="10"/>
      <color indexed="8"/>
      <name val="Arial"/>
      <family val="2"/>
    </font>
    <font>
      <sz val="8"/>
      <name val="Arial"/>
      <family val="2"/>
    </font>
    <font>
      <sz val="8"/>
      <name val="Arial"/>
      <family val="2"/>
    </font>
    <font>
      <b/>
      <sz val="12"/>
      <name val="Times New Roman"/>
      <family val="1"/>
    </font>
    <font>
      <sz val="12"/>
      <name val="Arial"/>
      <family val="2"/>
    </font>
    <font>
      <sz val="10"/>
      <color indexed="8"/>
      <name val="Arial"/>
      <family val="2"/>
    </font>
    <font>
      <sz val="10"/>
      <color indexed="8"/>
      <name val="Times New Roman"/>
      <family val="1"/>
    </font>
    <font>
      <sz val="11"/>
      <color indexed="8"/>
      <name val="Times New Roman"/>
      <family val="1"/>
    </font>
    <font>
      <sz val="11"/>
      <color theme="1"/>
      <name val="Calibri"/>
      <family val="2"/>
      <scheme val="minor"/>
    </font>
    <font>
      <u/>
      <sz val="7.5"/>
      <color theme="0"/>
      <name val="Arial"/>
      <family val="2"/>
    </font>
    <font>
      <u/>
      <sz val="10"/>
      <color theme="0"/>
      <name val="Arial"/>
      <family val="2"/>
    </font>
    <font>
      <sz val="10"/>
      <color theme="1"/>
      <name val="Arial"/>
      <family val="2"/>
    </font>
    <font>
      <sz val="9"/>
      <color theme="1"/>
      <name val="Times New Roman"/>
      <family val="1"/>
    </font>
    <font>
      <b/>
      <sz val="9"/>
      <color theme="1"/>
      <name val="Times New Roman"/>
      <family val="1"/>
    </font>
    <font>
      <u/>
      <sz val="9"/>
      <color theme="1"/>
      <name val="Times New Roman"/>
      <family val="1"/>
    </font>
    <font>
      <sz val="8"/>
      <color indexed="56"/>
      <name val="Arial"/>
      <family val="2"/>
    </font>
    <font>
      <sz val="10"/>
      <name val="MS Sans Serif"/>
      <family val="2"/>
    </font>
    <font>
      <b/>
      <sz val="10"/>
      <name val="MS Sans Serif"/>
      <family val="2"/>
    </font>
    <font>
      <sz val="9"/>
      <color indexed="81"/>
      <name val="Tahoma"/>
      <family val="2"/>
    </font>
    <font>
      <b/>
      <sz val="9"/>
      <color indexed="81"/>
      <name val="Tahoma"/>
      <family val="2"/>
    </font>
    <font>
      <b/>
      <i/>
      <sz val="10"/>
      <name val="Times New Roman"/>
      <family val="1"/>
    </font>
    <font>
      <i/>
      <sz val="10"/>
      <name val="Times New Roman"/>
      <family val="1"/>
    </font>
    <font>
      <sz val="10"/>
      <color indexed="48"/>
      <name val="Times New Roman"/>
      <family val="1"/>
    </font>
    <font>
      <sz val="9"/>
      <name val="Arial"/>
      <family val="2"/>
    </font>
    <font>
      <b/>
      <sz val="14"/>
      <name val="Times New Roman"/>
      <family val="1"/>
    </font>
    <font>
      <b/>
      <sz val="11"/>
      <name val="Times New Roman"/>
      <family val="1"/>
    </font>
    <font>
      <sz val="11"/>
      <name val="Arial"/>
      <family val="2"/>
    </font>
    <font>
      <sz val="10"/>
      <name val="Tahoma"/>
      <family val="2"/>
    </font>
    <font>
      <sz val="10"/>
      <color rgb="FF0000FF"/>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2"/>
    </font>
    <font>
      <sz val="10"/>
      <color theme="1"/>
      <name val="Tahoma"/>
      <family val="2"/>
    </font>
    <font>
      <sz val="10"/>
      <color indexed="60"/>
      <name val="Arial"/>
      <family val="2"/>
    </font>
    <font>
      <b/>
      <sz val="14"/>
      <name val="Arial"/>
      <family val="2"/>
    </font>
    <font>
      <sz val="8"/>
      <color theme="1"/>
      <name val="Calibri"/>
      <family val="2"/>
      <scheme val="minor"/>
    </font>
    <font>
      <sz val="9"/>
      <name val="Courier"/>
      <family val="3"/>
    </font>
    <font>
      <b/>
      <sz val="11"/>
      <color theme="3"/>
      <name val="Calibri"/>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b/>
      <sz val="8"/>
      <color indexed="8"/>
      <name val="Arial"/>
      <family val="2"/>
    </font>
    <font>
      <b/>
      <sz val="8"/>
      <color indexed="8"/>
      <name val="Courier New"/>
      <family val="3"/>
    </font>
    <font>
      <u/>
      <sz val="10"/>
      <color indexed="12"/>
      <name val="Arial"/>
      <family val="2"/>
    </font>
    <font>
      <b/>
      <sz val="12"/>
      <color indexed="8"/>
      <name val="Arial"/>
      <family val="2"/>
    </font>
    <font>
      <sz val="8"/>
      <color indexed="8"/>
      <name val="Arial"/>
      <family val="2"/>
    </font>
    <font>
      <sz val="8"/>
      <color indexed="12"/>
      <name val="Arial"/>
      <family val="2"/>
    </font>
    <font>
      <sz val="8"/>
      <color indexed="8"/>
      <name val="Wingdings"/>
      <charset val="2"/>
    </font>
    <font>
      <sz val="11"/>
      <color indexed="9"/>
      <name val="Calibri"/>
      <family val="2"/>
    </font>
    <font>
      <sz val="10"/>
      <color indexed="9"/>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indexed="8"/>
      <name val="Calibri"/>
      <family val="2"/>
    </font>
    <font>
      <sz val="7.2"/>
      <color indexed="8"/>
      <name val="Arial"/>
      <family val="2"/>
    </font>
    <font>
      <b/>
      <sz val="13"/>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12"/>
      <color theme="1"/>
      <name val="Arial"/>
      <family val="2"/>
    </font>
    <font>
      <u/>
      <sz val="12"/>
      <color theme="10"/>
      <name val="Courier"/>
      <family val="3"/>
    </font>
    <font>
      <b/>
      <sz val="10"/>
      <color indexed="9"/>
      <name val="Times New Roman"/>
      <family val="1"/>
    </font>
    <font>
      <sz val="11"/>
      <color indexed="8"/>
      <name val="Arial"/>
      <family val="2"/>
    </font>
    <font>
      <sz val="1"/>
      <color indexed="8"/>
      <name val="Arial"/>
      <family val="2"/>
    </font>
    <font>
      <b/>
      <sz val="10"/>
      <color rgb="FFFF0000"/>
      <name val="Arial"/>
      <family val="2"/>
    </font>
    <font>
      <b/>
      <u/>
      <sz val="10"/>
      <name val="Arial"/>
      <family val="2"/>
    </font>
    <font>
      <sz val="11"/>
      <name val="Times New Roman"/>
      <family val="1"/>
    </font>
    <font>
      <b/>
      <sz val="12"/>
      <name val="Arial"/>
      <family val="2"/>
    </font>
    <font>
      <sz val="8"/>
      <name val="Times New Roman"/>
      <family val="1"/>
    </font>
    <font>
      <b/>
      <sz val="8"/>
      <name val="Times New Roman"/>
      <family val="1"/>
    </font>
    <font>
      <b/>
      <sz val="9"/>
      <color rgb="FFFF0000"/>
      <name val="Times New Roman"/>
      <family val="1"/>
    </font>
    <font>
      <u/>
      <sz val="11"/>
      <name val="Times New Roman"/>
      <family val="1"/>
    </font>
    <font>
      <vertAlign val="superscript"/>
      <sz val="11"/>
      <name val="Times New Roman"/>
      <family val="1"/>
    </font>
    <font>
      <sz val="11"/>
      <color indexed="10"/>
      <name val="Times New Roman"/>
      <family val="1"/>
    </font>
    <font>
      <i/>
      <sz val="10"/>
      <name val="Arial"/>
      <family val="2"/>
    </font>
    <font>
      <sz val="11"/>
      <name val="Calibri"/>
      <family val="2"/>
      <scheme val="minor"/>
    </font>
    <font>
      <sz val="10"/>
      <name val="Tms Rmn"/>
    </font>
    <font>
      <sz val="11"/>
      <color theme="1"/>
      <name val="Times New Roman"/>
      <family val="1"/>
    </font>
    <font>
      <b/>
      <u/>
      <sz val="12"/>
      <name val="Arial"/>
      <family val="2"/>
    </font>
    <font>
      <i/>
      <sz val="12"/>
      <name val="Arial"/>
      <family val="2"/>
    </font>
    <font>
      <u/>
      <sz val="12"/>
      <name val="Arial"/>
      <family val="2"/>
    </font>
    <font>
      <b/>
      <u/>
      <sz val="12"/>
      <name val="Times New Roman"/>
      <family val="1"/>
    </font>
    <font>
      <b/>
      <u/>
      <sz val="10"/>
      <name val="Times New Roman"/>
      <family val="1"/>
    </font>
    <font>
      <b/>
      <u/>
      <sz val="8"/>
      <name val="Times New Roman"/>
      <family val="1"/>
    </font>
    <font>
      <b/>
      <u/>
      <sz val="14"/>
      <name val="Times New Roman"/>
      <family val="1"/>
    </font>
    <font>
      <i/>
      <sz val="8"/>
      <name val="Times New Roman"/>
      <family val="1"/>
    </font>
    <font>
      <b/>
      <sz val="11"/>
      <color theme="1"/>
      <name val="Times New Roman"/>
      <family val="1"/>
    </font>
  </fonts>
  <fills count="8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6"/>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9"/>
        <bgColor indexed="9"/>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17"/>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1CCE5"/>
        <bgColor indexed="64"/>
      </patternFill>
    </fill>
    <fill>
      <patternFill patternType="solid">
        <fgColor rgb="FFF7A02D"/>
        <bgColor indexed="64"/>
      </patternFill>
    </fill>
    <fill>
      <patternFill patternType="solid">
        <fgColor rgb="FFB2B2B2"/>
        <bgColor indexed="64"/>
      </patternFill>
    </fill>
    <fill>
      <patternFill patternType="solid">
        <fgColor rgb="FFF78F1D"/>
        <bgColor indexed="64"/>
      </patternFill>
    </fill>
  </fills>
  <borders count="73">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auto="1"/>
      </left>
      <right/>
      <top/>
      <bottom/>
      <diagonal/>
    </border>
    <border>
      <left/>
      <right/>
      <top/>
      <bottom style="thin">
        <color auto="1"/>
      </bottom>
      <diagonal/>
    </border>
    <border>
      <left/>
      <right style="thin">
        <color indexed="64"/>
      </right>
      <top style="thin">
        <color indexed="64"/>
      </top>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style="thin">
        <color auto="1"/>
      </right>
      <top/>
      <bottom style="thin">
        <color indexed="64"/>
      </bottom>
      <diagonal/>
    </border>
  </borders>
  <cellStyleXfs count="43044">
    <xf numFmtId="0" fontId="0" fillId="0" borderId="0"/>
    <xf numFmtId="43"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4" fontId="2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0" fontId="52"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1" fillId="2" borderId="0"/>
    <xf numFmtId="0" fontId="51" fillId="0" borderId="0"/>
    <xf numFmtId="0" fontId="51" fillId="0" borderId="0"/>
    <xf numFmtId="0" fontId="20" fillId="0" borderId="0">
      <alignment readingOrder="1"/>
    </xf>
    <xf numFmtId="0" fontId="51" fillId="0" borderId="0"/>
    <xf numFmtId="0" fontId="20" fillId="0" borderId="0"/>
    <xf numFmtId="0" fontId="20" fillId="0" borderId="0"/>
    <xf numFmtId="0" fontId="20" fillId="0" borderId="0">
      <alignment readingOrder="1"/>
    </xf>
    <xf numFmtId="0" fontId="20" fillId="0" borderId="0"/>
    <xf numFmtId="0" fontId="20" fillId="0" borderId="0">
      <alignment readingOrder="1"/>
    </xf>
    <xf numFmtId="0" fontId="31" fillId="0" borderId="0"/>
    <xf numFmtId="0" fontId="20" fillId="0" borderId="0"/>
    <xf numFmtId="0" fontId="35" fillId="0" borderId="0"/>
    <xf numFmtId="0" fontId="20" fillId="0" borderId="0"/>
    <xf numFmtId="0" fontId="20" fillId="0" borderId="0"/>
    <xf numFmtId="0" fontId="51" fillId="0" borderId="0"/>
    <xf numFmtId="0" fontId="51" fillId="0" borderId="0"/>
    <xf numFmtId="0" fontId="51" fillId="0" borderId="0"/>
    <xf numFmtId="0" fontId="54" fillId="0" borderId="0"/>
    <xf numFmtId="0" fontId="51" fillId="0" borderId="0"/>
    <xf numFmtId="0" fontId="30" fillId="0" borderId="0"/>
    <xf numFmtId="0" fontId="30" fillId="0" borderId="0"/>
    <xf numFmtId="0" fontId="30" fillId="0" borderId="0"/>
    <xf numFmtId="0" fontId="31"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3" fillId="0" borderId="0"/>
    <xf numFmtId="43" fontId="47"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36" fillId="0" borderId="0" applyFont="0" applyFill="0" applyBorder="0" applyAlignment="0" applyProtection="0"/>
    <xf numFmtId="44" fontId="20" fillId="0" borderId="0" applyFont="0" applyFill="0" applyBorder="0" applyAlignment="0" applyProtection="0"/>
    <xf numFmtId="0" fontId="36" fillId="0" borderId="0"/>
    <xf numFmtId="9" fontId="33" fillId="0" borderId="0" applyFont="0" applyFill="0" applyBorder="0" applyAlignment="0" applyProtection="0"/>
    <xf numFmtId="9" fontId="36" fillId="0" borderId="0" applyFont="0" applyFill="0" applyBorder="0" applyAlignment="0" applyProtection="0"/>
    <xf numFmtId="38" fontId="58" fillId="0" borderId="0" applyNumberFormat="0" applyFont="0" applyFill="0" applyBorder="0">
      <alignment horizontal="left" indent="4"/>
      <protection locked="0"/>
    </xf>
    <xf numFmtId="0" fontId="59" fillId="0" borderId="0" applyNumberFormat="0" applyFont="0" applyFill="0" applyBorder="0" applyAlignment="0" applyProtection="0">
      <alignment horizontal="left"/>
    </xf>
    <xf numFmtId="15" fontId="59" fillId="0" borderId="0" applyFont="0" applyFill="0" applyBorder="0" applyAlignment="0" applyProtection="0"/>
    <xf numFmtId="4" fontId="59" fillId="0" borderId="0" applyFont="0" applyFill="0" applyBorder="0" applyAlignment="0" applyProtection="0"/>
    <xf numFmtId="0" fontId="60" fillId="0" borderId="13">
      <alignment horizontal="center"/>
    </xf>
    <xf numFmtId="3" fontId="59" fillId="0" borderId="0" applyFont="0" applyFill="0" applyBorder="0" applyAlignment="0" applyProtection="0"/>
    <xf numFmtId="0" fontId="59" fillId="6" borderId="0" applyNumberFormat="0" applyFont="0" applyBorder="0" applyAlignment="0" applyProtection="0"/>
    <xf numFmtId="166" fontId="47" fillId="3" borderId="0" applyFont="0" applyFill="0" applyBorder="0" applyAlignment="0" applyProtection="0">
      <alignment wrapText="1"/>
    </xf>
    <xf numFmtId="0" fontId="20" fillId="7" borderId="0" applyNumberFormat="0" applyFont="0" applyFill="0" applyBorder="0" applyAlignment="0" applyProtection="0"/>
    <xf numFmtId="0" fontId="9" fillId="0" borderId="0"/>
    <xf numFmtId="3" fontId="54" fillId="0" borderId="0"/>
    <xf numFmtId="3" fontId="54" fillId="0" borderId="0"/>
    <xf numFmtId="0" fontId="20" fillId="0" borderId="0"/>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33" fillId="0" borderId="0"/>
    <xf numFmtId="0" fontId="8" fillId="0" borderId="0"/>
    <xf numFmtId="9" fontId="15"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8" fillId="0" borderId="0"/>
    <xf numFmtId="0" fontId="8" fillId="0" borderId="0"/>
    <xf numFmtId="0" fontId="20" fillId="0" borderId="0">
      <alignment readingOrder="1"/>
    </xf>
    <xf numFmtId="0" fontId="8" fillId="0" borderId="0"/>
    <xf numFmtId="0" fontId="8" fillId="0" borderId="0"/>
    <xf numFmtId="0" fontId="8" fillId="0" borderId="0"/>
    <xf numFmtId="0" fontId="8" fillId="0" borderId="0"/>
    <xf numFmtId="0" fontId="8" fillId="0" borderId="0"/>
    <xf numFmtId="9" fontId="15"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20" fillId="0" borderId="0" applyFont="0" applyFill="0" applyBorder="0" applyAlignment="0" applyProtection="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20" fillId="0" borderId="0" applyFont="0" applyFill="0" applyBorder="0" applyAlignment="0" applyProtection="0"/>
    <xf numFmtId="43" fontId="70" fillId="0" borderId="0" applyFont="0" applyFill="0" applyBorder="0" applyAlignment="0" applyProtection="0"/>
    <xf numFmtId="0" fontId="72" fillId="0" borderId="0" applyNumberFormat="0" applyFill="0" applyBorder="0" applyAlignment="0" applyProtection="0"/>
    <xf numFmtId="0" fontId="73" fillId="0" borderId="26" applyNumberFormat="0" applyFill="0" applyAlignment="0" applyProtection="0"/>
    <xf numFmtId="0" fontId="74" fillId="0" borderId="27" applyNumberFormat="0" applyFill="0" applyAlignment="0" applyProtection="0"/>
    <xf numFmtId="0" fontId="75" fillId="0" borderId="28" applyNumberFormat="0" applyFill="0" applyAlignment="0" applyProtection="0"/>
    <xf numFmtId="0" fontId="75" fillId="0" borderId="0" applyNumberFormat="0" applyFill="0" applyBorder="0" applyAlignment="0" applyProtection="0"/>
    <xf numFmtId="0" fontId="76" fillId="10" borderId="0" applyNumberFormat="0" applyBorder="0" applyAlignment="0" applyProtection="0"/>
    <xf numFmtId="0" fontId="77" fillId="11" borderId="0" applyNumberFormat="0" applyBorder="0" applyAlignment="0" applyProtection="0"/>
    <xf numFmtId="0" fontId="78" fillId="12" borderId="0" applyNumberFormat="0" applyBorder="0" applyAlignment="0" applyProtection="0"/>
    <xf numFmtId="0" fontId="79" fillId="13" borderId="29" applyNumberFormat="0" applyAlignment="0" applyProtection="0"/>
    <xf numFmtId="0" fontId="80" fillId="14" borderId="30" applyNumberFormat="0" applyAlignment="0" applyProtection="0"/>
    <xf numFmtId="0" fontId="81" fillId="14" borderId="29" applyNumberFormat="0" applyAlignment="0" applyProtection="0"/>
    <xf numFmtId="0" fontId="82" fillId="0" borderId="31" applyNumberFormat="0" applyFill="0" applyAlignment="0" applyProtection="0"/>
    <xf numFmtId="0" fontId="83" fillId="15" borderId="32" applyNumberFormat="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6" fillId="0" borderId="34" applyNumberFormat="0" applyFill="0" applyAlignment="0" applyProtection="0"/>
    <xf numFmtId="0" fontId="8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87" fillId="40" borderId="0" applyNumberFormat="0" applyBorder="0" applyAlignment="0" applyProtection="0"/>
    <xf numFmtId="40" fontId="31" fillId="0" borderId="0" applyFont="0" applyFill="0" applyBorder="0" applyAlignment="0" applyProtection="0"/>
    <xf numFmtId="8" fontId="31" fillId="0" borderId="0" applyFont="0" applyFill="0" applyBorder="0" applyAlignment="0" applyProtection="0"/>
    <xf numFmtId="9" fontId="31"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36" fillId="0" borderId="0"/>
    <xf numFmtId="9" fontId="36" fillId="0" borderId="0" applyFont="0" applyFill="0" applyBorder="0" applyAlignment="0" applyProtection="0"/>
    <xf numFmtId="0" fontId="47" fillId="0" borderId="0"/>
    <xf numFmtId="0" fontId="36" fillId="0" borderId="0"/>
    <xf numFmtId="0" fontId="47" fillId="0" borderId="0"/>
    <xf numFmtId="0" fontId="20" fillId="0" borderId="0"/>
    <xf numFmtId="0" fontId="88" fillId="0" borderId="0"/>
    <xf numFmtId="0" fontId="20" fillId="0" borderId="0"/>
    <xf numFmtId="9" fontId="47" fillId="0" borderId="0" applyFont="0" applyFill="0" applyBorder="0" applyAlignment="0" applyProtection="0"/>
    <xf numFmtId="44" fontId="20" fillId="0" borderId="0" applyFont="0" applyFill="0" applyBorder="0" applyAlignment="0" applyProtection="0"/>
    <xf numFmtId="0" fontId="20"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89" fillId="0" borderId="0"/>
    <xf numFmtId="43" fontId="47" fillId="0" borderId="0" applyFont="0" applyFill="0" applyBorder="0" applyAlignment="0" applyProtection="0"/>
    <xf numFmtId="44" fontId="47" fillId="0" borderId="0" applyFont="0" applyFill="0" applyBorder="0" applyAlignment="0" applyProtection="0"/>
    <xf numFmtId="9" fontId="36" fillId="0" borderId="0" applyFont="0" applyFill="0" applyBorder="0" applyAlignment="0" applyProtection="0"/>
    <xf numFmtId="0" fontId="5" fillId="0" borderId="0"/>
    <xf numFmtId="43" fontId="5" fillId="0" borderId="0" applyFont="0" applyFill="0" applyBorder="0" applyAlignment="0" applyProtection="0"/>
    <xf numFmtId="0" fontId="20" fillId="0" borderId="0"/>
    <xf numFmtId="43" fontId="5" fillId="0" borderId="0" applyFont="0" applyFill="0" applyBorder="0" applyAlignment="0" applyProtection="0"/>
    <xf numFmtId="9" fontId="20" fillId="0" borderId="0" applyFont="0" applyFill="0" applyBorder="0" applyAlignment="0" applyProtection="0"/>
    <xf numFmtId="0" fontId="20" fillId="0" borderId="0"/>
    <xf numFmtId="0" fontId="3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1" fillId="0" borderId="0"/>
    <xf numFmtId="9" fontId="20"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20" fillId="0" borderId="0" applyFont="0" applyFill="0" applyBorder="0" applyAlignment="0" applyProtection="0"/>
    <xf numFmtId="0" fontId="54" fillId="0" borderId="0"/>
    <xf numFmtId="9" fontId="5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36" fillId="0" borderId="0"/>
    <xf numFmtId="44" fontId="36"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3" fontId="20" fillId="42" borderId="0" applyFont="0" applyFill="0" applyBorder="0" applyAlignment="0" applyProtection="0"/>
    <xf numFmtId="5" fontId="20" fillId="42" borderId="0" applyFont="0" applyFill="0" applyBorder="0" applyAlignment="0" applyProtection="0"/>
    <xf numFmtId="0" fontId="20" fillId="42" borderId="0" applyFont="0" applyFill="0" applyBorder="0" applyAlignment="0" applyProtection="0"/>
    <xf numFmtId="2" fontId="20" fillId="42" borderId="0" applyFont="0" applyFill="0" applyBorder="0" applyAlignment="0" applyProtection="0"/>
    <xf numFmtId="41" fontId="90" fillId="3" borderId="36">
      <alignment horizontal="left"/>
      <protection locked="0"/>
    </xf>
    <xf numFmtId="0" fontId="36" fillId="0" borderId="0"/>
    <xf numFmtId="44" fontId="36" fillId="0" borderId="0" applyFont="0" applyFill="0" applyBorder="0" applyAlignment="0" applyProtection="0"/>
    <xf numFmtId="44" fontId="20" fillId="0" borderId="0" applyFont="0" applyFill="0" applyBorder="0" applyAlignment="0" applyProtection="0"/>
    <xf numFmtId="9" fontId="31" fillId="0" borderId="0" applyFont="0" applyFill="0" applyBorder="0" applyAlignment="0" applyProtection="0"/>
    <xf numFmtId="9" fontId="54" fillId="0" borderId="0" applyFont="0" applyFill="0" applyBorder="0" applyAlignment="0" applyProtection="0"/>
    <xf numFmtId="43" fontId="31" fillId="0" borderId="0" applyFont="0" applyFill="0" applyBorder="0" applyAlignment="0" applyProtection="0"/>
    <xf numFmtId="0" fontId="54" fillId="0" borderId="0"/>
    <xf numFmtId="44" fontId="20" fillId="0" borderId="0" applyFont="0" applyFill="0" applyBorder="0" applyAlignment="0" applyProtection="0"/>
    <xf numFmtId="9" fontId="54"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0" fontId="54" fillId="0" borderId="0"/>
    <xf numFmtId="9" fontId="36"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0" fontId="20" fillId="0" borderId="0"/>
    <xf numFmtId="9" fontId="20" fillId="0" borderId="0" applyFont="0" applyFill="0" applyBorder="0" applyAlignment="0" applyProtection="0"/>
    <xf numFmtId="9" fontId="36" fillId="0" borderId="0" applyFont="0" applyFill="0" applyBorder="0" applyAlignment="0" applyProtection="0"/>
    <xf numFmtId="0" fontId="31" fillId="0" borderId="0"/>
    <xf numFmtId="44" fontId="20" fillId="0" borderId="0" applyFont="0" applyFill="0" applyBorder="0" applyAlignment="0" applyProtection="0"/>
    <xf numFmtId="9" fontId="36" fillId="0" borderId="0" applyFont="0" applyFill="0" applyBorder="0" applyAlignment="0" applyProtection="0"/>
    <xf numFmtId="43" fontId="20" fillId="0" borderId="0" applyFont="0" applyFill="0" applyBorder="0" applyAlignment="0" applyProtection="0"/>
    <xf numFmtId="9" fontId="54" fillId="0" borderId="0" applyFont="0" applyFill="0" applyBorder="0" applyAlignment="0" applyProtection="0"/>
    <xf numFmtId="44" fontId="20" fillId="0" borderId="0" applyFont="0" applyFill="0" applyBorder="0" applyAlignment="0" applyProtection="0"/>
    <xf numFmtId="0" fontId="36" fillId="0" borderId="0"/>
    <xf numFmtId="9" fontId="5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0" fontId="54" fillId="0" borderId="0"/>
    <xf numFmtId="43" fontId="36"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31"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31" fillId="0" borderId="0" applyFont="0" applyFill="0" applyBorder="0" applyAlignment="0" applyProtection="0"/>
    <xf numFmtId="9" fontId="54" fillId="0" borderId="0" applyFont="0" applyFill="0" applyBorder="0" applyAlignment="0" applyProtection="0"/>
    <xf numFmtId="0" fontId="36" fillId="0" borderId="0"/>
    <xf numFmtId="44" fontId="36" fillId="0" borderId="0" applyFont="0" applyFill="0" applyBorder="0" applyAlignment="0" applyProtection="0"/>
    <xf numFmtId="9" fontId="20" fillId="0" borderId="0" applyFont="0" applyFill="0" applyBorder="0" applyAlignment="0" applyProtection="0"/>
    <xf numFmtId="0" fontId="36" fillId="0" borderId="0"/>
    <xf numFmtId="44" fontId="36" fillId="0" borderId="0" applyFont="0" applyFill="0" applyBorder="0" applyAlignment="0" applyProtection="0"/>
    <xf numFmtId="0" fontId="54" fillId="0" borderId="0"/>
    <xf numFmtId="9" fontId="31" fillId="0" borderId="0" applyFont="0" applyFill="0" applyBorder="0" applyAlignment="0" applyProtection="0"/>
    <xf numFmtId="0" fontId="31" fillId="0" borderId="0"/>
    <xf numFmtId="0" fontId="5" fillId="0" borderId="0"/>
    <xf numFmtId="0" fontId="31" fillId="0" borderId="0"/>
    <xf numFmtId="43" fontId="5" fillId="0" borderId="0" applyFont="0" applyFill="0" applyBorder="0" applyAlignment="0" applyProtection="0"/>
    <xf numFmtId="9" fontId="5"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9" fontId="54" fillId="0" borderId="0" applyFont="0" applyFill="0" applyBorder="0" applyAlignment="0" applyProtection="0"/>
    <xf numFmtId="43" fontId="36" fillId="0" borderId="0" applyFont="0" applyFill="0" applyBorder="0" applyAlignment="0" applyProtection="0"/>
    <xf numFmtId="44" fontId="20" fillId="0" borderId="0" applyFont="0" applyFill="0" applyBorder="0" applyAlignment="0" applyProtection="0"/>
    <xf numFmtId="44" fontId="36" fillId="0" borderId="0" applyFont="0" applyFill="0" applyBorder="0" applyAlignment="0" applyProtection="0"/>
    <xf numFmtId="0" fontId="54" fillId="0" borderId="0"/>
    <xf numFmtId="44" fontId="20" fillId="0" borderId="0" applyFont="0" applyFill="0" applyBorder="0" applyAlignment="0" applyProtection="0"/>
    <xf numFmtId="0" fontId="54" fillId="0" borderId="0"/>
    <xf numFmtId="0" fontId="54" fillId="0" borderId="0"/>
    <xf numFmtId="44" fontId="20" fillId="0" borderId="0" applyFont="0" applyFill="0" applyBorder="0" applyAlignment="0" applyProtection="0"/>
    <xf numFmtId="0" fontId="5" fillId="0" borderId="0"/>
    <xf numFmtId="9" fontId="31"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20" fillId="0" borderId="0" applyFont="0" applyFill="0" applyBorder="0" applyAlignment="0" applyProtection="0"/>
    <xf numFmtId="9" fontId="31" fillId="0" borderId="0" applyFont="0" applyFill="0" applyBorder="0" applyAlignment="0" applyProtection="0"/>
    <xf numFmtId="43" fontId="36" fillId="0" borderId="0" applyFont="0" applyFill="0" applyBorder="0" applyAlignment="0" applyProtection="0"/>
    <xf numFmtId="0" fontId="36" fillId="0" borderId="0"/>
    <xf numFmtId="44" fontId="36" fillId="0" borderId="0" applyFont="0" applyFill="0" applyBorder="0" applyAlignment="0" applyProtection="0"/>
    <xf numFmtId="9" fontId="20" fillId="0" borderId="0" applyFont="0" applyFill="0" applyBorder="0" applyAlignment="0" applyProtection="0"/>
    <xf numFmtId="44" fontId="36" fillId="0" borderId="0" applyFont="0" applyFill="0" applyBorder="0" applyAlignment="0" applyProtection="0"/>
    <xf numFmtId="0" fontId="54" fillId="0" borderId="0"/>
    <xf numFmtId="9" fontId="54" fillId="0" borderId="0" applyFont="0" applyFill="0" applyBorder="0" applyAlignment="0" applyProtection="0"/>
    <xf numFmtId="9" fontId="31" fillId="0" borderId="0" applyFont="0" applyFill="0" applyBorder="0" applyAlignment="0" applyProtection="0"/>
    <xf numFmtId="0" fontId="5" fillId="0" borderId="0"/>
    <xf numFmtId="9" fontId="20"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4" fillId="0" borderId="0"/>
    <xf numFmtId="44" fontId="20" fillId="0" borderId="0" applyFont="0" applyFill="0" applyBorder="0" applyAlignment="0" applyProtection="0"/>
    <xf numFmtId="9" fontId="36" fillId="0" borderId="0" applyFont="0" applyFill="0" applyBorder="0" applyAlignment="0" applyProtection="0"/>
    <xf numFmtId="0" fontId="54" fillId="0" borderId="0"/>
    <xf numFmtId="43" fontId="31" fillId="0" borderId="0" applyFont="0" applyFill="0" applyBorder="0" applyAlignment="0" applyProtection="0"/>
    <xf numFmtId="43" fontId="20" fillId="0" borderId="0" applyFont="0" applyFill="0" applyBorder="0" applyAlignment="0" applyProtection="0"/>
    <xf numFmtId="9" fontId="31" fillId="0" borderId="0" applyFont="0" applyFill="0" applyBorder="0" applyAlignment="0" applyProtection="0"/>
    <xf numFmtId="43" fontId="36" fillId="0" borderId="0" applyFont="0" applyFill="0" applyBorder="0" applyAlignment="0" applyProtection="0"/>
    <xf numFmtId="0" fontId="36" fillId="0" borderId="0"/>
    <xf numFmtId="44" fontId="36" fillId="0" borderId="0" applyFont="0" applyFill="0" applyBorder="0" applyAlignment="0" applyProtection="0"/>
    <xf numFmtId="0" fontId="20" fillId="0" borderId="0"/>
    <xf numFmtId="9" fontId="20" fillId="0" borderId="0" applyFont="0" applyFill="0" applyBorder="0" applyAlignment="0" applyProtection="0"/>
    <xf numFmtId="0" fontId="5" fillId="0" borderId="0"/>
    <xf numFmtId="0" fontId="31" fillId="0" borderId="0"/>
    <xf numFmtId="43" fontId="5" fillId="0" borderId="0" applyFont="0" applyFill="0" applyBorder="0" applyAlignment="0" applyProtection="0"/>
    <xf numFmtId="9" fontId="5" fillId="0" borderId="0" applyFont="0" applyFill="0" applyBorder="0" applyAlignment="0" applyProtection="0"/>
    <xf numFmtId="44" fontId="20" fillId="0" borderId="0" applyFont="0" applyFill="0" applyBorder="0" applyAlignment="0" applyProtection="0"/>
    <xf numFmtId="9" fontId="36" fillId="0" borderId="0" applyFont="0" applyFill="0" applyBorder="0" applyAlignment="0" applyProtection="0"/>
    <xf numFmtId="0" fontId="54" fillId="0" borderId="0"/>
    <xf numFmtId="43" fontId="31" fillId="0" borderId="0" applyFont="0" applyFill="0" applyBorder="0" applyAlignment="0" applyProtection="0"/>
    <xf numFmtId="43" fontId="20" fillId="0" borderId="0" applyFont="0" applyFill="0" applyBorder="0" applyAlignment="0" applyProtection="0"/>
    <xf numFmtId="9" fontId="31" fillId="0" borderId="0" applyFont="0" applyFill="0" applyBorder="0" applyAlignment="0" applyProtection="0"/>
    <xf numFmtId="43" fontId="36" fillId="0" borderId="0" applyFont="0" applyFill="0" applyBorder="0" applyAlignment="0" applyProtection="0"/>
    <xf numFmtId="0" fontId="36" fillId="0" borderId="0"/>
    <xf numFmtId="44" fontId="36" fillId="0" borderId="0" applyFont="0" applyFill="0" applyBorder="0" applyAlignment="0" applyProtection="0"/>
    <xf numFmtId="0" fontId="20" fillId="0" borderId="0"/>
    <xf numFmtId="9" fontId="20" fillId="0" borderId="0" applyFont="0" applyFill="0" applyBorder="0" applyAlignment="0" applyProtection="0"/>
    <xf numFmtId="0" fontId="5" fillId="0" borderId="0"/>
    <xf numFmtId="0" fontId="31" fillId="0" borderId="0"/>
    <xf numFmtId="43" fontId="5" fillId="0" borderId="0" applyFont="0" applyFill="0" applyBorder="0" applyAlignment="0" applyProtection="0"/>
    <xf numFmtId="9" fontId="5" fillId="0" borderId="0" applyFont="0" applyFill="0" applyBorder="0" applyAlignment="0" applyProtection="0"/>
    <xf numFmtId="44" fontId="20" fillId="0" borderId="0" applyFont="0" applyFill="0" applyBorder="0" applyAlignment="0" applyProtection="0"/>
    <xf numFmtId="9" fontId="36" fillId="0" borderId="0" applyFont="0" applyFill="0" applyBorder="0" applyAlignment="0" applyProtection="0"/>
    <xf numFmtId="9"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9" fontId="36" fillId="0" borderId="0" applyFont="0" applyFill="0" applyBorder="0" applyAlignment="0" applyProtection="0"/>
    <xf numFmtId="9" fontId="31"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20" fillId="0" borderId="0"/>
    <xf numFmtId="9" fontId="20" fillId="0" borderId="0" applyFont="0" applyFill="0" applyBorder="0" applyAlignment="0" applyProtection="0"/>
    <xf numFmtId="0" fontId="5" fillId="0" borderId="0"/>
    <xf numFmtId="0" fontId="31" fillId="0" borderId="0"/>
    <xf numFmtId="43" fontId="5" fillId="0" borderId="0" applyFont="0" applyFill="0" applyBorder="0" applyAlignment="0" applyProtection="0"/>
    <xf numFmtId="9" fontId="5" fillId="0" borderId="0" applyFont="0" applyFill="0" applyBorder="0" applyAlignment="0" applyProtection="0"/>
    <xf numFmtId="44" fontId="20" fillId="0" borderId="0" applyFont="0" applyFill="0" applyBorder="0" applyAlignment="0" applyProtection="0"/>
    <xf numFmtId="9" fontId="36"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9" fontId="31" fillId="0" borderId="0" applyFont="0" applyFill="0" applyBorder="0" applyAlignment="0" applyProtection="0"/>
    <xf numFmtId="43" fontId="36" fillId="0" borderId="0" applyFont="0" applyFill="0" applyBorder="0" applyAlignment="0" applyProtection="0"/>
    <xf numFmtId="0" fontId="36" fillId="0" borderId="0"/>
    <xf numFmtId="0" fontId="20" fillId="0" borderId="0"/>
    <xf numFmtId="9" fontId="20" fillId="0" borderId="0" applyFont="0" applyFill="0" applyBorder="0" applyAlignment="0" applyProtection="0"/>
    <xf numFmtId="0" fontId="5" fillId="0" borderId="0"/>
    <xf numFmtId="0" fontId="31" fillId="0" borderId="0"/>
    <xf numFmtId="43" fontId="5"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1" fillId="0" borderId="0"/>
    <xf numFmtId="43" fontId="36" fillId="0" borderId="0" applyFont="0" applyFill="0" applyBorder="0" applyAlignment="0" applyProtection="0"/>
    <xf numFmtId="0" fontId="36" fillId="0" borderId="0"/>
    <xf numFmtId="0" fontId="20" fillId="0" borderId="0"/>
    <xf numFmtId="43" fontId="31" fillId="0" borderId="0" applyFont="0" applyFill="0" applyBorder="0" applyAlignment="0" applyProtection="0"/>
    <xf numFmtId="0" fontId="5" fillId="0" borderId="0"/>
    <xf numFmtId="0" fontId="31" fillId="0" borderId="0"/>
    <xf numFmtId="43" fontId="5"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31" fillId="0" borderId="0" applyFont="0" applyFill="0" applyBorder="0" applyAlignment="0" applyProtection="0"/>
    <xf numFmtId="43" fontId="20" fillId="0" borderId="0" applyFont="0" applyFill="0" applyBorder="0" applyAlignment="0" applyProtection="0"/>
    <xf numFmtId="9" fontId="54" fillId="0" borderId="0" applyFont="0" applyFill="0" applyBorder="0" applyAlignment="0" applyProtection="0"/>
    <xf numFmtId="44" fontId="36" fillId="0" borderId="0" applyFont="0" applyFill="0" applyBorder="0" applyAlignment="0" applyProtection="0"/>
    <xf numFmtId="0" fontId="36" fillId="0" borderId="0"/>
    <xf numFmtId="0" fontId="20" fillId="0" borderId="0"/>
    <xf numFmtId="0" fontId="5" fillId="0" borderId="0"/>
    <xf numFmtId="0" fontId="31" fillId="0" borderId="0"/>
    <xf numFmtId="43" fontId="5" fillId="0" borderId="0" applyFont="0" applyFill="0" applyBorder="0" applyAlignment="0" applyProtection="0"/>
    <xf numFmtId="9" fontId="5" fillId="0" borderId="0" applyFont="0" applyFill="0" applyBorder="0" applyAlignment="0" applyProtection="0"/>
    <xf numFmtId="43" fontId="36" fillId="0" borderId="0" applyFont="0" applyFill="0" applyBorder="0" applyAlignment="0" applyProtection="0"/>
    <xf numFmtId="0" fontId="54" fillId="0" borderId="0"/>
    <xf numFmtId="44" fontId="20" fillId="0" borderId="0" applyFont="0" applyFill="0" applyBorder="0" applyAlignment="0" applyProtection="0"/>
    <xf numFmtId="43" fontId="20" fillId="0" borderId="0" applyFont="0" applyFill="0" applyBorder="0" applyAlignment="0" applyProtection="0"/>
    <xf numFmtId="0" fontId="5" fillId="0" borderId="0"/>
    <xf numFmtId="0" fontId="31"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20" fillId="0" borderId="0"/>
    <xf numFmtId="0" fontId="31" fillId="0" borderId="0"/>
    <xf numFmtId="43" fontId="31"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20" fillId="0" borderId="0" applyFont="0" applyFill="0" applyBorder="0" applyAlignment="0" applyProtection="0"/>
    <xf numFmtId="0" fontId="54" fillId="0" borderId="0"/>
    <xf numFmtId="9" fontId="5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36" fillId="0" borderId="0"/>
    <xf numFmtId="44" fontId="36"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9" fontId="31"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9" fontId="20"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0" fontId="31" fillId="0" borderId="0"/>
    <xf numFmtId="44" fontId="20" fillId="0" borderId="0" applyFont="0" applyFill="0" applyBorder="0" applyAlignment="0" applyProtection="0"/>
    <xf numFmtId="0" fontId="31" fillId="0" borderId="0"/>
    <xf numFmtId="9" fontId="54" fillId="0" borderId="0" applyFont="0" applyFill="0" applyBorder="0" applyAlignment="0" applyProtection="0"/>
    <xf numFmtId="9" fontId="31" fillId="0" borderId="0" applyFont="0" applyFill="0" applyBorder="0" applyAlignment="0" applyProtection="0"/>
    <xf numFmtId="43" fontId="20" fillId="0" borderId="0" applyFont="0" applyFill="0" applyBorder="0" applyAlignment="0" applyProtection="0"/>
    <xf numFmtId="9" fontId="36" fillId="0" borderId="0" applyFont="0" applyFill="0" applyBorder="0" applyAlignment="0" applyProtection="0"/>
    <xf numFmtId="9" fontId="31" fillId="0" borderId="0" applyFont="0" applyFill="0" applyBorder="0" applyAlignment="0" applyProtection="0"/>
    <xf numFmtId="0" fontId="54" fillId="0" borderId="0"/>
    <xf numFmtId="43"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9" fontId="36" fillId="0" borderId="0" applyFont="0" applyFill="0" applyBorder="0" applyAlignment="0" applyProtection="0"/>
    <xf numFmtId="44" fontId="36" fillId="0" borderId="0" applyFont="0" applyFill="0" applyBorder="0" applyAlignment="0" applyProtection="0"/>
    <xf numFmtId="0" fontId="20" fillId="0" borderId="0"/>
    <xf numFmtId="44"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31" fillId="0" borderId="0"/>
    <xf numFmtId="43" fontId="20"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31" fillId="0" borderId="0" applyFont="0" applyFill="0" applyBorder="0" applyAlignment="0" applyProtection="0"/>
    <xf numFmtId="0" fontId="36" fillId="0" borderId="0"/>
    <xf numFmtId="0" fontId="5" fillId="26" borderId="0" applyNumberFormat="0" applyBorder="0" applyAlignment="0" applyProtection="0"/>
    <xf numFmtId="0" fontId="5" fillId="27" borderId="0" applyNumberFormat="0" applyBorder="0" applyAlignment="0" applyProtection="0"/>
    <xf numFmtId="9" fontId="54" fillId="0" borderId="0" applyFont="0" applyFill="0" applyBorder="0" applyAlignment="0" applyProtection="0"/>
    <xf numFmtId="44" fontId="36"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9" fontId="20" fillId="0" borderId="0" applyFont="0" applyFill="0" applyBorder="0" applyAlignment="0" applyProtection="0"/>
    <xf numFmtId="0" fontId="31" fillId="0" borderId="0"/>
    <xf numFmtId="0" fontId="5" fillId="34" borderId="0" applyNumberFormat="0" applyBorder="0" applyAlignment="0" applyProtection="0"/>
    <xf numFmtId="0" fontId="5" fillId="35" borderId="0" applyNumberFormat="0" applyBorder="0" applyAlignment="0" applyProtection="0"/>
    <xf numFmtId="44" fontId="36" fillId="0" borderId="0" applyFont="0" applyFill="0" applyBorder="0" applyAlignment="0" applyProtection="0"/>
    <xf numFmtId="9" fontId="36"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43" fontId="36"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4" fillId="0" borderId="0"/>
    <xf numFmtId="9" fontId="36"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36"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9" fontId="54" fillId="0" borderId="0" applyFont="0" applyFill="0" applyBorder="0" applyAlignment="0" applyProtection="0"/>
    <xf numFmtId="43" fontId="36"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4"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9" fontId="31" fillId="0" borderId="0" applyFont="0" applyFill="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43" fontId="31" fillId="0" borderId="0" applyFont="0" applyFill="0" applyBorder="0" applyAlignment="0" applyProtection="0"/>
    <xf numFmtId="0" fontId="36" fillId="0" borderId="0"/>
    <xf numFmtId="0" fontId="5" fillId="38" borderId="0" applyNumberFormat="0" applyBorder="0" applyAlignment="0" applyProtection="0"/>
    <xf numFmtId="0" fontId="5" fillId="39" borderId="0" applyNumberFormat="0" applyBorder="0" applyAlignment="0" applyProtection="0"/>
    <xf numFmtId="9" fontId="54"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31" fillId="0" borderId="0" applyFont="0" applyFill="0" applyBorder="0" applyAlignment="0" applyProtection="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36"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36"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4"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9" fontId="20" fillId="0" borderId="0" applyFont="0" applyFill="0" applyBorder="0" applyAlignment="0" applyProtection="0"/>
    <xf numFmtId="0" fontId="36" fillId="0" borderId="0"/>
    <xf numFmtId="0" fontId="5" fillId="38" borderId="0" applyNumberFormat="0" applyBorder="0" applyAlignment="0" applyProtection="0"/>
    <xf numFmtId="0" fontId="5" fillId="39" borderId="0" applyNumberFormat="0" applyBorder="0" applyAlignment="0" applyProtection="0"/>
    <xf numFmtId="9" fontId="54"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3" fontId="36"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31" fillId="0" borderId="0" applyFont="0" applyFill="0" applyBorder="0" applyAlignment="0" applyProtection="0"/>
    <xf numFmtId="43" fontId="36"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4"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0" fontId="36" fillId="0" borderId="0"/>
    <xf numFmtId="0" fontId="5" fillId="38" borderId="0" applyNumberFormat="0" applyBorder="0" applyAlignment="0" applyProtection="0"/>
    <xf numFmtId="0" fontId="5" fillId="39" borderId="0" applyNumberFormat="0" applyBorder="0" applyAlignment="0" applyProtection="0"/>
    <xf numFmtId="9" fontId="54"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31" fillId="0" borderId="0"/>
    <xf numFmtId="0" fontId="20" fillId="0" borderId="0"/>
    <xf numFmtId="0" fontId="54" fillId="0" borderId="0"/>
    <xf numFmtId="0" fontId="5" fillId="18" borderId="0" applyNumberFormat="0" applyBorder="0" applyAlignment="0" applyProtection="0"/>
    <xf numFmtId="0" fontId="5" fillId="19" borderId="0" applyNumberFormat="0" applyBorder="0" applyAlignment="0" applyProtection="0"/>
    <xf numFmtId="9" fontId="31"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9" fontId="36"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43"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0" fontId="31" fillId="0" borderId="0"/>
    <xf numFmtId="0" fontId="36" fillId="0" borderId="0"/>
    <xf numFmtId="0" fontId="5" fillId="34" borderId="0" applyNumberFormat="0" applyBorder="0" applyAlignment="0" applyProtection="0"/>
    <xf numFmtId="0" fontId="5" fillId="35" borderId="0" applyNumberFormat="0" applyBorder="0" applyAlignment="0" applyProtection="0"/>
    <xf numFmtId="0" fontId="31" fillId="0" borderId="0"/>
    <xf numFmtId="44" fontId="36"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4" fillId="0" borderId="0"/>
    <xf numFmtId="0" fontId="5" fillId="18" borderId="0" applyNumberFormat="0" applyBorder="0" applyAlignment="0" applyProtection="0"/>
    <xf numFmtId="0" fontId="5" fillId="19" borderId="0" applyNumberFormat="0" applyBorder="0" applyAlignment="0" applyProtection="0"/>
    <xf numFmtId="43" fontId="31"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0" fontId="36" fillId="0" borderId="0"/>
    <xf numFmtId="0" fontId="5" fillId="26" borderId="0" applyNumberFormat="0" applyBorder="0" applyAlignment="0" applyProtection="0"/>
    <xf numFmtId="0" fontId="5" fillId="27" borderId="0" applyNumberFormat="0" applyBorder="0" applyAlignment="0" applyProtection="0"/>
    <xf numFmtId="44" fontId="20" fillId="0" borderId="0" applyFont="0" applyFill="0" applyBorder="0" applyAlignment="0" applyProtection="0"/>
    <xf numFmtId="0" fontId="31" fillId="0" borderId="0"/>
    <xf numFmtId="0" fontId="5" fillId="30" borderId="0" applyNumberFormat="0" applyBorder="0" applyAlignment="0" applyProtection="0"/>
    <xf numFmtId="0" fontId="5" fillId="31" borderId="0" applyNumberFormat="0" applyBorder="0" applyAlignment="0" applyProtection="0"/>
    <xf numFmtId="0" fontId="20" fillId="0" borderId="0"/>
    <xf numFmtId="0" fontId="5" fillId="34" borderId="0" applyNumberFormat="0" applyBorder="0" applyAlignment="0" applyProtection="0"/>
    <xf numFmtId="0" fontId="5" fillId="35" borderId="0" applyNumberFormat="0" applyBorder="0" applyAlignment="0" applyProtection="0"/>
    <xf numFmtId="43" fontId="20" fillId="0" borderId="0" applyFont="0" applyFill="0" applyBorder="0" applyAlignment="0" applyProtection="0"/>
    <xf numFmtId="9" fontId="54"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31"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36" fillId="0" borderId="0"/>
    <xf numFmtId="0" fontId="5" fillId="22" borderId="0" applyNumberFormat="0" applyBorder="0" applyAlignment="0" applyProtection="0"/>
    <xf numFmtId="0" fontId="5" fillId="23" borderId="0" applyNumberFormat="0" applyBorder="0" applyAlignment="0" applyProtection="0"/>
    <xf numFmtId="0" fontId="20" fillId="0" borderId="0"/>
    <xf numFmtId="9" fontId="36"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9" fontId="31" fillId="0" borderId="0" applyFont="0" applyFill="0" applyBorder="0" applyAlignment="0" applyProtection="0"/>
    <xf numFmtId="9" fontId="36"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36"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0" fontId="54" fillId="0" borderId="0"/>
    <xf numFmtId="44" fontId="36"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43" fontId="36"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1" fillId="0" borderId="0"/>
    <xf numFmtId="44" fontId="36" fillId="0" borderId="0" applyFont="0" applyFill="0" applyBorder="0" applyAlignment="0" applyProtection="0"/>
    <xf numFmtId="0" fontId="31" fillId="0" borderId="0"/>
    <xf numFmtId="43"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9" fontId="36" fillId="0" borderId="0" applyFont="0" applyFill="0" applyBorder="0" applyAlignment="0" applyProtection="0"/>
    <xf numFmtId="9" fontId="2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44" fontId="36"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0" fontId="54" fillId="0" borderId="0"/>
    <xf numFmtId="44" fontId="20"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31" fillId="0" borderId="0"/>
    <xf numFmtId="43"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31" fillId="0" borderId="0" applyFont="0" applyFill="0" applyBorder="0" applyAlignment="0" applyProtection="0"/>
    <xf numFmtId="0" fontId="36" fillId="0" borderId="0"/>
    <xf numFmtId="0" fontId="5" fillId="34" borderId="0" applyNumberFormat="0" applyBorder="0" applyAlignment="0" applyProtection="0"/>
    <xf numFmtId="0" fontId="5" fillId="35" borderId="0" applyNumberFormat="0" applyBorder="0" applyAlignment="0" applyProtection="0"/>
    <xf numFmtId="9" fontId="54" fillId="0" borderId="0" applyFont="0" applyFill="0" applyBorder="0" applyAlignment="0" applyProtection="0"/>
    <xf numFmtId="44" fontId="36"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9" fontId="20"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36"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4"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0" fontId="31" fillId="0" borderId="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43" fontId="31" fillId="0" borderId="0" applyFont="0" applyFill="0" applyBorder="0" applyAlignment="0" applyProtection="0"/>
    <xf numFmtId="0" fontId="36" fillId="0" borderId="0"/>
    <xf numFmtId="0" fontId="5" fillId="38" borderId="0" applyNumberFormat="0" applyBorder="0" applyAlignment="0" applyProtection="0"/>
    <xf numFmtId="0" fontId="5" fillId="39" borderId="0" applyNumberFormat="0" applyBorder="0" applyAlignment="0" applyProtection="0"/>
    <xf numFmtId="9" fontId="54"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36"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36"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4"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43" fontId="31" fillId="0" borderId="0" applyFont="0" applyFill="0" applyBorder="0" applyAlignment="0" applyProtection="0"/>
    <xf numFmtId="0" fontId="36" fillId="0" borderId="0"/>
    <xf numFmtId="0" fontId="5" fillId="38" borderId="0" applyNumberFormat="0" applyBorder="0" applyAlignment="0" applyProtection="0"/>
    <xf numFmtId="0" fontId="5" fillId="39" borderId="0" applyNumberFormat="0" applyBorder="0" applyAlignment="0" applyProtection="0"/>
    <xf numFmtId="9" fontId="54"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20" fillId="0" borderId="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36"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36"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4"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0" fontId="36" fillId="0" borderId="0"/>
    <xf numFmtId="0" fontId="5" fillId="38" borderId="0" applyNumberFormat="0" applyBorder="0" applyAlignment="0" applyProtection="0"/>
    <xf numFmtId="0" fontId="5" fillId="39" borderId="0" applyNumberFormat="0" applyBorder="0" applyAlignment="0" applyProtection="0"/>
    <xf numFmtId="9" fontId="54"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20" fillId="0" borderId="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43" fontId="36"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4"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0" fontId="36" fillId="0" borderId="0"/>
    <xf numFmtId="0" fontId="5" fillId="38" borderId="0" applyNumberFormat="0" applyBorder="0" applyAlignment="0" applyProtection="0"/>
    <xf numFmtId="0" fontId="5" fillId="39" borderId="0" applyNumberFormat="0" applyBorder="0" applyAlignment="0" applyProtection="0"/>
    <xf numFmtId="9" fontId="54"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20" fillId="0" borderId="0"/>
    <xf numFmtId="0" fontId="20" fillId="0" borderId="0"/>
    <xf numFmtId="43" fontId="47" fillId="0" borderId="0" applyFont="0" applyFill="0" applyBorder="0" applyAlignment="0" applyProtection="0"/>
    <xf numFmtId="44" fontId="47" fillId="0" borderId="0" applyFont="0" applyFill="0" applyBorder="0" applyAlignment="0" applyProtection="0"/>
    <xf numFmtId="9" fontId="36"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4" fontId="20"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93" fillId="0" borderId="0"/>
    <xf numFmtId="44" fontId="20" fillId="0" borderId="0" applyFont="0" applyFill="0" applyBorder="0" applyAlignment="0" applyProtection="0"/>
    <xf numFmtId="0" fontId="5" fillId="35"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20" fillId="0" borderId="0">
      <alignment readingOrder="1"/>
    </xf>
    <xf numFmtId="43" fontId="20" fillId="0" borderId="0" applyFont="0" applyFill="0" applyBorder="0" applyAlignment="0" applyProtection="0"/>
    <xf numFmtId="43" fontId="20" fillId="0" borderId="0" applyFont="0" applyFill="0" applyBorder="0" applyAlignment="0" applyProtection="0"/>
    <xf numFmtId="3" fontId="54"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4" fillId="0" borderId="0"/>
    <xf numFmtId="3" fontId="54" fillId="0" borderId="0"/>
    <xf numFmtId="0" fontId="94" fillId="0" borderId="28" applyNumberFormat="0" applyFill="0" applyAlignment="0" applyProtection="0"/>
    <xf numFmtId="3" fontId="54" fillId="0" borderId="0"/>
    <xf numFmtId="3" fontId="54" fillId="0" borderId="0"/>
    <xf numFmtId="3" fontId="54" fillId="0" borderId="0"/>
    <xf numFmtId="9"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2" fontId="54" fillId="0" borderId="0" applyFont="0" applyFill="0" applyBorder="0" applyAlignment="0" applyProtection="0"/>
    <xf numFmtId="0" fontId="95" fillId="0" borderId="0" applyBorder="0">
      <alignment horizontal="centerContinuous"/>
    </xf>
    <xf numFmtId="0" fontId="96" fillId="0" borderId="0" applyBorder="0">
      <alignment horizontal="centerContinuous"/>
    </xf>
    <xf numFmtId="0" fontId="97" fillId="43" borderId="0">
      <alignment horizontal="right"/>
    </xf>
    <xf numFmtId="0" fontId="96" fillId="43" borderId="35"/>
    <xf numFmtId="44" fontId="54" fillId="0" borderId="0" applyFont="0" applyFill="0" applyBorder="0" applyAlignment="0" applyProtection="0"/>
    <xf numFmtId="42" fontId="20" fillId="0" borderId="0" applyFont="0" applyFill="0" applyBorder="0" applyAlignment="0" applyProtection="0"/>
    <xf numFmtId="43" fontId="54" fillId="0" borderId="0" applyFont="0" applyFill="0" applyBorder="0" applyAlignment="0" applyProtection="0"/>
    <xf numFmtId="0" fontId="98" fillId="44" borderId="0">
      <alignment horizontal="left"/>
    </xf>
    <xf numFmtId="0" fontId="99" fillId="44" borderId="0">
      <alignment horizontal="right"/>
    </xf>
    <xf numFmtId="0" fontId="99" fillId="44" borderId="0">
      <alignment horizontal="center"/>
    </xf>
    <xf numFmtId="0" fontId="99" fillId="44" borderId="0">
      <alignment horizontal="right"/>
    </xf>
    <xf numFmtId="0" fontId="100" fillId="44" borderId="0">
      <alignment horizontal="left"/>
    </xf>
    <xf numFmtId="41" fontId="3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9" fontId="54" fillId="0" borderId="0" applyFont="0" applyFill="0" applyBorder="0" applyAlignment="0" applyProtection="0"/>
    <xf numFmtId="0" fontId="5" fillId="23" borderId="0" applyNumberFormat="0" applyBorder="0" applyAlignment="0" applyProtection="0"/>
    <xf numFmtId="44" fontId="33" fillId="0" borderId="0" applyFont="0" applyFill="0" applyBorder="0" applyAlignment="0" applyProtection="0"/>
    <xf numFmtId="44" fontId="5" fillId="0" borderId="0" applyFont="0" applyFill="0" applyBorder="0" applyAlignment="0" applyProtection="0"/>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98" fillId="44" borderId="0">
      <alignment horizontal="left"/>
    </xf>
    <xf numFmtId="0" fontId="98" fillId="44" borderId="0">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0" fontId="50" fillId="43" borderId="0">
      <alignment horizontal="right"/>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3" fillId="0" borderId="0" applyFont="0" applyFill="0" applyBorder="0" applyAlignment="0" applyProtection="0"/>
    <xf numFmtId="0" fontId="98" fillId="44" borderId="0">
      <alignment horizontal="center"/>
    </xf>
    <xf numFmtId="49" fontId="102" fillId="44" borderId="0">
      <alignment horizontal="center"/>
    </xf>
    <xf numFmtId="0" fontId="99" fillId="44" borderId="0">
      <alignment horizontal="center"/>
    </xf>
    <xf numFmtId="0" fontId="99" fillId="44" borderId="0">
      <alignment horizontal="centerContinuous"/>
    </xf>
    <xf numFmtId="0" fontId="103" fillId="44" borderId="0">
      <alignment horizontal="left"/>
    </xf>
    <xf numFmtId="49" fontId="103" fillId="44" borderId="0">
      <alignment horizontal="center"/>
    </xf>
    <xf numFmtId="0" fontId="98" fillId="44" borderId="0">
      <alignment horizontal="left"/>
    </xf>
    <xf numFmtId="49" fontId="103" fillId="44" borderId="0">
      <alignment horizontal="left"/>
    </xf>
    <xf numFmtId="0" fontId="98" fillId="44" borderId="0">
      <alignment horizontal="centerContinuous"/>
    </xf>
    <xf numFmtId="0" fontId="98" fillId="44" borderId="0">
      <alignment horizontal="right"/>
    </xf>
    <xf numFmtId="49" fontId="98" fillId="44" borderId="0">
      <alignment horizontal="left"/>
    </xf>
    <xf numFmtId="0" fontId="99" fillId="44" borderId="0">
      <alignment horizontal="right"/>
    </xf>
    <xf numFmtId="0" fontId="103" fillId="45" borderId="0">
      <alignment horizontal="center"/>
    </xf>
    <xf numFmtId="0" fontId="104" fillId="45" borderId="0">
      <alignment horizontal="center"/>
    </xf>
    <xf numFmtId="0" fontId="105" fillId="44" borderId="0">
      <alignment horizontal="center"/>
    </xf>
    <xf numFmtId="0" fontId="20"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75" fillId="0" borderId="28" applyNumberFormat="0" applyFill="0" applyAlignment="0" applyProtection="0"/>
    <xf numFmtId="43" fontId="5" fillId="0" borderId="0" applyFont="0" applyFill="0" applyBorder="0" applyAlignment="0" applyProtection="0"/>
    <xf numFmtId="178" fontId="36" fillId="41" borderId="0" applyFont="0" applyFill="0" applyBorder="0" applyAlignment="0" applyProtection="0"/>
    <xf numFmtId="0" fontId="5" fillId="0" borderId="0"/>
    <xf numFmtId="0" fontId="54" fillId="0" borderId="0"/>
    <xf numFmtId="0" fontId="94" fillId="0" borderId="28" applyNumberFormat="0" applyFill="0" applyAlignment="0" applyProtection="0"/>
    <xf numFmtId="9"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2" fontId="54"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5" fillId="0" borderId="0"/>
    <xf numFmtId="0" fontId="48" fillId="0" borderId="0">
      <alignment vertical="top"/>
    </xf>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1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1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1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1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15"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5" fillId="5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1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5" fillId="5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1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1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15" fillId="5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0" fontId="15" fillId="55"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56" borderId="0" applyNumberFormat="0" applyBorder="0" applyAlignment="0" applyProtection="0"/>
    <xf numFmtId="0" fontId="106" fillId="56"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106" fillId="53"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54" borderId="0" applyNumberFormat="0" applyBorder="0" applyAlignment="0" applyProtection="0"/>
    <xf numFmtId="0" fontId="106" fillId="54"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57" borderId="0" applyNumberFormat="0" applyBorder="0" applyAlignment="0" applyProtection="0"/>
    <xf numFmtId="0" fontId="106" fillId="57"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106" fillId="58"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59" borderId="0" applyNumberFormat="0" applyBorder="0" applyAlignment="0" applyProtection="0"/>
    <xf numFmtId="0" fontId="106" fillId="59"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60" borderId="0" applyNumberFormat="0" applyBorder="0" applyAlignment="0" applyProtection="0"/>
    <xf numFmtId="0" fontId="106" fillId="6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61" borderId="0" applyNumberFormat="0" applyBorder="0" applyAlignment="0" applyProtection="0"/>
    <xf numFmtId="0" fontId="106" fillId="61"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62" borderId="0" applyNumberFormat="0" applyBorder="0" applyAlignment="0" applyProtection="0"/>
    <xf numFmtId="0" fontId="106" fillId="62"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57" borderId="0" applyNumberFormat="0" applyBorder="0" applyAlignment="0" applyProtection="0"/>
    <xf numFmtId="0" fontId="106" fillId="57"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106" fillId="58"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106" fillId="63" borderId="0" applyNumberFormat="0" applyBorder="0" applyAlignment="0" applyProtection="0"/>
    <xf numFmtId="181" fontId="107" fillId="64" borderId="0" applyNumberFormat="0" applyBorder="0" applyAlignment="0" applyProtection="0"/>
    <xf numFmtId="181" fontId="26" fillId="4" borderId="0" applyNumberFormat="0" applyBorder="0" applyAlignment="0" applyProtection="0"/>
    <xf numFmtId="181" fontId="26" fillId="4"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108" fillId="11" borderId="0" applyNumberFormat="0" applyBorder="0" applyAlignment="0" applyProtection="0"/>
    <xf numFmtId="0" fontId="109" fillId="47" borderId="0" applyNumberFormat="0" applyBorder="0" applyAlignment="0" applyProtection="0"/>
    <xf numFmtId="0" fontId="36" fillId="0" borderId="0" applyFill="0" applyBorder="0" applyAlignment="0" applyProtection="0"/>
    <xf numFmtId="0" fontId="81" fillId="14" borderId="29" applyNumberFormat="0" applyAlignment="0" applyProtection="0"/>
    <xf numFmtId="0" fontId="81" fillId="14" borderId="29" applyNumberFormat="0" applyAlignment="0" applyProtection="0"/>
    <xf numFmtId="0" fontId="81" fillId="14" borderId="29" applyNumberFormat="0" applyAlignment="0" applyProtection="0"/>
    <xf numFmtId="0" fontId="81" fillId="65" borderId="29" applyNumberFormat="0" applyAlignment="0" applyProtection="0"/>
    <xf numFmtId="0" fontId="110" fillId="65" borderId="37" applyNumberFormat="0" applyAlignment="0" applyProtection="0"/>
    <xf numFmtId="0" fontId="111" fillId="0" borderId="0" applyFill="0" applyBorder="0" applyProtection="0">
      <alignment horizontal="center" vertical="center"/>
    </xf>
    <xf numFmtId="0" fontId="39" fillId="0" borderId="0" applyFill="0" applyBorder="0" applyProtection="0">
      <alignment horizontal="center"/>
      <protection locked="0"/>
    </xf>
    <xf numFmtId="0" fontId="111" fillId="0" borderId="0" applyFill="0" applyBorder="0" applyProtection="0">
      <alignment horizontal="center" vertical="center"/>
    </xf>
    <xf numFmtId="0" fontId="83" fillId="15" borderId="32" applyNumberFormat="0" applyAlignment="0" applyProtection="0"/>
    <xf numFmtId="0" fontId="83" fillId="15" borderId="32" applyNumberFormat="0" applyAlignment="0" applyProtection="0"/>
    <xf numFmtId="0" fontId="83" fillId="15" borderId="32" applyNumberFormat="0" applyAlignment="0" applyProtection="0"/>
    <xf numFmtId="0" fontId="112" fillId="66" borderId="38" applyNumberFormat="0" applyAlignment="0" applyProtection="0"/>
    <xf numFmtId="0" fontId="113" fillId="0" borderId="13">
      <alignment horizontal="center"/>
    </xf>
    <xf numFmtId="182" fontId="114" fillId="0" borderId="0" applyFont="0" applyFill="0" applyBorder="0" applyAlignment="0" applyProtection="0">
      <alignment horizontal="right"/>
    </xf>
    <xf numFmtId="183" fontId="21" fillId="0" borderId="0" applyFont="0" applyFill="0" applyBorder="0" applyAlignment="0" applyProtection="0"/>
    <xf numFmtId="184" fontId="115" fillId="0" borderId="0" applyFont="0" applyFill="0" applyBorder="0" applyAlignment="0" applyProtection="0"/>
    <xf numFmtId="185" fontId="11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8" fillId="0" borderId="0" applyFont="0" applyFill="0" applyBorder="0" applyAlignment="0" applyProtection="0"/>
    <xf numFmtId="43" fontId="116" fillId="0" borderId="0" applyFont="0" applyFill="0" applyBorder="0" applyAlignment="0" applyProtection="0"/>
    <xf numFmtId="43" fontId="20" fillId="0" borderId="0" applyFont="0" applyFill="0" applyBorder="0" applyAlignment="0" applyProtection="0"/>
    <xf numFmtId="43" fontId="11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20"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20" fillId="0" borderId="0" applyFont="0" applyFill="0" applyBorder="0" applyAlignment="0" applyProtection="0"/>
    <xf numFmtId="43" fontId="48" fillId="0" borderId="0" applyFont="0" applyFill="0" applyBorder="0" applyAlignment="0" applyProtection="0">
      <alignment vertical="top"/>
    </xf>
    <xf numFmtId="43" fontId="48" fillId="0" borderId="0" applyFont="0" applyFill="0" applyBorder="0" applyAlignment="0" applyProtection="0">
      <alignment vertical="top"/>
    </xf>
    <xf numFmtId="43" fontId="48"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6" fontId="7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86" fontId="70"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6" fontId="7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7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7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7" fontId="21" fillId="0" borderId="0">
      <protection locked="0"/>
    </xf>
    <xf numFmtId="0" fontId="118" fillId="0" borderId="0" applyFill="0" applyBorder="0" applyAlignment="0" applyProtection="0"/>
    <xf numFmtId="0" fontId="91" fillId="0" borderId="0" applyFill="0" applyBorder="0" applyAlignment="0" applyProtection="0">
      <protection locked="0"/>
    </xf>
    <xf numFmtId="0" fontId="118" fillId="0" borderId="0" applyFill="0" applyBorder="0" applyAlignment="0" applyProtection="0"/>
    <xf numFmtId="188" fontId="115" fillId="0" borderId="0" applyFont="0" applyFill="0" applyBorder="0" applyAlignment="0" applyProtection="0"/>
    <xf numFmtId="189" fontId="115" fillId="0" borderId="0" applyFont="0" applyFill="0" applyBorder="0" applyAlignment="0" applyProtection="0"/>
    <xf numFmtId="190" fontId="11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16"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1" fontId="21" fillId="0" borderId="0">
      <protection locked="0"/>
    </xf>
    <xf numFmtId="180" fontId="119" fillId="0" borderId="0" applyFont="0" applyFill="0" applyBorder="0" applyAlignment="0" applyProtection="0"/>
    <xf numFmtId="181" fontId="120" fillId="0" borderId="0" applyNumberFormat="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21" fillId="0" borderId="0" applyNumberFormat="0" applyFill="0" applyBorder="0" applyAlignment="0" applyProtection="0"/>
    <xf numFmtId="192" fontId="122" fillId="0" borderId="0"/>
    <xf numFmtId="193" fontId="122" fillId="0" borderId="0"/>
    <xf numFmtId="166" fontId="122" fillId="0" borderId="0"/>
    <xf numFmtId="193" fontId="122" fillId="0" borderId="0"/>
    <xf numFmtId="194" fontId="122" fillId="0" borderId="0"/>
    <xf numFmtId="194" fontId="122" fillId="0" borderId="0"/>
    <xf numFmtId="192" fontId="122" fillId="0" borderId="0"/>
    <xf numFmtId="195" fontId="122" fillId="0" borderId="0"/>
    <xf numFmtId="196" fontId="122" fillId="0" borderId="0"/>
    <xf numFmtId="197" fontId="122" fillId="0" borderId="0"/>
    <xf numFmtId="198" fontId="122" fillId="0" borderId="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123" fillId="48" borderId="0" applyNumberFormat="0" applyBorder="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124" fillId="0" borderId="39" applyNumberFormat="0" applyFill="0" applyAlignment="0" applyProtection="0"/>
    <xf numFmtId="0" fontId="125" fillId="0" borderId="39"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126" fillId="0" borderId="27" applyNumberFormat="0" applyFill="0" applyAlignment="0" applyProtection="0"/>
    <xf numFmtId="0" fontId="127" fillId="0" borderId="40"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128" fillId="0" borderId="41" applyNumberFormat="0" applyFill="0" applyAlignment="0" applyProtection="0"/>
    <xf numFmtId="0" fontId="129" fillId="0" borderId="41"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27" fillId="0" borderId="0" applyFill="0" applyAlignment="0" applyProtection="0"/>
    <xf numFmtId="0" fontId="39" fillId="0" borderId="0" applyFill="0" applyAlignment="0" applyProtection="0">
      <protection locked="0"/>
    </xf>
    <xf numFmtId="0" fontId="27" fillId="0" borderId="0" applyFill="0" applyAlignment="0" applyProtection="0"/>
    <xf numFmtId="0" fontId="27" fillId="0" borderId="1" applyFill="0" applyAlignment="0" applyProtection="0"/>
    <xf numFmtId="0" fontId="39" fillId="0" borderId="1" applyFill="0" applyAlignment="0" applyProtection="0">
      <protection locked="0"/>
    </xf>
    <xf numFmtId="0" fontId="27" fillId="0" borderId="1" applyFill="0" applyAlignment="0" applyProtection="0"/>
    <xf numFmtId="0" fontId="39" fillId="0" borderId="0" applyFill="0" applyAlignment="0" applyProtection="0"/>
    <xf numFmtId="181" fontId="130" fillId="43" borderId="0" applyNumberFormat="0" applyBorder="0" applyAlignment="0" applyProtection="0"/>
    <xf numFmtId="0" fontId="79" fillId="13" borderId="29" applyNumberFormat="0" applyAlignment="0" applyProtection="0"/>
    <xf numFmtId="0" fontId="79" fillId="13" borderId="29" applyNumberFormat="0" applyAlignment="0" applyProtection="0"/>
    <xf numFmtId="0" fontId="79" fillId="13" borderId="29" applyNumberFormat="0" applyAlignment="0" applyProtection="0"/>
    <xf numFmtId="0" fontId="131" fillId="51" borderId="37" applyNumberFormat="0" applyAlignment="0" applyProtection="0"/>
    <xf numFmtId="181" fontId="26" fillId="3" borderId="0" applyNumberFormat="0" applyBorder="0" applyAlignment="0" applyProtection="0"/>
    <xf numFmtId="181" fontId="26" fillId="3" borderId="0" applyNumberFormat="0" applyBorder="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132" fillId="0" borderId="42" applyNumberFormat="0" applyFill="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133" fillId="67" borderId="0" applyNumberFormat="0" applyBorder="0" applyAlignment="0" applyProtection="0"/>
    <xf numFmtId="181" fontId="54" fillId="0" borderId="0"/>
    <xf numFmtId="181" fontId="54" fillId="0" borderId="0"/>
    <xf numFmtId="181" fontId="54" fillId="0" borderId="0"/>
    <xf numFmtId="181"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20"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20" fillId="0" borderId="0"/>
    <xf numFmtId="0" fontId="5" fillId="0" borderId="0"/>
    <xf numFmtId="181" fontId="54" fillId="0" borderId="0"/>
    <xf numFmtId="181" fontId="54" fillId="0" borderId="0"/>
    <xf numFmtId="181" fontId="54" fillId="0" borderId="0"/>
    <xf numFmtId="181" fontId="54"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20" fillId="0" borderId="0"/>
    <xf numFmtId="181" fontId="54" fillId="0" borderId="0"/>
    <xf numFmtId="181" fontId="54" fillId="0" borderId="0"/>
    <xf numFmtId="181" fontId="54" fillId="0" borderId="0"/>
    <xf numFmtId="181" fontId="54"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181" fontId="54" fillId="0" borderId="0"/>
    <xf numFmtId="181" fontId="54" fillId="0" borderId="0"/>
    <xf numFmtId="181" fontId="54" fillId="0" borderId="0"/>
    <xf numFmtId="181" fontId="54" fillId="0" borderId="0"/>
    <xf numFmtId="0" fontId="5" fillId="0" borderId="0"/>
    <xf numFmtId="0" fontId="5" fillId="0" borderId="0"/>
    <xf numFmtId="0" fontId="5" fillId="0" borderId="0"/>
    <xf numFmtId="181" fontId="54" fillId="0" borderId="0"/>
    <xf numFmtId="181" fontId="54" fillId="0" borderId="0"/>
    <xf numFmtId="181" fontId="54" fillId="0" borderId="0"/>
    <xf numFmtId="181" fontId="54" fillId="0" borderId="0"/>
    <xf numFmtId="0" fontId="5" fillId="0" borderId="0"/>
    <xf numFmtId="0" fontId="5" fillId="0" borderId="0"/>
    <xf numFmtId="0" fontId="5" fillId="0" borderId="0"/>
    <xf numFmtId="0" fontId="5" fillId="0" borderId="0"/>
    <xf numFmtId="0" fontId="5" fillId="0" borderId="0"/>
    <xf numFmtId="0" fontId="5" fillId="0" borderId="0"/>
    <xf numFmtId="181" fontId="54" fillId="0" borderId="0"/>
    <xf numFmtId="181" fontId="54" fillId="0" borderId="0"/>
    <xf numFmtId="181" fontId="54" fillId="0" borderId="0"/>
    <xf numFmtId="181" fontId="54" fillId="0" borderId="0"/>
    <xf numFmtId="0" fontId="5" fillId="0" borderId="0"/>
    <xf numFmtId="0" fontId="5" fillId="0" borderId="0"/>
    <xf numFmtId="179" fontId="54" fillId="0" borderId="0"/>
    <xf numFmtId="179" fontId="54" fillId="0" borderId="0"/>
    <xf numFmtId="179" fontId="54" fillId="0" borderId="0"/>
    <xf numFmtId="179" fontId="54"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92" fillId="0" borderId="0"/>
    <xf numFmtId="181" fontId="20" fillId="0" borderId="0"/>
    <xf numFmtId="0" fontId="92" fillId="0" borderId="0"/>
    <xf numFmtId="0" fontId="5" fillId="0" borderId="0"/>
    <xf numFmtId="0" fontId="92" fillId="0" borderId="0"/>
    <xf numFmtId="0" fontId="5" fillId="0" borderId="0"/>
    <xf numFmtId="0" fontId="5" fillId="0" borderId="0"/>
    <xf numFmtId="0" fontId="5" fillId="0" borderId="0"/>
    <xf numFmtId="0" fontId="5" fillId="0" borderId="0"/>
    <xf numFmtId="0" fontId="92" fillId="0" borderId="0"/>
    <xf numFmtId="0" fontId="20" fillId="0" borderId="0"/>
    <xf numFmtId="0" fontId="5" fillId="0" borderId="0"/>
    <xf numFmtId="0" fontId="5" fillId="0" borderId="0"/>
    <xf numFmtId="181" fontId="20" fillId="0" borderId="0"/>
    <xf numFmtId="0" fontId="5" fillId="0" borderId="0"/>
    <xf numFmtId="0" fontId="5" fillId="0" borderId="0"/>
    <xf numFmtId="0" fontId="5" fillId="0" borderId="0"/>
    <xf numFmtId="0" fontId="5" fillId="0" borderId="0"/>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36" fillId="0" borderId="0"/>
    <xf numFmtId="0" fontId="20" fillId="0" borderId="0"/>
    <xf numFmtId="0" fontId="36"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4" fillId="0" borderId="0"/>
    <xf numFmtId="0" fontId="20" fillId="0" borderId="0"/>
    <xf numFmtId="0" fontId="48" fillId="0" borderId="0">
      <alignment vertical="top"/>
    </xf>
    <xf numFmtId="0" fontId="20" fillId="0" borderId="0"/>
    <xf numFmtId="0" fontId="20" fillId="0" borderId="0"/>
    <xf numFmtId="181" fontId="20" fillId="0" borderId="0"/>
    <xf numFmtId="0" fontId="5" fillId="0" borderId="0"/>
    <xf numFmtId="0" fontId="5" fillId="0" borderId="0"/>
    <xf numFmtId="0" fontId="5" fillId="0" borderId="0"/>
    <xf numFmtId="181"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20" fillId="0" borderId="0"/>
    <xf numFmtId="0" fontId="20" fillId="0" borderId="0"/>
    <xf numFmtId="0" fontId="48" fillId="0" borderId="0">
      <alignment vertical="top"/>
    </xf>
    <xf numFmtId="0" fontId="48"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0" fillId="0" borderId="0"/>
    <xf numFmtId="0" fontId="20" fillId="0" borderId="0"/>
    <xf numFmtId="0" fontId="48" fillId="0" borderId="0">
      <alignment vertical="top"/>
    </xf>
    <xf numFmtId="0" fontId="48"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0" fillId="0" borderId="0"/>
    <xf numFmtId="0" fontId="20" fillId="0" borderId="0"/>
    <xf numFmtId="0" fontId="20" fillId="0" borderId="0"/>
    <xf numFmtId="181" fontId="54" fillId="0" borderId="0"/>
    <xf numFmtId="181" fontId="54" fillId="0" borderId="0"/>
    <xf numFmtId="181" fontId="54" fillId="0" borderId="0"/>
    <xf numFmtId="181" fontId="54" fillId="0" borderId="0"/>
    <xf numFmtId="0" fontId="1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2" fillId="0" borderId="0"/>
    <xf numFmtId="179" fontId="54" fillId="0" borderId="0"/>
    <xf numFmtId="179" fontId="54" fillId="0" borderId="0"/>
    <xf numFmtId="179" fontId="54" fillId="0" borderId="0"/>
    <xf numFmtId="179"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2" fillId="0" borderId="0"/>
    <xf numFmtId="0" fontId="5" fillId="0" borderId="0"/>
    <xf numFmtId="0" fontId="5" fillId="0" borderId="0"/>
    <xf numFmtId="0" fontId="5" fillId="0" borderId="0"/>
    <xf numFmtId="0" fontId="5" fillId="0" borderId="0"/>
    <xf numFmtId="179" fontId="20" fillId="0" borderId="0"/>
    <xf numFmtId="0" fontId="48" fillId="0" borderId="0">
      <alignment vertical="top"/>
    </xf>
    <xf numFmtId="0" fontId="48" fillId="0" borderId="0">
      <alignment vertical="top"/>
    </xf>
    <xf numFmtId="0" fontId="54" fillId="0" borderId="0"/>
    <xf numFmtId="0" fontId="5" fillId="0" borderId="0"/>
    <xf numFmtId="0" fontId="54" fillId="0" borderId="0"/>
    <xf numFmtId="0" fontId="54" fillId="0" borderId="0"/>
    <xf numFmtId="0" fontId="54" fillId="0" borderId="0"/>
    <xf numFmtId="181" fontId="54" fillId="0" borderId="0"/>
    <xf numFmtId="181" fontId="54" fillId="0" borderId="0"/>
    <xf numFmtId="0" fontId="48" fillId="0" borderId="0">
      <alignment vertical="top"/>
    </xf>
    <xf numFmtId="181" fontId="54" fillId="0" borderId="0"/>
    <xf numFmtId="181" fontId="54" fillId="0" borderId="0"/>
    <xf numFmtId="0" fontId="20" fillId="0" borderId="0"/>
    <xf numFmtId="0" fontId="5" fillId="0" borderId="0"/>
    <xf numFmtId="0" fontId="54" fillId="0" borderId="0"/>
    <xf numFmtId="0" fontId="48" fillId="0" borderId="0">
      <alignment vertical="top"/>
    </xf>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20" fillId="0" borderId="0"/>
    <xf numFmtId="0" fontId="5" fillId="0" borderId="0"/>
    <xf numFmtId="0" fontId="5" fillId="0" borderId="0"/>
    <xf numFmtId="0" fontId="20" fillId="0" borderId="0"/>
    <xf numFmtId="0" fontId="20" fillId="0" borderId="0"/>
    <xf numFmtId="0" fontId="5" fillId="0" borderId="0"/>
    <xf numFmtId="0" fontId="5" fillId="0" borderId="0"/>
    <xf numFmtId="0" fontId="20" fillId="0" borderId="0"/>
    <xf numFmtId="0" fontId="5" fillId="0" borderId="0"/>
    <xf numFmtId="0" fontId="20" fillId="0" borderId="0"/>
    <xf numFmtId="0" fontId="5" fillId="0" borderId="0"/>
    <xf numFmtId="0" fontId="20" fillId="0" borderId="0"/>
    <xf numFmtId="0" fontId="20" fillId="0" borderId="0"/>
    <xf numFmtId="0" fontId="20" fillId="0" borderId="0"/>
    <xf numFmtId="0" fontId="20" fillId="0" borderId="0"/>
    <xf numFmtId="0" fontId="5" fillId="0" borderId="0"/>
    <xf numFmtId="181" fontId="54" fillId="0" borderId="0"/>
    <xf numFmtId="181" fontId="54" fillId="0" borderId="0"/>
    <xf numFmtId="181" fontId="54" fillId="0" borderId="0"/>
    <xf numFmtId="181" fontId="54" fillId="0" borderId="0"/>
    <xf numFmtId="0" fontId="5" fillId="0" borderId="0"/>
    <xf numFmtId="0" fontId="20" fillId="0" borderId="0"/>
    <xf numFmtId="0" fontId="5" fillId="0" borderId="0"/>
    <xf numFmtId="0" fontId="20" fillId="0" borderId="0"/>
    <xf numFmtId="0" fontId="5" fillId="0" borderId="0"/>
    <xf numFmtId="0" fontId="20" fillId="0" borderId="0"/>
    <xf numFmtId="0" fontId="5" fillId="0" borderId="0"/>
    <xf numFmtId="0" fontId="20" fillId="0" borderId="0"/>
    <xf numFmtId="0" fontId="5" fillId="0" borderId="0"/>
    <xf numFmtId="0" fontId="20" fillId="0" borderId="0"/>
    <xf numFmtId="0" fontId="20" fillId="0" borderId="0"/>
    <xf numFmtId="0" fontId="20" fillId="0" borderId="0"/>
    <xf numFmtId="0" fontId="20" fillId="0" borderId="0"/>
    <xf numFmtId="0" fontId="20" fillId="0" borderId="0"/>
    <xf numFmtId="0" fontId="36" fillId="0" borderId="0"/>
    <xf numFmtId="0" fontId="20" fillId="0" borderId="0"/>
    <xf numFmtId="181" fontId="54" fillId="0" borderId="0"/>
    <xf numFmtId="181" fontId="54" fillId="0" borderId="0"/>
    <xf numFmtId="181" fontId="54" fillId="0" borderId="0"/>
    <xf numFmtId="181"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181" fontId="1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181" fontId="54" fillId="0" borderId="0"/>
    <xf numFmtId="181" fontId="54" fillId="0" borderId="0"/>
    <xf numFmtId="181" fontId="54" fillId="0" borderId="0"/>
    <xf numFmtId="181"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4" fillId="0" borderId="0"/>
    <xf numFmtId="0" fontId="54" fillId="0" borderId="0"/>
    <xf numFmtId="0" fontId="54" fillId="0" borderId="0"/>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15" fillId="16" borderId="33" applyNumberFormat="0" applyFont="0" applyAlignment="0" applyProtection="0"/>
    <xf numFmtId="0" fontId="20" fillId="68" borderId="43" applyNumberFormat="0" applyFont="0" applyAlignment="0" applyProtection="0"/>
    <xf numFmtId="0" fontId="5" fillId="16" borderId="33" applyNumberFormat="0" applyFont="0" applyAlignment="0" applyProtection="0"/>
    <xf numFmtId="0" fontId="80" fillId="14" borderId="30" applyNumberFormat="0" applyAlignment="0" applyProtection="0"/>
    <xf numFmtId="0" fontId="80" fillId="14" borderId="30" applyNumberFormat="0" applyAlignment="0" applyProtection="0"/>
    <xf numFmtId="0" fontId="80" fillId="14" borderId="30" applyNumberFormat="0" applyAlignment="0" applyProtection="0"/>
    <xf numFmtId="0" fontId="80" fillId="65" borderId="30" applyNumberFormat="0" applyAlignment="0" applyProtection="0"/>
    <xf numFmtId="0" fontId="135" fillId="65" borderId="44" applyNumberFormat="0" applyAlignment="0" applyProtection="0"/>
    <xf numFmtId="181" fontId="20" fillId="41" borderId="0" applyNumberFormat="0" applyBorder="0" applyAlignment="0" applyProtection="0"/>
    <xf numFmtId="181" fontId="20" fillId="41" borderId="0" applyNumberFormat="0" applyBorder="0" applyAlignment="0" applyProtection="0"/>
    <xf numFmtId="199" fontId="115" fillId="0" borderId="0" applyFont="0" applyFill="0" applyBorder="0" applyAlignment="0" applyProtection="0"/>
    <xf numFmtId="200" fontId="21" fillId="0" borderId="0" applyFont="0" applyFill="0" applyBorder="0" applyAlignment="0" applyProtection="0"/>
    <xf numFmtId="201" fontId="115" fillId="0" borderId="0" applyFont="0" applyFill="0" applyBorder="0" applyAlignment="0" applyProtection="0"/>
    <xf numFmtId="202" fontId="21" fillId="0" borderId="0" applyFont="0" applyFill="0" applyBorder="0" applyAlignment="0" applyProtection="0"/>
    <xf numFmtId="203" fontId="115" fillId="0" borderId="0" applyFont="0" applyFill="0" applyBorder="0" applyAlignment="0" applyProtection="0"/>
    <xf numFmtId="204" fontId="21" fillId="0" borderId="0" applyFont="0" applyFill="0" applyBorder="0" applyAlignment="0" applyProtection="0"/>
    <xf numFmtId="205" fontId="115"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208" fontId="2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48" fillId="0" borderId="0" applyFont="0" applyFill="0" applyBorder="0" applyAlignment="0" applyProtection="0"/>
    <xf numFmtId="9" fontId="92" fillId="0" borderId="0" applyFont="0" applyFill="0" applyBorder="0" applyAlignment="0" applyProtection="0"/>
    <xf numFmtId="9" fontId="48"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20" fillId="0" borderId="0" applyFont="0" applyFill="0" applyBorder="0" applyAlignment="0" applyProtection="0"/>
    <xf numFmtId="9" fontId="11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81" fontId="107" fillId="64" borderId="0" applyNumberFormat="0" applyBorder="0" applyAlignment="0" applyProtection="0"/>
    <xf numFmtId="0" fontId="136" fillId="0" borderId="0">
      <alignment horizontal="right"/>
    </xf>
    <xf numFmtId="0" fontId="137" fillId="0" borderId="0">
      <alignment horizontal="right"/>
    </xf>
    <xf numFmtId="0" fontId="122" fillId="0" borderId="0"/>
    <xf numFmtId="0" fontId="138" fillId="0" borderId="0" applyNumberFormat="0" applyBorder="0" applyAlignment="0"/>
    <xf numFmtId="0" fontId="138" fillId="0" borderId="0" applyNumberFormat="0" applyBorder="0" applyAlignment="0"/>
    <xf numFmtId="0" fontId="48" fillId="0" borderId="0" applyNumberFormat="0" applyBorder="0" applyAlignment="0"/>
    <xf numFmtId="181" fontId="48" fillId="0" borderId="0" applyNumberFormat="0" applyBorder="0" applyAlignment="0"/>
    <xf numFmtId="0" fontId="122" fillId="0" borderId="0"/>
    <xf numFmtId="181" fontId="48" fillId="0" borderId="0" applyNumberFormat="0" applyBorder="0" applyAlignment="0"/>
    <xf numFmtId="0" fontId="139" fillId="0" borderId="0"/>
    <xf numFmtId="0" fontId="140" fillId="0" borderId="0" applyNumberFormat="0" applyBorder="0" applyAlignment="0"/>
    <xf numFmtId="0" fontId="140" fillId="0" borderId="0" applyNumberFormat="0" applyBorder="0" applyAlignment="0"/>
    <xf numFmtId="0" fontId="139" fillId="0" borderId="0"/>
    <xf numFmtId="0" fontId="141" fillId="0" borderId="0"/>
    <xf numFmtId="181" fontId="142" fillId="0" borderId="0"/>
    <xf numFmtId="0" fontId="143" fillId="0" borderId="0"/>
    <xf numFmtId="0" fontId="144" fillId="0" borderId="0" applyNumberFormat="0" applyBorder="0" applyAlignment="0"/>
    <xf numFmtId="0" fontId="144" fillId="0" borderId="0" applyNumberFormat="0" applyBorder="0" applyAlignment="0"/>
    <xf numFmtId="0" fontId="143" fillId="0" borderId="0"/>
    <xf numFmtId="0" fontId="145" fillId="0" borderId="0" applyNumberFormat="0" applyBorder="0" applyAlignment="0"/>
    <xf numFmtId="0" fontId="146" fillId="0" borderId="0"/>
    <xf numFmtId="181" fontId="147" fillId="0" borderId="0"/>
    <xf numFmtId="0" fontId="148" fillId="0" borderId="0"/>
    <xf numFmtId="0" fontId="144" fillId="69" borderId="0" applyNumberFormat="0" applyBorder="0" applyAlignment="0"/>
    <xf numFmtId="0" fontId="149" fillId="0" borderId="0"/>
    <xf numFmtId="0" fontId="150" fillId="0" borderId="0"/>
    <xf numFmtId="0" fontId="151" fillId="0" borderId="0"/>
    <xf numFmtId="0" fontId="150" fillId="70" borderId="0"/>
    <xf numFmtId="0" fontId="72" fillId="0" borderId="0" applyNumberFormat="0" applyFill="0" applyBorder="0" applyAlignment="0" applyProtection="0"/>
    <xf numFmtId="0" fontId="152" fillId="71" borderId="45" applyNumberFormat="0">
      <alignment horizontal="left"/>
    </xf>
    <xf numFmtId="0" fontId="72" fillId="0" borderId="0" applyNumberFormat="0" applyFill="0" applyBorder="0" applyAlignment="0" applyProtection="0"/>
    <xf numFmtId="0" fontId="72" fillId="0" borderId="0" applyNumberFormat="0" applyFill="0" applyBorder="0" applyAlignment="0" applyProtection="0"/>
    <xf numFmtId="0" fontId="153" fillId="0" borderId="0" applyNumberFormat="0" applyFill="0" applyBorder="0" applyAlignment="0" applyProtection="0"/>
    <xf numFmtId="0" fontId="154" fillId="0" borderId="0" applyNumberFormat="0" applyFill="0" applyBorder="0" applyAlignment="0" applyProtection="0"/>
    <xf numFmtId="0" fontId="152" fillId="71" borderId="46">
      <alignment horizontal="left"/>
    </xf>
    <xf numFmtId="0" fontId="86" fillId="0" borderId="34" applyNumberFormat="0" applyFill="0" applyAlignment="0" applyProtection="0"/>
    <xf numFmtId="0" fontId="86" fillId="0" borderId="34" applyNumberFormat="0" applyFill="0" applyAlignment="0" applyProtection="0"/>
    <xf numFmtId="0" fontId="86" fillId="0" borderId="34" applyNumberFormat="0" applyFill="0" applyAlignment="0" applyProtection="0"/>
    <xf numFmtId="0" fontId="86" fillId="0" borderId="47" applyNumberFormat="0" applyFill="0" applyAlignment="0" applyProtection="0"/>
    <xf numFmtId="0" fontId="155" fillId="0" borderId="4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56" fillId="0" borderId="0" applyNumberFormat="0" applyFill="0" applyBorder="0" applyAlignment="0" applyProtection="0"/>
    <xf numFmtId="181" fontId="27" fillId="72" borderId="0" applyNumberFormat="0" applyBorder="0" applyAlignment="0" applyProtection="0"/>
    <xf numFmtId="209" fontId="21" fillId="0" borderId="0" applyFont="0" applyFill="0" applyBorder="0" applyAlignment="0" applyProtection="0"/>
    <xf numFmtId="210" fontId="21" fillId="0" borderId="0" applyFont="0" applyFill="0" applyBorder="0" applyAlignment="0" applyProtection="0"/>
    <xf numFmtId="211" fontId="21" fillId="0" borderId="0" applyFont="0" applyFill="0" applyBorder="0" applyAlignment="0" applyProtection="0"/>
    <xf numFmtId="212" fontId="21" fillId="0" borderId="0" applyFont="0" applyFill="0" applyBorder="0" applyAlignment="0" applyProtection="0"/>
    <xf numFmtId="213" fontId="21" fillId="0" borderId="0" applyFont="0" applyFill="0" applyBorder="0" applyAlignment="0" applyProtection="0"/>
    <xf numFmtId="214" fontId="21" fillId="0" borderId="0" applyFont="0" applyFill="0" applyBorder="0" applyAlignment="0" applyProtection="0"/>
    <xf numFmtId="215" fontId="21" fillId="0" borderId="0" applyFont="0" applyFill="0" applyBorder="0" applyAlignment="0" applyProtection="0"/>
    <xf numFmtId="216" fontId="21" fillId="0" borderId="0" applyFont="0" applyFill="0" applyBorder="0" applyAlignment="0" applyProtection="0"/>
    <xf numFmtId="217" fontId="36" fillId="0" borderId="0" applyFont="0" applyFill="0" applyBorder="0" applyAlignment="0" applyProtection="0">
      <alignment horizontal="right"/>
    </xf>
    <xf numFmtId="3" fontId="54" fillId="0" borderId="0"/>
    <xf numFmtId="0" fontId="94" fillId="0" borderId="28" applyNumberFormat="0" applyFill="0" applyAlignment="0" applyProtection="0"/>
    <xf numFmtId="3" fontId="54" fillId="0" borderId="0"/>
    <xf numFmtId="3" fontId="54" fillId="0" borderId="0"/>
    <xf numFmtId="3" fontId="54" fillId="0" borderId="0"/>
    <xf numFmtId="3" fontId="54" fillId="0" borderId="0"/>
    <xf numFmtId="3" fontId="54" fillId="0" borderId="0"/>
    <xf numFmtId="9"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2" fontId="54" fillId="0" borderId="0" applyFont="0" applyFill="0" applyBorder="0" applyAlignment="0" applyProtection="0"/>
    <xf numFmtId="42"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3" fillId="0" borderId="0" applyFont="0" applyFill="0" applyBorder="0" applyAlignment="0" applyProtection="0"/>
    <xf numFmtId="44" fontId="5" fillId="0" borderId="0" applyFont="0" applyFill="0" applyBorder="0" applyAlignment="0" applyProtection="0"/>
    <xf numFmtId="0" fontId="101" fillId="0" borderId="0" applyNumberFormat="0" applyFill="0" applyBorder="0" applyAlignment="0" applyProtection="0">
      <alignment vertical="top"/>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3" fillId="0" borderId="0" applyFont="0" applyFill="0" applyBorder="0" applyAlignment="0" applyProtection="0"/>
    <xf numFmtId="0" fontId="20"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4" fillId="0" borderId="28" applyNumberFormat="0" applyFill="0" applyAlignment="0" applyProtection="0"/>
    <xf numFmtId="9"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54" fillId="0" borderId="0" applyFont="0" applyFill="0" applyBorder="0" applyAlignment="0" applyProtection="0"/>
    <xf numFmtId="41"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0" fontId="94" fillId="0" borderId="28" applyNumberFormat="0" applyFill="0" applyAlignment="0" applyProtection="0"/>
    <xf numFmtId="0" fontId="54"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35" fillId="65" borderId="44" applyNumberFormat="0" applyAlignment="0" applyProtection="0"/>
    <xf numFmtId="0" fontId="110" fillId="65" borderId="37" applyNumberFormat="0" applyAlignment="0" applyProtection="0"/>
    <xf numFmtId="44"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0" fontId="110" fillId="65" borderId="37" applyNumberFormat="0" applyAlignment="0" applyProtection="0"/>
    <xf numFmtId="43" fontId="54" fillId="0" borderId="0" applyFont="0" applyFill="0" applyBorder="0" applyAlignment="0" applyProtection="0"/>
    <xf numFmtId="0" fontId="20" fillId="68" borderId="43" applyNumberFormat="0" applyFont="0" applyAlignment="0" applyProtection="0"/>
    <xf numFmtId="9" fontId="54" fillId="0" borderId="0" applyFont="0" applyFill="0" applyBorder="0" applyAlignment="0" applyProtection="0"/>
    <xf numFmtId="0" fontId="155" fillId="0" borderId="47" applyNumberFormat="0" applyFill="0" applyAlignment="0" applyProtection="0"/>
    <xf numFmtId="43" fontId="54" fillId="0" borderId="0" applyFont="0" applyFill="0" applyBorder="0" applyAlignment="0" applyProtection="0"/>
    <xf numFmtId="9"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44" fontId="54" fillId="0" borderId="0" applyFont="0" applyFill="0" applyBorder="0" applyAlignment="0" applyProtection="0"/>
    <xf numFmtId="0" fontId="155" fillId="0" borderId="47" applyNumberFormat="0" applyFill="0" applyAlignment="0" applyProtection="0"/>
    <xf numFmtId="9" fontId="54" fillId="0" borderId="0" applyFont="0" applyFill="0" applyBorder="0" applyAlignment="0" applyProtection="0"/>
    <xf numFmtId="44" fontId="54" fillId="0" borderId="0" applyFont="0" applyFill="0" applyBorder="0" applyAlignment="0" applyProtection="0"/>
    <xf numFmtId="0" fontId="110" fillId="65" borderId="37" applyNumberFormat="0" applyAlignment="0" applyProtection="0"/>
    <xf numFmtId="43"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0" fontId="131" fillId="51" borderId="37" applyNumberFormat="0" applyAlignment="0" applyProtection="0"/>
    <xf numFmtId="0" fontId="131" fillId="51" borderId="37" applyNumberFormat="0" applyAlignment="0" applyProtection="0"/>
    <xf numFmtId="0" fontId="131" fillId="51" borderId="37" applyNumberFormat="0" applyAlignment="0" applyProtection="0"/>
    <xf numFmtId="0" fontId="20" fillId="68" borderId="43" applyNumberFormat="0" applyFont="0" applyAlignment="0" applyProtection="0"/>
    <xf numFmtId="0" fontId="86" fillId="0" borderId="47" applyNumberFormat="0" applyFill="0" applyAlignment="0" applyProtection="0"/>
    <xf numFmtId="43"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0" fontId="20" fillId="68" borderId="43" applyNumberFormat="0" applyFont="0" applyAlignment="0" applyProtection="0"/>
    <xf numFmtId="0" fontId="135" fillId="65" borderId="44" applyNumberFormat="0" applyAlignment="0" applyProtection="0"/>
    <xf numFmtId="44" fontId="54" fillId="0" borderId="0" applyFont="0" applyFill="0" applyBorder="0" applyAlignment="0" applyProtection="0"/>
    <xf numFmtId="0" fontId="86" fillId="0" borderId="47" applyNumberFormat="0" applyFill="0" applyAlignment="0" applyProtection="0"/>
    <xf numFmtId="43" fontId="54" fillId="0" borderId="0" applyFont="0" applyFill="0" applyBorder="0" applyAlignment="0" applyProtection="0"/>
    <xf numFmtId="44" fontId="54" fillId="0" borderId="0" applyFont="0" applyFill="0" applyBorder="0" applyAlignment="0" applyProtection="0"/>
    <xf numFmtId="0" fontId="155" fillId="0" borderId="47" applyNumberFormat="0" applyFill="0" applyAlignment="0" applyProtection="0"/>
    <xf numFmtId="9"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0" fontId="20" fillId="68" borderId="43" applyNumberFormat="0" applyFont="0" applyAlignment="0" applyProtection="0"/>
    <xf numFmtId="0" fontId="135" fillId="65" borderId="44" applyNumberFormat="0" applyAlignment="0" applyProtection="0"/>
    <xf numFmtId="0" fontId="110" fillId="65" borderId="37" applyNumberFormat="0" applyAlignment="0" applyProtection="0"/>
    <xf numFmtId="9" fontId="54" fillId="0" borderId="0" applyFont="0" applyFill="0" applyBorder="0" applyAlignment="0" applyProtection="0"/>
    <xf numFmtId="0" fontId="135" fillId="65" borderId="44" applyNumberFormat="0" applyAlignment="0" applyProtection="0"/>
    <xf numFmtId="0" fontId="86" fillId="0" borderId="47" applyNumberFormat="0" applyFill="0" applyAlignment="0" applyProtection="0"/>
    <xf numFmtId="43"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0" fontId="86" fillId="0" borderId="47" applyNumberFormat="0" applyFill="0" applyAlignment="0" applyProtection="0"/>
    <xf numFmtId="0" fontId="155" fillId="0" borderId="47" applyNumberFormat="0" applyFill="0" applyAlignment="0" applyProtection="0"/>
    <xf numFmtId="43"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0" fontId="131" fillId="51" borderId="37" applyNumberFormat="0" applyAlignment="0" applyProtection="0"/>
    <xf numFmtId="0" fontId="5" fillId="0" borderId="0"/>
    <xf numFmtId="43" fontId="5" fillId="0" borderId="0" applyFont="0" applyFill="0" applyBorder="0" applyAlignment="0" applyProtection="0"/>
    <xf numFmtId="0" fontId="20"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6" fillId="0" borderId="47" applyNumberFormat="0" applyFill="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0" fillId="68" borderId="43" applyNumberFormat="0" applyFont="0" applyAlignment="0" applyProtection="0"/>
    <xf numFmtId="0" fontId="135" fillId="65" borderId="44"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5" fillId="0" borderId="47"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0" fillId="65" borderId="37" applyNumberFormat="0" applyAlignment="0" applyProtection="0"/>
    <xf numFmtId="0" fontId="155" fillId="0" borderId="47" applyNumberFormat="0" applyFill="0" applyAlignment="0" applyProtection="0"/>
    <xf numFmtId="0" fontId="155" fillId="0" borderId="47" applyNumberFormat="0" applyFill="0" applyAlignment="0" applyProtection="0"/>
    <xf numFmtId="0" fontId="110" fillId="65" borderId="3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1" fillId="51" borderId="3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0" fillId="68" borderId="4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86" fillId="0" borderId="47"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0" fillId="68" borderId="4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0" fillId="68" borderId="43" applyNumberFormat="0" applyFont="0" applyAlignment="0" applyProtection="0"/>
    <xf numFmtId="0" fontId="110" fillId="65" borderId="3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6" fillId="0" borderId="47"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55" fillId="0" borderId="47"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1" fillId="51" borderId="3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20" fillId="68" borderId="4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6" fillId="0" borderId="47" applyNumberFormat="0" applyFill="0" applyAlignment="0" applyProtection="0"/>
    <xf numFmtId="0" fontId="135" fillId="65" borderId="44" applyNumberFormat="0" applyAlignment="0" applyProtection="0"/>
    <xf numFmtId="0" fontId="135" fillId="65" borderId="44" applyNumberFormat="0" applyAlignment="0" applyProtection="0"/>
    <xf numFmtId="0" fontId="155" fillId="0" borderId="47" applyNumberFormat="0" applyFill="0" applyAlignment="0" applyProtection="0"/>
    <xf numFmtId="0" fontId="86" fillId="0" borderId="47" applyNumberFormat="0" applyFill="0" applyAlignment="0" applyProtection="0"/>
    <xf numFmtId="0" fontId="135" fillId="65" borderId="44" applyNumberFormat="0" applyAlignment="0" applyProtection="0"/>
    <xf numFmtId="0" fontId="131" fillId="51" borderId="37" applyNumberFormat="0" applyAlignment="0" applyProtection="0"/>
    <xf numFmtId="0" fontId="131" fillId="51" borderId="37" applyNumberFormat="0" applyAlignment="0" applyProtection="0"/>
    <xf numFmtId="0" fontId="110" fillId="65" borderId="37" applyNumberFormat="0" applyAlignment="0" applyProtection="0"/>
    <xf numFmtId="0" fontId="135" fillId="65" borderId="44" applyNumberFormat="0" applyAlignment="0" applyProtection="0"/>
    <xf numFmtId="0" fontId="131" fillId="51" borderId="37" applyNumberFormat="0" applyAlignment="0" applyProtection="0"/>
    <xf numFmtId="0" fontId="110" fillId="65" borderId="37" applyNumberFormat="0" applyAlignment="0" applyProtection="0"/>
    <xf numFmtId="0" fontId="5" fillId="0" borderId="0"/>
    <xf numFmtId="0" fontId="54" fillId="0" borderId="0"/>
    <xf numFmtId="0" fontId="94" fillId="0" borderId="28" applyNumberFormat="0" applyFill="0" applyAlignment="0" applyProtection="0"/>
    <xf numFmtId="9"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2" fontId="54"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20"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39" fontId="157" fillId="0" borderId="0"/>
    <xf numFmtId="40" fontId="31" fillId="0" borderId="0" applyFont="0" applyFill="0" applyBorder="0" applyAlignment="0" applyProtection="0"/>
    <xf numFmtId="8" fontId="31" fillId="0" borderId="0" applyFont="0" applyFill="0" applyBorder="0" applyAlignment="0" applyProtection="0"/>
    <xf numFmtId="9" fontId="31" fillId="0" borderId="0" applyFont="0" applyFill="0" applyBorder="0" applyAlignment="0" applyProtection="0"/>
    <xf numFmtId="0" fontId="158" fillId="0" borderId="0"/>
    <xf numFmtId="44" fontId="158" fillId="0" borderId="0" applyFont="0" applyFill="0" applyBorder="0" applyAlignment="0" applyProtection="0"/>
    <xf numFmtId="43" fontId="158" fillId="0" borderId="0" applyFont="0" applyFill="0" applyBorder="0" applyAlignment="0" applyProtection="0"/>
    <xf numFmtId="43" fontId="5" fillId="0" borderId="0" applyFont="0" applyFill="0" applyBorder="0" applyAlignment="0" applyProtection="0"/>
    <xf numFmtId="3" fontId="42" fillId="0" borderId="0" applyFont="0" applyFill="0" applyBorder="0" applyAlignment="0" applyProtection="0"/>
    <xf numFmtId="44" fontId="5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18" fontId="42" fillId="0" borderId="0" applyFont="0" applyFill="0" applyBorder="0" applyAlignment="0" applyProtection="0"/>
    <xf numFmtId="0" fontId="42" fillId="0" borderId="0" applyFont="0" applyFill="0" applyBorder="0" applyAlignment="0" applyProtection="0"/>
    <xf numFmtId="2" fontId="42" fillId="0" borderId="0" applyFont="0" applyFill="0" applyBorder="0" applyAlignment="0" applyProtection="0"/>
    <xf numFmtId="0" fontId="42" fillId="0" borderId="0"/>
    <xf numFmtId="0" fontId="54" fillId="0" borderId="0"/>
    <xf numFmtId="0" fontId="5" fillId="0" borderId="0"/>
    <xf numFmtId="10" fontId="42"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1"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0" fillId="0" borderId="0"/>
    <xf numFmtId="43" fontId="54" fillId="0" borderId="0" applyFont="0" applyFill="0" applyBorder="0" applyAlignment="0" applyProtection="0"/>
    <xf numFmtId="44" fontId="54" fillId="0" borderId="0" applyFont="0" applyFill="0" applyBorder="0" applyAlignment="0" applyProtection="0"/>
    <xf numFmtId="44" fontId="20" fillId="0" borderId="0" applyFont="0" applyFill="0" applyBorder="0" applyAlignment="0" applyProtection="0"/>
    <xf numFmtId="0" fontId="54" fillId="0" borderId="0"/>
    <xf numFmtId="9" fontId="54" fillId="0" borderId="0" applyFont="0" applyFill="0" applyBorder="0" applyAlignment="0" applyProtection="0"/>
    <xf numFmtId="9"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5" fillId="0" borderId="0"/>
    <xf numFmtId="43" fontId="5" fillId="0" borderId="0" applyFont="0" applyFill="0" applyBorder="0" applyAlignment="0" applyProtection="0"/>
    <xf numFmtId="44" fontId="158" fillId="0" borderId="0" applyFont="0" applyFill="0" applyBorder="0" applyAlignment="0" applyProtection="0"/>
    <xf numFmtId="9" fontId="158" fillId="0" borderId="0" applyFont="0" applyFill="0" applyBorder="0" applyAlignment="0" applyProtection="0"/>
    <xf numFmtId="43" fontId="5" fillId="0" borderId="0" applyFont="0" applyFill="0" applyBorder="0" applyAlignment="0" applyProtection="0"/>
    <xf numFmtId="0" fontId="5" fillId="0" borderId="0"/>
    <xf numFmtId="0" fontId="54" fillId="0" borderId="0"/>
    <xf numFmtId="0" fontId="94" fillId="0" borderId="28" applyNumberFormat="0" applyFill="0" applyAlignment="0" applyProtection="0"/>
    <xf numFmtId="9"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2" fontId="54"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0" fontId="5" fillId="38" borderId="0" applyNumberFormat="0" applyBorder="0" applyAlignment="0" applyProtection="0"/>
    <xf numFmtId="0" fontId="5" fillId="38" borderId="0" applyNumberFormat="0" applyBorder="0" applyAlignment="0" applyProtection="0"/>
    <xf numFmtId="9" fontId="5" fillId="0" borderId="0" applyFont="0" applyFill="0" applyBorder="0" applyAlignment="0" applyProtection="0"/>
    <xf numFmtId="0" fontId="5" fillId="39" borderId="0" applyNumberFormat="0" applyBorder="0" applyAlignment="0" applyProtection="0"/>
    <xf numFmtId="0" fontId="5" fillId="19" borderId="0" applyNumberFormat="0" applyBorder="0" applyAlignment="0" applyProtection="0"/>
    <xf numFmtId="0" fontId="5" fillId="16" borderId="33" applyNumberFormat="0" applyFont="0" applyAlignment="0" applyProtection="0"/>
    <xf numFmtId="0" fontId="5" fillId="34" borderId="0" applyNumberFormat="0" applyBorder="0" applyAlignment="0" applyProtection="0"/>
    <xf numFmtId="0" fontId="5" fillId="0" borderId="0"/>
    <xf numFmtId="0" fontId="5" fillId="18" borderId="0" applyNumberFormat="0" applyBorder="0" applyAlignment="0" applyProtection="0"/>
    <xf numFmtId="0" fontId="5" fillId="27" borderId="0" applyNumberFormat="0" applyBorder="0" applyAlignment="0" applyProtection="0"/>
    <xf numFmtId="0" fontId="5" fillId="35" borderId="0" applyNumberFormat="0" applyBorder="0" applyAlignment="0" applyProtection="0"/>
    <xf numFmtId="0" fontId="5" fillId="22"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0" borderId="0"/>
    <xf numFmtId="0" fontId="5" fillId="0" borderId="0"/>
    <xf numFmtId="0" fontId="5" fillId="1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5" borderId="0" applyNumberFormat="0" applyBorder="0" applyAlignment="0" applyProtection="0"/>
    <xf numFmtId="0" fontId="5" fillId="30"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6" borderId="33" applyNumberFormat="0" applyFont="0" applyAlignment="0" applyProtection="0"/>
    <xf numFmtId="0" fontId="5" fillId="31" borderId="0" applyNumberFormat="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8" borderId="0" applyNumberFormat="0" applyBorder="0" applyAlignment="0" applyProtection="0"/>
    <xf numFmtId="43" fontId="5" fillId="0" borderId="0" applyFont="0" applyFill="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3" borderId="0" applyNumberFormat="0" applyBorder="0" applyAlignment="0" applyProtection="0"/>
    <xf numFmtId="0" fontId="5" fillId="0" borderId="0"/>
    <xf numFmtId="9" fontId="5" fillId="0" borderId="0" applyFont="0" applyFill="0" applyBorder="0" applyAlignment="0" applyProtection="0"/>
    <xf numFmtId="0" fontId="5" fillId="0" borderId="0"/>
    <xf numFmtId="0" fontId="5" fillId="27" borderId="0" applyNumberFormat="0" applyBorder="0" applyAlignment="0" applyProtection="0"/>
    <xf numFmtId="0" fontId="5" fillId="1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26"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39" borderId="0" applyNumberFormat="0" applyBorder="0" applyAlignment="0" applyProtection="0"/>
    <xf numFmtId="0" fontId="5" fillId="16" borderId="33" applyNumberFormat="0" applyFont="0" applyAlignment="0" applyProtection="0"/>
    <xf numFmtId="43" fontId="5" fillId="0" borderId="0" applyFont="0" applyFill="0" applyBorder="0" applyAlignment="0" applyProtection="0"/>
    <xf numFmtId="0" fontId="5" fillId="16" borderId="33" applyNumberFormat="0" applyFont="0" applyAlignment="0" applyProtection="0"/>
    <xf numFmtId="0" fontId="5" fillId="26"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0" fontId="5" fillId="35"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30" borderId="0" applyNumberFormat="0" applyBorder="0" applyAlignment="0" applyProtection="0"/>
    <xf numFmtId="0" fontId="5" fillId="39"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9" fontId="5" fillId="0" borderId="0" applyFont="0" applyFill="0" applyBorder="0" applyAlignment="0" applyProtection="0"/>
    <xf numFmtId="0" fontId="5" fillId="27" borderId="0" applyNumberFormat="0" applyBorder="0" applyAlignment="0" applyProtection="0"/>
    <xf numFmtId="0" fontId="5" fillId="22" borderId="0" applyNumberFormat="0" applyBorder="0" applyAlignment="0" applyProtection="0"/>
    <xf numFmtId="0" fontId="5" fillId="0" borderId="0"/>
    <xf numFmtId="0" fontId="5" fillId="31" borderId="0" applyNumberFormat="0" applyBorder="0" applyAlignment="0" applyProtection="0"/>
    <xf numFmtId="0" fontId="5" fillId="38" borderId="0" applyNumberFormat="0" applyBorder="0" applyAlignment="0" applyProtection="0"/>
    <xf numFmtId="0" fontId="5" fillId="34" borderId="0" applyNumberFormat="0" applyBorder="0" applyAlignment="0" applyProtection="0"/>
    <xf numFmtId="0" fontId="5" fillId="0" borderId="0"/>
    <xf numFmtId="0" fontId="5" fillId="38"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8" borderId="0" applyNumberFormat="0" applyBorder="0" applyAlignment="0" applyProtection="0"/>
    <xf numFmtId="0" fontId="5" fillId="31"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43" fontId="5" fillId="0" borderId="0" applyFont="0" applyFill="0" applyBorder="0" applyAlignment="0" applyProtection="0"/>
    <xf numFmtId="0" fontId="5" fillId="23"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0" fontId="5" fillId="34" borderId="0" applyNumberFormat="0" applyBorder="0" applyAlignment="0" applyProtection="0"/>
    <xf numFmtId="0" fontId="5" fillId="26" borderId="0" applyNumberFormat="0" applyBorder="0" applyAlignment="0" applyProtection="0"/>
    <xf numFmtId="0" fontId="5" fillId="0" borderId="0"/>
    <xf numFmtId="0" fontId="5" fillId="38" borderId="0" applyNumberFormat="0" applyBorder="0" applyAlignment="0" applyProtection="0"/>
    <xf numFmtId="0" fontId="5" fillId="22"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16" borderId="33" applyNumberFormat="0" applyFont="0" applyAlignment="0" applyProtection="0"/>
    <xf numFmtId="43"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26"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1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18" borderId="0" applyNumberFormat="0" applyBorder="0" applyAlignment="0" applyProtection="0"/>
    <xf numFmtId="9" fontId="5" fillId="0" borderId="0" applyFont="0" applyFill="0" applyBorder="0" applyAlignment="0" applyProtection="0"/>
    <xf numFmtId="0" fontId="5" fillId="18" borderId="0" applyNumberFormat="0" applyBorder="0" applyAlignment="0" applyProtection="0"/>
    <xf numFmtId="9" fontId="5" fillId="0" borderId="0" applyFont="0" applyFill="0" applyBorder="0" applyAlignment="0" applyProtection="0"/>
    <xf numFmtId="0" fontId="5" fillId="16" borderId="33" applyNumberFormat="0" applyFont="0" applyAlignment="0" applyProtection="0"/>
    <xf numFmtId="0" fontId="5" fillId="27" borderId="0" applyNumberFormat="0" applyBorder="0" applyAlignment="0" applyProtection="0"/>
    <xf numFmtId="0" fontId="5" fillId="39" borderId="0" applyNumberFormat="0" applyBorder="0" applyAlignment="0" applyProtection="0"/>
    <xf numFmtId="0" fontId="5" fillId="19" borderId="0" applyNumberFormat="0" applyBorder="0" applyAlignment="0" applyProtection="0"/>
    <xf numFmtId="43" fontId="5" fillId="0" borderId="0" applyFont="0" applyFill="0" applyBorder="0" applyAlignment="0" applyProtection="0"/>
    <xf numFmtId="0" fontId="5" fillId="34"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39"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16" borderId="33" applyNumberFormat="0" applyFont="0" applyAlignment="0" applyProtection="0"/>
    <xf numFmtId="0" fontId="5" fillId="0" borderId="0"/>
    <xf numFmtId="0" fontId="5" fillId="38" borderId="0" applyNumberFormat="0" applyBorder="0" applyAlignment="0" applyProtection="0"/>
    <xf numFmtId="0" fontId="5" fillId="18"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39" borderId="0" applyNumberFormat="0" applyBorder="0" applyAlignment="0" applyProtection="0"/>
    <xf numFmtId="0" fontId="5" fillId="22" borderId="0" applyNumberFormat="0" applyBorder="0" applyAlignment="0" applyProtection="0"/>
    <xf numFmtId="0" fontId="5"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43" fontId="5" fillId="0" borderId="0" applyFont="0" applyFill="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18" borderId="0" applyNumberFormat="0" applyBorder="0" applyAlignment="0" applyProtection="0"/>
    <xf numFmtId="0" fontId="5" fillId="23"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19" borderId="0" applyNumberFormat="0" applyBorder="0" applyAlignment="0" applyProtection="0"/>
    <xf numFmtId="0" fontId="5" fillId="0" borderId="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8"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9" fontId="5" fillId="0" borderId="0" applyFont="0" applyFill="0" applyBorder="0" applyAlignment="0" applyProtection="0"/>
    <xf numFmtId="0" fontId="5" fillId="3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0" borderId="0"/>
    <xf numFmtId="0" fontId="5" fillId="23" borderId="0" applyNumberFormat="0" applyBorder="0" applyAlignment="0" applyProtection="0"/>
    <xf numFmtId="0" fontId="5" fillId="39" borderId="0" applyNumberFormat="0" applyBorder="0" applyAlignment="0" applyProtection="0"/>
    <xf numFmtId="0" fontId="5" fillId="19"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9" fontId="5" fillId="0" borderId="0" applyFont="0" applyFill="0" applyBorder="0" applyAlignment="0" applyProtection="0"/>
    <xf numFmtId="0" fontId="5" fillId="30" borderId="0" applyNumberFormat="0" applyBorder="0" applyAlignment="0" applyProtection="0"/>
    <xf numFmtId="9" fontId="5" fillId="0" borderId="0" applyFont="0" applyFill="0" applyBorder="0" applyAlignment="0" applyProtection="0"/>
    <xf numFmtId="0" fontId="5" fillId="26"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0" borderId="0"/>
    <xf numFmtId="0" fontId="5" fillId="35"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6" borderId="33" applyNumberFormat="0" applyFont="0" applyAlignment="0" applyProtection="0"/>
    <xf numFmtId="0" fontId="5" fillId="34"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0" borderId="0"/>
    <xf numFmtId="0" fontId="5" fillId="39" borderId="0" applyNumberFormat="0" applyBorder="0" applyAlignment="0" applyProtection="0"/>
    <xf numFmtId="0" fontId="5" fillId="1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43" fontId="5" fillId="0" borderId="0" applyFont="0" applyFill="0" applyBorder="0" applyAlignment="0" applyProtection="0"/>
    <xf numFmtId="0" fontId="5" fillId="1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70" fillId="0" borderId="0" applyFont="0" applyFill="0" applyBorder="0" applyAlignment="0" applyProtection="0"/>
    <xf numFmtId="0" fontId="20" fillId="0" borderId="0"/>
    <xf numFmtId="0" fontId="20" fillId="0" borderId="0"/>
    <xf numFmtId="43" fontId="15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20"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0" fontId="160" fillId="0" borderId="0" applyNumberFormat="0" applyFill="0" applyBorder="0" applyAlignment="0" applyProtection="0">
      <alignment vertical="top"/>
      <protection locked="0"/>
    </xf>
    <xf numFmtId="0" fontId="89" fillId="0" borderId="0"/>
    <xf numFmtId="0" fontId="20" fillId="0" borderId="0"/>
    <xf numFmtId="0" fontId="4" fillId="0" borderId="0"/>
    <xf numFmtId="0" fontId="4"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8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4" fillId="0" borderId="0"/>
    <xf numFmtId="0" fontId="4" fillId="0" borderId="0"/>
    <xf numFmtId="0" fontId="20" fillId="0" borderId="0"/>
    <xf numFmtId="0" fontId="20" fillId="0" borderId="0"/>
    <xf numFmtId="43" fontId="70" fillId="0" borderId="0" applyFont="0" applyFill="0" applyBorder="0" applyAlignment="0" applyProtection="0"/>
    <xf numFmtId="0" fontId="20" fillId="0" borderId="0"/>
    <xf numFmtId="0" fontId="4"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9" fillId="0" borderId="0"/>
    <xf numFmtId="0" fontId="48" fillId="0" borderId="0"/>
    <xf numFmtId="0" fontId="48" fillId="0" borderId="0"/>
    <xf numFmtId="0" fontId="20" fillId="0" borderId="0"/>
    <xf numFmtId="0" fontId="20" fillId="0" borderId="0"/>
    <xf numFmtId="0" fontId="48" fillId="0" borderId="0"/>
    <xf numFmtId="0" fontId="20" fillId="0" borderId="0"/>
    <xf numFmtId="0" fontId="159" fillId="0" borderId="0"/>
    <xf numFmtId="0" fontId="159" fillId="0" borderId="0"/>
    <xf numFmtId="0" fontId="159" fillId="0" borderId="0"/>
    <xf numFmtId="0" fontId="159" fillId="0" borderId="0"/>
    <xf numFmtId="0" fontId="1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9" fillId="0" borderId="0"/>
    <xf numFmtId="0" fontId="8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20"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219" fontId="49" fillId="44" borderId="0" applyBorder="0">
      <alignment horizontal="right"/>
    </xf>
    <xf numFmtId="0" fontId="161" fillId="73" borderId="0" applyBorder="0"/>
    <xf numFmtId="9" fontId="159" fillId="0" borderId="0" applyFont="0" applyFill="0" applyBorder="0" applyAlignment="0" applyProtection="0"/>
    <xf numFmtId="9" fontId="15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8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35"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38" borderId="0" applyNumberFormat="0" applyBorder="0" applyAlignment="0" applyProtection="0"/>
    <xf numFmtId="0" fontId="3" fillId="38" borderId="0" applyNumberFormat="0" applyBorder="0" applyAlignment="0" applyProtection="0"/>
    <xf numFmtId="9" fontId="3" fillId="0" borderId="0" applyFont="0" applyFill="0" applyBorder="0" applyAlignment="0" applyProtection="0"/>
    <xf numFmtId="0" fontId="3" fillId="39" borderId="0" applyNumberFormat="0" applyBorder="0" applyAlignment="0" applyProtection="0"/>
    <xf numFmtId="0" fontId="3" fillId="19" borderId="0" applyNumberFormat="0" applyBorder="0" applyAlignment="0" applyProtection="0"/>
    <xf numFmtId="0" fontId="3" fillId="16" borderId="33" applyNumberFormat="0" applyFont="0" applyAlignment="0" applyProtection="0"/>
    <xf numFmtId="0" fontId="3" fillId="34" borderId="0" applyNumberFormat="0" applyBorder="0" applyAlignment="0" applyProtection="0"/>
    <xf numFmtId="0" fontId="3" fillId="0" borderId="0"/>
    <xf numFmtId="0" fontId="3" fillId="18" borderId="0" applyNumberFormat="0" applyBorder="0" applyAlignment="0" applyProtection="0"/>
    <xf numFmtId="0" fontId="3" fillId="27" borderId="0" applyNumberFormat="0" applyBorder="0" applyAlignment="0" applyProtection="0"/>
    <xf numFmtId="0" fontId="3" fillId="35"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0" borderId="0"/>
    <xf numFmtId="0" fontId="3" fillId="0" borderId="0"/>
    <xf numFmtId="0" fontId="3" fillId="19"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6" borderId="33" applyNumberFormat="0" applyFont="0" applyAlignment="0" applyProtection="0"/>
    <xf numFmtId="0" fontId="3" fillId="31" borderId="0" applyNumberFormat="0" applyBorder="0" applyAlignment="0" applyProtection="0"/>
    <xf numFmtId="43" fontId="3" fillId="0" borderId="0" applyFont="0" applyFill="0" applyBorder="0" applyAlignment="0" applyProtection="0"/>
    <xf numFmtId="0" fontId="3" fillId="39" borderId="0" applyNumberFormat="0" applyBorder="0" applyAlignment="0" applyProtection="0"/>
    <xf numFmtId="0" fontId="3" fillId="38" borderId="0" applyNumberFormat="0" applyBorder="0" applyAlignment="0" applyProtection="0"/>
    <xf numFmtId="43" fontId="3" fillId="0" borderId="0" applyFont="0" applyFill="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3" borderId="0" applyNumberFormat="0" applyBorder="0" applyAlignment="0" applyProtection="0"/>
    <xf numFmtId="0" fontId="3" fillId="0" borderId="0"/>
    <xf numFmtId="9" fontId="3" fillId="0" borderId="0" applyFont="0" applyFill="0" applyBorder="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7" borderId="0" applyNumberFormat="0" applyBorder="0" applyAlignment="0" applyProtection="0"/>
    <xf numFmtId="0" fontId="3" fillId="26"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39" borderId="0" applyNumberFormat="0" applyBorder="0" applyAlignment="0" applyProtection="0"/>
    <xf numFmtId="0" fontId="3" fillId="16" borderId="33" applyNumberFormat="0" applyFont="0" applyAlignment="0" applyProtection="0"/>
    <xf numFmtId="43" fontId="3" fillId="0" borderId="0" applyFont="0" applyFill="0" applyBorder="0" applyAlignment="0" applyProtection="0"/>
    <xf numFmtId="0" fontId="3" fillId="16" borderId="33" applyNumberFormat="0" applyFont="0" applyAlignment="0" applyProtection="0"/>
    <xf numFmtId="0" fontId="3" fillId="26" borderId="0" applyNumberFormat="0" applyBorder="0" applyAlignment="0" applyProtection="0"/>
    <xf numFmtId="43" fontId="3" fillId="0" borderId="0" applyFont="0" applyFill="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30" borderId="0" applyNumberFormat="0" applyBorder="0" applyAlignment="0" applyProtection="0"/>
    <xf numFmtId="0" fontId="3" fillId="39"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0" borderId="0" applyNumberFormat="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0" borderId="0"/>
    <xf numFmtId="0" fontId="3" fillId="31" borderId="0" applyNumberFormat="0" applyBorder="0" applyAlignment="0" applyProtection="0"/>
    <xf numFmtId="0" fontId="3" fillId="38" borderId="0" applyNumberFormat="0" applyBorder="0" applyAlignment="0" applyProtection="0"/>
    <xf numFmtId="0" fontId="3" fillId="34" borderId="0" applyNumberFormat="0" applyBorder="0" applyAlignment="0" applyProtection="0"/>
    <xf numFmtId="0" fontId="3" fillId="0" borderId="0"/>
    <xf numFmtId="0" fontId="3" fillId="38"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43" fontId="3" fillId="0" borderId="0" applyFont="0" applyFill="0" applyBorder="0" applyAlignment="0" applyProtection="0"/>
    <xf numFmtId="0" fontId="3" fillId="23"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0" fontId="3" fillId="34" borderId="0" applyNumberFormat="0" applyBorder="0" applyAlignment="0" applyProtection="0"/>
    <xf numFmtId="0" fontId="3" fillId="26" borderId="0" applyNumberFormat="0" applyBorder="0" applyAlignment="0" applyProtection="0"/>
    <xf numFmtId="0" fontId="3" fillId="0" borderId="0"/>
    <xf numFmtId="0" fontId="3" fillId="38" borderId="0" applyNumberFormat="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6" borderId="33" applyNumberFormat="0" applyFont="0" applyAlignment="0" applyProtection="0"/>
    <xf numFmtId="43" fontId="3" fillId="0" borderId="0" applyFont="0" applyFill="0" applyBorder="0" applyAlignment="0" applyProtection="0"/>
    <xf numFmtId="0" fontId="3" fillId="34"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26"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6" borderId="0" applyNumberFormat="0" applyBorder="0" applyAlignment="0" applyProtection="0"/>
    <xf numFmtId="0" fontId="3" fillId="19"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18" borderId="0" applyNumberFormat="0" applyBorder="0" applyAlignment="0" applyProtection="0"/>
    <xf numFmtId="9" fontId="3" fillId="0" borderId="0" applyFont="0" applyFill="0" applyBorder="0" applyAlignment="0" applyProtection="0"/>
    <xf numFmtId="0" fontId="3" fillId="18" borderId="0" applyNumberFormat="0" applyBorder="0" applyAlignment="0" applyProtection="0"/>
    <xf numFmtId="9" fontId="3" fillId="0" borderId="0" applyFont="0" applyFill="0" applyBorder="0" applyAlignment="0" applyProtection="0"/>
    <xf numFmtId="0" fontId="3" fillId="16" borderId="33" applyNumberFormat="0" applyFont="0" applyAlignment="0" applyProtection="0"/>
    <xf numFmtId="0" fontId="3" fillId="27" borderId="0" applyNumberFormat="0" applyBorder="0" applyAlignment="0" applyProtection="0"/>
    <xf numFmtId="0" fontId="3" fillId="39" borderId="0" applyNumberFormat="0" applyBorder="0" applyAlignment="0" applyProtection="0"/>
    <xf numFmtId="0" fontId="3" fillId="19" borderId="0" applyNumberFormat="0" applyBorder="0" applyAlignment="0" applyProtection="0"/>
    <xf numFmtId="43" fontId="3" fillId="0" borderId="0" applyFont="0" applyFill="0" applyBorder="0" applyAlignment="0" applyProtection="0"/>
    <xf numFmtId="0" fontId="3" fillId="34"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39"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9" fontId="3" fillId="0" borderId="0" applyFont="0" applyFill="0" applyBorder="0" applyAlignment="0" applyProtection="0"/>
    <xf numFmtId="0" fontId="3" fillId="16" borderId="33" applyNumberFormat="0" applyFont="0" applyAlignment="0" applyProtection="0"/>
    <xf numFmtId="0" fontId="3" fillId="0" borderId="0"/>
    <xf numFmtId="0" fontId="3" fillId="38"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39" borderId="0" applyNumberFormat="0" applyBorder="0" applyAlignment="0" applyProtection="0"/>
    <xf numFmtId="0" fontId="3" fillId="22" borderId="0" applyNumberFormat="0" applyBorder="0" applyAlignment="0" applyProtection="0"/>
    <xf numFmtId="0" fontId="3" fillId="3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43" fontId="3" fillId="0" borderId="0" applyFont="0" applyFill="0" applyBorder="0" applyAlignment="0" applyProtection="0"/>
    <xf numFmtId="0" fontId="3" fillId="39" borderId="0" applyNumberFormat="0" applyBorder="0" applyAlignment="0" applyProtection="0"/>
    <xf numFmtId="43" fontId="3" fillId="0" borderId="0" applyFont="0" applyFill="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19" borderId="0" applyNumberFormat="0" applyBorder="0" applyAlignment="0" applyProtection="0"/>
    <xf numFmtId="0" fontId="3" fillId="0" borderId="0"/>
    <xf numFmtId="0" fontId="3" fillId="34"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8" borderId="0" applyNumberFormat="0" applyBorder="0" applyAlignment="0" applyProtection="0"/>
    <xf numFmtId="43" fontId="3" fillId="0" borderId="0" applyFont="0" applyFill="0" applyBorder="0" applyAlignment="0" applyProtection="0"/>
    <xf numFmtId="0" fontId="3" fillId="22" borderId="0" applyNumberFormat="0" applyBorder="0" applyAlignment="0" applyProtection="0"/>
    <xf numFmtId="43" fontId="3" fillId="0" borderId="0" applyFont="0" applyFill="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9" fontId="3" fillId="0" borderId="0" applyFont="0" applyFill="0" applyBorder="0" applyAlignment="0" applyProtection="0"/>
    <xf numFmtId="0" fontId="3" fillId="3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5"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0" fontId="3" fillId="0" borderId="0"/>
    <xf numFmtId="0" fontId="3" fillId="23" borderId="0" applyNumberFormat="0" applyBorder="0" applyAlignment="0" applyProtection="0"/>
    <xf numFmtId="0" fontId="3" fillId="39" borderId="0" applyNumberFormat="0" applyBorder="0" applyAlignment="0" applyProtection="0"/>
    <xf numFmtId="0" fontId="3" fillId="19"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9" fontId="3" fillId="0" borderId="0" applyFont="0" applyFill="0" applyBorder="0" applyAlignment="0" applyProtection="0"/>
    <xf numFmtId="0" fontId="3" fillId="30" borderId="0" applyNumberFormat="0" applyBorder="0" applyAlignment="0" applyProtection="0"/>
    <xf numFmtId="9" fontId="3" fillId="0" borderId="0" applyFont="0" applyFill="0" applyBorder="0" applyAlignment="0" applyProtection="0"/>
    <xf numFmtId="0" fontId="3" fillId="26"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26" borderId="0" applyNumberFormat="0" applyBorder="0" applyAlignment="0" applyProtection="0"/>
    <xf numFmtId="0" fontId="3" fillId="0" borderId="0"/>
    <xf numFmtId="0" fontId="3" fillId="35"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6" borderId="33" applyNumberFormat="0" applyFont="0" applyAlignment="0" applyProtection="0"/>
    <xf numFmtId="0" fontId="3" fillId="34" borderId="0" applyNumberFormat="0" applyBorder="0" applyAlignment="0" applyProtection="0"/>
    <xf numFmtId="0" fontId="3" fillId="23"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0" borderId="0"/>
    <xf numFmtId="0" fontId="3" fillId="39" borderId="0" applyNumberFormat="0" applyBorder="0" applyAlignment="0" applyProtection="0"/>
    <xf numFmtId="0" fontId="3" fillId="19"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0" borderId="0" applyNumberFormat="0" applyBorder="0" applyAlignment="0" applyProtection="0"/>
    <xf numFmtId="43" fontId="3" fillId="0" borderId="0" applyFont="0" applyFill="0" applyBorder="0" applyAlignment="0" applyProtection="0"/>
    <xf numFmtId="0" fontId="3" fillId="1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176" fillId="0" borderId="0"/>
  </cellStyleXfs>
  <cellXfs count="791">
    <xf numFmtId="0" fontId="0" fillId="0" borderId="0" xfId="0"/>
    <xf numFmtId="10" fontId="0" fillId="0" borderId="0" xfId="42" applyNumberFormat="1" applyFont="1" applyAlignment="1">
      <alignment horizontal="center"/>
    </xf>
    <xf numFmtId="0" fontId="20" fillId="0" borderId="0" xfId="0" applyFont="1"/>
    <xf numFmtId="0" fontId="21" fillId="0" borderId="0" xfId="40" applyFont="1"/>
    <xf numFmtId="3" fontId="21" fillId="0" borderId="0" xfId="40" applyNumberFormat="1" applyFont="1" applyFill="1" applyBorder="1"/>
    <xf numFmtId="0" fontId="21" fillId="0" borderId="0" xfId="40" applyFont="1" applyBorder="1"/>
    <xf numFmtId="0" fontId="21" fillId="0" borderId="0" xfId="40" applyNumberFormat="1" applyFont="1" applyAlignment="1">
      <alignment horizontal="center"/>
    </xf>
    <xf numFmtId="0" fontId="20" fillId="0" borderId="0" xfId="23" applyFill="1"/>
    <xf numFmtId="37" fontId="21" fillId="0" borderId="0" xfId="40" applyNumberFormat="1" applyFont="1" applyAlignment="1">
      <alignment horizontal="center"/>
    </xf>
    <xf numFmtId="5" fontId="21" fillId="0" borderId="0" xfId="40" applyNumberFormat="1" applyFont="1"/>
    <xf numFmtId="1" fontId="21" fillId="0" borderId="0" xfId="38" applyNumberFormat="1" applyFont="1" applyAlignment="1">
      <alignment horizontal="center"/>
    </xf>
    <xf numFmtId="37" fontId="21" fillId="0" borderId="0" xfId="40" applyNumberFormat="1" applyFont="1"/>
    <xf numFmtId="37" fontId="21" fillId="0" borderId="0" xfId="40" applyNumberFormat="1" applyFont="1" applyFill="1"/>
    <xf numFmtId="3" fontId="21" fillId="0" borderId="0" xfId="38" applyNumberFormat="1" applyFont="1" applyAlignment="1">
      <alignment horizontal="center"/>
    </xf>
    <xf numFmtId="0" fontId="22" fillId="0" borderId="0" xfId="40" applyFont="1" applyAlignment="1">
      <alignment horizontal="center"/>
    </xf>
    <xf numFmtId="3" fontId="22" fillId="0" borderId="0" xfId="40" applyNumberFormat="1" applyFont="1" applyFill="1" applyBorder="1" applyAlignment="1">
      <alignment horizontal="center"/>
    </xf>
    <xf numFmtId="0" fontId="22" fillId="0" borderId="0" xfId="40" applyFont="1" applyBorder="1" applyAlignment="1">
      <alignment horizontal="center"/>
    </xf>
    <xf numFmtId="0" fontId="22" fillId="0" borderId="0" xfId="40" applyNumberFormat="1" applyFont="1" applyAlignment="1">
      <alignment horizontal="center"/>
    </xf>
    <xf numFmtId="0" fontId="22" fillId="0" borderId="1" xfId="40" applyFont="1" applyBorder="1" applyAlignment="1">
      <alignment horizontal="center"/>
    </xf>
    <xf numFmtId="0" fontId="22" fillId="0" borderId="5" xfId="40" applyFont="1" applyBorder="1" applyAlignment="1">
      <alignment horizontal="center"/>
    </xf>
    <xf numFmtId="0" fontId="22" fillId="0" borderId="4" xfId="40" applyNumberFormat="1" applyFont="1" applyBorder="1" applyAlignment="1">
      <alignment horizontal="center"/>
    </xf>
    <xf numFmtId="0" fontId="22" fillId="0" borderId="7" xfId="40" applyFont="1" applyBorder="1" applyAlignment="1">
      <alignment horizontal="center"/>
    </xf>
    <xf numFmtId="0" fontId="22" fillId="0" borderId="6" xfId="40" applyNumberFormat="1" applyFont="1" applyBorder="1" applyAlignment="1">
      <alignment horizontal="center"/>
    </xf>
    <xf numFmtId="169" fontId="22" fillId="0" borderId="0" xfId="39" applyNumberFormat="1" applyFont="1" applyFill="1" applyBorder="1" applyAlignment="1">
      <alignment horizontal="center"/>
    </xf>
    <xf numFmtId="0" fontId="22" fillId="0" borderId="9" xfId="40" applyFont="1" applyBorder="1" applyAlignment="1">
      <alignment horizontal="center"/>
    </xf>
    <xf numFmtId="0" fontId="22" fillId="0" borderId="10" xfId="40" applyFont="1" applyBorder="1" applyAlignment="1">
      <alignment horizontal="center"/>
    </xf>
    <xf numFmtId="0" fontId="22" fillId="0" borderId="8" xfId="40" applyNumberFormat="1" applyFont="1" applyBorder="1" applyAlignment="1">
      <alignment horizontal="center"/>
    </xf>
    <xf numFmtId="0" fontId="20" fillId="0" borderId="0" xfId="23" applyFont="1" applyFill="1"/>
    <xf numFmtId="0" fontId="21" fillId="0" borderId="0" xfId="40" applyNumberFormat="1" applyFont="1" applyAlignment="1">
      <alignment horizontal="left"/>
    </xf>
    <xf numFmtId="3" fontId="21" fillId="0" borderId="0" xfId="0" applyNumberFormat="1" applyFont="1" applyFill="1"/>
    <xf numFmtId="3" fontId="21" fillId="0" borderId="0" xfId="0" applyNumberFormat="1" applyFont="1" applyFill="1" applyBorder="1"/>
    <xf numFmtId="3" fontId="21" fillId="0" borderId="0" xfId="0" applyNumberFormat="1" applyFont="1" applyFill="1" applyBorder="1" applyAlignment="1">
      <alignment horizontal="center"/>
    </xf>
    <xf numFmtId="10" fontId="21" fillId="0" borderId="0" xfId="42" applyNumberFormat="1" applyFont="1" applyFill="1" applyBorder="1"/>
    <xf numFmtId="37" fontId="21" fillId="0" borderId="0" xfId="0" applyNumberFormat="1" applyFont="1" applyFill="1" applyBorder="1"/>
    <xf numFmtId="10" fontId="21" fillId="0" borderId="0" xfId="42" applyNumberFormat="1" applyFont="1" applyFill="1"/>
    <xf numFmtId="0" fontId="27" fillId="0" borderId="0" xfId="0" applyFont="1"/>
    <xf numFmtId="0" fontId="21" fillId="0" borderId="0" xfId="23" applyFont="1" applyFill="1" applyBorder="1"/>
    <xf numFmtId="171" fontId="21" fillId="0" borderId="0" xfId="23" applyNumberFormat="1" applyFont="1" applyFill="1" applyAlignment="1">
      <alignment horizontal="center"/>
    </xf>
    <xf numFmtId="3" fontId="21" fillId="0" borderId="0" xfId="23" applyNumberFormat="1" applyFont="1" applyFill="1"/>
    <xf numFmtId="0" fontId="21" fillId="0" borderId="0" xfId="23" applyFont="1" applyFill="1"/>
    <xf numFmtId="167" fontId="21" fillId="0" borderId="0" xfId="23" applyNumberFormat="1" applyFont="1" applyFill="1"/>
    <xf numFmtId="3" fontId="21" fillId="0" borderId="0" xfId="0" applyNumberFormat="1" applyFont="1" applyFill="1" applyAlignment="1">
      <alignment horizontal="center"/>
    </xf>
    <xf numFmtId="0" fontId="20" fillId="0" borderId="0" xfId="23" applyAlignment="1">
      <alignment horizontal="center"/>
    </xf>
    <xf numFmtId="0" fontId="23" fillId="0" borderId="0" xfId="23" applyFont="1" applyAlignment="1">
      <alignment horizontal="center"/>
    </xf>
    <xf numFmtId="164" fontId="20" fillId="0" borderId="0" xfId="23" applyNumberFormat="1"/>
    <xf numFmtId="3" fontId="20" fillId="0" borderId="0" xfId="23" applyNumberFormat="1"/>
    <xf numFmtId="3" fontId="20" fillId="0" borderId="0" xfId="23" applyNumberFormat="1" applyBorder="1"/>
    <xf numFmtId="9" fontId="20" fillId="0" borderId="0" xfId="23" applyNumberFormat="1"/>
    <xf numFmtId="164" fontId="20" fillId="0" borderId="0" xfId="23" applyNumberFormat="1" applyBorder="1"/>
    <xf numFmtId="9" fontId="21" fillId="0" borderId="0" xfId="42" applyFont="1"/>
    <xf numFmtId="10" fontId="21" fillId="0" borderId="0" xfId="42" applyNumberFormat="1" applyFont="1" applyFill="1" applyBorder="1" applyAlignment="1">
      <alignment horizontal="center"/>
    </xf>
    <xf numFmtId="0" fontId="20" fillId="0" borderId="0" xfId="23" applyBorder="1"/>
    <xf numFmtId="2" fontId="22" fillId="0" borderId="0" xfId="40" applyNumberFormat="1" applyFont="1" applyAlignment="1">
      <alignment horizontal="center"/>
    </xf>
    <xf numFmtId="2" fontId="21" fillId="0" borderId="0" xfId="40" applyNumberFormat="1" applyFont="1" applyAlignment="1">
      <alignment horizontal="left"/>
    </xf>
    <xf numFmtId="2" fontId="22" fillId="0" borderId="0" xfId="40" applyNumberFormat="1" applyFont="1" applyFill="1" applyBorder="1" applyAlignment="1">
      <alignment horizontal="center"/>
    </xf>
    <xf numFmtId="2" fontId="22" fillId="0" borderId="0" xfId="14" applyNumberFormat="1" applyFont="1" applyFill="1" applyBorder="1" applyAlignment="1" applyProtection="1">
      <alignment horizontal="center"/>
    </xf>
    <xf numFmtId="2" fontId="22" fillId="0" borderId="0" xfId="40" applyNumberFormat="1" applyFont="1" applyBorder="1" applyAlignment="1">
      <alignment horizontal="center"/>
    </xf>
    <xf numFmtId="37" fontId="21" fillId="0" borderId="0" xfId="40" applyNumberFormat="1" applyFont="1" applyFill="1" applyAlignment="1">
      <alignment horizontal="center"/>
    </xf>
    <xf numFmtId="3" fontId="21" fillId="0" borderId="0" xfId="38" applyNumberFormat="1" applyFont="1" applyFill="1" applyAlignment="1">
      <alignment horizontal="center"/>
    </xf>
    <xf numFmtId="0" fontId="21" fillId="0" borderId="0" xfId="40" applyNumberFormat="1" applyFont="1" applyBorder="1" applyAlignment="1">
      <alignment horizontal="center"/>
    </xf>
    <xf numFmtId="3" fontId="21" fillId="0" borderId="0" xfId="0" applyNumberFormat="1" applyFont="1" applyFill="1" applyAlignment="1">
      <alignment horizontal="left"/>
    </xf>
    <xf numFmtId="171" fontId="21" fillId="0" borderId="0" xfId="23" applyNumberFormat="1" applyFont="1" applyFill="1"/>
    <xf numFmtId="171" fontId="21" fillId="0" borderId="0" xfId="23" applyNumberFormat="1" applyFont="1" applyFill="1" applyBorder="1"/>
    <xf numFmtId="166" fontId="21" fillId="0" borderId="0" xfId="1" applyNumberFormat="1" applyFont="1" applyFill="1" applyBorder="1" applyAlignment="1">
      <alignment horizontal="center"/>
    </xf>
    <xf numFmtId="0" fontId="54" fillId="0" borderId="0" xfId="36"/>
    <xf numFmtId="0" fontId="54" fillId="0" borderId="1" xfId="36" applyBorder="1" applyAlignment="1">
      <alignment horizontal="centerContinuous"/>
    </xf>
    <xf numFmtId="0" fontId="54" fillId="0" borderId="0" xfId="36" applyAlignment="1">
      <alignment horizontal="center"/>
    </xf>
    <xf numFmtId="0" fontId="43" fillId="0" borderId="0" xfId="36" applyFont="1" applyAlignment="1">
      <alignment horizontal="center"/>
    </xf>
    <xf numFmtId="0" fontId="43" fillId="0" borderId="0" xfId="36" applyFont="1"/>
    <xf numFmtId="170" fontId="54" fillId="0" borderId="0" xfId="36" applyNumberFormat="1"/>
    <xf numFmtId="3" fontId="54" fillId="0" borderId="0" xfId="36" applyNumberFormat="1"/>
    <xf numFmtId="3" fontId="54" fillId="0" borderId="1" xfId="36" applyNumberFormat="1" applyBorder="1"/>
    <xf numFmtId="3" fontId="54" fillId="0" borderId="2" xfId="36" applyNumberFormat="1" applyBorder="1"/>
    <xf numFmtId="0" fontId="54" fillId="0" borderId="1" xfId="36" applyBorder="1" applyAlignment="1">
      <alignment horizontal="center"/>
    </xf>
    <xf numFmtId="3" fontId="21" fillId="0" borderId="0" xfId="23" applyNumberFormat="1" applyFont="1" applyFill="1" applyBorder="1"/>
    <xf numFmtId="166" fontId="22" fillId="0" borderId="0" xfId="1" applyNumberFormat="1" applyFont="1" applyFill="1" applyBorder="1" applyAlignment="1">
      <alignment horizontal="center"/>
    </xf>
    <xf numFmtId="166" fontId="21" fillId="0" borderId="0" xfId="1" applyNumberFormat="1" applyFont="1" applyFill="1"/>
    <xf numFmtId="0" fontId="51" fillId="0" borderId="0" xfId="19"/>
    <xf numFmtId="0" fontId="22" fillId="0" borderId="0" xfId="1" applyNumberFormat="1" applyFont="1" applyFill="1" applyBorder="1" applyAlignment="1">
      <alignment horizontal="center"/>
    </xf>
    <xf numFmtId="164" fontId="21" fillId="0" borderId="0" xfId="0" applyNumberFormat="1" applyFont="1" applyFill="1"/>
    <xf numFmtId="37" fontId="21" fillId="0" borderId="0" xfId="0" applyNumberFormat="1" applyFont="1" applyFill="1" applyBorder="1" applyProtection="1">
      <protection locked="0"/>
    </xf>
    <xf numFmtId="5" fontId="21" fillId="0" borderId="0" xfId="0" applyNumberFormat="1" applyFont="1" applyFill="1" applyBorder="1" applyProtection="1">
      <protection locked="0"/>
    </xf>
    <xf numFmtId="37" fontId="21" fillId="0" borderId="0" xfId="0" applyNumberFormat="1" applyFont="1" applyFill="1" applyBorder="1" applyAlignment="1" applyProtection="1">
      <alignment horizontal="center"/>
      <protection locked="0"/>
    </xf>
    <xf numFmtId="0" fontId="54" fillId="0" borderId="0" xfId="36" applyFill="1"/>
    <xf numFmtId="37" fontId="36" fillId="0" borderId="0" xfId="40" applyNumberFormat="1" applyFont="1" applyFill="1" applyBorder="1"/>
    <xf numFmtId="0" fontId="37" fillId="0" borderId="0" xfId="19" applyFont="1" applyFill="1" applyBorder="1" applyAlignment="1">
      <alignment horizontal="center"/>
    </xf>
    <xf numFmtId="37" fontId="40" fillId="0" borderId="0" xfId="40" applyNumberFormat="1" applyFont="1" applyFill="1" applyBorder="1"/>
    <xf numFmtId="0" fontId="36" fillId="0" borderId="0" xfId="19" applyFont="1" applyFill="1" applyBorder="1"/>
    <xf numFmtId="5" fontId="36" fillId="0" borderId="0" xfId="19" applyNumberFormat="1" applyFont="1" applyFill="1" applyBorder="1"/>
    <xf numFmtId="10" fontId="36" fillId="0" borderId="0" xfId="49" applyNumberFormat="1" applyFont="1" applyFill="1" applyBorder="1"/>
    <xf numFmtId="10" fontId="40" fillId="0" borderId="0" xfId="49" applyNumberFormat="1" applyFont="1" applyFill="1" applyBorder="1"/>
    <xf numFmtId="166" fontId="36" fillId="0" borderId="0" xfId="9" applyNumberFormat="1" applyFont="1" applyFill="1" applyBorder="1"/>
    <xf numFmtId="168" fontId="36" fillId="0" borderId="0" xfId="49" applyNumberFormat="1" applyFont="1" applyFill="1" applyBorder="1"/>
    <xf numFmtId="168" fontId="40" fillId="0" borderId="0" xfId="49" applyNumberFormat="1" applyFont="1" applyFill="1" applyBorder="1"/>
    <xf numFmtId="10" fontId="36" fillId="0" borderId="11" xfId="49" applyNumberFormat="1" applyFont="1" applyFill="1" applyBorder="1"/>
    <xf numFmtId="0" fontId="0" fillId="0" borderId="0" xfId="0" applyFill="1"/>
    <xf numFmtId="10" fontId="0" fillId="0" borderId="0" xfId="42" applyNumberFormat="1" applyFont="1" applyFill="1" applyAlignment="1">
      <alignment horizontal="center"/>
    </xf>
    <xf numFmtId="166" fontId="0" fillId="0" borderId="0" xfId="1" applyNumberFormat="1" applyFont="1" applyFill="1"/>
    <xf numFmtId="9" fontId="0" fillId="0" borderId="0" xfId="42" applyFont="1" applyFill="1"/>
    <xf numFmtId="0" fontId="21" fillId="5" borderId="0" xfId="23" applyFont="1" applyFill="1" applyBorder="1"/>
    <xf numFmtId="3" fontId="21" fillId="5" borderId="0" xfId="0" applyNumberFormat="1" applyFont="1" applyFill="1" applyBorder="1"/>
    <xf numFmtId="0" fontId="21" fillId="5" borderId="0" xfId="23" applyFont="1" applyFill="1"/>
    <xf numFmtId="3" fontId="21" fillId="5" borderId="0" xfId="23" applyNumberFormat="1" applyFont="1" applyFill="1"/>
    <xf numFmtId="166" fontId="21" fillId="5" borderId="0" xfId="1" applyNumberFormat="1" applyFont="1" applyFill="1"/>
    <xf numFmtId="171" fontId="21" fillId="5" borderId="0" xfId="23" applyNumberFormat="1" applyFont="1" applyFill="1" applyAlignment="1">
      <alignment horizontal="center"/>
    </xf>
    <xf numFmtId="10" fontId="33" fillId="0" borderId="0" xfId="42" applyNumberFormat="1" applyFont="1" applyFill="1" applyBorder="1" applyAlignment="1">
      <alignment horizontal="center"/>
    </xf>
    <xf numFmtId="3" fontId="33" fillId="0" borderId="0" xfId="42" applyNumberFormat="1" applyFont="1" applyFill="1" applyBorder="1" applyAlignment="1">
      <alignment horizontal="center"/>
    </xf>
    <xf numFmtId="0" fontId="33" fillId="0" borderId="0" xfId="0" applyFont="1" applyFill="1" applyBorder="1" applyAlignment="1">
      <alignment horizontal="center"/>
    </xf>
    <xf numFmtId="0" fontId="54" fillId="0" borderId="0" xfId="36" applyAlignment="1">
      <alignment horizontal="center"/>
    </xf>
    <xf numFmtId="0" fontId="20" fillId="0" borderId="0" xfId="23" applyFill="1" applyAlignment="1">
      <alignment horizontal="center"/>
    </xf>
    <xf numFmtId="164" fontId="20" fillId="0" borderId="0" xfId="23" applyNumberFormat="1" applyFill="1"/>
    <xf numFmtId="3" fontId="20" fillId="0" borderId="0" xfId="23" applyNumberFormat="1" applyFill="1"/>
    <xf numFmtId="3" fontId="20" fillId="0" borderId="1" xfId="23" applyNumberFormat="1" applyFill="1" applyBorder="1"/>
    <xf numFmtId="3" fontId="20" fillId="0" borderId="2" xfId="23" applyNumberFormat="1" applyFill="1" applyBorder="1"/>
    <xf numFmtId="3" fontId="21" fillId="0" borderId="0" xfId="0" applyNumberFormat="1" applyFont="1" applyFill="1" applyAlignment="1">
      <alignment horizontal="right"/>
    </xf>
    <xf numFmtId="37" fontId="0" fillId="0" borderId="0" xfId="0" applyNumberFormat="1"/>
    <xf numFmtId="166" fontId="0" fillId="0" borderId="0" xfId="1" applyNumberFormat="1" applyFont="1"/>
    <xf numFmtId="166" fontId="0" fillId="0" borderId="0" xfId="0" applyNumberFormat="1"/>
    <xf numFmtId="166" fontId="20" fillId="0" borderId="0" xfId="1" applyNumberFormat="1" applyFont="1"/>
    <xf numFmtId="166" fontId="20" fillId="0" borderId="9" xfId="1" applyNumberFormat="1" applyFont="1" applyBorder="1"/>
    <xf numFmtId="0" fontId="20" fillId="0" borderId="0" xfId="0" applyFont="1" applyAlignment="1">
      <alignment horizontal="left"/>
    </xf>
    <xf numFmtId="3" fontId="21" fillId="0" borderId="0" xfId="0" applyNumberFormat="1" applyFont="1" applyFill="1" applyBorder="1" applyAlignment="1">
      <alignment horizontal="center"/>
    </xf>
    <xf numFmtId="0" fontId="20" fillId="0" borderId="0" xfId="0" applyFont="1" applyAlignment="1">
      <alignment horizontal="right"/>
    </xf>
    <xf numFmtId="3" fontId="22" fillId="0" borderId="0" xfId="0" applyNumberFormat="1" applyFont="1" applyFill="1"/>
    <xf numFmtId="0" fontId="14" fillId="0" borderId="0" xfId="51"/>
    <xf numFmtId="0" fontId="14" fillId="0" borderId="0" xfId="51" applyBorder="1"/>
    <xf numFmtId="0" fontId="23" fillId="0" borderId="0" xfId="51" applyFont="1" applyAlignment="1">
      <alignment horizontal="center"/>
    </xf>
    <xf numFmtId="0" fontId="20" fillId="0" borderId="1" xfId="51" applyFont="1" applyFill="1" applyBorder="1" applyAlignment="1">
      <alignment horizontal="center"/>
    </xf>
    <xf numFmtId="0" fontId="14" fillId="0" borderId="1" xfId="51" applyFill="1" applyBorder="1" applyAlignment="1">
      <alignment horizontal="center"/>
    </xf>
    <xf numFmtId="10" fontId="0" fillId="0" borderId="0" xfId="52" applyNumberFormat="1" applyFont="1" applyAlignment="1">
      <alignment horizontal="center"/>
    </xf>
    <xf numFmtId="10" fontId="0" fillId="0" borderId="0" xfId="52" applyNumberFormat="1" applyFont="1" applyFill="1" applyAlignment="1">
      <alignment horizontal="center"/>
    </xf>
    <xf numFmtId="10" fontId="14" fillId="0" borderId="0" xfId="51" applyNumberFormat="1" applyFill="1"/>
    <xf numFmtId="164" fontId="14" fillId="0" borderId="0" xfId="51" applyNumberFormat="1"/>
    <xf numFmtId="164" fontId="14" fillId="0" borderId="0" xfId="51" applyNumberFormat="1" applyFill="1"/>
    <xf numFmtId="3" fontId="14" fillId="0" borderId="0" xfId="51" applyNumberFormat="1"/>
    <xf numFmtId="3" fontId="14" fillId="0" borderId="0" xfId="51" applyNumberFormat="1" applyFill="1"/>
    <xf numFmtId="3" fontId="14" fillId="0" borderId="0" xfId="51" applyNumberFormat="1" applyBorder="1"/>
    <xf numFmtId="3" fontId="14" fillId="0" borderId="1" xfId="51" applyNumberFormat="1" applyFill="1" applyBorder="1"/>
    <xf numFmtId="166" fontId="0" fillId="0" borderId="0" xfId="53" applyNumberFormat="1" applyFont="1"/>
    <xf numFmtId="166" fontId="0" fillId="0" borderId="0" xfId="53" applyNumberFormat="1" applyFont="1" applyFill="1"/>
    <xf numFmtId="166" fontId="14" fillId="0" borderId="0" xfId="51" applyNumberFormat="1"/>
    <xf numFmtId="0" fontId="14" fillId="0" borderId="0" xfId="51" applyAlignment="1">
      <alignment horizontal="center"/>
    </xf>
    <xf numFmtId="0" fontId="55" fillId="0" borderId="0" xfId="41" applyNumberFormat="1" applyFont="1" applyFill="1" applyAlignment="1">
      <alignment horizontal="center"/>
    </xf>
    <xf numFmtId="3" fontId="56" fillId="0" borderId="0" xfId="41" applyNumberFormat="1" applyFont="1"/>
    <xf numFmtId="0" fontId="57" fillId="0" borderId="0" xfId="41" applyNumberFormat="1" applyFont="1" applyAlignment="1">
      <alignment horizontal="center"/>
    </xf>
    <xf numFmtId="0" fontId="37" fillId="0" borderId="1" xfId="0" applyFont="1" applyBorder="1"/>
    <xf numFmtId="0" fontId="55" fillId="0" borderId="1" xfId="41" applyFont="1" applyBorder="1"/>
    <xf numFmtId="3" fontId="56" fillId="0" borderId="1" xfId="41" applyNumberFormat="1" applyFont="1" applyBorder="1"/>
    <xf numFmtId="0" fontId="55" fillId="0" borderId="0" xfId="41" applyNumberFormat="1" applyFont="1" applyAlignment="1">
      <alignment horizontal="center"/>
    </xf>
    <xf numFmtId="0" fontId="56" fillId="0" borderId="0" xfId="41" applyFont="1" applyFill="1"/>
    <xf numFmtId="0" fontId="22" fillId="0" borderId="0" xfId="0" applyFont="1"/>
    <xf numFmtId="10" fontId="55" fillId="0" borderId="0" xfId="41" applyNumberFormat="1" applyFont="1"/>
    <xf numFmtId="0" fontId="55" fillId="0" borderId="0" xfId="41" applyFont="1"/>
    <xf numFmtId="3" fontId="56" fillId="0" borderId="0" xfId="41" applyNumberFormat="1" applyFont="1" applyBorder="1"/>
    <xf numFmtId="0" fontId="20" fillId="0" borderId="0" xfId="23"/>
    <xf numFmtId="3" fontId="22" fillId="0" borderId="0" xfId="40" quotePrefix="1" applyNumberFormat="1" applyFont="1" applyFill="1" applyBorder="1" applyAlignment="1">
      <alignment horizontal="center"/>
    </xf>
    <xf numFmtId="5" fontId="21" fillId="0" borderId="0" xfId="23" applyNumberFormat="1" applyFont="1" applyBorder="1" applyProtection="1">
      <protection locked="0"/>
    </xf>
    <xf numFmtId="37" fontId="21" fillId="0" borderId="0" xfId="23" applyNumberFormat="1" applyFont="1" applyBorder="1" applyProtection="1">
      <protection locked="0"/>
    </xf>
    <xf numFmtId="37" fontId="21" fillId="0" borderId="1" xfId="23" applyNumberFormat="1" applyFont="1" applyBorder="1" applyProtection="1">
      <protection locked="0"/>
    </xf>
    <xf numFmtId="37" fontId="21" fillId="0" borderId="0" xfId="23" applyNumberFormat="1" applyFont="1" applyBorder="1"/>
    <xf numFmtId="37" fontId="21" fillId="0" borderId="0" xfId="23" applyNumberFormat="1" applyFont="1" applyFill="1" applyBorder="1"/>
    <xf numFmtId="37" fontId="21" fillId="0" borderId="1" xfId="23" applyNumberFormat="1" applyFont="1" applyBorder="1"/>
    <xf numFmtId="37" fontId="21" fillId="0" borderId="0" xfId="23" applyNumberFormat="1" applyFont="1" applyFill="1" applyBorder="1" applyProtection="1">
      <protection locked="0"/>
    </xf>
    <xf numFmtId="164" fontId="21" fillId="0" borderId="0" xfId="23" applyNumberFormat="1" applyFont="1" applyFill="1"/>
    <xf numFmtId="5" fontId="21" fillId="0" borderId="11" xfId="23" applyNumberFormat="1" applyFont="1" applyBorder="1" applyProtection="1">
      <protection locked="0"/>
    </xf>
    <xf numFmtId="37" fontId="21" fillId="0" borderId="9" xfId="23" applyNumberFormat="1" applyFont="1" applyFill="1" applyBorder="1" applyProtection="1">
      <protection locked="0"/>
    </xf>
    <xf numFmtId="37" fontId="21" fillId="0" borderId="0" xfId="23" applyNumberFormat="1" applyFont="1" applyFill="1" applyBorder="1" applyAlignment="1" applyProtection="1">
      <alignment horizontal="center"/>
      <protection locked="0"/>
    </xf>
    <xf numFmtId="37" fontId="21" fillId="0" borderId="0" xfId="23" applyNumberFormat="1" applyFont="1" applyFill="1" applyBorder="1" applyAlignment="1" applyProtection="1">
      <alignment horizontal="right"/>
      <protection locked="0"/>
    </xf>
    <xf numFmtId="5" fontId="21" fillId="0" borderId="11" xfId="23" applyNumberFormat="1" applyFont="1" applyFill="1" applyBorder="1"/>
    <xf numFmtId="37" fontId="21" fillId="0" borderId="9" xfId="0" applyNumberFormat="1" applyFont="1" applyFill="1" applyBorder="1" applyProtection="1">
      <protection locked="0"/>
    </xf>
    <xf numFmtId="37" fontId="21" fillId="0" borderId="9" xfId="0" applyNumberFormat="1" applyFont="1" applyFill="1" applyBorder="1"/>
    <xf numFmtId="5" fontId="21" fillId="0" borderId="11" xfId="0" applyNumberFormat="1" applyFont="1" applyFill="1" applyBorder="1"/>
    <xf numFmtId="37" fontId="22" fillId="0" borderId="9" xfId="0" applyNumberFormat="1" applyFont="1" applyFill="1" applyBorder="1" applyProtection="1">
      <protection locked="0"/>
    </xf>
    <xf numFmtId="37" fontId="21" fillId="0" borderId="2" xfId="0" applyNumberFormat="1" applyFont="1" applyFill="1" applyBorder="1" applyProtection="1">
      <protection locked="0"/>
    </xf>
    <xf numFmtId="0" fontId="20" fillId="0" borderId="0" xfId="23" applyFont="1" applyFill="1" applyAlignment="1">
      <alignment horizontal="center"/>
    </xf>
    <xf numFmtId="0" fontId="20" fillId="0" borderId="9" xfId="23" applyFill="1" applyBorder="1" applyAlignment="1">
      <alignment horizontal="center"/>
    </xf>
    <xf numFmtId="10" fontId="20" fillId="0" borderId="0" xfId="23" applyNumberFormat="1" applyFill="1"/>
    <xf numFmtId="167" fontId="0" fillId="0" borderId="0" xfId="11" applyNumberFormat="1" applyFont="1" applyFill="1"/>
    <xf numFmtId="166" fontId="20" fillId="0" borderId="0" xfId="23" applyNumberFormat="1" applyFill="1"/>
    <xf numFmtId="0" fontId="20" fillId="0" borderId="0" xfId="23"/>
    <xf numFmtId="170" fontId="54" fillId="0" borderId="0" xfId="36" applyNumberFormat="1" applyFill="1"/>
    <xf numFmtId="3" fontId="20" fillId="0" borderId="0" xfId="23" applyNumberFormat="1" applyFill="1" applyBorder="1"/>
    <xf numFmtId="3" fontId="20" fillId="0" borderId="9" xfId="23" applyNumberFormat="1" applyFill="1" applyBorder="1"/>
    <xf numFmtId="0" fontId="12" fillId="0" borderId="0" xfId="51" applyFont="1"/>
    <xf numFmtId="0" fontId="11" fillId="0" borderId="0" xfId="51" applyFont="1"/>
    <xf numFmtId="0" fontId="37" fillId="0" borderId="0" xfId="0" applyFont="1" applyAlignment="1">
      <alignment horizontal="centerContinuous"/>
    </xf>
    <xf numFmtId="0" fontId="63" fillId="0" borderId="0" xfId="0" applyFont="1" applyAlignment="1">
      <alignment horizontal="centerContinuous"/>
    </xf>
    <xf numFmtId="0" fontId="36" fillId="0" borderId="0" xfId="0" applyFont="1"/>
    <xf numFmtId="0" fontId="37" fillId="0" borderId="0" xfId="0" applyFont="1" applyAlignment="1">
      <alignment horizontal="center"/>
    </xf>
    <xf numFmtId="0" fontId="63" fillId="0" borderId="0" xfId="0" applyFont="1" applyBorder="1" applyAlignment="1">
      <alignment horizontal="center"/>
    </xf>
    <xf numFmtId="0" fontId="37" fillId="0" borderId="1" xfId="0" applyFont="1" applyBorder="1" applyAlignment="1">
      <alignment horizontal="center"/>
    </xf>
    <xf numFmtId="0" fontId="37" fillId="0" borderId="0" xfId="0" applyFont="1" applyBorder="1" applyAlignment="1">
      <alignment horizontal="center"/>
    </xf>
    <xf numFmtId="0" fontId="63" fillId="0" borderId="1" xfId="0" applyFont="1" applyBorder="1" applyAlignment="1">
      <alignment horizontal="center"/>
    </xf>
    <xf numFmtId="0" fontId="36" fillId="0" borderId="0" xfId="0" applyFont="1" applyAlignment="1">
      <alignment horizontal="center"/>
    </xf>
    <xf numFmtId="175" fontId="64" fillId="0" borderId="2" xfId="0" applyNumberFormat="1" applyFont="1" applyBorder="1"/>
    <xf numFmtId="175" fontId="64" fillId="0" borderId="0" xfId="0" applyNumberFormat="1" applyFont="1" applyBorder="1"/>
    <xf numFmtId="175" fontId="64" fillId="0" borderId="1" xfId="0" applyNumberFormat="1" applyFont="1" applyBorder="1"/>
    <xf numFmtId="3" fontId="32" fillId="0" borderId="0" xfId="0" applyNumberFormat="1" applyFont="1" applyFill="1" applyBorder="1" applyAlignment="1">
      <alignment horizontal="center"/>
    </xf>
    <xf numFmtId="10" fontId="46" fillId="0" borderId="0" xfId="42" applyNumberFormat="1" applyFont="1" applyFill="1" applyBorder="1" applyAlignment="1">
      <alignment horizontal="center"/>
    </xf>
    <xf numFmtId="3" fontId="21" fillId="0" borderId="0" xfId="0" applyNumberFormat="1" applyFont="1" applyFill="1" applyBorder="1" applyAlignment="1"/>
    <xf numFmtId="37" fontId="22" fillId="0" borderId="11" xfId="0" applyNumberFormat="1" applyFont="1" applyFill="1" applyBorder="1" applyProtection="1">
      <protection locked="0"/>
    </xf>
    <xf numFmtId="10" fontId="21" fillId="0" borderId="0" xfId="42" applyNumberFormat="1" applyFont="1" applyFill="1" applyBorder="1" applyProtection="1">
      <protection locked="0"/>
    </xf>
    <xf numFmtId="3" fontId="22" fillId="0" borderId="0" xfId="0" applyNumberFormat="1" applyFont="1" applyFill="1" applyAlignment="1">
      <alignment horizontal="left"/>
    </xf>
    <xf numFmtId="0" fontId="10" fillId="0" borderId="0" xfId="51" applyFont="1"/>
    <xf numFmtId="3" fontId="56" fillId="0" borderId="0" xfId="41" applyNumberFormat="1" applyFont="1" applyAlignment="1">
      <alignment horizontal="center"/>
    </xf>
    <xf numFmtId="5" fontId="21" fillId="0" borderId="0" xfId="0" applyNumberFormat="1" applyFont="1" applyFill="1" applyBorder="1"/>
    <xf numFmtId="164" fontId="33" fillId="0" borderId="0" xfId="10" applyNumberFormat="1" applyFont="1" applyFill="1" applyBorder="1" applyAlignment="1">
      <alignment horizontal="center"/>
    </xf>
    <xf numFmtId="3" fontId="21" fillId="0" borderId="0" xfId="0" applyNumberFormat="1" applyFont="1" applyFill="1" applyAlignment="1">
      <alignment vertical="top"/>
    </xf>
    <xf numFmtId="0" fontId="21" fillId="0" borderId="0" xfId="0" applyFont="1"/>
    <xf numFmtId="10" fontId="21" fillId="0" borderId="0" xfId="0" applyNumberFormat="1" applyFont="1"/>
    <xf numFmtId="0" fontId="66" fillId="0" borderId="0" xfId="0" applyFont="1"/>
    <xf numFmtId="10" fontId="66" fillId="0" borderId="0" xfId="0" applyNumberFormat="1" applyFont="1" applyBorder="1"/>
    <xf numFmtId="10" fontId="66" fillId="0" borderId="0" xfId="0" applyNumberFormat="1" applyFont="1"/>
    <xf numFmtId="3" fontId="55" fillId="0" borderId="0" xfId="41" applyNumberFormat="1" applyFont="1"/>
    <xf numFmtId="10" fontId="55" fillId="0" borderId="0" xfId="42" applyNumberFormat="1" applyFont="1"/>
    <xf numFmtId="3" fontId="22" fillId="0" borderId="0" xfId="0" applyNumberFormat="1" applyFont="1" applyFill="1" applyAlignment="1">
      <alignment vertical="top"/>
    </xf>
    <xf numFmtId="3" fontId="22" fillId="0" borderId="0" xfId="0" applyNumberFormat="1" applyFont="1" applyFill="1" applyAlignment="1"/>
    <xf numFmtId="0" fontId="37" fillId="0" borderId="0" xfId="0" applyFont="1" applyAlignment="1">
      <alignment horizontal="center"/>
    </xf>
    <xf numFmtId="5" fontId="36" fillId="0" borderId="0" xfId="0" applyNumberFormat="1" applyFont="1"/>
    <xf numFmtId="168" fontId="36" fillId="0" borderId="0" xfId="42" applyNumberFormat="1" applyFont="1" applyBorder="1"/>
    <xf numFmtId="5" fontId="36" fillId="0" borderId="0" xfId="0" applyNumberFormat="1" applyFont="1" applyBorder="1"/>
    <xf numFmtId="176" fontId="36" fillId="0" borderId="0" xfId="0" applyNumberFormat="1" applyFont="1"/>
    <xf numFmtId="37" fontId="36" fillId="0" borderId="0" xfId="40" applyNumberFormat="1" applyFont="1"/>
    <xf numFmtId="10" fontId="36" fillId="0" borderId="0" xfId="42" applyNumberFormat="1" applyFont="1" applyBorder="1"/>
    <xf numFmtId="0" fontId="36" fillId="0" borderId="0" xfId="40" applyFont="1"/>
    <xf numFmtId="0" fontId="36" fillId="0" borderId="0" xfId="40" applyFont="1" applyBorder="1"/>
    <xf numFmtId="177" fontId="36" fillId="0" borderId="0" xfId="1" applyNumberFormat="1" applyFont="1"/>
    <xf numFmtId="177" fontId="36" fillId="0" borderId="0" xfId="0" applyNumberFormat="1" applyFont="1" applyBorder="1"/>
    <xf numFmtId="0" fontId="36" fillId="0" borderId="0" xfId="0" applyFont="1" applyBorder="1"/>
    <xf numFmtId="5" fontId="37" fillId="0" borderId="0" xfId="0" applyNumberFormat="1" applyFont="1" applyBorder="1"/>
    <xf numFmtId="10" fontId="37" fillId="0" borderId="0" xfId="42" applyNumberFormat="1" applyFont="1" applyBorder="1"/>
    <xf numFmtId="0" fontId="0" fillId="0" borderId="0" xfId="0" applyBorder="1"/>
    <xf numFmtId="0" fontId="37" fillId="0" borderId="0" xfId="0" applyFont="1" applyAlignment="1">
      <alignment horizontal="center"/>
    </xf>
    <xf numFmtId="0" fontId="69" fillId="0" borderId="0" xfId="0" applyFont="1"/>
    <xf numFmtId="0" fontId="56" fillId="0" borderId="0" xfId="41" applyNumberFormat="1" applyFont="1" applyAlignment="1">
      <alignment horizontal="left"/>
    </xf>
    <xf numFmtId="3" fontId="21" fillId="0" borderId="0" xfId="0" applyNumberFormat="1" applyFont="1" applyFill="1" applyAlignment="1">
      <alignment horizontal="center" wrapText="1"/>
    </xf>
    <xf numFmtId="0" fontId="22" fillId="0" borderId="1" xfId="0" applyFont="1" applyBorder="1" applyAlignment="1">
      <alignment horizontal="center"/>
    </xf>
    <xf numFmtId="10" fontId="46" fillId="0" borderId="0" xfId="42" applyNumberFormat="1" applyFont="1" applyFill="1" applyBorder="1" applyAlignment="1">
      <alignment horizontal="center"/>
    </xf>
    <xf numFmtId="37" fontId="21" fillId="0" borderId="1" xfId="23" applyNumberFormat="1" applyFont="1" applyFill="1" applyBorder="1" applyAlignment="1" applyProtection="1">
      <alignment horizontal="right"/>
      <protection locked="0"/>
    </xf>
    <xf numFmtId="166" fontId="20" fillId="0" borderId="0" xfId="1" applyNumberFormat="1" applyFont="1" applyFill="1" applyBorder="1"/>
    <xf numFmtId="0" fontId="20" fillId="8" borderId="0" xfId="36" applyFont="1" applyFill="1"/>
    <xf numFmtId="0" fontId="54" fillId="8" borderId="0" xfId="36" applyFill="1"/>
    <xf numFmtId="0" fontId="54" fillId="8" borderId="1" xfId="36" applyFill="1" applyBorder="1" applyAlignment="1">
      <alignment horizontal="centerContinuous"/>
    </xf>
    <xf numFmtId="0" fontId="54" fillId="8" borderId="0" xfId="36" applyFill="1" applyAlignment="1">
      <alignment horizontal="center"/>
    </xf>
    <xf numFmtId="0" fontId="43" fillId="8" borderId="0" xfId="36" applyFont="1" applyFill="1" applyAlignment="1">
      <alignment horizontal="center"/>
    </xf>
    <xf numFmtId="3" fontId="54" fillId="8" borderId="0" xfId="36" applyNumberFormat="1" applyFill="1"/>
    <xf numFmtId="3" fontId="54" fillId="8" borderId="1" xfId="36" applyNumberFormat="1" applyFill="1" applyBorder="1"/>
    <xf numFmtId="3" fontId="54" fillId="8" borderId="2" xfId="36" applyNumberFormat="1" applyFill="1" applyBorder="1"/>
    <xf numFmtId="0" fontId="54" fillId="0" borderId="0" xfId="36" applyAlignment="1">
      <alignment horizontal="center"/>
    </xf>
    <xf numFmtId="0" fontId="51" fillId="0" borderId="0" xfId="19" applyFill="1"/>
    <xf numFmtId="0" fontId="6" fillId="0" borderId="0" xfId="51" applyFont="1" applyAlignment="1">
      <alignment horizontal="center"/>
    </xf>
    <xf numFmtId="0" fontId="54" fillId="0" borderId="1" xfId="36" applyFill="1" applyBorder="1" applyAlignment="1">
      <alignment horizontal="centerContinuous"/>
    </xf>
    <xf numFmtId="0" fontId="54" fillId="0" borderId="0" xfId="36" applyFill="1" applyAlignment="1">
      <alignment horizontal="center"/>
    </xf>
    <xf numFmtId="0" fontId="43" fillId="0" borderId="0" xfId="36" applyFont="1" applyFill="1" applyAlignment="1">
      <alignment horizontal="center"/>
    </xf>
    <xf numFmtId="3" fontId="54" fillId="0" borderId="0" xfId="36" applyNumberFormat="1" applyFill="1"/>
    <xf numFmtId="3" fontId="54" fillId="0" borderId="1" xfId="36" applyNumberFormat="1" applyFill="1" applyBorder="1"/>
    <xf numFmtId="3" fontId="54" fillId="0" borderId="2" xfId="36" applyNumberFormat="1" applyFill="1" applyBorder="1"/>
    <xf numFmtId="0" fontId="20" fillId="9" borderId="0" xfId="36" applyFont="1" applyFill="1"/>
    <xf numFmtId="10" fontId="66" fillId="0" borderId="24" xfId="0" applyNumberFormat="1" applyFont="1" applyBorder="1"/>
    <xf numFmtId="10" fontId="55" fillId="0" borderId="24" xfId="41" applyNumberFormat="1" applyFont="1" applyBorder="1"/>
    <xf numFmtId="0" fontId="20" fillId="0" borderId="0" xfId="23"/>
    <xf numFmtId="0" fontId="14" fillId="0" borderId="0" xfId="51" applyFill="1"/>
    <xf numFmtId="166" fontId="14" fillId="0" borderId="0" xfId="51" applyNumberFormat="1" applyFill="1"/>
    <xf numFmtId="37" fontId="22" fillId="0" borderId="0" xfId="0" applyNumberFormat="1" applyFont="1" applyFill="1" applyBorder="1"/>
    <xf numFmtId="0" fontId="0" fillId="0" borderId="0" xfId="0" applyFill="1" applyAlignment="1">
      <alignment horizontal="right"/>
    </xf>
    <xf numFmtId="0" fontId="20" fillId="0" borderId="0" xfId="0" applyFont="1" applyFill="1"/>
    <xf numFmtId="166" fontId="0" fillId="0" borderId="9" xfId="0" applyNumberFormat="1" applyFill="1" applyBorder="1"/>
    <xf numFmtId="166" fontId="0" fillId="0" borderId="0" xfId="0" applyNumberFormat="1" applyFill="1"/>
    <xf numFmtId="0" fontId="54" fillId="0" borderId="1" xfId="36" applyFill="1" applyBorder="1" applyAlignment="1">
      <alignment horizontal="center"/>
    </xf>
    <xf numFmtId="5" fontId="21" fillId="0" borderId="0" xfId="23" applyNumberFormat="1" applyFont="1" applyFill="1" applyBorder="1" applyProtection="1">
      <protection locked="0"/>
    </xf>
    <xf numFmtId="0" fontId="0" fillId="0" borderId="1" xfId="0" applyFill="1" applyBorder="1"/>
    <xf numFmtId="0" fontId="20" fillId="0" borderId="0" xfId="0" applyFont="1" applyFill="1" applyAlignment="1">
      <alignment horizontal="right"/>
    </xf>
    <xf numFmtId="0" fontId="0" fillId="0" borderId="0" xfId="0"/>
    <xf numFmtId="0" fontId="20" fillId="0" borderId="0" xfId="0" applyFont="1"/>
    <xf numFmtId="0" fontId="0" fillId="0" borderId="0" xfId="0" applyBorder="1" applyAlignment="1">
      <alignment horizontal="right"/>
    </xf>
    <xf numFmtId="0" fontId="0" fillId="0" borderId="0" xfId="0" applyBorder="1" applyAlignment="1">
      <alignment horizontal="center"/>
    </xf>
    <xf numFmtId="5" fontId="0" fillId="0" borderId="0" xfId="0" applyNumberFormat="1" applyBorder="1"/>
    <xf numFmtId="10" fontId="21" fillId="0" borderId="0" xfId="42" applyNumberFormat="1" applyFont="1" applyFill="1"/>
    <xf numFmtId="10" fontId="66" fillId="0" borderId="0" xfId="0" applyNumberFormat="1" applyFont="1" applyFill="1" applyBorder="1"/>
    <xf numFmtId="0" fontId="66" fillId="0" borderId="0" xfId="0" applyFont="1" applyFill="1" applyAlignment="1">
      <alignment horizontal="center" wrapText="1"/>
    </xf>
    <xf numFmtId="0" fontId="55" fillId="0" borderId="0" xfId="41" applyFont="1" applyFill="1"/>
    <xf numFmtId="0" fontId="20" fillId="0" borderId="0" xfId="1227"/>
    <xf numFmtId="10" fontId="46" fillId="0" borderId="0" xfId="42" applyNumberFormat="1" applyFont="1" applyFill="1" applyBorder="1" applyAlignment="1">
      <alignment horizontal="center"/>
    </xf>
    <xf numFmtId="3" fontId="20" fillId="8" borderId="0" xfId="23" applyNumberFormat="1" applyFill="1"/>
    <xf numFmtId="0" fontId="54" fillId="9" borderId="0" xfId="36" applyFill="1"/>
    <xf numFmtId="0" fontId="20" fillId="0" borderId="0" xfId="23"/>
    <xf numFmtId="0" fontId="49" fillId="0" borderId="48" xfId="0" applyFont="1" applyFill="1" applyBorder="1" applyAlignment="1">
      <alignment horizontal="left" vertical="top"/>
    </xf>
    <xf numFmtId="0" fontId="49" fillId="0" borderId="48" xfId="0" applyFont="1" applyFill="1" applyBorder="1" applyAlignment="1">
      <alignment horizontal="left" vertical="top" wrapText="1"/>
    </xf>
    <xf numFmtId="0" fontId="163" fillId="0" borderId="49" xfId="0" applyFont="1" applyFill="1" applyBorder="1" applyAlignment="1">
      <alignment horizontal="right" vertical="top"/>
    </xf>
    <xf numFmtId="0" fontId="163" fillId="0" borderId="56" xfId="0" applyFont="1" applyFill="1" applyBorder="1" applyAlignment="1">
      <alignment horizontal="right" vertical="top"/>
    </xf>
    <xf numFmtId="0" fontId="163" fillId="0" borderId="50" xfId="0" applyFont="1" applyFill="1" applyBorder="1" applyAlignment="1">
      <alignment horizontal="right" vertical="top"/>
    </xf>
    <xf numFmtId="0" fontId="49" fillId="0" borderId="48" xfId="0" applyFont="1" applyFill="1" applyBorder="1" applyAlignment="1">
      <alignment horizontal="left" vertical="center"/>
    </xf>
    <xf numFmtId="0" fontId="49" fillId="0" borderId="51" xfId="0" applyFont="1" applyFill="1" applyBorder="1" applyAlignment="1">
      <alignment horizontal="left" vertical="center"/>
    </xf>
    <xf numFmtId="0" fontId="49" fillId="0" borderId="52" xfId="0" applyFont="1" applyFill="1" applyBorder="1" applyAlignment="1">
      <alignment horizontal="left" vertical="center"/>
    </xf>
    <xf numFmtId="0" fontId="49" fillId="0" borderId="53" xfId="0" applyFont="1" applyFill="1" applyBorder="1" applyAlignment="1">
      <alignment horizontal="left" vertical="center"/>
    </xf>
    <xf numFmtId="0" fontId="163" fillId="0" borderId="54" xfId="0" applyFont="1" applyFill="1" applyBorder="1" applyAlignment="1">
      <alignment horizontal="right" vertical="top"/>
    </xf>
    <xf numFmtId="0" fontId="163" fillId="0" borderId="57" xfId="0" applyFont="1" applyFill="1" applyBorder="1" applyAlignment="1">
      <alignment horizontal="right" vertical="top"/>
    </xf>
    <xf numFmtId="0" fontId="163" fillId="0" borderId="55" xfId="0" applyFont="1" applyFill="1" applyBorder="1" applyAlignment="1">
      <alignment horizontal="right" vertical="top"/>
    </xf>
    <xf numFmtId="0" fontId="162" fillId="0" borderId="48" xfId="0" applyFont="1" applyFill="1" applyBorder="1" applyAlignment="1">
      <alignment horizontal="left" vertical="top"/>
    </xf>
    <xf numFmtId="0" fontId="49" fillId="0" borderId="48" xfId="0" applyFont="1" applyFill="1" applyBorder="1" applyAlignment="1">
      <alignment horizontal="center" vertical="top"/>
    </xf>
    <xf numFmtId="0" fontId="163" fillId="0" borderId="48" xfId="0" applyFont="1" applyFill="1" applyBorder="1" applyAlignment="1">
      <alignment horizontal="right" vertical="top"/>
    </xf>
    <xf numFmtId="0" fontId="162" fillId="0" borderId="58" xfId="0" applyFont="1" applyFill="1" applyBorder="1" applyAlignment="1">
      <alignment horizontal="left" vertical="top"/>
    </xf>
    <xf numFmtId="220" fontId="49" fillId="0" borderId="48" xfId="0" applyNumberFormat="1" applyFont="1" applyFill="1" applyBorder="1" applyAlignment="1">
      <alignment horizontal="right" vertical="top"/>
    </xf>
    <xf numFmtId="0" fontId="162" fillId="0" borderId="59" xfId="0" applyFont="1" applyFill="1" applyBorder="1" applyAlignment="1">
      <alignment horizontal="left" vertical="top"/>
    </xf>
    <xf numFmtId="0" fontId="162" fillId="0" borderId="60" xfId="0" applyFont="1" applyFill="1" applyBorder="1" applyAlignment="1">
      <alignment horizontal="left" vertical="top"/>
    </xf>
    <xf numFmtId="0" fontId="49" fillId="0" borderId="51" xfId="0" applyFont="1" applyFill="1" applyBorder="1" applyAlignment="1">
      <alignment horizontal="center" vertical="top"/>
    </xf>
    <xf numFmtId="0" fontId="49" fillId="0" borderId="52" xfId="0" applyFont="1" applyFill="1" applyBorder="1" applyAlignment="1">
      <alignment horizontal="center" vertical="top"/>
    </xf>
    <xf numFmtId="0" fontId="49" fillId="0" borderId="53" xfId="0" applyFont="1" applyFill="1" applyBorder="1" applyAlignment="1">
      <alignment horizontal="center" vertical="top"/>
    </xf>
    <xf numFmtId="0" fontId="20" fillId="0" borderId="0" xfId="1227" applyAlignment="1">
      <alignment horizontal="center"/>
    </xf>
    <xf numFmtId="220" fontId="20" fillId="0" borderId="0" xfId="1227" applyNumberFormat="1"/>
    <xf numFmtId="0" fontId="20" fillId="0" borderId="0" xfId="36" applyFont="1" applyFill="1"/>
    <xf numFmtId="0" fontId="20" fillId="0" borderId="0" xfId="36" applyFont="1" applyFill="1" applyAlignment="1">
      <alignment horizontal="center"/>
    </xf>
    <xf numFmtId="37" fontId="0" fillId="0" borderId="0" xfId="0" applyNumberFormat="1" applyFill="1"/>
    <xf numFmtId="166" fontId="20" fillId="0" borderId="9" xfId="1" applyNumberFormat="1" applyFont="1" applyFill="1" applyBorder="1"/>
    <xf numFmtId="0" fontId="20" fillId="0" borderId="0" xfId="23"/>
    <xf numFmtId="3" fontId="20" fillId="74" borderId="0" xfId="23" applyNumberFormat="1" applyFill="1"/>
    <xf numFmtId="3" fontId="20" fillId="0" borderId="0" xfId="23" applyNumberFormat="1" applyFont="1" applyFill="1"/>
    <xf numFmtId="0" fontId="20" fillId="0" borderId="0" xfId="1227" applyFill="1" applyAlignment="1">
      <alignment horizontal="center"/>
    </xf>
    <xf numFmtId="0" fontId="22" fillId="0" borderId="1" xfId="0" applyFont="1" applyFill="1" applyBorder="1" applyAlignment="1">
      <alignment horizontal="center"/>
    </xf>
    <xf numFmtId="3" fontId="56" fillId="0" borderId="0" xfId="41" applyNumberFormat="1" applyFont="1" applyFill="1"/>
    <xf numFmtId="10" fontId="21" fillId="0" borderId="0" xfId="0" applyNumberFormat="1" applyFont="1" applyFill="1"/>
    <xf numFmtId="0" fontId="21" fillId="0" borderId="0" xfId="0" applyFont="1" applyFill="1"/>
    <xf numFmtId="10" fontId="55" fillId="0" borderId="0" xfId="42" applyNumberFormat="1" applyFont="1" applyFill="1"/>
    <xf numFmtId="3" fontId="55" fillId="0" borderId="0" xfId="41" applyNumberFormat="1" applyFont="1" applyFill="1"/>
    <xf numFmtId="0" fontId="20" fillId="0" borderId="0" xfId="23"/>
    <xf numFmtId="3" fontId="20" fillId="0" borderId="0" xfId="23" applyNumberFormat="1" applyFont="1" applyFill="1" applyBorder="1"/>
    <xf numFmtId="164" fontId="20" fillId="0" borderId="0" xfId="23" applyNumberFormat="1" applyFont="1" applyFill="1"/>
    <xf numFmtId="0" fontId="20" fillId="0" borderId="0" xfId="1227" applyFont="1"/>
    <xf numFmtId="0" fontId="20" fillId="0" borderId="0" xfId="1227" applyFont="1" applyAlignment="1">
      <alignment horizontal="right"/>
    </xf>
    <xf numFmtId="0" fontId="20" fillId="0" borderId="0" xfId="1227" applyAlignment="1">
      <alignment horizontal="left"/>
    </xf>
    <xf numFmtId="3" fontId="20" fillId="0" borderId="0" xfId="23" applyNumberFormat="1" applyAlignment="1">
      <alignment horizontal="right"/>
    </xf>
    <xf numFmtId="0" fontId="165" fillId="0" borderId="0" xfId="1227" applyFont="1" applyAlignment="1">
      <alignment horizontal="center"/>
    </xf>
    <xf numFmtId="10" fontId="20" fillId="0" borderId="1" xfId="1227" applyNumberFormat="1" applyBorder="1"/>
    <xf numFmtId="166" fontId="0" fillId="0" borderId="1" xfId="1" applyNumberFormat="1" applyFont="1" applyBorder="1"/>
    <xf numFmtId="3" fontId="20" fillId="0" borderId="1" xfId="1227" applyNumberFormat="1" applyBorder="1"/>
    <xf numFmtId="175" fontId="64" fillId="75" borderId="3" xfId="0" applyNumberFormat="1" applyFont="1" applyFill="1" applyBorder="1"/>
    <xf numFmtId="3" fontId="56" fillId="0" borderId="0" xfId="41" applyNumberFormat="1" applyFont="1" applyFill="1" applyBorder="1"/>
    <xf numFmtId="220" fontId="20" fillId="75" borderId="0" xfId="1227" applyNumberFormat="1" applyFill="1"/>
    <xf numFmtId="0" fontId="167" fillId="0" borderId="0" xfId="1227" applyFont="1"/>
    <xf numFmtId="0" fontId="20" fillId="75" borderId="22" xfId="23" applyFill="1" applyBorder="1"/>
    <xf numFmtId="0" fontId="20" fillId="75" borderId="12" xfId="23" applyFill="1" applyBorder="1"/>
    <xf numFmtId="3" fontId="20" fillId="75" borderId="12" xfId="23" applyNumberFormat="1" applyFill="1" applyBorder="1"/>
    <xf numFmtId="164" fontId="164" fillId="75" borderId="21" xfId="23" applyNumberFormat="1" applyFont="1" applyFill="1" applyBorder="1"/>
    <xf numFmtId="0" fontId="20" fillId="75" borderId="0" xfId="1227" applyFill="1"/>
    <xf numFmtId="0" fontId="20" fillId="75" borderId="19" xfId="23" applyFill="1" applyBorder="1"/>
    <xf numFmtId="0" fontId="20" fillId="75" borderId="13" xfId="23" applyFill="1" applyBorder="1"/>
    <xf numFmtId="3" fontId="20" fillId="75" borderId="13" xfId="23" applyNumberFormat="1" applyFill="1" applyBorder="1"/>
    <xf numFmtId="164" fontId="164" fillId="75" borderId="20" xfId="23" applyNumberFormat="1" applyFont="1" applyFill="1" applyBorder="1"/>
    <xf numFmtId="0" fontId="165" fillId="75" borderId="0" xfId="1227" applyFont="1" applyFill="1" applyAlignment="1">
      <alignment horizontal="left"/>
    </xf>
    <xf numFmtId="0" fontId="27" fillId="75" borderId="0" xfId="1227" applyFont="1" applyFill="1"/>
    <xf numFmtId="166" fontId="27" fillId="75" borderId="1" xfId="1227" applyNumberFormat="1" applyFont="1" applyFill="1" applyBorder="1" applyAlignment="1">
      <alignment horizontal="left"/>
    </xf>
    <xf numFmtId="9" fontId="27" fillId="75" borderId="0" xfId="42" applyFont="1" applyFill="1"/>
    <xf numFmtId="37" fontId="21" fillId="75" borderId="0" xfId="23" applyNumberFormat="1" applyFont="1" applyFill="1" applyBorder="1" applyProtection="1">
      <protection locked="0"/>
    </xf>
    <xf numFmtId="0" fontId="21" fillId="75" borderId="0" xfId="23" applyFont="1" applyFill="1"/>
    <xf numFmtId="0" fontId="51" fillId="75" borderId="0" xfId="19" applyFill="1"/>
    <xf numFmtId="0" fontId="0" fillId="75" borderId="0" xfId="0" applyFill="1"/>
    <xf numFmtId="0" fontId="27" fillId="0" borderId="1" xfId="0" applyFont="1" applyBorder="1"/>
    <xf numFmtId="0" fontId="0" fillId="0" borderId="1" xfId="0" applyBorder="1"/>
    <xf numFmtId="0" fontId="22" fillId="0" borderId="61" xfId="0" applyFont="1" applyBorder="1" applyAlignment="1">
      <alignment horizontal="center"/>
    </xf>
    <xf numFmtId="3" fontId="55" fillId="0" borderId="24" xfId="41" applyNumberFormat="1" applyFont="1" applyBorder="1"/>
    <xf numFmtId="10" fontId="55" fillId="0" borderId="24" xfId="42" applyNumberFormat="1" applyFont="1" applyBorder="1"/>
    <xf numFmtId="0" fontId="36" fillId="0" borderId="1" xfId="0" applyFont="1" applyBorder="1"/>
    <xf numFmtId="10" fontId="0" fillId="0" borderId="0" xfId="42" applyNumberFormat="1" applyFont="1" applyFill="1"/>
    <xf numFmtId="0" fontId="0" fillId="0" borderId="0" xfId="0" applyFill="1" applyBorder="1"/>
    <xf numFmtId="10" fontId="66" fillId="0" borderId="24" xfId="0" applyNumberFormat="1" applyFont="1" applyFill="1" applyBorder="1"/>
    <xf numFmtId="0" fontId="36" fillId="0" borderId="0" xfId="0" applyFont="1" applyFill="1" applyBorder="1"/>
    <xf numFmtId="5" fontId="36" fillId="0" borderId="0" xfId="0" applyNumberFormat="1" applyFont="1" applyFill="1" applyBorder="1"/>
    <xf numFmtId="0" fontId="36" fillId="0" borderId="0" xfId="0" applyFont="1" applyFill="1" applyBorder="1" applyAlignment="1">
      <alignment horizontal="center"/>
    </xf>
    <xf numFmtId="0" fontId="168" fillId="0" borderId="0" xfId="0" applyFont="1" applyFill="1" applyBorder="1" applyAlignment="1">
      <alignment horizontal="center"/>
    </xf>
    <xf numFmtId="0" fontId="37" fillId="0" borderId="0" xfId="0" applyFont="1" applyFill="1" applyBorder="1"/>
    <xf numFmtId="5" fontId="37" fillId="0" borderId="0" xfId="0" applyNumberFormat="1" applyFont="1" applyFill="1" applyBorder="1"/>
    <xf numFmtId="0" fontId="0" fillId="0" borderId="0" xfId="0" quotePrefix="1" applyFill="1" applyBorder="1" applyAlignment="1">
      <alignment vertical="top"/>
    </xf>
    <xf numFmtId="10" fontId="39" fillId="0" borderId="23" xfId="0" applyNumberFormat="1" applyFont="1" applyFill="1" applyBorder="1"/>
    <xf numFmtId="10" fontId="56" fillId="0" borderId="24" xfId="42" applyNumberFormat="1" applyFont="1" applyFill="1" applyBorder="1"/>
    <xf numFmtId="0" fontId="68" fillId="0" borderId="0" xfId="0" applyFont="1" applyBorder="1" applyAlignment="1">
      <alignment horizontal="center"/>
    </xf>
    <xf numFmtId="0" fontId="37" fillId="0" borderId="0" xfId="0" applyFont="1" applyFill="1" applyBorder="1" applyAlignment="1">
      <alignment horizontal="center"/>
    </xf>
    <xf numFmtId="0" fontId="168" fillId="0" borderId="0" xfId="0" applyFont="1" applyFill="1" applyBorder="1"/>
    <xf numFmtId="0" fontId="168" fillId="0" borderId="0" xfId="0" applyFont="1" applyBorder="1" applyAlignment="1">
      <alignment horizontal="center"/>
    </xf>
    <xf numFmtId="0" fontId="169" fillId="0" borderId="0" xfId="0" applyFont="1" applyFill="1" applyBorder="1" applyAlignment="1">
      <alignment horizontal="center" wrapText="1"/>
    </xf>
    <xf numFmtId="0" fontId="169" fillId="0" borderId="0" xfId="0" applyFont="1" applyFill="1" applyBorder="1" applyAlignment="1">
      <alignment horizontal="center"/>
    </xf>
    <xf numFmtId="0" fontId="69" fillId="0" borderId="0" xfId="0" applyFont="1" applyBorder="1"/>
    <xf numFmtId="5" fontId="168" fillId="0" borderId="0" xfId="0" applyNumberFormat="1" applyFont="1" applyFill="1" applyBorder="1" applyAlignment="1">
      <alignment horizontal="center"/>
    </xf>
    <xf numFmtId="10" fontId="36" fillId="0" borderId="1" xfId="42" applyNumberFormat="1" applyFont="1" applyFill="1" applyBorder="1"/>
    <xf numFmtId="10" fontId="36" fillId="0" borderId="0" xfId="0" applyNumberFormat="1" applyFont="1" applyBorder="1"/>
    <xf numFmtId="0" fontId="20" fillId="0" borderId="0" xfId="23"/>
    <xf numFmtId="10" fontId="66" fillId="8" borderId="0" xfId="0" applyNumberFormat="1" applyFont="1" applyFill="1" applyBorder="1"/>
    <xf numFmtId="10" fontId="55" fillId="8" borderId="0" xfId="41" applyNumberFormat="1" applyFont="1" applyFill="1"/>
    <xf numFmtId="10" fontId="66" fillId="8" borderId="0" xfId="0" applyNumberFormat="1" applyFont="1" applyFill="1"/>
    <xf numFmtId="10" fontId="55" fillId="0" borderId="63" xfId="42" applyNumberFormat="1" applyFont="1" applyBorder="1"/>
    <xf numFmtId="0" fontId="37" fillId="75" borderId="15" xfId="19" applyFont="1" applyFill="1" applyBorder="1" applyAlignment="1">
      <alignment horizontal="left"/>
    </xf>
    <xf numFmtId="0" fontId="37" fillId="75" borderId="16" xfId="19" applyFont="1" applyFill="1" applyBorder="1" applyAlignment="1">
      <alignment horizontal="center"/>
    </xf>
    <xf numFmtId="0" fontId="37" fillId="75" borderId="17" xfId="19" applyFont="1" applyFill="1" applyBorder="1" applyAlignment="1">
      <alignment horizontal="center"/>
    </xf>
    <xf numFmtId="37" fontId="36" fillId="75" borderId="14" xfId="40" applyNumberFormat="1" applyFont="1" applyFill="1" applyBorder="1"/>
    <xf numFmtId="37" fontId="36" fillId="75" borderId="0" xfId="40" applyNumberFormat="1" applyFont="1" applyFill="1" applyBorder="1"/>
    <xf numFmtId="0" fontId="37" fillId="75" borderId="0" xfId="19" applyFont="1" applyFill="1" applyBorder="1" applyAlignment="1">
      <alignment horizontal="center"/>
    </xf>
    <xf numFmtId="37" fontId="40" fillId="75" borderId="0" xfId="40" applyNumberFormat="1" applyFont="1" applyFill="1" applyBorder="1"/>
    <xf numFmtId="37" fontId="36" fillId="75" borderId="18" xfId="40" applyNumberFormat="1" applyFont="1" applyFill="1" applyBorder="1"/>
    <xf numFmtId="0" fontId="36" fillId="75" borderId="0" xfId="19" applyFont="1" applyFill="1" applyBorder="1"/>
    <xf numFmtId="0" fontId="37" fillId="75" borderId="1" xfId="19" applyFont="1" applyFill="1" applyBorder="1" applyAlignment="1">
      <alignment horizontal="center"/>
    </xf>
    <xf numFmtId="0" fontId="36" fillId="75" borderId="18" xfId="19" applyFont="1" applyFill="1" applyBorder="1"/>
    <xf numFmtId="5" fontId="36" fillId="75" borderId="0" xfId="19" applyNumberFormat="1" applyFont="1" applyFill="1" applyBorder="1"/>
    <xf numFmtId="10" fontId="36" fillId="75" borderId="0" xfId="49" applyNumberFormat="1" applyFont="1" applyFill="1" applyBorder="1"/>
    <xf numFmtId="10" fontId="40" fillId="75" borderId="0" xfId="49" applyNumberFormat="1" applyFont="1" applyFill="1" applyBorder="1"/>
    <xf numFmtId="168" fontId="36" fillId="75" borderId="0" xfId="49" applyNumberFormat="1" applyFont="1" applyFill="1" applyBorder="1"/>
    <xf numFmtId="37" fontId="37" fillId="75" borderId="18" xfId="40" applyNumberFormat="1" applyFont="1" applyFill="1" applyBorder="1" applyAlignment="1">
      <alignment horizontal="center"/>
    </xf>
    <xf numFmtId="166" fontId="36" fillId="75" borderId="0" xfId="9" applyNumberFormat="1" applyFont="1" applyFill="1" applyBorder="1"/>
    <xf numFmtId="10" fontId="37" fillId="75" borderId="18" xfId="49" applyNumberFormat="1" applyFont="1" applyFill="1" applyBorder="1" applyAlignment="1">
      <alignment horizontal="center"/>
    </xf>
    <xf numFmtId="10" fontId="71" fillId="75" borderId="0" xfId="49" applyNumberFormat="1" applyFont="1" applyFill="1" applyBorder="1"/>
    <xf numFmtId="168" fontId="40" fillId="75" borderId="0" xfId="49" applyNumberFormat="1" applyFont="1" applyFill="1" applyBorder="1"/>
    <xf numFmtId="10" fontId="36" fillId="75" borderId="11" xfId="49" applyNumberFormat="1" applyFont="1" applyFill="1" applyBorder="1"/>
    <xf numFmtId="37" fontId="36" fillId="75" borderId="19" xfId="40" applyNumberFormat="1" applyFont="1" applyFill="1" applyBorder="1"/>
    <xf numFmtId="0" fontId="36" fillId="75" borderId="13" xfId="19" applyFont="1" applyFill="1" applyBorder="1"/>
    <xf numFmtId="166" fontId="36" fillId="75" borderId="13" xfId="9" applyNumberFormat="1" applyFont="1" applyFill="1" applyBorder="1"/>
    <xf numFmtId="10" fontId="36" fillId="75" borderId="13" xfId="49" applyNumberFormat="1" applyFont="1" applyFill="1" applyBorder="1"/>
    <xf numFmtId="10" fontId="40" fillId="75" borderId="13" xfId="49" applyNumberFormat="1" applyFont="1" applyFill="1" applyBorder="1"/>
    <xf numFmtId="37" fontId="36" fillId="75" borderId="20" xfId="40" applyNumberFormat="1" applyFont="1" applyFill="1" applyBorder="1"/>
    <xf numFmtId="0" fontId="170" fillId="0" borderId="0" xfId="40" applyFont="1" applyFill="1" applyAlignment="1">
      <alignment horizontal="center"/>
    </xf>
    <xf numFmtId="5" fontId="21" fillId="0" borderId="0" xfId="40" applyNumberFormat="1" applyFont="1" applyFill="1"/>
    <xf numFmtId="0" fontId="20" fillId="0" borderId="9" xfId="23" applyFont="1" applyFill="1" applyBorder="1" applyAlignment="1">
      <alignment horizontal="center"/>
    </xf>
    <xf numFmtId="10" fontId="20" fillId="0" borderId="0" xfId="23" applyNumberFormat="1" applyFont="1" applyFill="1"/>
    <xf numFmtId="3" fontId="20" fillId="0" borderId="9" xfId="23" applyNumberFormat="1" applyFont="1" applyFill="1" applyBorder="1"/>
    <xf numFmtId="3" fontId="20" fillId="0" borderId="2" xfId="23" applyNumberFormat="1" applyFont="1" applyFill="1" applyBorder="1"/>
    <xf numFmtId="3" fontId="20" fillId="0" borderId="1" xfId="23" applyNumberFormat="1" applyFont="1" applyFill="1" applyBorder="1"/>
    <xf numFmtId="167" fontId="20" fillId="0" borderId="0" xfId="11" applyNumberFormat="1" applyFont="1" applyFill="1"/>
    <xf numFmtId="3" fontId="170" fillId="0" borderId="0" xfId="0" applyNumberFormat="1" applyFont="1" applyFill="1" applyBorder="1"/>
    <xf numFmtId="37" fontId="21" fillId="0" borderId="1" xfId="0" applyNumberFormat="1" applyFont="1" applyFill="1" applyBorder="1" applyAlignment="1" applyProtection="1">
      <alignment horizontal="center"/>
      <protection locked="0"/>
    </xf>
    <xf numFmtId="37" fontId="21" fillId="0" borderId="1" xfId="0" applyNumberFormat="1" applyFont="1" applyFill="1" applyBorder="1" applyProtection="1">
      <protection locked="0"/>
    </xf>
    <xf numFmtId="10" fontId="66" fillId="8" borderId="24" xfId="0" applyNumberFormat="1" applyFont="1" applyFill="1" applyBorder="1"/>
    <xf numFmtId="10" fontId="66" fillId="8" borderId="25" xfId="0" applyNumberFormat="1" applyFont="1" applyFill="1" applyBorder="1"/>
    <xf numFmtId="0" fontId="0" fillId="9" borderId="0" xfId="0" applyFill="1"/>
    <xf numFmtId="166" fontId="168" fillId="0" borderId="0" xfId="1" applyNumberFormat="1" applyFont="1" applyFill="1" applyBorder="1" applyAlignment="1">
      <alignment horizontal="right"/>
    </xf>
    <xf numFmtId="5" fontId="36" fillId="0" borderId="0" xfId="0" quotePrefix="1" applyNumberFormat="1" applyFont="1" applyFill="1" applyBorder="1" applyAlignment="1">
      <alignment horizontal="center"/>
    </xf>
    <xf numFmtId="3" fontId="166" fillId="0" borderId="0" xfId="23" applyNumberFormat="1" applyFont="1" applyFill="1"/>
    <xf numFmtId="0" fontId="166" fillId="0" borderId="0" xfId="23" applyFont="1" applyFill="1"/>
    <xf numFmtId="0" fontId="166" fillId="0" borderId="0" xfId="23" applyFont="1" applyFill="1" applyBorder="1"/>
    <xf numFmtId="0" fontId="69" fillId="0" borderId="0" xfId="0" applyFont="1" applyFill="1"/>
    <xf numFmtId="0" fontId="69" fillId="0" borderId="0" xfId="0" applyFont="1" applyFill="1" applyBorder="1"/>
    <xf numFmtId="167" fontId="166" fillId="0" borderId="0" xfId="10" applyNumberFormat="1" applyFont="1" applyFill="1" applyBorder="1"/>
    <xf numFmtId="167" fontId="166" fillId="0" borderId="0" xfId="10" applyNumberFormat="1" applyFont="1" applyFill="1" applyAlignment="1">
      <alignment horizontal="center"/>
    </xf>
    <xf numFmtId="10" fontId="166" fillId="0" borderId="0" xfId="42" applyNumberFormat="1" applyFont="1" applyFill="1" applyAlignment="1">
      <alignment horizontal="center"/>
    </xf>
    <xf numFmtId="167" fontId="166" fillId="0" borderId="0" xfId="10" applyNumberFormat="1" applyFont="1" applyFill="1"/>
    <xf numFmtId="10" fontId="166" fillId="0" borderId="1" xfId="42" applyNumberFormat="1" applyFont="1" applyFill="1" applyBorder="1" applyAlignment="1">
      <alignment horizontal="center"/>
    </xf>
    <xf numFmtId="0" fontId="68" fillId="0" borderId="0" xfId="23" applyFont="1" applyFill="1" applyBorder="1"/>
    <xf numFmtId="172" fontId="166" fillId="0" borderId="0" xfId="1" applyNumberFormat="1" applyFont="1" applyFill="1" applyAlignment="1">
      <alignment horizontal="center"/>
    </xf>
    <xf numFmtId="10" fontId="166" fillId="0" borderId="0" xfId="42" applyNumberFormat="1" applyFont="1" applyFill="1" applyBorder="1" applyAlignment="1">
      <alignment horizontal="center"/>
    </xf>
    <xf numFmtId="3" fontId="166" fillId="0" borderId="0" xfId="23" applyNumberFormat="1" applyFont="1" applyFill="1" applyBorder="1"/>
    <xf numFmtId="3" fontId="166" fillId="0" borderId="0" xfId="23" applyNumberFormat="1" applyFont="1" applyFill="1" applyBorder="1" applyAlignment="1">
      <alignment wrapText="1"/>
    </xf>
    <xf numFmtId="10" fontId="166" fillId="0" borderId="9" xfId="42" applyNumberFormat="1" applyFont="1" applyFill="1" applyBorder="1" applyAlignment="1">
      <alignment horizontal="center"/>
    </xf>
    <xf numFmtId="3" fontId="166" fillId="0" borderId="1" xfId="1" applyNumberFormat="1" applyFont="1" applyFill="1" applyBorder="1" applyAlignment="1">
      <alignment horizontal="center" vertical="center" wrapText="1"/>
    </xf>
    <xf numFmtId="3" fontId="166" fillId="0" borderId="0" xfId="23" applyNumberFormat="1" applyFont="1" applyFill="1" applyBorder="1" applyAlignment="1">
      <alignment horizontal="center"/>
    </xf>
    <xf numFmtId="3" fontId="166" fillId="0" borderId="0" xfId="23" applyNumberFormat="1" applyFont="1" applyFill="1" applyBorder="1" applyAlignment="1">
      <alignment horizontal="center" wrapText="1"/>
    </xf>
    <xf numFmtId="167" fontId="166" fillId="0" borderId="0" xfId="42" applyNumberFormat="1" applyFont="1" applyFill="1"/>
    <xf numFmtId="166" fontId="166" fillId="0" borderId="0" xfId="1" applyNumberFormat="1" applyFont="1" applyFill="1"/>
    <xf numFmtId="167" fontId="166" fillId="0" borderId="0" xfId="10" applyNumberFormat="1" applyFont="1" applyFill="1" applyBorder="1" applyAlignment="1">
      <alignment horizontal="center"/>
    </xf>
    <xf numFmtId="3" fontId="166" fillId="0" borderId="0" xfId="23" applyNumberFormat="1" applyFont="1" applyFill="1" applyAlignment="1">
      <alignment wrapText="1"/>
    </xf>
    <xf numFmtId="165" fontId="166" fillId="0" borderId="0" xfId="23" applyNumberFormat="1" applyFont="1" applyFill="1" applyBorder="1"/>
    <xf numFmtId="167" fontId="173" fillId="0" borderId="0" xfId="10" applyNumberFormat="1" applyFont="1" applyFill="1" applyBorder="1"/>
    <xf numFmtId="167" fontId="166" fillId="0" borderId="0" xfId="42" applyNumberFormat="1" applyFont="1" applyFill="1" applyBorder="1" applyAlignment="1">
      <alignment horizontal="center"/>
    </xf>
    <xf numFmtId="167" fontId="166" fillId="0" borderId="0" xfId="42" applyNumberFormat="1" applyFont="1" applyFill="1" applyAlignment="1">
      <alignment horizontal="center"/>
    </xf>
    <xf numFmtId="166" fontId="166" fillId="0" borderId="0" xfId="1" applyNumberFormat="1" applyFont="1" applyFill="1" applyBorder="1" applyAlignment="1">
      <alignment horizontal="center"/>
    </xf>
    <xf numFmtId="10" fontId="68" fillId="0" borderId="0" xfId="42" applyNumberFormat="1" applyFont="1" applyFill="1" applyBorder="1" applyAlignment="1">
      <alignment horizontal="center"/>
    </xf>
    <xf numFmtId="3" fontId="166" fillId="0" borderId="0" xfId="0" applyNumberFormat="1" applyFont="1" applyFill="1" applyBorder="1"/>
    <xf numFmtId="0" fontId="166" fillId="0" borderId="0" xfId="0" applyFont="1" applyFill="1" applyBorder="1" applyAlignment="1"/>
    <xf numFmtId="171" fontId="166" fillId="0" borderId="0" xfId="23" applyNumberFormat="1" applyFont="1" applyFill="1" applyBorder="1" applyAlignment="1">
      <alignment vertical="top"/>
    </xf>
    <xf numFmtId="3" fontId="166" fillId="0" borderId="0" xfId="0" applyNumberFormat="1" applyFont="1" applyFill="1" applyBorder="1" applyAlignment="1">
      <alignment wrapText="1"/>
    </xf>
    <xf numFmtId="176" fontId="166" fillId="0" borderId="0" xfId="0" applyNumberFormat="1" applyFont="1" applyFill="1" applyBorder="1" applyAlignment="1">
      <alignment horizontal="center"/>
    </xf>
    <xf numFmtId="173" fontId="166" fillId="0" borderId="0" xfId="42" applyNumberFormat="1" applyFont="1" applyFill="1" applyBorder="1" applyAlignment="1">
      <alignment horizontal="center"/>
    </xf>
    <xf numFmtId="171" fontId="166" fillId="0" borderId="0" xfId="23" applyNumberFormat="1" applyFont="1" applyFill="1" applyBorder="1"/>
    <xf numFmtId="171" fontId="166" fillId="0" borderId="0" xfId="23" applyNumberFormat="1" applyFont="1" applyFill="1" applyAlignment="1">
      <alignment horizontal="center"/>
    </xf>
    <xf numFmtId="37" fontId="21" fillId="0" borderId="0" xfId="40" applyNumberFormat="1" applyFont="1" applyFill="1" applyBorder="1"/>
    <xf numFmtId="0" fontId="20" fillId="0" borderId="0" xfId="1227"/>
    <xf numFmtId="0" fontId="20" fillId="0" borderId="0" xfId="1227"/>
    <xf numFmtId="0" fontId="47" fillId="0" borderId="0" xfId="1227" applyFont="1"/>
    <xf numFmtId="0" fontId="20" fillId="0" borderId="0" xfId="1227" applyFill="1" applyBorder="1"/>
    <xf numFmtId="0" fontId="165" fillId="0" borderId="0" xfId="1227" applyFont="1" applyFill="1" applyBorder="1" applyAlignment="1"/>
    <xf numFmtId="0" fontId="27" fillId="0" borderId="0" xfId="1227" quotePrefix="1" applyFont="1" applyAlignment="1">
      <alignment horizontal="centerContinuous" vertical="center"/>
    </xf>
    <xf numFmtId="0" fontId="23" fillId="0" borderId="0" xfId="1227" applyFont="1" applyFill="1" applyBorder="1" applyAlignment="1">
      <alignment horizontal="centerContinuous" vertical="center"/>
    </xf>
    <xf numFmtId="0" fontId="20" fillId="0" borderId="0" xfId="1227" applyFont="1" applyBorder="1" applyAlignment="1">
      <alignment horizontal="centerContinuous" vertical="center"/>
    </xf>
    <xf numFmtId="37" fontId="20" fillId="0" borderId="0" xfId="1227" applyNumberFormat="1" applyFont="1" applyFill="1" applyBorder="1" applyAlignment="1">
      <alignment horizontal="centerContinuous" vertical="center"/>
    </xf>
    <xf numFmtId="0" fontId="27" fillId="0" borderId="0" xfId="1227" applyFont="1" applyFill="1" applyBorder="1" applyAlignment="1">
      <alignment horizontal="center"/>
    </xf>
    <xf numFmtId="0" fontId="27" fillId="0" borderId="0" xfId="1227" applyFont="1" applyBorder="1" applyAlignment="1">
      <alignment horizontal="center"/>
    </xf>
    <xf numFmtId="0" fontId="0" fillId="0" borderId="0" xfId="1" applyNumberFormat="1" applyFont="1" applyFill="1" applyAlignment="1">
      <alignment horizontal="fill"/>
    </xf>
    <xf numFmtId="37" fontId="20" fillId="0" borderId="0" xfId="1227" applyNumberFormat="1"/>
    <xf numFmtId="0" fontId="27" fillId="0" borderId="0" xfId="1227" applyFont="1" applyAlignment="1">
      <alignment vertical="center" wrapText="1"/>
    </xf>
    <xf numFmtId="166" fontId="27" fillId="0" borderId="0" xfId="1227" applyNumberFormat="1" applyFont="1" applyAlignment="1">
      <alignment vertical="center"/>
    </xf>
    <xf numFmtId="0" fontId="27" fillId="0" borderId="2" xfId="1227" applyFont="1" applyBorder="1"/>
    <xf numFmtId="0" fontId="20" fillId="0" borderId="2" xfId="1227" applyBorder="1"/>
    <xf numFmtId="0" fontId="20" fillId="0" borderId="0" xfId="1227" applyBorder="1"/>
    <xf numFmtId="0" fontId="20" fillId="0" borderId="2" xfId="1227" applyFont="1" applyBorder="1"/>
    <xf numFmtId="221" fontId="20" fillId="0" borderId="0" xfId="1227" applyNumberFormat="1"/>
    <xf numFmtId="41" fontId="20" fillId="0" borderId="0" xfId="1227" applyNumberFormat="1"/>
    <xf numFmtId="10" fontId="20" fillId="0" borderId="0" xfId="1227" applyNumberFormat="1"/>
    <xf numFmtId="10" fontId="20" fillId="0" borderId="0" xfId="1227" applyNumberFormat="1" applyFont="1" applyFill="1" applyBorder="1"/>
    <xf numFmtId="0" fontId="174" fillId="0" borderId="0" xfId="1227" applyFont="1" applyFill="1" applyBorder="1" applyAlignment="1">
      <alignment horizontal="centerContinuous"/>
    </xf>
    <xf numFmtId="0" fontId="20" fillId="0" borderId="0" xfId="1227" applyFill="1" applyBorder="1" applyAlignment="1"/>
    <xf numFmtId="0" fontId="174" fillId="0" borderId="0" xfId="1227" applyFont="1" applyFill="1" applyBorder="1" applyAlignment="1">
      <alignment horizontal="center"/>
    </xf>
    <xf numFmtId="0" fontId="20" fillId="76" borderId="62" xfId="1227" applyFill="1" applyBorder="1" applyAlignment="1">
      <alignment horizontal="centerContinuous" vertical="center"/>
    </xf>
    <xf numFmtId="0" fontId="20" fillId="0" borderId="62" xfId="1227" applyBorder="1" applyAlignment="1">
      <alignment horizontal="center" vertical="center"/>
    </xf>
    <xf numFmtId="41" fontId="174" fillId="0" borderId="0" xfId="1227" applyNumberFormat="1" applyFont="1"/>
    <xf numFmtId="41" fontId="174" fillId="0" borderId="0" xfId="1227" applyNumberFormat="1" applyFont="1" applyAlignment="1">
      <alignment horizontal="center"/>
    </xf>
    <xf numFmtId="0" fontId="174" fillId="0" borderId="0" xfId="1227" applyFont="1"/>
    <xf numFmtId="0" fontId="20" fillId="0" borderId="0" xfId="1227" applyAlignment="1">
      <alignment horizontal="right"/>
    </xf>
    <xf numFmtId="0" fontId="20" fillId="0" borderId="65" xfId="1227" applyBorder="1"/>
    <xf numFmtId="0" fontId="20" fillId="0" borderId="64" xfId="1227" applyBorder="1"/>
    <xf numFmtId="0" fontId="20" fillId="0" borderId="62" xfId="1227" applyBorder="1"/>
    <xf numFmtId="0" fontId="20" fillId="0" borderId="0" xfId="1227" applyFill="1" applyBorder="1" applyAlignment="1">
      <alignment horizontal="right"/>
    </xf>
    <xf numFmtId="221" fontId="20" fillId="0" borderId="0" xfId="1227" applyNumberFormat="1" applyAlignment="1">
      <alignment horizontal="right"/>
    </xf>
    <xf numFmtId="166" fontId="27" fillId="0" borderId="0" xfId="1227" applyNumberFormat="1" applyFont="1" applyFill="1" applyBorder="1" applyAlignment="1">
      <alignment vertical="center"/>
    </xf>
    <xf numFmtId="9" fontId="20" fillId="0" borderId="0" xfId="1227" applyNumberFormat="1" applyFill="1" applyBorder="1"/>
    <xf numFmtId="10" fontId="166" fillId="9" borderId="62" xfId="42" applyNumberFormat="1" applyFont="1" applyFill="1" applyBorder="1" applyAlignment="1">
      <alignment horizontal="center"/>
    </xf>
    <xf numFmtId="0" fontId="1" fillId="0" borderId="0" xfId="43041"/>
    <xf numFmtId="166" fontId="1" fillId="0" borderId="11" xfId="43042" applyNumberFormat="1" applyFont="1" applyBorder="1"/>
    <xf numFmtId="166" fontId="1" fillId="0" borderId="1" xfId="43042" applyNumberFormat="1" applyFont="1" applyBorder="1"/>
    <xf numFmtId="166" fontId="175" fillId="0" borderId="1" xfId="43042" applyNumberFormat="1" applyFont="1" applyBorder="1"/>
    <xf numFmtId="3" fontId="175" fillId="0" borderId="1" xfId="43043" applyNumberFormat="1" applyFont="1" applyBorder="1"/>
    <xf numFmtId="166" fontId="1" fillId="0" borderId="0" xfId="43042" applyNumberFormat="1" applyFont="1"/>
    <xf numFmtId="166" fontId="175" fillId="0" borderId="0" xfId="43042" applyNumberFormat="1" applyFont="1"/>
    <xf numFmtId="3" fontId="175" fillId="0" borderId="0" xfId="43043" applyNumberFormat="1" applyFont="1"/>
    <xf numFmtId="166" fontId="175" fillId="0" borderId="0" xfId="43042" applyNumberFormat="1" applyFont="1" applyBorder="1"/>
    <xf numFmtId="3" fontId="175" fillId="0" borderId="0" xfId="43043" applyNumberFormat="1" applyFont="1" applyBorder="1"/>
    <xf numFmtId="166" fontId="1" fillId="0" borderId="0" xfId="43042" applyNumberFormat="1" applyFont="1" applyBorder="1"/>
    <xf numFmtId="0" fontId="86" fillId="0" borderId="0" xfId="43041" applyFont="1"/>
    <xf numFmtId="0" fontId="86" fillId="0" borderId="0" xfId="43041" applyFont="1" applyAlignment="1">
      <alignment horizontal="center"/>
    </xf>
    <xf numFmtId="0" fontId="1" fillId="0" borderId="0" xfId="43041" applyAlignment="1">
      <alignment horizontal="center"/>
    </xf>
    <xf numFmtId="3" fontId="166" fillId="9" borderId="0" xfId="23" applyNumberFormat="1" applyFont="1" applyFill="1"/>
    <xf numFmtId="0" fontId="68" fillId="75" borderId="0" xfId="0" applyFont="1" applyFill="1" applyAlignment="1">
      <alignment horizontal="center"/>
    </xf>
    <xf numFmtId="0" fontId="37" fillId="0" borderId="0" xfId="0" applyFont="1" applyBorder="1" applyAlignment="1">
      <alignment horizontal="center"/>
    </xf>
    <xf numFmtId="0" fontId="37" fillId="0" borderId="0" xfId="19" applyFont="1" applyAlignment="1">
      <alignment horizontal="center"/>
    </xf>
    <xf numFmtId="0" fontId="37" fillId="75" borderId="0" xfId="19" applyFont="1" applyFill="1" applyAlignment="1">
      <alignment horizontal="center"/>
    </xf>
    <xf numFmtId="0" fontId="20" fillId="0" borderId="0" xfId="1227"/>
    <xf numFmtId="10" fontId="27" fillId="0" borderId="0" xfId="1227" applyNumberFormat="1" applyFont="1" applyFill="1" applyBorder="1"/>
    <xf numFmtId="10" fontId="36" fillId="77" borderId="62" xfId="49" applyNumberFormat="1" applyFont="1" applyFill="1" applyBorder="1"/>
    <xf numFmtId="37" fontId="37" fillId="0" borderId="0" xfId="40" applyNumberFormat="1" applyFont="1" applyFill="1" applyBorder="1" applyAlignment="1">
      <alignment horizontal="center"/>
    </xf>
    <xf numFmtId="10" fontId="37" fillId="0" borderId="0" xfId="49" applyNumberFormat="1" applyFont="1" applyFill="1" applyBorder="1" applyAlignment="1">
      <alignment horizontal="center"/>
    </xf>
    <xf numFmtId="37" fontId="37" fillId="75" borderId="0" xfId="40" applyNumberFormat="1" applyFont="1" applyFill="1" applyBorder="1" applyAlignment="1">
      <alignment horizontal="center"/>
    </xf>
    <xf numFmtId="10" fontId="37" fillId="75" borderId="0" xfId="49" applyNumberFormat="1" applyFont="1" applyFill="1" applyBorder="1" applyAlignment="1">
      <alignment horizontal="center"/>
    </xf>
    <xf numFmtId="0" fontId="37" fillId="0" borderId="0" xfId="0" applyFont="1" applyBorder="1" applyAlignment="1">
      <alignment horizontal="centerContinuous"/>
    </xf>
    <xf numFmtId="0" fontId="63" fillId="0" borderId="0" xfId="0" applyFont="1" applyBorder="1" applyAlignment="1">
      <alignment horizontal="centerContinuous"/>
    </xf>
    <xf numFmtId="0" fontId="64" fillId="0" borderId="0" xfId="0" applyFont="1" applyBorder="1"/>
    <xf numFmtId="0" fontId="37" fillId="0" borderId="0" xfId="0" applyFont="1" applyBorder="1"/>
    <xf numFmtId="175" fontId="37" fillId="0" borderId="0" xfId="0" applyNumberFormat="1" applyFont="1" applyBorder="1"/>
    <xf numFmtId="175" fontId="36" fillId="0" borderId="0" xfId="0" applyNumberFormat="1" applyFont="1" applyBorder="1"/>
    <xf numFmtId="10" fontId="65" fillId="0" borderId="0" xfId="0" applyNumberFormat="1" applyFont="1" applyBorder="1"/>
    <xf numFmtId="0" fontId="51" fillId="0" borderId="0" xfId="19" applyBorder="1"/>
    <xf numFmtId="37" fontId="36" fillId="0" borderId="67" xfId="40" applyNumberFormat="1" applyFont="1" applyFill="1" applyBorder="1"/>
    <xf numFmtId="0" fontId="51" fillId="0" borderId="0" xfId="19" applyFill="1" applyBorder="1"/>
    <xf numFmtId="0" fontId="86" fillId="0" borderId="0" xfId="19" applyFont="1" applyFill="1" applyBorder="1" applyAlignment="1">
      <alignment horizontal="left"/>
    </xf>
    <xf numFmtId="0" fontId="37" fillId="0" borderId="0" xfId="19" applyFont="1" applyBorder="1" applyAlignment="1">
      <alignment horizontal="center"/>
    </xf>
    <xf numFmtId="0" fontId="36" fillId="0" borderId="0" xfId="0" applyFont="1" applyBorder="1" applyAlignment="1">
      <alignment horizontal="center"/>
    </xf>
    <xf numFmtId="171" fontId="166" fillId="0" borderId="0" xfId="1" applyNumberFormat="1" applyFont="1" applyFill="1" applyBorder="1" applyAlignment="1">
      <alignment horizontal="center" vertical="center" wrapText="1"/>
    </xf>
    <xf numFmtId="167" fontId="166" fillId="0" borderId="0" xfId="42" applyNumberFormat="1" applyFont="1" applyFill="1" applyBorder="1"/>
    <xf numFmtId="3" fontId="166" fillId="0" borderId="0" xfId="1" applyNumberFormat="1" applyFont="1" applyFill="1" applyBorder="1" applyAlignment="1">
      <alignment horizontal="center" vertical="center" wrapText="1"/>
    </xf>
    <xf numFmtId="10" fontId="68" fillId="0" borderId="35" xfId="42" applyNumberFormat="1" applyFont="1" applyFill="1" applyBorder="1" applyAlignment="1">
      <alignment horizontal="center"/>
    </xf>
    <xf numFmtId="3" fontId="166" fillId="0" borderId="68" xfId="0" applyNumberFormat="1" applyFont="1" applyFill="1" applyBorder="1"/>
    <xf numFmtId="3" fontId="68" fillId="0" borderId="68" xfId="0" applyNumberFormat="1" applyFont="1" applyFill="1" applyBorder="1"/>
    <xf numFmtId="3" fontId="166" fillId="0" borderId="68" xfId="42" applyNumberFormat="1" applyFont="1" applyFill="1" applyBorder="1" applyAlignment="1">
      <alignment horizontal="center"/>
    </xf>
    <xf numFmtId="171" fontId="166" fillId="0" borderId="68" xfId="23" applyNumberFormat="1" applyFont="1" applyFill="1" applyBorder="1" applyAlignment="1">
      <alignment vertical="top"/>
    </xf>
    <xf numFmtId="3" fontId="166" fillId="0" borderId="62" xfId="1" applyNumberFormat="1" applyFont="1" applyFill="1" applyBorder="1" applyAlignment="1">
      <alignment horizontal="center" vertical="center" wrapText="1"/>
    </xf>
    <xf numFmtId="171" fontId="166" fillId="0" borderId="62" xfId="1" applyNumberFormat="1" applyFont="1" applyFill="1" applyBorder="1" applyAlignment="1">
      <alignment horizontal="center" vertical="center" wrapText="1"/>
    </xf>
    <xf numFmtId="171" fontId="68" fillId="0" borderId="62" xfId="1" applyNumberFormat="1" applyFont="1" applyFill="1" applyBorder="1" applyAlignment="1">
      <alignment horizontal="center" vertical="center" wrapText="1"/>
    </xf>
    <xf numFmtId="166" fontId="166" fillId="0" borderId="62" xfId="1" applyNumberFormat="1" applyFont="1" applyFill="1" applyBorder="1" applyAlignment="1">
      <alignment horizontal="center" vertical="center" wrapText="1"/>
    </xf>
    <xf numFmtId="41" fontId="166" fillId="0" borderId="0" xfId="10" applyNumberFormat="1" applyFont="1" applyFill="1" applyBorder="1"/>
    <xf numFmtId="41" fontId="166" fillId="0" borderId="0" xfId="10" applyNumberFormat="1" applyFont="1" applyFill="1"/>
    <xf numFmtId="41" fontId="166" fillId="0" borderId="1" xfId="1" applyNumberFormat="1" applyFont="1" applyFill="1" applyBorder="1" applyAlignment="1">
      <alignment horizontal="center"/>
    </xf>
    <xf numFmtId="41" fontId="166" fillId="0" borderId="1" xfId="10" applyNumberFormat="1" applyFont="1" applyFill="1" applyBorder="1"/>
    <xf numFmtId="41" fontId="166" fillId="0" borderId="9" xfId="10" applyNumberFormat="1" applyFont="1" applyFill="1" applyBorder="1" applyAlignment="1">
      <alignment horizontal="center"/>
    </xf>
    <xf numFmtId="41" fontId="166" fillId="0" borderId="9" xfId="10" applyNumberFormat="1" applyFont="1" applyFill="1" applyBorder="1"/>
    <xf numFmtId="41" fontId="166" fillId="0" borderId="1" xfId="10" applyNumberFormat="1" applyFont="1" applyFill="1" applyBorder="1" applyAlignment="1">
      <alignment horizontal="center"/>
    </xf>
    <xf numFmtId="41" fontId="166" fillId="0" borderId="0" xfId="1" applyNumberFormat="1" applyFont="1" applyFill="1" applyAlignment="1">
      <alignment horizontal="center"/>
    </xf>
    <xf numFmtId="41" fontId="166" fillId="0" borderId="0" xfId="42" applyNumberFormat="1" applyFont="1" applyFill="1" applyAlignment="1">
      <alignment horizontal="center"/>
    </xf>
    <xf numFmtId="41" fontId="166" fillId="0" borderId="0" xfId="10" applyNumberFormat="1" applyFont="1" applyFill="1" applyAlignment="1">
      <alignment horizontal="center"/>
    </xf>
    <xf numFmtId="41" fontId="166" fillId="9" borderId="0" xfId="10" applyNumberFormat="1" applyFont="1" applyFill="1" applyBorder="1"/>
    <xf numFmtId="41" fontId="166" fillId="0" borderId="0" xfId="10" applyNumberFormat="1" applyFont="1" applyFill="1" applyBorder="1" applyAlignment="1">
      <alignment horizontal="center"/>
    </xf>
    <xf numFmtId="222" fontId="166" fillId="0" borderId="0" xfId="10" applyNumberFormat="1" applyFont="1" applyFill="1" applyBorder="1"/>
    <xf numFmtId="222" fontId="166" fillId="0" borderId="0" xfId="10" applyNumberFormat="1" applyFont="1" applyFill="1"/>
    <xf numFmtId="41" fontId="166" fillId="0" borderId="0" xfId="1" applyNumberFormat="1" applyFont="1" applyFill="1" applyBorder="1"/>
    <xf numFmtId="41" fontId="166" fillId="0" borderId="0" xfId="23" applyNumberFormat="1" applyFont="1" applyFill="1" applyBorder="1"/>
    <xf numFmtId="41" fontId="166" fillId="0" borderId="2" xfId="10" applyNumberFormat="1" applyFont="1" applyFill="1" applyBorder="1" applyAlignment="1">
      <alignment horizontal="center"/>
    </xf>
    <xf numFmtId="41" fontId="166" fillId="0" borderId="11" xfId="10" applyNumberFormat="1" applyFont="1" applyFill="1" applyBorder="1"/>
    <xf numFmtId="41" fontId="173" fillId="0" borderId="0" xfId="10" applyNumberFormat="1" applyFont="1" applyFill="1" applyBorder="1"/>
    <xf numFmtId="41" fontId="166" fillId="0" borderId="11" xfId="10" applyNumberFormat="1" applyFont="1" applyFill="1" applyBorder="1" applyAlignment="1">
      <alignment horizontal="center"/>
    </xf>
    <xf numFmtId="41" fontId="166" fillId="0" borderId="0" xfId="11" applyNumberFormat="1" applyFont="1" applyFill="1" applyAlignment="1">
      <alignment horizontal="center"/>
    </xf>
    <xf numFmtId="41" fontId="166" fillId="0" borderId="0" xfId="11" applyNumberFormat="1" applyFont="1" applyFill="1"/>
    <xf numFmtId="41" fontId="166" fillId="0" borderId="0" xfId="11" applyNumberFormat="1" applyFont="1" applyFill="1" applyBorder="1"/>
    <xf numFmtId="41" fontId="166" fillId="0" borderId="0" xfId="23" applyNumberFormat="1" applyFont="1" applyFill="1"/>
    <xf numFmtId="41" fontId="166" fillId="0" borderId="1" xfId="11" applyNumberFormat="1" applyFont="1" applyFill="1" applyBorder="1"/>
    <xf numFmtId="41" fontId="166" fillId="9" borderId="62" xfId="11" applyNumberFormat="1" applyFont="1" applyFill="1" applyBorder="1"/>
    <xf numFmtId="0" fontId="178" fillId="0" borderId="0" xfId="1227" applyFont="1"/>
    <xf numFmtId="0" fontId="180" fillId="0" borderId="0" xfId="1227" quotePrefix="1" applyFont="1" applyAlignment="1">
      <alignment horizontal="left" indent="1"/>
    </xf>
    <xf numFmtId="0" fontId="47" fillId="0" borderId="0" xfId="1227" applyFont="1" applyAlignment="1">
      <alignment horizontal="left" indent="2"/>
    </xf>
    <xf numFmtId="0" fontId="47" fillId="0" borderId="0" xfId="1227" applyFont="1" applyFill="1" applyBorder="1"/>
    <xf numFmtId="37" fontId="178" fillId="0" borderId="0" xfId="1227" applyNumberFormat="1" applyFont="1"/>
    <xf numFmtId="0" fontId="179" fillId="0" borderId="0" xfId="1227" quotePrefix="1" applyFont="1" applyAlignment="1">
      <alignment horizontal="left" indent="2"/>
    </xf>
    <xf numFmtId="3" fontId="166" fillId="0" borderId="0" xfId="23" applyNumberFormat="1" applyFont="1" applyFill="1" applyBorder="1" applyAlignment="1">
      <alignment vertical="center"/>
    </xf>
    <xf numFmtId="167" fontId="166" fillId="0" borderId="0" xfId="10" applyNumberFormat="1" applyFont="1" applyFill="1" applyAlignment="1">
      <alignment horizontal="center" vertical="center"/>
    </xf>
    <xf numFmtId="10" fontId="166" fillId="0" borderId="0" xfId="42" applyNumberFormat="1" applyFont="1" applyFill="1" applyAlignment="1">
      <alignment horizontal="center" vertical="center"/>
    </xf>
    <xf numFmtId="3" fontId="171" fillId="0" borderId="0" xfId="23" applyNumberFormat="1" applyFont="1" applyFill="1" applyBorder="1" applyAlignment="1">
      <alignment horizontal="left" wrapText="1"/>
    </xf>
    <xf numFmtId="3" fontId="166" fillId="0" borderId="0" xfId="23" applyNumberFormat="1" applyFont="1" applyFill="1" applyBorder="1" applyAlignment="1">
      <alignment horizontal="left"/>
    </xf>
    <xf numFmtId="3" fontId="68" fillId="0" borderId="0" xfId="23" applyNumberFormat="1" applyFont="1" applyFill="1" applyBorder="1" applyAlignment="1">
      <alignment horizontal="centerContinuous"/>
    </xf>
    <xf numFmtId="3" fontId="166" fillId="0" borderId="0" xfId="23" applyNumberFormat="1" applyFont="1" applyFill="1" applyBorder="1" applyAlignment="1">
      <alignment horizontal="centerContinuous"/>
    </xf>
    <xf numFmtId="3" fontId="68" fillId="0" borderId="0" xfId="23" applyNumberFormat="1" applyFont="1" applyFill="1" applyBorder="1" applyAlignment="1">
      <alignment horizontal="center"/>
    </xf>
    <xf numFmtId="0" fontId="69" fillId="0" borderId="0" xfId="0" applyFont="1" applyFill="1" applyBorder="1" applyAlignment="1">
      <alignment horizontal="center"/>
    </xf>
    <xf numFmtId="3" fontId="68" fillId="0" borderId="64" xfId="23" applyNumberFormat="1" applyFont="1" applyFill="1" applyBorder="1" applyAlignment="1">
      <alignment horizontal="centerContinuous"/>
    </xf>
    <xf numFmtId="0" fontId="171" fillId="0" borderId="0" xfId="23" applyFont="1" applyFill="1" applyAlignment="1">
      <alignment horizontal="center" wrapText="1"/>
    </xf>
    <xf numFmtId="166" fontId="166" fillId="0" borderId="0" xfId="1" applyNumberFormat="1" applyFont="1" applyFill="1" applyBorder="1" applyAlignment="1">
      <alignment horizontal="center" wrapText="1"/>
    </xf>
    <xf numFmtId="0" fontId="166" fillId="0" borderId="0" xfId="23" applyFont="1" applyFill="1" applyBorder="1" applyAlignment="1">
      <alignment horizontal="center"/>
    </xf>
    <xf numFmtId="3" fontId="166" fillId="0" borderId="0" xfId="23" applyNumberFormat="1" applyFont="1" applyFill="1" applyAlignment="1">
      <alignment horizontal="center"/>
    </xf>
    <xf numFmtId="222" fontId="166" fillId="0" borderId="0" xfId="23" applyNumberFormat="1" applyFont="1" applyFill="1"/>
    <xf numFmtId="44" fontId="166" fillId="0" borderId="0" xfId="23" applyNumberFormat="1" applyFont="1" applyFill="1"/>
    <xf numFmtId="0" fontId="166" fillId="0" borderId="0" xfId="23" applyFont="1" applyFill="1" applyAlignment="1">
      <alignment horizontal="center"/>
    </xf>
    <xf numFmtId="41" fontId="166" fillId="0" borderId="0" xfId="42" applyNumberFormat="1" applyFont="1" applyFill="1"/>
    <xf numFmtId="41" fontId="166" fillId="0" borderId="0" xfId="42" applyNumberFormat="1" applyFont="1" applyFill="1" applyBorder="1"/>
    <xf numFmtId="41" fontId="172" fillId="75" borderId="0" xfId="10" quotePrefix="1" applyNumberFormat="1" applyFont="1" applyFill="1" applyBorder="1" applyAlignment="1">
      <alignment horizontal="center" vertical="top"/>
    </xf>
    <xf numFmtId="10" fontId="166" fillId="0" borderId="0" xfId="42" applyNumberFormat="1" applyFont="1" applyFill="1"/>
    <xf numFmtId="10" fontId="166" fillId="0" borderId="0" xfId="42" applyNumberFormat="1" applyFont="1" applyFill="1" applyBorder="1"/>
    <xf numFmtId="176" fontId="166" fillId="0" borderId="35" xfId="0" applyNumberFormat="1" applyFont="1" applyFill="1" applyBorder="1" applyAlignment="1">
      <alignment horizontal="right"/>
    </xf>
    <xf numFmtId="174" fontId="166" fillId="0" borderId="66" xfId="23" applyNumberFormat="1" applyFont="1" applyFill="1" applyBorder="1" applyAlignment="1">
      <alignment horizontal="right"/>
    </xf>
    <xf numFmtId="3" fontId="68" fillId="0" borderId="0" xfId="23" applyNumberFormat="1" applyFont="1" applyFill="1" applyBorder="1"/>
    <xf numFmtId="3" fontId="68" fillId="0" borderId="65" xfId="23" applyNumberFormat="1" applyFont="1" applyFill="1" applyBorder="1" applyAlignment="1">
      <alignment horizontal="center"/>
    </xf>
    <xf numFmtId="3" fontId="68" fillId="0" borderId="64" xfId="23" applyNumberFormat="1" applyFont="1" applyFill="1" applyBorder="1" applyAlignment="1">
      <alignment horizontal="left"/>
    </xf>
    <xf numFmtId="3" fontId="68" fillId="0" borderId="65" xfId="23" applyNumberFormat="1" applyFont="1" applyFill="1" applyBorder="1" applyAlignment="1">
      <alignment horizontal="centerContinuous"/>
    </xf>
    <xf numFmtId="3" fontId="68" fillId="0" borderId="2" xfId="23" applyNumberFormat="1" applyFont="1" applyFill="1" applyBorder="1" applyAlignment="1">
      <alignment horizontal="centerContinuous"/>
    </xf>
    <xf numFmtId="171" fontId="68" fillId="0" borderId="0" xfId="1" applyNumberFormat="1" applyFont="1" applyFill="1" applyBorder="1" applyAlignment="1">
      <alignment horizontal="center" vertical="center" wrapText="1"/>
    </xf>
    <xf numFmtId="3" fontId="68" fillId="0" borderId="0" xfId="23" applyNumberFormat="1" applyFont="1" applyFill="1" applyBorder="1" applyAlignment="1"/>
    <xf numFmtId="0" fontId="25" fillId="0" borderId="64" xfId="0" applyFont="1" applyFill="1" applyBorder="1" applyAlignment="1">
      <alignment horizontal="centerContinuous"/>
    </xf>
    <xf numFmtId="0" fontId="25" fillId="0" borderId="0" xfId="0" applyFont="1" applyFill="1" applyBorder="1" applyAlignment="1">
      <alignment horizontal="center"/>
    </xf>
    <xf numFmtId="3" fontId="68" fillId="0" borderId="62" xfId="23" applyNumberFormat="1" applyFont="1" applyFill="1" applyBorder="1" applyAlignment="1">
      <alignment horizontal="center"/>
    </xf>
    <xf numFmtId="3" fontId="166" fillId="0" borderId="0" xfId="23" applyNumberFormat="1" applyFont="1" applyFill="1" applyAlignment="1">
      <alignment vertical="center"/>
    </xf>
    <xf numFmtId="3" fontId="166" fillId="0" borderId="0" xfId="23" applyNumberFormat="1" applyFont="1" applyFill="1" applyAlignment="1">
      <alignment vertical="center" wrapText="1"/>
    </xf>
    <xf numFmtId="165" fontId="166" fillId="0" borderId="0" xfId="23" applyNumberFormat="1" applyFont="1" applyFill="1" applyBorder="1" applyAlignment="1">
      <alignment vertical="center"/>
    </xf>
    <xf numFmtId="41" fontId="166" fillId="0" borderId="9" xfId="10" applyNumberFormat="1" applyFont="1" applyFill="1" applyBorder="1" applyAlignment="1">
      <alignment vertical="center"/>
    </xf>
    <xf numFmtId="41" fontId="166" fillId="0" borderId="9" xfId="10" applyNumberFormat="1" applyFont="1" applyFill="1" applyBorder="1" applyAlignment="1">
      <alignment horizontal="center" vertical="center"/>
    </xf>
    <xf numFmtId="167" fontId="166" fillId="0" borderId="0" xfId="10" applyNumberFormat="1" applyFont="1" applyFill="1" applyBorder="1" applyAlignment="1">
      <alignment horizontal="center" vertical="center"/>
    </xf>
    <xf numFmtId="10" fontId="166" fillId="0" borderId="0" xfId="42" applyNumberFormat="1" applyFont="1" applyFill="1" applyBorder="1" applyAlignment="1">
      <alignment horizontal="center" vertical="center"/>
    </xf>
    <xf numFmtId="41" fontId="166" fillId="0" borderId="0" xfId="10" applyNumberFormat="1" applyFont="1" applyFill="1" applyBorder="1" applyAlignment="1">
      <alignment horizontal="center" vertical="center"/>
    </xf>
    <xf numFmtId="41" fontId="166" fillId="0" borderId="0" xfId="10" applyNumberFormat="1" applyFont="1" applyFill="1" applyBorder="1" applyAlignment="1">
      <alignment vertical="center"/>
    </xf>
    <xf numFmtId="0" fontId="166" fillId="0" borderId="0" xfId="23" applyFont="1" applyFill="1" applyAlignment="1">
      <alignment vertical="center"/>
    </xf>
    <xf numFmtId="0" fontId="168" fillId="0" borderId="0" xfId="23" applyFont="1" applyFill="1"/>
    <xf numFmtId="0" fontId="177" fillId="0" borderId="0" xfId="0" applyFont="1" applyFill="1" applyBorder="1" applyAlignment="1">
      <alignment horizontal="center"/>
    </xf>
    <xf numFmtId="0" fontId="37" fillId="0" borderId="0" xfId="0" applyFont="1" applyAlignment="1">
      <alignment horizontal="center"/>
    </xf>
    <xf numFmtId="171" fontId="166" fillId="0" borderId="0" xfId="23" applyNumberFormat="1" applyFont="1" applyFill="1" applyBorder="1" applyAlignment="1">
      <alignment horizontal="center"/>
    </xf>
    <xf numFmtId="166" fontId="166" fillId="0" borderId="0" xfId="1" applyNumberFormat="1" applyFont="1" applyFill="1" applyBorder="1"/>
    <xf numFmtId="167" fontId="166" fillId="0" borderId="0" xfId="23" applyNumberFormat="1" applyFont="1" applyFill="1" applyBorder="1"/>
    <xf numFmtId="0" fontId="168" fillId="0" borderId="0" xfId="23" applyFont="1" applyFill="1" applyBorder="1"/>
    <xf numFmtId="3" fontId="166" fillId="0" borderId="67" xfId="0" applyNumberFormat="1" applyFont="1" applyFill="1" applyBorder="1"/>
    <xf numFmtId="222" fontId="166" fillId="0" borderId="35" xfId="10" applyNumberFormat="1" applyFont="1" applyFill="1" applyBorder="1"/>
    <xf numFmtId="3" fontId="166" fillId="0" borderId="5" xfId="0" applyNumberFormat="1" applyFont="1" applyFill="1" applyBorder="1"/>
    <xf numFmtId="222" fontId="68" fillId="0" borderId="66" xfId="10" applyNumberFormat="1" applyFont="1" applyFill="1" applyBorder="1"/>
    <xf numFmtId="0" fontId="166" fillId="0" borderId="9" xfId="23" applyFont="1" applyFill="1" applyBorder="1"/>
    <xf numFmtId="167" fontId="166" fillId="0" borderId="9" xfId="23" applyNumberFormat="1" applyFont="1" applyFill="1" applyBorder="1"/>
    <xf numFmtId="166" fontId="166" fillId="0" borderId="9" xfId="1" applyNumberFormat="1" applyFont="1" applyFill="1" applyBorder="1"/>
    <xf numFmtId="171" fontId="166" fillId="0" borderId="9" xfId="23" applyNumberFormat="1" applyFont="1" applyFill="1" applyBorder="1" applyAlignment="1">
      <alignment horizontal="center"/>
    </xf>
    <xf numFmtId="3" fontId="166" fillId="0" borderId="9" xfId="23" applyNumberFormat="1" applyFont="1" applyFill="1" applyBorder="1"/>
    <xf numFmtId="167" fontId="166" fillId="0" borderId="9" xfId="10" applyNumberFormat="1" applyFont="1" applyFill="1" applyBorder="1"/>
    <xf numFmtId="0" fontId="166" fillId="0" borderId="69" xfId="23" applyFont="1" applyFill="1" applyBorder="1"/>
    <xf numFmtId="3" fontId="68" fillId="0" borderId="10" xfId="23" applyNumberFormat="1" applyFont="1" applyFill="1" applyBorder="1"/>
    <xf numFmtId="3" fontId="167" fillId="0" borderId="0" xfId="23" applyNumberFormat="1" applyFont="1" applyFill="1" applyBorder="1" applyAlignment="1">
      <alignment horizontal="left"/>
    </xf>
    <xf numFmtId="223" fontId="36" fillId="0" borderId="0" xfId="0" applyNumberFormat="1" applyFont="1" applyBorder="1"/>
    <xf numFmtId="223" fontId="36" fillId="0" borderId="68" xfId="0" applyNumberFormat="1" applyFont="1" applyBorder="1"/>
    <xf numFmtId="223" fontId="36" fillId="0" borderId="62" xfId="0" applyNumberFormat="1" applyFont="1" applyBorder="1"/>
    <xf numFmtId="223" fontId="37" fillId="78" borderId="62" xfId="0" applyNumberFormat="1" applyFont="1" applyFill="1" applyBorder="1"/>
    <xf numFmtId="10" fontId="37" fillId="78" borderId="62" xfId="0" applyNumberFormat="1" applyFont="1" applyFill="1" applyBorder="1"/>
    <xf numFmtId="0" fontId="33" fillId="0" borderId="0" xfId="0" applyFont="1" applyFill="1" applyAlignment="1">
      <alignment horizontal="centerContinuous"/>
    </xf>
    <xf numFmtId="0" fontId="37" fillId="0" borderId="0" xfId="19" applyFont="1" applyFill="1" applyBorder="1" applyAlignment="1">
      <alignment horizontal="centerContinuous"/>
    </xf>
    <xf numFmtId="0" fontId="36" fillId="0" borderId="0" xfId="19" applyFont="1" applyBorder="1" applyAlignment="1">
      <alignment horizontal="centerContinuous"/>
    </xf>
    <xf numFmtId="0" fontId="182" fillId="0" borderId="0" xfId="19" applyFont="1" applyFill="1" applyBorder="1" applyAlignment="1">
      <alignment horizontal="centerContinuous"/>
    </xf>
    <xf numFmtId="3" fontId="169" fillId="0" borderId="0" xfId="23" applyNumberFormat="1" applyFont="1" applyFill="1" applyBorder="1"/>
    <xf numFmtId="3" fontId="67" fillId="0" borderId="0" xfId="23" applyNumberFormat="1" applyFont="1" applyFill="1" applyBorder="1" applyAlignment="1">
      <alignment horizontal="centerContinuous"/>
    </xf>
    <xf numFmtId="3" fontId="183" fillId="0" borderId="0" xfId="23" applyNumberFormat="1" applyFont="1" applyFill="1" applyBorder="1"/>
    <xf numFmtId="3" fontId="184" fillId="0" borderId="0" xfId="23" applyNumberFormat="1" applyFont="1" applyFill="1" applyBorder="1" applyAlignment="1">
      <alignment horizontal="centerContinuous"/>
    </xf>
    <xf numFmtId="0" fontId="37" fillId="0" borderId="65" xfId="19" applyFont="1" applyFill="1" applyBorder="1" applyAlignment="1">
      <alignment horizontal="left"/>
    </xf>
    <xf numFmtId="0" fontId="37" fillId="0" borderId="2" xfId="19" applyFont="1" applyFill="1" applyBorder="1" applyAlignment="1">
      <alignment horizontal="center"/>
    </xf>
    <xf numFmtId="0" fontId="37" fillId="0" borderId="64" xfId="19" applyFont="1" applyFill="1" applyBorder="1" applyAlignment="1">
      <alignment horizontal="center"/>
    </xf>
    <xf numFmtId="37" fontId="36" fillId="0" borderId="35" xfId="40" applyNumberFormat="1" applyFont="1" applyFill="1" applyBorder="1"/>
    <xf numFmtId="0" fontId="37" fillId="0" borderId="68" xfId="19" applyFont="1" applyFill="1" applyBorder="1" applyAlignment="1">
      <alignment horizontal="center"/>
    </xf>
    <xf numFmtId="0" fontId="36" fillId="0" borderId="35" xfId="19" applyFont="1" applyFill="1" applyBorder="1"/>
    <xf numFmtId="37" fontId="37" fillId="0" borderId="35" xfId="40" applyNumberFormat="1" applyFont="1" applyFill="1" applyBorder="1" applyAlignment="1">
      <alignment horizontal="center"/>
    </xf>
    <xf numFmtId="10" fontId="37" fillId="0" borderId="35" xfId="49" applyNumberFormat="1" applyFont="1" applyFill="1" applyBorder="1" applyAlignment="1">
      <alignment horizontal="center"/>
    </xf>
    <xf numFmtId="37" fontId="36" fillId="0" borderId="5" xfId="40" applyNumberFormat="1" applyFont="1" applyFill="1" applyBorder="1"/>
    <xf numFmtId="0" fontId="36" fillId="0" borderId="68" xfId="19" applyFont="1" applyFill="1" applyBorder="1"/>
    <xf numFmtId="166" fontId="36" fillId="0" borderId="68" xfId="9" applyNumberFormat="1" applyFont="1" applyFill="1" applyBorder="1"/>
    <xf numFmtId="10" fontId="36" fillId="0" borderId="68" xfId="49" applyNumberFormat="1" applyFont="1" applyFill="1" applyBorder="1"/>
    <xf numFmtId="10" fontId="40" fillId="0" borderId="68" xfId="49" applyNumberFormat="1" applyFont="1" applyFill="1" applyBorder="1"/>
    <xf numFmtId="37" fontId="36" fillId="0" borderId="66" xfId="40" applyNumberFormat="1" applyFont="1" applyFill="1" applyBorder="1"/>
    <xf numFmtId="0" fontId="20" fillId="0" borderId="0" xfId="1227"/>
    <xf numFmtId="3" fontId="185" fillId="0" borderId="0" xfId="23" applyNumberFormat="1" applyFont="1" applyFill="1" applyAlignment="1">
      <alignment horizontal="left"/>
    </xf>
    <xf numFmtId="3" fontId="166" fillId="0" borderId="68" xfId="23" applyNumberFormat="1" applyFont="1" applyFill="1" applyBorder="1" applyAlignment="1">
      <alignment horizontal="center" vertical="center" wrapText="1"/>
    </xf>
    <xf numFmtId="0" fontId="22" fillId="0" borderId="68" xfId="0" applyFont="1" applyFill="1" applyBorder="1" applyAlignment="1">
      <alignment horizontal="center"/>
    </xf>
    <xf numFmtId="14" fontId="22" fillId="0" borderId="0" xfId="40" applyNumberFormat="1" applyFont="1" applyFill="1" applyAlignment="1">
      <alignment horizontal="center"/>
    </xf>
    <xf numFmtId="37" fontId="21" fillId="0" borderId="68" xfId="23" applyNumberFormat="1" applyFont="1" applyBorder="1" applyProtection="1">
      <protection locked="0"/>
    </xf>
    <xf numFmtId="37" fontId="21" fillId="9" borderId="68" xfId="23" applyNumberFormat="1" applyFont="1" applyFill="1" applyBorder="1" applyProtection="1">
      <protection locked="0"/>
    </xf>
    <xf numFmtId="37" fontId="21" fillId="0" borderId="68" xfId="23" applyNumberFormat="1" applyFont="1" applyFill="1" applyBorder="1" applyProtection="1">
      <protection locked="0"/>
    </xf>
    <xf numFmtId="37" fontId="21" fillId="0" borderId="68" xfId="23" applyNumberFormat="1" applyFont="1" applyBorder="1"/>
    <xf numFmtId="37" fontId="21" fillId="0" borderId="68" xfId="23" applyNumberFormat="1" applyFont="1" applyFill="1" applyBorder="1" applyAlignment="1" applyProtection="1">
      <alignment horizontal="right"/>
      <protection locked="0"/>
    </xf>
    <xf numFmtId="166" fontId="21" fillId="79" borderId="0" xfId="1" applyNumberFormat="1" applyFont="1" applyFill="1" applyBorder="1" applyAlignment="1">
      <alignment horizontal="center"/>
    </xf>
    <xf numFmtId="0" fontId="22" fillId="79" borderId="0" xfId="1" applyNumberFormat="1" applyFont="1" applyFill="1" applyBorder="1" applyAlignment="1">
      <alignment horizontal="center"/>
    </xf>
    <xf numFmtId="3" fontId="21" fillId="79" borderId="0" xfId="0" applyNumberFormat="1" applyFont="1" applyFill="1"/>
    <xf numFmtId="5" fontId="21" fillId="79" borderId="0" xfId="0" applyNumberFormat="1" applyFont="1" applyFill="1" applyBorder="1" applyProtection="1">
      <protection locked="0"/>
    </xf>
    <xf numFmtId="37" fontId="21" fillId="79" borderId="0" xfId="0" applyNumberFormat="1" applyFont="1" applyFill="1" applyBorder="1" applyProtection="1">
      <protection locked="0"/>
    </xf>
    <xf numFmtId="37" fontId="21" fillId="79" borderId="9" xfId="0" applyNumberFormat="1" applyFont="1" applyFill="1" applyBorder="1" applyProtection="1">
      <protection locked="0"/>
    </xf>
    <xf numFmtId="37" fontId="21" fillId="79" borderId="0" xfId="0" applyNumberFormat="1" applyFont="1" applyFill="1" applyBorder="1"/>
    <xf numFmtId="37" fontId="21" fillId="79" borderId="9" xfId="0" applyNumberFormat="1" applyFont="1" applyFill="1" applyBorder="1"/>
    <xf numFmtId="37" fontId="22" fillId="79" borderId="0" xfId="0" applyNumberFormat="1" applyFont="1" applyFill="1" applyBorder="1"/>
    <xf numFmtId="166" fontId="22" fillId="79" borderId="0" xfId="1" applyNumberFormat="1" applyFont="1" applyFill="1" applyBorder="1" applyAlignment="1">
      <alignment horizontal="center"/>
    </xf>
    <xf numFmtId="5" fontId="21" fillId="79" borderId="11" xfId="0" applyNumberFormat="1" applyFont="1" applyFill="1" applyBorder="1"/>
    <xf numFmtId="3" fontId="21" fillId="79" borderId="0" xfId="0" applyNumberFormat="1" applyFont="1" applyFill="1" applyBorder="1"/>
    <xf numFmtId="0" fontId="20" fillId="79" borderId="0" xfId="36" applyFont="1" applyFill="1" applyAlignment="1">
      <alignment horizontal="center"/>
    </xf>
    <xf numFmtId="37" fontId="21" fillId="79" borderId="68" xfId="0" applyNumberFormat="1" applyFont="1" applyFill="1" applyBorder="1" applyProtection="1">
      <protection locked="0"/>
    </xf>
    <xf numFmtId="37" fontId="22" fillId="79" borderId="9" xfId="0" applyNumberFormat="1" applyFont="1" applyFill="1" applyBorder="1" applyProtection="1">
      <protection locked="0"/>
    </xf>
    <xf numFmtId="5" fontId="21" fillId="79" borderId="0" xfId="0" applyNumberFormat="1" applyFont="1" applyFill="1" applyBorder="1"/>
    <xf numFmtId="10" fontId="46" fillId="79" borderId="0" xfId="42" applyNumberFormat="1" applyFont="1" applyFill="1" applyBorder="1" applyAlignment="1">
      <alignment horizontal="center"/>
    </xf>
    <xf numFmtId="37" fontId="22" fillId="79" borderId="11" xfId="0" applyNumberFormat="1" applyFont="1" applyFill="1" applyBorder="1" applyProtection="1">
      <protection locked="0"/>
    </xf>
    <xf numFmtId="10" fontId="21" fillId="79" borderId="0" xfId="42" applyNumberFormat="1" applyFont="1" applyFill="1" applyBorder="1" applyProtection="1">
      <protection locked="0"/>
    </xf>
    <xf numFmtId="0" fontId="51" fillId="9" borderId="62" xfId="19" applyFill="1" applyBorder="1"/>
    <xf numFmtId="0" fontId="51" fillId="0" borderId="0" xfId="19" applyFill="1" applyAlignment="1">
      <alignment horizontal="right"/>
    </xf>
    <xf numFmtId="166" fontId="21" fillId="9" borderId="0" xfId="1" applyNumberFormat="1" applyFont="1" applyFill="1" applyBorder="1" applyAlignment="1">
      <alignment horizontal="center"/>
    </xf>
    <xf numFmtId="0" fontId="54" fillId="9" borderId="68" xfId="36" applyFill="1" applyBorder="1" applyAlignment="1">
      <alignment horizontal="center"/>
    </xf>
    <xf numFmtId="0" fontId="54" fillId="0" borderId="68" xfId="36" applyFill="1" applyBorder="1" applyAlignment="1">
      <alignment horizontal="center"/>
    </xf>
    <xf numFmtId="0" fontId="0" fillId="0" borderId="68" xfId="0" applyFill="1" applyBorder="1"/>
    <xf numFmtId="0" fontId="20" fillId="0" borderId="0" xfId="1227"/>
    <xf numFmtId="0" fontId="36" fillId="0" borderId="0" xfId="0" applyFont="1" applyFill="1" applyBorder="1" applyAlignment="1">
      <alignment horizontal="center"/>
    </xf>
    <xf numFmtId="0" fontId="33" fillId="0" borderId="0" xfId="0" applyFont="1" applyFill="1" applyBorder="1" applyAlignment="1">
      <alignment horizontal="center"/>
    </xf>
    <xf numFmtId="5" fontId="166" fillId="0" borderId="0" xfId="10" applyNumberFormat="1" applyFont="1" applyFill="1" applyBorder="1"/>
    <xf numFmtId="0" fontId="51" fillId="0" borderId="0" xfId="19" applyAlignment="1">
      <alignment horizontal="right"/>
    </xf>
    <xf numFmtId="3" fontId="68" fillId="0" borderId="0" xfId="23" applyNumberFormat="1" applyFont="1" applyFill="1" applyBorder="1" applyAlignment="1">
      <alignment horizontal="left"/>
    </xf>
    <xf numFmtId="3" fontId="68" fillId="0" borderId="68" xfId="23" applyNumberFormat="1" applyFont="1" applyFill="1" applyBorder="1" applyAlignment="1">
      <alignment horizontal="centerContinuous"/>
    </xf>
    <xf numFmtId="0" fontId="25" fillId="0" borderId="68" xfId="0" applyFont="1" applyFill="1" applyBorder="1" applyAlignment="1">
      <alignment horizontal="centerContinuous"/>
    </xf>
    <xf numFmtId="0" fontId="186" fillId="0" borderId="62" xfId="41" applyFont="1" applyFill="1" applyBorder="1" applyAlignment="1">
      <alignment horizontal="center" vertical="center" wrapText="1"/>
    </xf>
    <xf numFmtId="2" fontId="186" fillId="9" borderId="62" xfId="41" applyNumberFormat="1" applyFont="1" applyFill="1" applyBorder="1" applyAlignment="1">
      <alignment horizontal="center" vertical="center" wrapText="1"/>
    </xf>
    <xf numFmtId="166" fontId="166" fillId="0" borderId="64" xfId="1" applyNumberFormat="1" applyFont="1" applyFill="1" applyBorder="1" applyAlignment="1">
      <alignment horizontal="center" vertical="center" wrapText="1"/>
    </xf>
    <xf numFmtId="5" fontId="36" fillId="0" borderId="0" xfId="0" applyNumberFormat="1" applyFont="1" applyBorder="1" applyAlignment="1">
      <alignment horizontal="right"/>
    </xf>
    <xf numFmtId="224" fontId="36" fillId="0" borderId="0" xfId="0" applyNumberFormat="1" applyFont="1" applyBorder="1"/>
    <xf numFmtId="0" fontId="46" fillId="0" borderId="0" xfId="0" applyFont="1" applyAlignment="1">
      <alignment horizontal="center"/>
    </xf>
    <xf numFmtId="0" fontId="181" fillId="0" borderId="0" xfId="0" applyFont="1" applyFill="1" applyAlignment="1">
      <alignment horizontal="center"/>
    </xf>
    <xf numFmtId="0" fontId="37" fillId="0" borderId="0" xfId="0" applyFont="1" applyAlignment="1">
      <alignment horizontal="center" wrapText="1"/>
    </xf>
    <xf numFmtId="0" fontId="0" fillId="0" borderId="1" xfId="0" applyBorder="1" applyAlignment="1">
      <alignment horizontal="center" wrapText="1"/>
    </xf>
    <xf numFmtId="0" fontId="36" fillId="0" borderId="0" xfId="0" applyFont="1" applyFill="1" applyBorder="1" applyAlignment="1">
      <alignment horizontal="left" vertical="top" wrapText="1"/>
    </xf>
    <xf numFmtId="0" fontId="37" fillId="0" borderId="1" xfId="0" applyFont="1" applyBorder="1" applyAlignment="1">
      <alignment horizontal="center" wrapText="1"/>
    </xf>
    <xf numFmtId="0" fontId="37" fillId="0" borderId="0" xfId="0" applyFont="1" applyFill="1" applyBorder="1" applyAlignment="1">
      <alignment horizontal="center" wrapText="1"/>
    </xf>
    <xf numFmtId="0" fontId="0" fillId="0" borderId="0" xfId="0" applyBorder="1" applyAlignment="1">
      <alignment horizontal="center" wrapText="1"/>
    </xf>
    <xf numFmtId="0" fontId="37" fillId="0" borderId="0" xfId="0" applyFont="1" applyBorder="1" applyAlignment="1">
      <alignment horizontal="center" wrapText="1"/>
    </xf>
    <xf numFmtId="0" fontId="182" fillId="0" borderId="0" xfId="0" applyFont="1" applyFill="1" applyBorder="1" applyAlignment="1">
      <alignment horizontal="center"/>
    </xf>
    <xf numFmtId="0" fontId="36" fillId="0" borderId="0" xfId="0" applyFont="1" applyBorder="1" applyAlignment="1">
      <alignment horizontal="center"/>
    </xf>
    <xf numFmtId="0" fontId="36" fillId="0" borderId="0" xfId="0" applyFont="1" applyFill="1" applyBorder="1" applyAlignment="1">
      <alignment horizontal="center"/>
    </xf>
    <xf numFmtId="0" fontId="33" fillId="0" borderId="0" xfId="0" applyFont="1" applyFill="1" applyBorder="1" applyAlignment="1">
      <alignment horizontal="center"/>
    </xf>
    <xf numFmtId="0" fontId="37" fillId="0" borderId="0" xfId="19" applyFont="1" applyAlignment="1">
      <alignment horizontal="center"/>
    </xf>
    <xf numFmtId="0" fontId="37" fillId="75" borderId="0" xfId="19" applyFont="1" applyFill="1" applyAlignment="1">
      <alignment horizontal="center"/>
    </xf>
    <xf numFmtId="0" fontId="36" fillId="0" borderId="0" xfId="19" applyFont="1" applyBorder="1" applyAlignment="1">
      <alignment horizontal="center"/>
    </xf>
    <xf numFmtId="0" fontId="68" fillId="75" borderId="0" xfId="0" applyFont="1" applyFill="1" applyAlignment="1">
      <alignment horizontal="center"/>
    </xf>
    <xf numFmtId="3" fontId="166" fillId="0" borderId="69" xfId="1" applyNumberFormat="1" applyFont="1" applyFill="1" applyBorder="1" applyAlignment="1">
      <alignment horizontal="center" vertical="center" wrapText="1"/>
    </xf>
    <xf numFmtId="3" fontId="166" fillId="0" borderId="35" xfId="1" applyNumberFormat="1" applyFont="1" applyFill="1" applyBorder="1" applyAlignment="1">
      <alignment horizontal="center" vertical="center" wrapText="1"/>
    </xf>
    <xf numFmtId="3" fontId="166" fillId="0" borderId="66" xfId="1" applyNumberFormat="1" applyFont="1" applyFill="1" applyBorder="1" applyAlignment="1">
      <alignment horizontal="center" vertical="center" wrapText="1"/>
    </xf>
    <xf numFmtId="3" fontId="166" fillId="0" borderId="10" xfId="1" applyNumberFormat="1" applyFont="1" applyFill="1" applyBorder="1" applyAlignment="1">
      <alignment horizontal="center" vertical="center" wrapText="1"/>
    </xf>
    <xf numFmtId="3" fontId="166" fillId="0" borderId="67" xfId="1" applyNumberFormat="1" applyFont="1" applyFill="1" applyBorder="1" applyAlignment="1">
      <alignment horizontal="center" vertical="center" wrapText="1"/>
    </xf>
    <xf numFmtId="3" fontId="166" fillId="0" borderId="5" xfId="1" applyNumberFormat="1" applyFont="1" applyFill="1" applyBorder="1" applyAlignment="1">
      <alignment horizontal="center" vertical="center" wrapText="1"/>
    </xf>
    <xf numFmtId="3" fontId="166" fillId="0" borderId="8" xfId="1" applyNumberFormat="1" applyFont="1" applyFill="1" applyBorder="1" applyAlignment="1">
      <alignment horizontal="center" vertical="center" wrapText="1"/>
    </xf>
    <xf numFmtId="3" fontId="166" fillId="0" borderId="6" xfId="1" applyNumberFormat="1" applyFont="1" applyFill="1" applyBorder="1" applyAlignment="1">
      <alignment horizontal="center" vertical="center" wrapText="1"/>
    </xf>
    <xf numFmtId="3" fontId="166" fillId="0" borderId="4" xfId="1" applyNumberFormat="1" applyFont="1" applyFill="1" applyBorder="1" applyAlignment="1">
      <alignment horizontal="center" vertical="center" wrapText="1"/>
    </xf>
    <xf numFmtId="3" fontId="166" fillId="0" borderId="8" xfId="23" applyNumberFormat="1" applyFont="1" applyFill="1" applyBorder="1" applyAlignment="1">
      <alignment horizontal="center" vertical="center" wrapText="1"/>
    </xf>
    <xf numFmtId="3" fontId="166" fillId="0" borderId="6" xfId="23" applyNumberFormat="1" applyFont="1" applyFill="1" applyBorder="1" applyAlignment="1">
      <alignment horizontal="center" vertical="center" wrapText="1"/>
    </xf>
    <xf numFmtId="3" fontId="166" fillId="0" borderId="4" xfId="23" applyNumberFormat="1" applyFont="1" applyFill="1" applyBorder="1" applyAlignment="1">
      <alignment horizontal="center" vertical="center" wrapText="1"/>
    </xf>
    <xf numFmtId="166" fontId="166" fillId="0" borderId="8" xfId="1" applyNumberFormat="1" applyFont="1" applyFill="1" applyBorder="1" applyAlignment="1">
      <alignment horizontal="center" vertical="center" wrapText="1"/>
    </xf>
    <xf numFmtId="166" fontId="166" fillId="0" borderId="6" xfId="1" applyNumberFormat="1" applyFont="1" applyFill="1" applyBorder="1" applyAlignment="1">
      <alignment horizontal="center" vertical="center" wrapText="1"/>
    </xf>
    <xf numFmtId="166" fontId="166" fillId="0" borderId="4" xfId="1" applyNumberFormat="1" applyFont="1" applyFill="1" applyBorder="1" applyAlignment="1">
      <alignment horizontal="center" vertical="center" wrapText="1"/>
    </xf>
    <xf numFmtId="166" fontId="166" fillId="0" borderId="70" xfId="1" applyNumberFormat="1" applyFont="1" applyFill="1" applyBorder="1" applyAlignment="1">
      <alignment horizontal="center" vertical="center" wrapText="1"/>
    </xf>
    <xf numFmtId="166" fontId="166" fillId="0" borderId="71" xfId="1" applyNumberFormat="1" applyFont="1" applyFill="1" applyBorder="1" applyAlignment="1">
      <alignment horizontal="center" vertical="center" wrapText="1"/>
    </xf>
    <xf numFmtId="166" fontId="166" fillId="0" borderId="72" xfId="1" applyNumberFormat="1" applyFont="1" applyFill="1" applyBorder="1" applyAlignment="1">
      <alignment horizontal="center" vertical="center" wrapText="1"/>
    </xf>
    <xf numFmtId="171" fontId="166" fillId="0" borderId="69" xfId="1" applyNumberFormat="1" applyFont="1" applyFill="1" applyBorder="1" applyAlignment="1">
      <alignment horizontal="center" vertical="center" wrapText="1"/>
    </xf>
    <xf numFmtId="171" fontId="166" fillId="0" borderId="35" xfId="1" applyNumberFormat="1" applyFont="1" applyFill="1" applyBorder="1" applyAlignment="1">
      <alignment horizontal="center" vertical="center" wrapText="1"/>
    </xf>
    <xf numFmtId="171" fontId="166" fillId="0" borderId="66" xfId="1" applyNumberFormat="1" applyFont="1" applyFill="1" applyBorder="1" applyAlignment="1">
      <alignment horizontal="center" vertical="center" wrapText="1"/>
    </xf>
    <xf numFmtId="171" fontId="166" fillId="0" borderId="10" xfId="1" applyNumberFormat="1" applyFont="1" applyFill="1" applyBorder="1" applyAlignment="1">
      <alignment horizontal="center" vertical="center" wrapText="1"/>
    </xf>
    <xf numFmtId="171" fontId="166" fillId="0" borderId="67" xfId="1" applyNumberFormat="1" applyFont="1" applyFill="1" applyBorder="1" applyAlignment="1">
      <alignment horizontal="center" vertical="center" wrapText="1"/>
    </xf>
    <xf numFmtId="171" fontId="166" fillId="0" borderId="5" xfId="1" applyNumberFormat="1" applyFont="1" applyFill="1" applyBorder="1" applyAlignment="1">
      <alignment horizontal="center" vertical="center" wrapText="1"/>
    </xf>
    <xf numFmtId="3" fontId="166" fillId="0" borderId="10" xfId="23" applyNumberFormat="1" applyFont="1" applyFill="1" applyBorder="1" applyAlignment="1">
      <alignment horizontal="center" vertical="center" wrapText="1"/>
    </xf>
    <xf numFmtId="3" fontId="166" fillId="0" borderId="67" xfId="23" applyNumberFormat="1" applyFont="1" applyFill="1" applyBorder="1" applyAlignment="1">
      <alignment horizontal="center" vertical="center" wrapText="1"/>
    </xf>
    <xf numFmtId="3" fontId="166" fillId="0" borderId="5" xfId="23" applyNumberFormat="1" applyFont="1" applyFill="1" applyBorder="1" applyAlignment="1">
      <alignment horizontal="center" vertical="center" wrapText="1"/>
    </xf>
    <xf numFmtId="171" fontId="166" fillId="0" borderId="8" xfId="1" applyNumberFormat="1" applyFont="1" applyFill="1" applyBorder="1" applyAlignment="1">
      <alignment horizontal="center" vertical="center" wrapText="1"/>
    </xf>
    <xf numFmtId="171" fontId="166" fillId="0" borderId="6" xfId="1" applyNumberFormat="1" applyFont="1" applyFill="1" applyBorder="1" applyAlignment="1">
      <alignment horizontal="center" vertical="center" wrapText="1"/>
    </xf>
    <xf numFmtId="171" fontId="166" fillId="0" borderId="4" xfId="1" applyNumberFormat="1" applyFont="1" applyFill="1" applyBorder="1" applyAlignment="1">
      <alignment horizontal="center" vertical="center" wrapText="1"/>
    </xf>
    <xf numFmtId="10" fontId="46" fillId="0" borderId="0" xfId="42" applyNumberFormat="1" applyFont="1" applyFill="1" applyBorder="1" applyAlignment="1">
      <alignment horizontal="center"/>
    </xf>
    <xf numFmtId="3" fontId="21" fillId="0" borderId="0" xfId="0" applyNumberFormat="1" applyFont="1" applyFill="1" applyBorder="1" applyAlignment="1">
      <alignment horizontal="center"/>
    </xf>
    <xf numFmtId="3" fontId="32" fillId="0" borderId="0" xfId="23" applyNumberFormat="1" applyFont="1" applyFill="1" applyBorder="1" applyAlignment="1">
      <alignment horizontal="center"/>
    </xf>
    <xf numFmtId="3" fontId="67" fillId="0" borderId="0" xfId="0" applyNumberFormat="1" applyFont="1" applyFill="1" applyBorder="1" applyAlignment="1">
      <alignment horizontal="center"/>
    </xf>
    <xf numFmtId="3" fontId="32" fillId="0" borderId="0" xfId="0" applyNumberFormat="1" applyFont="1" applyFill="1" applyBorder="1" applyAlignment="1">
      <alignment horizontal="center"/>
    </xf>
    <xf numFmtId="3" fontId="46" fillId="0" borderId="0" xfId="0" applyNumberFormat="1" applyFont="1" applyFill="1" applyBorder="1" applyAlignment="1">
      <alignment horizontal="center"/>
    </xf>
    <xf numFmtId="3" fontId="33" fillId="0" borderId="0" xfId="0" applyNumberFormat="1" applyFont="1" applyFill="1" applyBorder="1" applyAlignment="1">
      <alignment horizontal="center"/>
    </xf>
    <xf numFmtId="0" fontId="20" fillId="0" borderId="0" xfId="23" applyAlignment="1">
      <alignment horizontal="center"/>
    </xf>
    <xf numFmtId="0" fontId="20" fillId="0" borderId="0" xfId="23" applyFont="1" applyBorder="1" applyAlignment="1">
      <alignment horizontal="center"/>
    </xf>
    <xf numFmtId="0" fontId="20" fillId="0" borderId="0" xfId="23" applyFont="1" applyFill="1" applyBorder="1" applyAlignment="1">
      <alignment horizontal="center"/>
    </xf>
    <xf numFmtId="0" fontId="20" fillId="0" borderId="1" xfId="23" applyFont="1" applyFill="1" applyBorder="1" applyAlignment="1">
      <alignment horizontal="center"/>
    </xf>
    <xf numFmtId="0" fontId="20" fillId="0" borderId="1" xfId="23" applyFill="1" applyBorder="1" applyAlignment="1">
      <alignment horizontal="center"/>
    </xf>
  </cellXfs>
  <cellStyles count="43044">
    <cellStyle name="%" xfId="23130"/>
    <cellStyle name="% 2" xfId="23131"/>
    <cellStyle name="20% - Accent1" xfId="169" builtinId="30" customBuiltin="1"/>
    <cellStyle name="20% - Accent1 10" xfId="715"/>
    <cellStyle name="20% - Accent1 10 2" xfId="1060"/>
    <cellStyle name="20% - Accent1 10 2 2" xfId="23903"/>
    <cellStyle name="20% - Accent1 10 3" xfId="22680"/>
    <cellStyle name="20% - Accent1 10 3 2" xfId="42554"/>
    <cellStyle name="20% - Accent1 10 4" xfId="23023"/>
    <cellStyle name="20% - Accent1 10 4 2" xfId="42897"/>
    <cellStyle name="20% - Accent1 10 5" xfId="23600"/>
    <cellStyle name="20% - Accent1 11" xfId="743"/>
    <cellStyle name="20% - Accent1 11 2" xfId="1076"/>
    <cellStyle name="20% - Accent1 11 2 2" xfId="23919"/>
    <cellStyle name="20% - Accent1 11 3" xfId="22707"/>
    <cellStyle name="20% - Accent1 11 3 2" xfId="42581"/>
    <cellStyle name="20% - Accent1 11 4" xfId="23039"/>
    <cellStyle name="20% - Accent1 11 4 2" xfId="42913"/>
    <cellStyle name="20% - Accent1 11 5" xfId="23616"/>
    <cellStyle name="20% - Accent1 12" xfId="769"/>
    <cellStyle name="20% - Accent1 12 2" xfId="1092"/>
    <cellStyle name="20% - Accent1 12 2 2" xfId="23935"/>
    <cellStyle name="20% - Accent1 12 3" xfId="22731"/>
    <cellStyle name="20% - Accent1 12 3 2" xfId="42605"/>
    <cellStyle name="20% - Accent1 12 4" xfId="23055"/>
    <cellStyle name="20% - Accent1 12 4 2" xfId="42929"/>
    <cellStyle name="20% - Accent1 12 5" xfId="23632"/>
    <cellStyle name="20% - Accent1 13" xfId="794"/>
    <cellStyle name="20% - Accent1 13 2" xfId="1108"/>
    <cellStyle name="20% - Accent1 13 2 2" xfId="23951"/>
    <cellStyle name="20% - Accent1 13 3" xfId="22709"/>
    <cellStyle name="20% - Accent1 13 3 2" xfId="42583"/>
    <cellStyle name="20% - Accent1 13 4" xfId="23071"/>
    <cellStyle name="20% - Accent1 13 4 2" xfId="42945"/>
    <cellStyle name="20% - Accent1 13 5" xfId="23648"/>
    <cellStyle name="20% - Accent1 14" xfId="816"/>
    <cellStyle name="20% - Accent1 14 2" xfId="1124"/>
    <cellStyle name="20% - Accent1 14 2 2" xfId="23967"/>
    <cellStyle name="20% - Accent1 14 3" xfId="22675"/>
    <cellStyle name="20% - Accent1 14 3 2" xfId="42549"/>
    <cellStyle name="20% - Accent1 14 4" xfId="23087"/>
    <cellStyle name="20% - Accent1 14 4 2" xfId="42961"/>
    <cellStyle name="20% - Accent1 14 5" xfId="23664"/>
    <cellStyle name="20% - Accent1 15" xfId="832"/>
    <cellStyle name="20% - Accent1 15 2" xfId="1140"/>
    <cellStyle name="20% - Accent1 15 2 2" xfId="23983"/>
    <cellStyle name="20% - Accent1 15 3" xfId="22667"/>
    <cellStyle name="20% - Accent1 15 3 2" xfId="42541"/>
    <cellStyle name="20% - Accent1 15 4" xfId="23103"/>
    <cellStyle name="20% - Accent1 15 4 2" xfId="42977"/>
    <cellStyle name="20% - Accent1 15 5" xfId="23680"/>
    <cellStyle name="20% - Accent1 16" xfId="856"/>
    <cellStyle name="20% - Accent1 16 2" xfId="23699"/>
    <cellStyle name="20% - Accent1 17" xfId="22819"/>
    <cellStyle name="20% - Accent1 17 2" xfId="42693"/>
    <cellStyle name="20% - Accent1 18" xfId="23393"/>
    <cellStyle name="20% - Accent1 2" xfId="487"/>
    <cellStyle name="20% - Accent1 2 2" xfId="932"/>
    <cellStyle name="20% - Accent1 2 2 2" xfId="6393"/>
    <cellStyle name="20% - Accent1 2 2 2 2" xfId="9479"/>
    <cellStyle name="20% - Accent1 2 2 2 2 2" xfId="15672"/>
    <cellStyle name="20% - Accent1 2 2 2 2 2 2" xfId="35555"/>
    <cellStyle name="20% - Accent1 2 2 2 2 3" xfId="21824"/>
    <cellStyle name="20% - Accent1 2 2 2 2 3 2" xfId="41707"/>
    <cellStyle name="20% - Accent1 2 2 2 2 4" xfId="29402"/>
    <cellStyle name="20% - Accent1 2 2 2 3" xfId="12606"/>
    <cellStyle name="20% - Accent1 2 2 2 3 2" xfId="32489"/>
    <cellStyle name="20% - Accent1 2 2 2 4" xfId="18758"/>
    <cellStyle name="20% - Accent1 2 2 2 4 2" xfId="38641"/>
    <cellStyle name="20% - Accent1 2 2 2 5" xfId="26336"/>
    <cellStyle name="20% - Accent1 2 2 3" xfId="7944"/>
    <cellStyle name="20% - Accent1 2 2 3 2" xfId="14138"/>
    <cellStyle name="20% - Accent1 2 2 3 2 2" xfId="34021"/>
    <cellStyle name="20% - Accent1 2 2 3 3" xfId="20290"/>
    <cellStyle name="20% - Accent1 2 2 3 3 2" xfId="40173"/>
    <cellStyle name="20% - Accent1 2 2 3 4" xfId="27868"/>
    <cellStyle name="20% - Accent1 2 2 4" xfId="11072"/>
    <cellStyle name="20% - Accent1 2 2 4 2" xfId="30955"/>
    <cellStyle name="20% - Accent1 2 2 5" xfId="17224"/>
    <cellStyle name="20% - Accent1 2 2 5 2" xfId="37107"/>
    <cellStyle name="20% - Accent1 2 2 6" xfId="4768"/>
    <cellStyle name="20% - Accent1 2 2 6 2" xfId="24802"/>
    <cellStyle name="20% - Accent1 2 2 7" xfId="23775"/>
    <cellStyle name="20% - Accent1 2 3" xfId="5607"/>
    <cellStyle name="20% - Accent1 2 3 2" xfId="8710"/>
    <cellStyle name="20% - Accent1 2 3 2 2" xfId="14903"/>
    <cellStyle name="20% - Accent1 2 3 2 2 2" xfId="34786"/>
    <cellStyle name="20% - Accent1 2 3 2 3" xfId="21055"/>
    <cellStyle name="20% - Accent1 2 3 2 3 2" xfId="40938"/>
    <cellStyle name="20% - Accent1 2 3 2 4" xfId="28633"/>
    <cellStyle name="20% - Accent1 2 3 3" xfId="11837"/>
    <cellStyle name="20% - Accent1 2 3 3 2" xfId="31720"/>
    <cellStyle name="20% - Accent1 2 3 4" xfId="17989"/>
    <cellStyle name="20% - Accent1 2 3 4 2" xfId="37872"/>
    <cellStyle name="20% - Accent1 2 3 5" xfId="25567"/>
    <cellStyle name="20% - Accent1 2 4" xfId="7175"/>
    <cellStyle name="20% - Accent1 2 4 2" xfId="13369"/>
    <cellStyle name="20% - Accent1 2 4 2 2" xfId="33252"/>
    <cellStyle name="20% - Accent1 2 4 3" xfId="19521"/>
    <cellStyle name="20% - Accent1 2 4 3 2" xfId="39404"/>
    <cellStyle name="20% - Accent1 2 4 4" xfId="27099"/>
    <cellStyle name="20% - Accent1 2 5" xfId="10303"/>
    <cellStyle name="20% - Accent1 2 5 2" xfId="30186"/>
    <cellStyle name="20% - Accent1 2 6" xfId="16455"/>
    <cellStyle name="20% - Accent1 2 6 2" xfId="36338"/>
    <cellStyle name="20% - Accent1 2 7" xfId="1328"/>
    <cellStyle name="20% - Accent1 2 7 2" xfId="24033"/>
    <cellStyle name="20% - Accent1 2 8" xfId="22895"/>
    <cellStyle name="20% - Accent1 2 8 2" xfId="42769"/>
    <cellStyle name="20% - Accent1 2 9" xfId="23472"/>
    <cellStyle name="20% - Accent1 3" xfId="518"/>
    <cellStyle name="20% - Accent1 3 2" xfId="948"/>
    <cellStyle name="20% - Accent1 3 2 2" xfId="6394"/>
    <cellStyle name="20% - Accent1 3 2 2 2" xfId="9480"/>
    <cellStyle name="20% - Accent1 3 2 2 2 2" xfId="15673"/>
    <cellStyle name="20% - Accent1 3 2 2 2 2 2" xfId="35556"/>
    <cellStyle name="20% - Accent1 3 2 2 2 3" xfId="21825"/>
    <cellStyle name="20% - Accent1 3 2 2 2 3 2" xfId="41708"/>
    <cellStyle name="20% - Accent1 3 2 2 2 4" xfId="29403"/>
    <cellStyle name="20% - Accent1 3 2 2 3" xfId="12607"/>
    <cellStyle name="20% - Accent1 3 2 2 3 2" xfId="32490"/>
    <cellStyle name="20% - Accent1 3 2 2 4" xfId="18759"/>
    <cellStyle name="20% - Accent1 3 2 2 4 2" xfId="38642"/>
    <cellStyle name="20% - Accent1 3 2 2 5" xfId="26337"/>
    <cellStyle name="20% - Accent1 3 2 3" xfId="7945"/>
    <cellStyle name="20% - Accent1 3 2 3 2" xfId="14139"/>
    <cellStyle name="20% - Accent1 3 2 3 2 2" xfId="34022"/>
    <cellStyle name="20% - Accent1 3 2 3 3" xfId="20291"/>
    <cellStyle name="20% - Accent1 3 2 3 3 2" xfId="40174"/>
    <cellStyle name="20% - Accent1 3 2 3 4" xfId="27869"/>
    <cellStyle name="20% - Accent1 3 2 4" xfId="11073"/>
    <cellStyle name="20% - Accent1 3 2 4 2" xfId="30956"/>
    <cellStyle name="20% - Accent1 3 2 5" xfId="17225"/>
    <cellStyle name="20% - Accent1 3 2 5 2" xfId="37108"/>
    <cellStyle name="20% - Accent1 3 2 6" xfId="4769"/>
    <cellStyle name="20% - Accent1 3 2 6 2" xfId="24803"/>
    <cellStyle name="20% - Accent1 3 2 7" xfId="23791"/>
    <cellStyle name="20% - Accent1 3 3" xfId="5608"/>
    <cellStyle name="20% - Accent1 3 3 2" xfId="8711"/>
    <cellStyle name="20% - Accent1 3 3 2 2" xfId="14904"/>
    <cellStyle name="20% - Accent1 3 3 2 2 2" xfId="34787"/>
    <cellStyle name="20% - Accent1 3 3 2 3" xfId="21056"/>
    <cellStyle name="20% - Accent1 3 3 2 3 2" xfId="40939"/>
    <cellStyle name="20% - Accent1 3 3 2 4" xfId="28634"/>
    <cellStyle name="20% - Accent1 3 3 3" xfId="11838"/>
    <cellStyle name="20% - Accent1 3 3 3 2" xfId="31721"/>
    <cellStyle name="20% - Accent1 3 3 4" xfId="17990"/>
    <cellStyle name="20% - Accent1 3 3 4 2" xfId="37873"/>
    <cellStyle name="20% - Accent1 3 3 5" xfId="25568"/>
    <cellStyle name="20% - Accent1 3 4" xfId="7176"/>
    <cellStyle name="20% - Accent1 3 4 2" xfId="13370"/>
    <cellStyle name="20% - Accent1 3 4 2 2" xfId="33253"/>
    <cellStyle name="20% - Accent1 3 4 3" xfId="19522"/>
    <cellStyle name="20% - Accent1 3 4 3 2" xfId="39405"/>
    <cellStyle name="20% - Accent1 3 4 4" xfId="27100"/>
    <cellStyle name="20% - Accent1 3 5" xfId="10304"/>
    <cellStyle name="20% - Accent1 3 5 2" xfId="30187"/>
    <cellStyle name="20% - Accent1 3 6" xfId="16456"/>
    <cellStyle name="20% - Accent1 3 6 2" xfId="36339"/>
    <cellStyle name="20% - Accent1 3 7" xfId="1329"/>
    <cellStyle name="20% - Accent1 3 7 2" xfId="24034"/>
    <cellStyle name="20% - Accent1 3 8" xfId="22911"/>
    <cellStyle name="20% - Accent1 3 8 2" xfId="42785"/>
    <cellStyle name="20% - Accent1 3 9" xfId="23488"/>
    <cellStyle name="20% - Accent1 4" xfId="546"/>
    <cellStyle name="20% - Accent1 4 2" xfId="964"/>
    <cellStyle name="20% - Accent1 4 2 2" xfId="6395"/>
    <cellStyle name="20% - Accent1 4 2 2 2" xfId="9481"/>
    <cellStyle name="20% - Accent1 4 2 2 2 2" xfId="15674"/>
    <cellStyle name="20% - Accent1 4 2 2 2 2 2" xfId="35557"/>
    <cellStyle name="20% - Accent1 4 2 2 2 3" xfId="21826"/>
    <cellStyle name="20% - Accent1 4 2 2 2 3 2" xfId="41709"/>
    <cellStyle name="20% - Accent1 4 2 2 2 4" xfId="29404"/>
    <cellStyle name="20% - Accent1 4 2 2 3" xfId="12608"/>
    <cellStyle name="20% - Accent1 4 2 2 3 2" xfId="32491"/>
    <cellStyle name="20% - Accent1 4 2 2 4" xfId="18760"/>
    <cellStyle name="20% - Accent1 4 2 2 4 2" xfId="38643"/>
    <cellStyle name="20% - Accent1 4 2 2 5" xfId="26338"/>
    <cellStyle name="20% - Accent1 4 2 3" xfId="7946"/>
    <cellStyle name="20% - Accent1 4 2 3 2" xfId="14140"/>
    <cellStyle name="20% - Accent1 4 2 3 2 2" xfId="34023"/>
    <cellStyle name="20% - Accent1 4 2 3 3" xfId="20292"/>
    <cellStyle name="20% - Accent1 4 2 3 3 2" xfId="40175"/>
    <cellStyle name="20% - Accent1 4 2 3 4" xfId="27870"/>
    <cellStyle name="20% - Accent1 4 2 4" xfId="11074"/>
    <cellStyle name="20% - Accent1 4 2 4 2" xfId="30957"/>
    <cellStyle name="20% - Accent1 4 2 5" xfId="17226"/>
    <cellStyle name="20% - Accent1 4 2 5 2" xfId="37109"/>
    <cellStyle name="20% - Accent1 4 2 6" xfId="4770"/>
    <cellStyle name="20% - Accent1 4 2 6 2" xfId="24804"/>
    <cellStyle name="20% - Accent1 4 2 7" xfId="23807"/>
    <cellStyle name="20% - Accent1 4 3" xfId="5609"/>
    <cellStyle name="20% - Accent1 4 3 2" xfId="8712"/>
    <cellStyle name="20% - Accent1 4 3 2 2" xfId="14905"/>
    <cellStyle name="20% - Accent1 4 3 2 2 2" xfId="34788"/>
    <cellStyle name="20% - Accent1 4 3 2 3" xfId="21057"/>
    <cellStyle name="20% - Accent1 4 3 2 3 2" xfId="40940"/>
    <cellStyle name="20% - Accent1 4 3 2 4" xfId="28635"/>
    <cellStyle name="20% - Accent1 4 3 3" xfId="11839"/>
    <cellStyle name="20% - Accent1 4 3 3 2" xfId="31722"/>
    <cellStyle name="20% - Accent1 4 3 4" xfId="17991"/>
    <cellStyle name="20% - Accent1 4 3 4 2" xfId="37874"/>
    <cellStyle name="20% - Accent1 4 3 5" xfId="25569"/>
    <cellStyle name="20% - Accent1 4 4" xfId="7177"/>
    <cellStyle name="20% - Accent1 4 4 2" xfId="13371"/>
    <cellStyle name="20% - Accent1 4 4 2 2" xfId="33254"/>
    <cellStyle name="20% - Accent1 4 4 3" xfId="19523"/>
    <cellStyle name="20% - Accent1 4 4 3 2" xfId="39406"/>
    <cellStyle name="20% - Accent1 4 4 4" xfId="27101"/>
    <cellStyle name="20% - Accent1 4 5" xfId="10305"/>
    <cellStyle name="20% - Accent1 4 5 2" xfId="30188"/>
    <cellStyle name="20% - Accent1 4 6" xfId="16457"/>
    <cellStyle name="20% - Accent1 4 6 2" xfId="36340"/>
    <cellStyle name="20% - Accent1 4 7" xfId="1330"/>
    <cellStyle name="20% - Accent1 4 7 2" xfId="24035"/>
    <cellStyle name="20% - Accent1 4 8" xfId="22927"/>
    <cellStyle name="20% - Accent1 4 8 2" xfId="42801"/>
    <cellStyle name="20% - Accent1 4 9" xfId="23504"/>
    <cellStyle name="20% - Accent1 5" xfId="573"/>
    <cellStyle name="20% - Accent1 5 10" xfId="23520"/>
    <cellStyle name="20% - Accent1 5 2" xfId="980"/>
    <cellStyle name="20% - Accent1 5 2 2" xfId="6396"/>
    <cellStyle name="20% - Accent1 5 2 2 2" xfId="9482"/>
    <cellStyle name="20% - Accent1 5 2 2 2 2" xfId="15675"/>
    <cellStyle name="20% - Accent1 5 2 2 2 2 2" xfId="35558"/>
    <cellStyle name="20% - Accent1 5 2 2 2 3" xfId="21827"/>
    <cellStyle name="20% - Accent1 5 2 2 2 3 2" xfId="41710"/>
    <cellStyle name="20% - Accent1 5 2 2 2 4" xfId="29405"/>
    <cellStyle name="20% - Accent1 5 2 2 3" xfId="12609"/>
    <cellStyle name="20% - Accent1 5 2 2 3 2" xfId="32492"/>
    <cellStyle name="20% - Accent1 5 2 2 4" xfId="18761"/>
    <cellStyle name="20% - Accent1 5 2 2 4 2" xfId="38644"/>
    <cellStyle name="20% - Accent1 5 2 2 5" xfId="26339"/>
    <cellStyle name="20% - Accent1 5 2 3" xfId="7947"/>
    <cellStyle name="20% - Accent1 5 2 3 2" xfId="14141"/>
    <cellStyle name="20% - Accent1 5 2 3 2 2" xfId="34024"/>
    <cellStyle name="20% - Accent1 5 2 3 3" xfId="20293"/>
    <cellStyle name="20% - Accent1 5 2 3 3 2" xfId="40176"/>
    <cellStyle name="20% - Accent1 5 2 3 4" xfId="27871"/>
    <cellStyle name="20% - Accent1 5 2 4" xfId="11075"/>
    <cellStyle name="20% - Accent1 5 2 4 2" xfId="30958"/>
    <cellStyle name="20% - Accent1 5 2 5" xfId="17227"/>
    <cellStyle name="20% - Accent1 5 2 5 2" xfId="37110"/>
    <cellStyle name="20% - Accent1 5 2 6" xfId="4771"/>
    <cellStyle name="20% - Accent1 5 2 6 2" xfId="24805"/>
    <cellStyle name="20% - Accent1 5 2 7" xfId="23823"/>
    <cellStyle name="20% - Accent1 5 3" xfId="5610"/>
    <cellStyle name="20% - Accent1 5 3 2" xfId="8713"/>
    <cellStyle name="20% - Accent1 5 3 2 2" xfId="14906"/>
    <cellStyle name="20% - Accent1 5 3 2 2 2" xfId="34789"/>
    <cellStyle name="20% - Accent1 5 3 2 3" xfId="21058"/>
    <cellStyle name="20% - Accent1 5 3 2 3 2" xfId="40941"/>
    <cellStyle name="20% - Accent1 5 3 2 4" xfId="28636"/>
    <cellStyle name="20% - Accent1 5 3 3" xfId="11840"/>
    <cellStyle name="20% - Accent1 5 3 3 2" xfId="31723"/>
    <cellStyle name="20% - Accent1 5 3 4" xfId="17992"/>
    <cellStyle name="20% - Accent1 5 3 4 2" xfId="37875"/>
    <cellStyle name="20% - Accent1 5 3 5" xfId="25570"/>
    <cellStyle name="20% - Accent1 5 4" xfId="7178"/>
    <cellStyle name="20% - Accent1 5 4 2" xfId="13372"/>
    <cellStyle name="20% - Accent1 5 4 2 2" xfId="33255"/>
    <cellStyle name="20% - Accent1 5 4 3" xfId="19524"/>
    <cellStyle name="20% - Accent1 5 4 3 2" xfId="39407"/>
    <cellStyle name="20% - Accent1 5 4 4" xfId="27102"/>
    <cellStyle name="20% - Accent1 5 5" xfId="10306"/>
    <cellStyle name="20% - Accent1 5 5 2" xfId="30189"/>
    <cellStyle name="20% - Accent1 5 6" xfId="16458"/>
    <cellStyle name="20% - Accent1 5 6 2" xfId="36341"/>
    <cellStyle name="20% - Accent1 5 7" xfId="1331"/>
    <cellStyle name="20% - Accent1 5 7 2" xfId="24036"/>
    <cellStyle name="20% - Accent1 5 8" xfId="22749"/>
    <cellStyle name="20% - Accent1 5 8 2" xfId="42623"/>
    <cellStyle name="20% - Accent1 5 9" xfId="22943"/>
    <cellStyle name="20% - Accent1 5 9 2" xfId="42817"/>
    <cellStyle name="20% - Accent1 6" xfId="600"/>
    <cellStyle name="20% - Accent1 6 2" xfId="996"/>
    <cellStyle name="20% - Accent1 6 2 2" xfId="23839"/>
    <cellStyle name="20% - Accent1 6 3" xfId="1332"/>
    <cellStyle name="20% - Accent1 6 4" xfId="22766"/>
    <cellStyle name="20% - Accent1 6 4 2" xfId="42640"/>
    <cellStyle name="20% - Accent1 6 5" xfId="22959"/>
    <cellStyle name="20% - Accent1 6 5 2" xfId="42833"/>
    <cellStyle name="20% - Accent1 6 6" xfId="23536"/>
    <cellStyle name="20% - Accent1 7" xfId="624"/>
    <cellStyle name="20% - Accent1 7 2" xfId="1012"/>
    <cellStyle name="20% - Accent1 7 2 2" xfId="23855"/>
    <cellStyle name="20% - Accent1 7 3" xfId="22598"/>
    <cellStyle name="20% - Accent1 7 3 2" xfId="42472"/>
    <cellStyle name="20% - Accent1 7 4" xfId="22975"/>
    <cellStyle name="20% - Accent1 7 4 2" xfId="42849"/>
    <cellStyle name="20% - Accent1 7 5" xfId="23552"/>
    <cellStyle name="20% - Accent1 8" xfId="648"/>
    <cellStyle name="20% - Accent1 8 2" xfId="1028"/>
    <cellStyle name="20% - Accent1 8 2 2" xfId="23871"/>
    <cellStyle name="20% - Accent1 8 3" xfId="22814"/>
    <cellStyle name="20% - Accent1 8 3 2" xfId="42688"/>
    <cellStyle name="20% - Accent1 8 4" xfId="22991"/>
    <cellStyle name="20% - Accent1 8 4 2" xfId="42865"/>
    <cellStyle name="20% - Accent1 8 5" xfId="23568"/>
    <cellStyle name="20% - Accent1 9" xfId="686"/>
    <cellStyle name="20% - Accent1 9 2" xfId="1044"/>
    <cellStyle name="20% - Accent1 9 2 2" xfId="23887"/>
    <cellStyle name="20% - Accent1 9 3" xfId="22774"/>
    <cellStyle name="20% - Accent1 9 3 2" xfId="42648"/>
    <cellStyle name="20% - Accent1 9 4" xfId="23007"/>
    <cellStyle name="20% - Accent1 9 4 2" xfId="42881"/>
    <cellStyle name="20% - Accent1 9 5" xfId="23584"/>
    <cellStyle name="20% - Accent2" xfId="173" builtinId="34" customBuiltin="1"/>
    <cellStyle name="20% - Accent2 10" xfId="718"/>
    <cellStyle name="20% - Accent2 10 2" xfId="1062"/>
    <cellStyle name="20% - Accent2 10 2 2" xfId="23905"/>
    <cellStyle name="20% - Accent2 10 3" xfId="22641"/>
    <cellStyle name="20% - Accent2 10 3 2" xfId="42515"/>
    <cellStyle name="20% - Accent2 10 4" xfId="23025"/>
    <cellStyle name="20% - Accent2 10 4 2" xfId="42899"/>
    <cellStyle name="20% - Accent2 10 5" xfId="23602"/>
    <cellStyle name="20% - Accent2 11" xfId="746"/>
    <cellStyle name="20% - Accent2 11 2" xfId="1078"/>
    <cellStyle name="20% - Accent2 11 2 2" xfId="23921"/>
    <cellStyle name="20% - Accent2 11 3" xfId="22768"/>
    <cellStyle name="20% - Accent2 11 3 2" xfId="42642"/>
    <cellStyle name="20% - Accent2 11 4" xfId="23041"/>
    <cellStyle name="20% - Accent2 11 4 2" xfId="42915"/>
    <cellStyle name="20% - Accent2 11 5" xfId="23618"/>
    <cellStyle name="20% - Accent2 12" xfId="772"/>
    <cellStyle name="20% - Accent2 12 2" xfId="1094"/>
    <cellStyle name="20% - Accent2 12 2 2" xfId="23937"/>
    <cellStyle name="20% - Accent2 12 3" xfId="22739"/>
    <cellStyle name="20% - Accent2 12 3 2" xfId="42613"/>
    <cellStyle name="20% - Accent2 12 4" xfId="23057"/>
    <cellStyle name="20% - Accent2 12 4 2" xfId="42931"/>
    <cellStyle name="20% - Accent2 12 5" xfId="23634"/>
    <cellStyle name="20% - Accent2 13" xfId="796"/>
    <cellStyle name="20% - Accent2 13 2" xfId="1110"/>
    <cellStyle name="20% - Accent2 13 2 2" xfId="23953"/>
    <cellStyle name="20% - Accent2 13 3" xfId="22770"/>
    <cellStyle name="20% - Accent2 13 3 2" xfId="42644"/>
    <cellStyle name="20% - Accent2 13 4" xfId="23073"/>
    <cellStyle name="20% - Accent2 13 4 2" xfId="42947"/>
    <cellStyle name="20% - Accent2 13 5" xfId="23650"/>
    <cellStyle name="20% - Accent2 14" xfId="818"/>
    <cellStyle name="20% - Accent2 14 2" xfId="1126"/>
    <cellStyle name="20% - Accent2 14 2 2" xfId="23969"/>
    <cellStyle name="20% - Accent2 14 3" xfId="22601"/>
    <cellStyle name="20% - Accent2 14 3 2" xfId="42475"/>
    <cellStyle name="20% - Accent2 14 4" xfId="23089"/>
    <cellStyle name="20% - Accent2 14 4 2" xfId="42963"/>
    <cellStyle name="20% - Accent2 14 5" xfId="23666"/>
    <cellStyle name="20% - Accent2 15" xfId="834"/>
    <cellStyle name="20% - Accent2 15 2" xfId="1142"/>
    <cellStyle name="20% - Accent2 15 2 2" xfId="23985"/>
    <cellStyle name="20% - Accent2 15 3" xfId="22659"/>
    <cellStyle name="20% - Accent2 15 3 2" xfId="42533"/>
    <cellStyle name="20% - Accent2 15 4" xfId="23105"/>
    <cellStyle name="20% - Accent2 15 4 2" xfId="42979"/>
    <cellStyle name="20% - Accent2 15 5" xfId="23682"/>
    <cellStyle name="20% - Accent2 16" xfId="858"/>
    <cellStyle name="20% - Accent2 16 2" xfId="23701"/>
    <cellStyle name="20% - Accent2 17" xfId="22821"/>
    <cellStyle name="20% - Accent2 17 2" xfId="42695"/>
    <cellStyle name="20% - Accent2 18" xfId="23395"/>
    <cellStyle name="20% - Accent2 2" xfId="491"/>
    <cellStyle name="20% - Accent2 2 2" xfId="934"/>
    <cellStyle name="20% - Accent2 2 2 2" xfId="6397"/>
    <cellStyle name="20% - Accent2 2 2 2 2" xfId="9483"/>
    <cellStyle name="20% - Accent2 2 2 2 2 2" xfId="15676"/>
    <cellStyle name="20% - Accent2 2 2 2 2 2 2" xfId="35559"/>
    <cellStyle name="20% - Accent2 2 2 2 2 3" xfId="21828"/>
    <cellStyle name="20% - Accent2 2 2 2 2 3 2" xfId="41711"/>
    <cellStyle name="20% - Accent2 2 2 2 2 4" xfId="29406"/>
    <cellStyle name="20% - Accent2 2 2 2 3" xfId="12610"/>
    <cellStyle name="20% - Accent2 2 2 2 3 2" xfId="32493"/>
    <cellStyle name="20% - Accent2 2 2 2 4" xfId="18762"/>
    <cellStyle name="20% - Accent2 2 2 2 4 2" xfId="38645"/>
    <cellStyle name="20% - Accent2 2 2 2 5" xfId="26340"/>
    <cellStyle name="20% - Accent2 2 2 3" xfId="7948"/>
    <cellStyle name="20% - Accent2 2 2 3 2" xfId="14142"/>
    <cellStyle name="20% - Accent2 2 2 3 2 2" xfId="34025"/>
    <cellStyle name="20% - Accent2 2 2 3 3" xfId="20294"/>
    <cellStyle name="20% - Accent2 2 2 3 3 2" xfId="40177"/>
    <cellStyle name="20% - Accent2 2 2 3 4" xfId="27872"/>
    <cellStyle name="20% - Accent2 2 2 4" xfId="11076"/>
    <cellStyle name="20% - Accent2 2 2 4 2" xfId="30959"/>
    <cellStyle name="20% - Accent2 2 2 5" xfId="17228"/>
    <cellStyle name="20% - Accent2 2 2 5 2" xfId="37111"/>
    <cellStyle name="20% - Accent2 2 2 6" xfId="4772"/>
    <cellStyle name="20% - Accent2 2 2 6 2" xfId="24806"/>
    <cellStyle name="20% - Accent2 2 2 7" xfId="23777"/>
    <cellStyle name="20% - Accent2 2 3" xfId="5611"/>
    <cellStyle name="20% - Accent2 2 3 2" xfId="8714"/>
    <cellStyle name="20% - Accent2 2 3 2 2" xfId="14907"/>
    <cellStyle name="20% - Accent2 2 3 2 2 2" xfId="34790"/>
    <cellStyle name="20% - Accent2 2 3 2 3" xfId="21059"/>
    <cellStyle name="20% - Accent2 2 3 2 3 2" xfId="40942"/>
    <cellStyle name="20% - Accent2 2 3 2 4" xfId="28637"/>
    <cellStyle name="20% - Accent2 2 3 3" xfId="11841"/>
    <cellStyle name="20% - Accent2 2 3 3 2" xfId="31724"/>
    <cellStyle name="20% - Accent2 2 3 4" xfId="17993"/>
    <cellStyle name="20% - Accent2 2 3 4 2" xfId="37876"/>
    <cellStyle name="20% - Accent2 2 3 5" xfId="25571"/>
    <cellStyle name="20% - Accent2 2 4" xfId="7179"/>
    <cellStyle name="20% - Accent2 2 4 2" xfId="13373"/>
    <cellStyle name="20% - Accent2 2 4 2 2" xfId="33256"/>
    <cellStyle name="20% - Accent2 2 4 3" xfId="19525"/>
    <cellStyle name="20% - Accent2 2 4 3 2" xfId="39408"/>
    <cellStyle name="20% - Accent2 2 4 4" xfId="27103"/>
    <cellStyle name="20% - Accent2 2 5" xfId="10307"/>
    <cellStyle name="20% - Accent2 2 5 2" xfId="30190"/>
    <cellStyle name="20% - Accent2 2 6" xfId="16459"/>
    <cellStyle name="20% - Accent2 2 6 2" xfId="36342"/>
    <cellStyle name="20% - Accent2 2 7" xfId="1333"/>
    <cellStyle name="20% - Accent2 2 7 2" xfId="24037"/>
    <cellStyle name="20% - Accent2 2 8" xfId="22897"/>
    <cellStyle name="20% - Accent2 2 8 2" xfId="42771"/>
    <cellStyle name="20% - Accent2 2 9" xfId="23474"/>
    <cellStyle name="20% - Accent2 3" xfId="521"/>
    <cellStyle name="20% - Accent2 3 2" xfId="950"/>
    <cellStyle name="20% - Accent2 3 2 2" xfId="6398"/>
    <cellStyle name="20% - Accent2 3 2 2 2" xfId="9484"/>
    <cellStyle name="20% - Accent2 3 2 2 2 2" xfId="15677"/>
    <cellStyle name="20% - Accent2 3 2 2 2 2 2" xfId="35560"/>
    <cellStyle name="20% - Accent2 3 2 2 2 3" xfId="21829"/>
    <cellStyle name="20% - Accent2 3 2 2 2 3 2" xfId="41712"/>
    <cellStyle name="20% - Accent2 3 2 2 2 4" xfId="29407"/>
    <cellStyle name="20% - Accent2 3 2 2 3" xfId="12611"/>
    <cellStyle name="20% - Accent2 3 2 2 3 2" xfId="32494"/>
    <cellStyle name="20% - Accent2 3 2 2 4" xfId="18763"/>
    <cellStyle name="20% - Accent2 3 2 2 4 2" xfId="38646"/>
    <cellStyle name="20% - Accent2 3 2 2 5" xfId="26341"/>
    <cellStyle name="20% - Accent2 3 2 3" xfId="7949"/>
    <cellStyle name="20% - Accent2 3 2 3 2" xfId="14143"/>
    <cellStyle name="20% - Accent2 3 2 3 2 2" xfId="34026"/>
    <cellStyle name="20% - Accent2 3 2 3 3" xfId="20295"/>
    <cellStyle name="20% - Accent2 3 2 3 3 2" xfId="40178"/>
    <cellStyle name="20% - Accent2 3 2 3 4" xfId="27873"/>
    <cellStyle name="20% - Accent2 3 2 4" xfId="11077"/>
    <cellStyle name="20% - Accent2 3 2 4 2" xfId="30960"/>
    <cellStyle name="20% - Accent2 3 2 5" xfId="17229"/>
    <cellStyle name="20% - Accent2 3 2 5 2" xfId="37112"/>
    <cellStyle name="20% - Accent2 3 2 6" xfId="4773"/>
    <cellStyle name="20% - Accent2 3 2 6 2" xfId="24807"/>
    <cellStyle name="20% - Accent2 3 2 7" xfId="23793"/>
    <cellStyle name="20% - Accent2 3 3" xfId="5612"/>
    <cellStyle name="20% - Accent2 3 3 2" xfId="8715"/>
    <cellStyle name="20% - Accent2 3 3 2 2" xfId="14908"/>
    <cellStyle name="20% - Accent2 3 3 2 2 2" xfId="34791"/>
    <cellStyle name="20% - Accent2 3 3 2 3" xfId="21060"/>
    <cellStyle name="20% - Accent2 3 3 2 3 2" xfId="40943"/>
    <cellStyle name="20% - Accent2 3 3 2 4" xfId="28638"/>
    <cellStyle name="20% - Accent2 3 3 3" xfId="11842"/>
    <cellStyle name="20% - Accent2 3 3 3 2" xfId="31725"/>
    <cellStyle name="20% - Accent2 3 3 4" xfId="17994"/>
    <cellStyle name="20% - Accent2 3 3 4 2" xfId="37877"/>
    <cellStyle name="20% - Accent2 3 3 5" xfId="25572"/>
    <cellStyle name="20% - Accent2 3 4" xfId="7180"/>
    <cellStyle name="20% - Accent2 3 4 2" xfId="13374"/>
    <cellStyle name="20% - Accent2 3 4 2 2" xfId="33257"/>
    <cellStyle name="20% - Accent2 3 4 3" xfId="19526"/>
    <cellStyle name="20% - Accent2 3 4 3 2" xfId="39409"/>
    <cellStyle name="20% - Accent2 3 4 4" xfId="27104"/>
    <cellStyle name="20% - Accent2 3 5" xfId="10308"/>
    <cellStyle name="20% - Accent2 3 5 2" xfId="30191"/>
    <cellStyle name="20% - Accent2 3 6" xfId="16460"/>
    <cellStyle name="20% - Accent2 3 6 2" xfId="36343"/>
    <cellStyle name="20% - Accent2 3 7" xfId="1334"/>
    <cellStyle name="20% - Accent2 3 7 2" xfId="24038"/>
    <cellStyle name="20% - Accent2 3 8" xfId="22913"/>
    <cellStyle name="20% - Accent2 3 8 2" xfId="42787"/>
    <cellStyle name="20% - Accent2 3 9" xfId="23490"/>
    <cellStyle name="20% - Accent2 4" xfId="549"/>
    <cellStyle name="20% - Accent2 4 2" xfId="966"/>
    <cellStyle name="20% - Accent2 4 2 2" xfId="6399"/>
    <cellStyle name="20% - Accent2 4 2 2 2" xfId="9485"/>
    <cellStyle name="20% - Accent2 4 2 2 2 2" xfId="15678"/>
    <cellStyle name="20% - Accent2 4 2 2 2 2 2" xfId="35561"/>
    <cellStyle name="20% - Accent2 4 2 2 2 3" xfId="21830"/>
    <cellStyle name="20% - Accent2 4 2 2 2 3 2" xfId="41713"/>
    <cellStyle name="20% - Accent2 4 2 2 2 4" xfId="29408"/>
    <cellStyle name="20% - Accent2 4 2 2 3" xfId="12612"/>
    <cellStyle name="20% - Accent2 4 2 2 3 2" xfId="32495"/>
    <cellStyle name="20% - Accent2 4 2 2 4" xfId="18764"/>
    <cellStyle name="20% - Accent2 4 2 2 4 2" xfId="38647"/>
    <cellStyle name="20% - Accent2 4 2 2 5" xfId="26342"/>
    <cellStyle name="20% - Accent2 4 2 3" xfId="7950"/>
    <cellStyle name="20% - Accent2 4 2 3 2" xfId="14144"/>
    <cellStyle name="20% - Accent2 4 2 3 2 2" xfId="34027"/>
    <cellStyle name="20% - Accent2 4 2 3 3" xfId="20296"/>
    <cellStyle name="20% - Accent2 4 2 3 3 2" xfId="40179"/>
    <cellStyle name="20% - Accent2 4 2 3 4" xfId="27874"/>
    <cellStyle name="20% - Accent2 4 2 4" xfId="11078"/>
    <cellStyle name="20% - Accent2 4 2 4 2" xfId="30961"/>
    <cellStyle name="20% - Accent2 4 2 5" xfId="17230"/>
    <cellStyle name="20% - Accent2 4 2 5 2" xfId="37113"/>
    <cellStyle name="20% - Accent2 4 2 6" xfId="4774"/>
    <cellStyle name="20% - Accent2 4 2 6 2" xfId="24808"/>
    <cellStyle name="20% - Accent2 4 2 7" xfId="23809"/>
    <cellStyle name="20% - Accent2 4 3" xfId="5613"/>
    <cellStyle name="20% - Accent2 4 3 2" xfId="8716"/>
    <cellStyle name="20% - Accent2 4 3 2 2" xfId="14909"/>
    <cellStyle name="20% - Accent2 4 3 2 2 2" xfId="34792"/>
    <cellStyle name="20% - Accent2 4 3 2 3" xfId="21061"/>
    <cellStyle name="20% - Accent2 4 3 2 3 2" xfId="40944"/>
    <cellStyle name="20% - Accent2 4 3 2 4" xfId="28639"/>
    <cellStyle name="20% - Accent2 4 3 3" xfId="11843"/>
    <cellStyle name="20% - Accent2 4 3 3 2" xfId="31726"/>
    <cellStyle name="20% - Accent2 4 3 4" xfId="17995"/>
    <cellStyle name="20% - Accent2 4 3 4 2" xfId="37878"/>
    <cellStyle name="20% - Accent2 4 3 5" xfId="25573"/>
    <cellStyle name="20% - Accent2 4 4" xfId="7181"/>
    <cellStyle name="20% - Accent2 4 4 2" xfId="13375"/>
    <cellStyle name="20% - Accent2 4 4 2 2" xfId="33258"/>
    <cellStyle name="20% - Accent2 4 4 3" xfId="19527"/>
    <cellStyle name="20% - Accent2 4 4 3 2" xfId="39410"/>
    <cellStyle name="20% - Accent2 4 4 4" xfId="27105"/>
    <cellStyle name="20% - Accent2 4 5" xfId="10309"/>
    <cellStyle name="20% - Accent2 4 5 2" xfId="30192"/>
    <cellStyle name="20% - Accent2 4 6" xfId="16461"/>
    <cellStyle name="20% - Accent2 4 6 2" xfId="36344"/>
    <cellStyle name="20% - Accent2 4 7" xfId="1335"/>
    <cellStyle name="20% - Accent2 4 7 2" xfId="24039"/>
    <cellStyle name="20% - Accent2 4 8" xfId="22929"/>
    <cellStyle name="20% - Accent2 4 8 2" xfId="42803"/>
    <cellStyle name="20% - Accent2 4 9" xfId="23506"/>
    <cellStyle name="20% - Accent2 5" xfId="576"/>
    <cellStyle name="20% - Accent2 5 10" xfId="23522"/>
    <cellStyle name="20% - Accent2 5 2" xfId="982"/>
    <cellStyle name="20% - Accent2 5 2 2" xfId="6400"/>
    <cellStyle name="20% - Accent2 5 2 2 2" xfId="9486"/>
    <cellStyle name="20% - Accent2 5 2 2 2 2" xfId="15679"/>
    <cellStyle name="20% - Accent2 5 2 2 2 2 2" xfId="35562"/>
    <cellStyle name="20% - Accent2 5 2 2 2 3" xfId="21831"/>
    <cellStyle name="20% - Accent2 5 2 2 2 3 2" xfId="41714"/>
    <cellStyle name="20% - Accent2 5 2 2 2 4" xfId="29409"/>
    <cellStyle name="20% - Accent2 5 2 2 3" xfId="12613"/>
    <cellStyle name="20% - Accent2 5 2 2 3 2" xfId="32496"/>
    <cellStyle name="20% - Accent2 5 2 2 4" xfId="18765"/>
    <cellStyle name="20% - Accent2 5 2 2 4 2" xfId="38648"/>
    <cellStyle name="20% - Accent2 5 2 2 5" xfId="26343"/>
    <cellStyle name="20% - Accent2 5 2 3" xfId="7951"/>
    <cellStyle name="20% - Accent2 5 2 3 2" xfId="14145"/>
    <cellStyle name="20% - Accent2 5 2 3 2 2" xfId="34028"/>
    <cellStyle name="20% - Accent2 5 2 3 3" xfId="20297"/>
    <cellStyle name="20% - Accent2 5 2 3 3 2" xfId="40180"/>
    <cellStyle name="20% - Accent2 5 2 3 4" xfId="27875"/>
    <cellStyle name="20% - Accent2 5 2 4" xfId="11079"/>
    <cellStyle name="20% - Accent2 5 2 4 2" xfId="30962"/>
    <cellStyle name="20% - Accent2 5 2 5" xfId="17231"/>
    <cellStyle name="20% - Accent2 5 2 5 2" xfId="37114"/>
    <cellStyle name="20% - Accent2 5 2 6" xfId="4775"/>
    <cellStyle name="20% - Accent2 5 2 6 2" xfId="24809"/>
    <cellStyle name="20% - Accent2 5 2 7" xfId="23825"/>
    <cellStyle name="20% - Accent2 5 3" xfId="5614"/>
    <cellStyle name="20% - Accent2 5 3 2" xfId="8717"/>
    <cellStyle name="20% - Accent2 5 3 2 2" xfId="14910"/>
    <cellStyle name="20% - Accent2 5 3 2 2 2" xfId="34793"/>
    <cellStyle name="20% - Accent2 5 3 2 3" xfId="21062"/>
    <cellStyle name="20% - Accent2 5 3 2 3 2" xfId="40945"/>
    <cellStyle name="20% - Accent2 5 3 2 4" xfId="28640"/>
    <cellStyle name="20% - Accent2 5 3 3" xfId="11844"/>
    <cellStyle name="20% - Accent2 5 3 3 2" xfId="31727"/>
    <cellStyle name="20% - Accent2 5 3 4" xfId="17996"/>
    <cellStyle name="20% - Accent2 5 3 4 2" xfId="37879"/>
    <cellStyle name="20% - Accent2 5 3 5" xfId="25574"/>
    <cellStyle name="20% - Accent2 5 4" xfId="7182"/>
    <cellStyle name="20% - Accent2 5 4 2" xfId="13376"/>
    <cellStyle name="20% - Accent2 5 4 2 2" xfId="33259"/>
    <cellStyle name="20% - Accent2 5 4 3" xfId="19528"/>
    <cellStyle name="20% - Accent2 5 4 3 2" xfId="39411"/>
    <cellStyle name="20% - Accent2 5 4 4" xfId="27106"/>
    <cellStyle name="20% - Accent2 5 5" xfId="10310"/>
    <cellStyle name="20% - Accent2 5 5 2" xfId="30193"/>
    <cellStyle name="20% - Accent2 5 6" xfId="16462"/>
    <cellStyle name="20% - Accent2 5 6 2" xfId="36345"/>
    <cellStyle name="20% - Accent2 5 7" xfId="1336"/>
    <cellStyle name="20% - Accent2 5 7 2" xfId="24040"/>
    <cellStyle name="20% - Accent2 5 8" xfId="22689"/>
    <cellStyle name="20% - Accent2 5 8 2" xfId="42563"/>
    <cellStyle name="20% - Accent2 5 9" xfId="22945"/>
    <cellStyle name="20% - Accent2 5 9 2" xfId="42819"/>
    <cellStyle name="20% - Accent2 6" xfId="603"/>
    <cellStyle name="20% - Accent2 6 2" xfId="998"/>
    <cellStyle name="20% - Accent2 6 2 2" xfId="23841"/>
    <cellStyle name="20% - Accent2 6 3" xfId="1337"/>
    <cellStyle name="20% - Accent2 6 4" xfId="22781"/>
    <cellStyle name="20% - Accent2 6 4 2" xfId="42655"/>
    <cellStyle name="20% - Accent2 6 5" xfId="22961"/>
    <cellStyle name="20% - Accent2 6 5 2" xfId="42835"/>
    <cellStyle name="20% - Accent2 6 6" xfId="23538"/>
    <cellStyle name="20% - Accent2 7" xfId="627"/>
    <cellStyle name="20% - Accent2 7 2" xfId="1014"/>
    <cellStyle name="20% - Accent2 7 2 2" xfId="23857"/>
    <cellStyle name="20% - Accent2 7 3" xfId="22778"/>
    <cellStyle name="20% - Accent2 7 3 2" xfId="42652"/>
    <cellStyle name="20% - Accent2 7 4" xfId="22977"/>
    <cellStyle name="20% - Accent2 7 4 2" xfId="42851"/>
    <cellStyle name="20% - Accent2 7 5" xfId="23554"/>
    <cellStyle name="20% - Accent2 8" xfId="651"/>
    <cellStyle name="20% - Accent2 8 2" xfId="1030"/>
    <cellStyle name="20% - Accent2 8 2 2" xfId="23873"/>
    <cellStyle name="20% - Accent2 8 3" xfId="22723"/>
    <cellStyle name="20% - Accent2 8 3 2" xfId="42597"/>
    <cellStyle name="20% - Accent2 8 4" xfId="22993"/>
    <cellStyle name="20% - Accent2 8 4 2" xfId="42867"/>
    <cellStyle name="20% - Accent2 8 5" xfId="23570"/>
    <cellStyle name="20% - Accent2 9" xfId="690"/>
    <cellStyle name="20% - Accent2 9 2" xfId="1046"/>
    <cellStyle name="20% - Accent2 9 2 2" xfId="23889"/>
    <cellStyle name="20% - Accent2 9 3" xfId="22678"/>
    <cellStyle name="20% - Accent2 9 3 2" xfId="42552"/>
    <cellStyle name="20% - Accent2 9 4" xfId="23009"/>
    <cellStyle name="20% - Accent2 9 4 2" xfId="42883"/>
    <cellStyle name="20% - Accent2 9 5" xfId="23586"/>
    <cellStyle name="20% - Accent3" xfId="177" builtinId="38" customBuiltin="1"/>
    <cellStyle name="20% - Accent3 10" xfId="722"/>
    <cellStyle name="20% - Accent3 10 2" xfId="1064"/>
    <cellStyle name="20% - Accent3 10 2 2" xfId="23907"/>
    <cellStyle name="20% - Accent3 10 3" xfId="22703"/>
    <cellStyle name="20% - Accent3 10 3 2" xfId="42577"/>
    <cellStyle name="20% - Accent3 10 4" xfId="23027"/>
    <cellStyle name="20% - Accent3 10 4 2" xfId="42901"/>
    <cellStyle name="20% - Accent3 10 5" xfId="23604"/>
    <cellStyle name="20% - Accent3 11" xfId="749"/>
    <cellStyle name="20% - Accent3 11 2" xfId="1080"/>
    <cellStyle name="20% - Accent3 11 2 2" xfId="23923"/>
    <cellStyle name="20% - Accent3 11 3" xfId="22779"/>
    <cellStyle name="20% - Accent3 11 3 2" xfId="42653"/>
    <cellStyle name="20% - Accent3 11 4" xfId="23043"/>
    <cellStyle name="20% - Accent3 11 4 2" xfId="42917"/>
    <cellStyle name="20% - Accent3 11 5" xfId="23620"/>
    <cellStyle name="20% - Accent3 12" xfId="775"/>
    <cellStyle name="20% - Accent3 12 2" xfId="1096"/>
    <cellStyle name="20% - Accent3 12 2 2" xfId="23939"/>
    <cellStyle name="20% - Accent3 12 3" xfId="22795"/>
    <cellStyle name="20% - Accent3 12 3 2" xfId="42669"/>
    <cellStyle name="20% - Accent3 12 4" xfId="23059"/>
    <cellStyle name="20% - Accent3 12 4 2" xfId="42933"/>
    <cellStyle name="20% - Accent3 12 5" xfId="23636"/>
    <cellStyle name="20% - Accent3 13" xfId="799"/>
    <cellStyle name="20% - Accent3 13 2" xfId="1112"/>
    <cellStyle name="20% - Accent3 13 2 2" xfId="23955"/>
    <cellStyle name="20% - Accent3 13 3" xfId="22755"/>
    <cellStyle name="20% - Accent3 13 3 2" xfId="42629"/>
    <cellStyle name="20% - Accent3 13 4" xfId="23075"/>
    <cellStyle name="20% - Accent3 13 4 2" xfId="42949"/>
    <cellStyle name="20% - Accent3 13 5" xfId="23652"/>
    <cellStyle name="20% - Accent3 14" xfId="820"/>
    <cellStyle name="20% - Accent3 14 2" xfId="1128"/>
    <cellStyle name="20% - Accent3 14 2 2" xfId="23971"/>
    <cellStyle name="20% - Accent3 14 3" xfId="22631"/>
    <cellStyle name="20% - Accent3 14 3 2" xfId="42505"/>
    <cellStyle name="20% - Accent3 14 4" xfId="23091"/>
    <cellStyle name="20% - Accent3 14 4 2" xfId="42965"/>
    <cellStyle name="20% - Accent3 14 5" xfId="23668"/>
    <cellStyle name="20% - Accent3 15" xfId="836"/>
    <cellStyle name="20% - Accent3 15 2" xfId="1144"/>
    <cellStyle name="20% - Accent3 15 2 2" xfId="23987"/>
    <cellStyle name="20% - Accent3 15 3" xfId="22798"/>
    <cellStyle name="20% - Accent3 15 3 2" xfId="42672"/>
    <cellStyle name="20% - Accent3 15 4" xfId="23107"/>
    <cellStyle name="20% - Accent3 15 4 2" xfId="42981"/>
    <cellStyle name="20% - Accent3 15 5" xfId="23684"/>
    <cellStyle name="20% - Accent3 16" xfId="860"/>
    <cellStyle name="20% - Accent3 16 2" xfId="23703"/>
    <cellStyle name="20% - Accent3 17" xfId="22823"/>
    <cellStyle name="20% - Accent3 17 2" xfId="42697"/>
    <cellStyle name="20% - Accent3 18" xfId="23397"/>
    <cellStyle name="20% - Accent3 2" xfId="495"/>
    <cellStyle name="20% - Accent3 2 2" xfId="936"/>
    <cellStyle name="20% - Accent3 2 2 2" xfId="6401"/>
    <cellStyle name="20% - Accent3 2 2 2 2" xfId="9487"/>
    <cellStyle name="20% - Accent3 2 2 2 2 2" xfId="15680"/>
    <cellStyle name="20% - Accent3 2 2 2 2 2 2" xfId="35563"/>
    <cellStyle name="20% - Accent3 2 2 2 2 3" xfId="21832"/>
    <cellStyle name="20% - Accent3 2 2 2 2 3 2" xfId="41715"/>
    <cellStyle name="20% - Accent3 2 2 2 2 4" xfId="29410"/>
    <cellStyle name="20% - Accent3 2 2 2 3" xfId="12614"/>
    <cellStyle name="20% - Accent3 2 2 2 3 2" xfId="32497"/>
    <cellStyle name="20% - Accent3 2 2 2 4" xfId="18766"/>
    <cellStyle name="20% - Accent3 2 2 2 4 2" xfId="38649"/>
    <cellStyle name="20% - Accent3 2 2 2 5" xfId="26344"/>
    <cellStyle name="20% - Accent3 2 2 3" xfId="7952"/>
    <cellStyle name="20% - Accent3 2 2 3 2" xfId="14146"/>
    <cellStyle name="20% - Accent3 2 2 3 2 2" xfId="34029"/>
    <cellStyle name="20% - Accent3 2 2 3 3" xfId="20298"/>
    <cellStyle name="20% - Accent3 2 2 3 3 2" xfId="40181"/>
    <cellStyle name="20% - Accent3 2 2 3 4" xfId="27876"/>
    <cellStyle name="20% - Accent3 2 2 4" xfId="11080"/>
    <cellStyle name="20% - Accent3 2 2 4 2" xfId="30963"/>
    <cellStyle name="20% - Accent3 2 2 5" xfId="17232"/>
    <cellStyle name="20% - Accent3 2 2 5 2" xfId="37115"/>
    <cellStyle name="20% - Accent3 2 2 6" xfId="4776"/>
    <cellStyle name="20% - Accent3 2 2 6 2" xfId="24810"/>
    <cellStyle name="20% - Accent3 2 2 7" xfId="23779"/>
    <cellStyle name="20% - Accent3 2 3" xfId="5615"/>
    <cellStyle name="20% - Accent3 2 3 2" xfId="8718"/>
    <cellStyle name="20% - Accent3 2 3 2 2" xfId="14911"/>
    <cellStyle name="20% - Accent3 2 3 2 2 2" xfId="34794"/>
    <cellStyle name="20% - Accent3 2 3 2 3" xfId="21063"/>
    <cellStyle name="20% - Accent3 2 3 2 3 2" xfId="40946"/>
    <cellStyle name="20% - Accent3 2 3 2 4" xfId="28641"/>
    <cellStyle name="20% - Accent3 2 3 3" xfId="11845"/>
    <cellStyle name="20% - Accent3 2 3 3 2" xfId="31728"/>
    <cellStyle name="20% - Accent3 2 3 4" xfId="17997"/>
    <cellStyle name="20% - Accent3 2 3 4 2" xfId="37880"/>
    <cellStyle name="20% - Accent3 2 3 5" xfId="25575"/>
    <cellStyle name="20% - Accent3 2 4" xfId="7183"/>
    <cellStyle name="20% - Accent3 2 4 2" xfId="13377"/>
    <cellStyle name="20% - Accent3 2 4 2 2" xfId="33260"/>
    <cellStyle name="20% - Accent3 2 4 3" xfId="19529"/>
    <cellStyle name="20% - Accent3 2 4 3 2" xfId="39412"/>
    <cellStyle name="20% - Accent3 2 4 4" xfId="27107"/>
    <cellStyle name="20% - Accent3 2 5" xfId="10311"/>
    <cellStyle name="20% - Accent3 2 5 2" xfId="30194"/>
    <cellStyle name="20% - Accent3 2 6" xfId="16463"/>
    <cellStyle name="20% - Accent3 2 6 2" xfId="36346"/>
    <cellStyle name="20% - Accent3 2 7" xfId="1338"/>
    <cellStyle name="20% - Accent3 2 7 2" xfId="24041"/>
    <cellStyle name="20% - Accent3 2 8" xfId="22899"/>
    <cellStyle name="20% - Accent3 2 8 2" xfId="42773"/>
    <cellStyle name="20% - Accent3 2 9" xfId="23476"/>
    <cellStyle name="20% - Accent3 3" xfId="525"/>
    <cellStyle name="20% - Accent3 3 2" xfId="952"/>
    <cellStyle name="20% - Accent3 3 2 2" xfId="6402"/>
    <cellStyle name="20% - Accent3 3 2 2 2" xfId="9488"/>
    <cellStyle name="20% - Accent3 3 2 2 2 2" xfId="15681"/>
    <cellStyle name="20% - Accent3 3 2 2 2 2 2" xfId="35564"/>
    <cellStyle name="20% - Accent3 3 2 2 2 3" xfId="21833"/>
    <cellStyle name="20% - Accent3 3 2 2 2 3 2" xfId="41716"/>
    <cellStyle name="20% - Accent3 3 2 2 2 4" xfId="29411"/>
    <cellStyle name="20% - Accent3 3 2 2 3" xfId="12615"/>
    <cellStyle name="20% - Accent3 3 2 2 3 2" xfId="32498"/>
    <cellStyle name="20% - Accent3 3 2 2 4" xfId="18767"/>
    <cellStyle name="20% - Accent3 3 2 2 4 2" xfId="38650"/>
    <cellStyle name="20% - Accent3 3 2 2 5" xfId="26345"/>
    <cellStyle name="20% - Accent3 3 2 3" xfId="7953"/>
    <cellStyle name="20% - Accent3 3 2 3 2" xfId="14147"/>
    <cellStyle name="20% - Accent3 3 2 3 2 2" xfId="34030"/>
    <cellStyle name="20% - Accent3 3 2 3 3" xfId="20299"/>
    <cellStyle name="20% - Accent3 3 2 3 3 2" xfId="40182"/>
    <cellStyle name="20% - Accent3 3 2 3 4" xfId="27877"/>
    <cellStyle name="20% - Accent3 3 2 4" xfId="11081"/>
    <cellStyle name="20% - Accent3 3 2 4 2" xfId="30964"/>
    <cellStyle name="20% - Accent3 3 2 5" xfId="17233"/>
    <cellStyle name="20% - Accent3 3 2 5 2" xfId="37116"/>
    <cellStyle name="20% - Accent3 3 2 6" xfId="4777"/>
    <cellStyle name="20% - Accent3 3 2 6 2" xfId="24811"/>
    <cellStyle name="20% - Accent3 3 2 7" xfId="23795"/>
    <cellStyle name="20% - Accent3 3 3" xfId="5616"/>
    <cellStyle name="20% - Accent3 3 3 2" xfId="8719"/>
    <cellStyle name="20% - Accent3 3 3 2 2" xfId="14912"/>
    <cellStyle name="20% - Accent3 3 3 2 2 2" xfId="34795"/>
    <cellStyle name="20% - Accent3 3 3 2 3" xfId="21064"/>
    <cellStyle name="20% - Accent3 3 3 2 3 2" xfId="40947"/>
    <cellStyle name="20% - Accent3 3 3 2 4" xfId="28642"/>
    <cellStyle name="20% - Accent3 3 3 3" xfId="11846"/>
    <cellStyle name="20% - Accent3 3 3 3 2" xfId="31729"/>
    <cellStyle name="20% - Accent3 3 3 4" xfId="17998"/>
    <cellStyle name="20% - Accent3 3 3 4 2" xfId="37881"/>
    <cellStyle name="20% - Accent3 3 3 5" xfId="25576"/>
    <cellStyle name="20% - Accent3 3 4" xfId="7184"/>
    <cellStyle name="20% - Accent3 3 4 2" xfId="13378"/>
    <cellStyle name="20% - Accent3 3 4 2 2" xfId="33261"/>
    <cellStyle name="20% - Accent3 3 4 3" xfId="19530"/>
    <cellStyle name="20% - Accent3 3 4 3 2" xfId="39413"/>
    <cellStyle name="20% - Accent3 3 4 4" xfId="27108"/>
    <cellStyle name="20% - Accent3 3 5" xfId="10312"/>
    <cellStyle name="20% - Accent3 3 5 2" xfId="30195"/>
    <cellStyle name="20% - Accent3 3 6" xfId="16464"/>
    <cellStyle name="20% - Accent3 3 6 2" xfId="36347"/>
    <cellStyle name="20% - Accent3 3 7" xfId="1339"/>
    <cellStyle name="20% - Accent3 3 7 2" xfId="24042"/>
    <cellStyle name="20% - Accent3 3 8" xfId="22915"/>
    <cellStyle name="20% - Accent3 3 8 2" xfId="42789"/>
    <cellStyle name="20% - Accent3 3 9" xfId="23492"/>
    <cellStyle name="20% - Accent3 4" xfId="552"/>
    <cellStyle name="20% - Accent3 4 2" xfId="968"/>
    <cellStyle name="20% - Accent3 4 2 2" xfId="6403"/>
    <cellStyle name="20% - Accent3 4 2 2 2" xfId="9489"/>
    <cellStyle name="20% - Accent3 4 2 2 2 2" xfId="15682"/>
    <cellStyle name="20% - Accent3 4 2 2 2 2 2" xfId="35565"/>
    <cellStyle name="20% - Accent3 4 2 2 2 3" xfId="21834"/>
    <cellStyle name="20% - Accent3 4 2 2 2 3 2" xfId="41717"/>
    <cellStyle name="20% - Accent3 4 2 2 2 4" xfId="29412"/>
    <cellStyle name="20% - Accent3 4 2 2 3" xfId="12616"/>
    <cellStyle name="20% - Accent3 4 2 2 3 2" xfId="32499"/>
    <cellStyle name="20% - Accent3 4 2 2 4" xfId="18768"/>
    <cellStyle name="20% - Accent3 4 2 2 4 2" xfId="38651"/>
    <cellStyle name="20% - Accent3 4 2 2 5" xfId="26346"/>
    <cellStyle name="20% - Accent3 4 2 3" xfId="7954"/>
    <cellStyle name="20% - Accent3 4 2 3 2" xfId="14148"/>
    <cellStyle name="20% - Accent3 4 2 3 2 2" xfId="34031"/>
    <cellStyle name="20% - Accent3 4 2 3 3" xfId="20300"/>
    <cellStyle name="20% - Accent3 4 2 3 3 2" xfId="40183"/>
    <cellStyle name="20% - Accent3 4 2 3 4" xfId="27878"/>
    <cellStyle name="20% - Accent3 4 2 4" xfId="11082"/>
    <cellStyle name="20% - Accent3 4 2 4 2" xfId="30965"/>
    <cellStyle name="20% - Accent3 4 2 5" xfId="17234"/>
    <cellStyle name="20% - Accent3 4 2 5 2" xfId="37117"/>
    <cellStyle name="20% - Accent3 4 2 6" xfId="4778"/>
    <cellStyle name="20% - Accent3 4 2 6 2" xfId="24812"/>
    <cellStyle name="20% - Accent3 4 2 7" xfId="23811"/>
    <cellStyle name="20% - Accent3 4 3" xfId="5617"/>
    <cellStyle name="20% - Accent3 4 3 2" xfId="8720"/>
    <cellStyle name="20% - Accent3 4 3 2 2" xfId="14913"/>
    <cellStyle name="20% - Accent3 4 3 2 2 2" xfId="34796"/>
    <cellStyle name="20% - Accent3 4 3 2 3" xfId="21065"/>
    <cellStyle name="20% - Accent3 4 3 2 3 2" xfId="40948"/>
    <cellStyle name="20% - Accent3 4 3 2 4" xfId="28643"/>
    <cellStyle name="20% - Accent3 4 3 3" xfId="11847"/>
    <cellStyle name="20% - Accent3 4 3 3 2" xfId="31730"/>
    <cellStyle name="20% - Accent3 4 3 4" xfId="17999"/>
    <cellStyle name="20% - Accent3 4 3 4 2" xfId="37882"/>
    <cellStyle name="20% - Accent3 4 3 5" xfId="25577"/>
    <cellStyle name="20% - Accent3 4 4" xfId="7185"/>
    <cellStyle name="20% - Accent3 4 4 2" xfId="13379"/>
    <cellStyle name="20% - Accent3 4 4 2 2" xfId="33262"/>
    <cellStyle name="20% - Accent3 4 4 3" xfId="19531"/>
    <cellStyle name="20% - Accent3 4 4 3 2" xfId="39414"/>
    <cellStyle name="20% - Accent3 4 4 4" xfId="27109"/>
    <cellStyle name="20% - Accent3 4 5" xfId="10313"/>
    <cellStyle name="20% - Accent3 4 5 2" xfId="30196"/>
    <cellStyle name="20% - Accent3 4 6" xfId="16465"/>
    <cellStyle name="20% - Accent3 4 6 2" xfId="36348"/>
    <cellStyle name="20% - Accent3 4 7" xfId="1340"/>
    <cellStyle name="20% - Accent3 4 7 2" xfId="24043"/>
    <cellStyle name="20% - Accent3 4 8" xfId="22931"/>
    <cellStyle name="20% - Accent3 4 8 2" xfId="42805"/>
    <cellStyle name="20% - Accent3 4 9" xfId="23508"/>
    <cellStyle name="20% - Accent3 5" xfId="580"/>
    <cellStyle name="20% - Accent3 5 10" xfId="23524"/>
    <cellStyle name="20% - Accent3 5 2" xfId="984"/>
    <cellStyle name="20% - Accent3 5 2 2" xfId="6404"/>
    <cellStyle name="20% - Accent3 5 2 2 2" xfId="9490"/>
    <cellStyle name="20% - Accent3 5 2 2 2 2" xfId="15683"/>
    <cellStyle name="20% - Accent3 5 2 2 2 2 2" xfId="35566"/>
    <cellStyle name="20% - Accent3 5 2 2 2 3" xfId="21835"/>
    <cellStyle name="20% - Accent3 5 2 2 2 3 2" xfId="41718"/>
    <cellStyle name="20% - Accent3 5 2 2 2 4" xfId="29413"/>
    <cellStyle name="20% - Accent3 5 2 2 3" xfId="12617"/>
    <cellStyle name="20% - Accent3 5 2 2 3 2" xfId="32500"/>
    <cellStyle name="20% - Accent3 5 2 2 4" xfId="18769"/>
    <cellStyle name="20% - Accent3 5 2 2 4 2" xfId="38652"/>
    <cellStyle name="20% - Accent3 5 2 2 5" xfId="26347"/>
    <cellStyle name="20% - Accent3 5 2 3" xfId="7955"/>
    <cellStyle name="20% - Accent3 5 2 3 2" xfId="14149"/>
    <cellStyle name="20% - Accent3 5 2 3 2 2" xfId="34032"/>
    <cellStyle name="20% - Accent3 5 2 3 3" xfId="20301"/>
    <cellStyle name="20% - Accent3 5 2 3 3 2" xfId="40184"/>
    <cellStyle name="20% - Accent3 5 2 3 4" xfId="27879"/>
    <cellStyle name="20% - Accent3 5 2 4" xfId="11083"/>
    <cellStyle name="20% - Accent3 5 2 4 2" xfId="30966"/>
    <cellStyle name="20% - Accent3 5 2 5" xfId="17235"/>
    <cellStyle name="20% - Accent3 5 2 5 2" xfId="37118"/>
    <cellStyle name="20% - Accent3 5 2 6" xfId="4779"/>
    <cellStyle name="20% - Accent3 5 2 6 2" xfId="24813"/>
    <cellStyle name="20% - Accent3 5 2 7" xfId="23827"/>
    <cellStyle name="20% - Accent3 5 3" xfId="5618"/>
    <cellStyle name="20% - Accent3 5 3 2" xfId="8721"/>
    <cellStyle name="20% - Accent3 5 3 2 2" xfId="14914"/>
    <cellStyle name="20% - Accent3 5 3 2 2 2" xfId="34797"/>
    <cellStyle name="20% - Accent3 5 3 2 3" xfId="21066"/>
    <cellStyle name="20% - Accent3 5 3 2 3 2" xfId="40949"/>
    <cellStyle name="20% - Accent3 5 3 2 4" xfId="28644"/>
    <cellStyle name="20% - Accent3 5 3 3" xfId="11848"/>
    <cellStyle name="20% - Accent3 5 3 3 2" xfId="31731"/>
    <cellStyle name="20% - Accent3 5 3 4" xfId="18000"/>
    <cellStyle name="20% - Accent3 5 3 4 2" xfId="37883"/>
    <cellStyle name="20% - Accent3 5 3 5" xfId="25578"/>
    <cellStyle name="20% - Accent3 5 4" xfId="7186"/>
    <cellStyle name="20% - Accent3 5 4 2" xfId="13380"/>
    <cellStyle name="20% - Accent3 5 4 2 2" xfId="33263"/>
    <cellStyle name="20% - Accent3 5 4 3" xfId="19532"/>
    <cellStyle name="20% - Accent3 5 4 3 2" xfId="39415"/>
    <cellStyle name="20% - Accent3 5 4 4" xfId="27110"/>
    <cellStyle name="20% - Accent3 5 5" xfId="10314"/>
    <cellStyle name="20% - Accent3 5 5 2" xfId="30197"/>
    <cellStyle name="20% - Accent3 5 6" xfId="16466"/>
    <cellStyle name="20% - Accent3 5 6 2" xfId="36349"/>
    <cellStyle name="20% - Accent3 5 7" xfId="1341"/>
    <cellStyle name="20% - Accent3 5 7 2" xfId="24044"/>
    <cellStyle name="20% - Accent3 5 8" xfId="22686"/>
    <cellStyle name="20% - Accent3 5 8 2" xfId="42560"/>
    <cellStyle name="20% - Accent3 5 9" xfId="22947"/>
    <cellStyle name="20% - Accent3 5 9 2" xfId="42821"/>
    <cellStyle name="20% - Accent3 6" xfId="606"/>
    <cellStyle name="20% - Accent3 6 2" xfId="1000"/>
    <cellStyle name="20% - Accent3 6 2 2" xfId="23843"/>
    <cellStyle name="20% - Accent3 6 3" xfId="1342"/>
    <cellStyle name="20% - Accent3 6 4" xfId="22639"/>
    <cellStyle name="20% - Accent3 6 4 2" xfId="42513"/>
    <cellStyle name="20% - Accent3 6 5" xfId="22963"/>
    <cellStyle name="20% - Accent3 6 5 2" xfId="42837"/>
    <cellStyle name="20% - Accent3 6 6" xfId="23540"/>
    <cellStyle name="20% - Accent3 7" xfId="630"/>
    <cellStyle name="20% - Accent3 7 2" xfId="1016"/>
    <cellStyle name="20% - Accent3 7 2 2" xfId="23859"/>
    <cellStyle name="20% - Accent3 7 3" xfId="22806"/>
    <cellStyle name="20% - Accent3 7 3 2" xfId="42680"/>
    <cellStyle name="20% - Accent3 7 4" xfId="22979"/>
    <cellStyle name="20% - Accent3 7 4 2" xfId="42853"/>
    <cellStyle name="20% - Accent3 7 5" xfId="23556"/>
    <cellStyle name="20% - Accent3 8" xfId="655"/>
    <cellStyle name="20% - Accent3 8 2" xfId="1032"/>
    <cellStyle name="20% - Accent3 8 2 2" xfId="23875"/>
    <cellStyle name="20% - Accent3 8 3" xfId="22792"/>
    <cellStyle name="20% - Accent3 8 3 2" xfId="42666"/>
    <cellStyle name="20% - Accent3 8 4" xfId="22995"/>
    <cellStyle name="20% - Accent3 8 4 2" xfId="42869"/>
    <cellStyle name="20% - Accent3 8 5" xfId="23572"/>
    <cellStyle name="20% - Accent3 9" xfId="694"/>
    <cellStyle name="20% - Accent3 9 2" xfId="1048"/>
    <cellStyle name="20% - Accent3 9 2 2" xfId="23891"/>
    <cellStyle name="20% - Accent3 9 3" xfId="22700"/>
    <cellStyle name="20% - Accent3 9 3 2" xfId="42574"/>
    <cellStyle name="20% - Accent3 9 4" xfId="23011"/>
    <cellStyle name="20% - Accent3 9 4 2" xfId="42885"/>
    <cellStyle name="20% - Accent3 9 5" xfId="23588"/>
    <cellStyle name="20% - Accent4" xfId="181" builtinId="42" customBuiltin="1"/>
    <cellStyle name="20% - Accent4 10" xfId="726"/>
    <cellStyle name="20% - Accent4 10 2" xfId="1066"/>
    <cellStyle name="20% - Accent4 10 2 2" xfId="23909"/>
    <cellStyle name="20% - Accent4 10 3" xfId="22790"/>
    <cellStyle name="20% - Accent4 10 3 2" xfId="42664"/>
    <cellStyle name="20% - Accent4 10 4" xfId="23029"/>
    <cellStyle name="20% - Accent4 10 4 2" xfId="42903"/>
    <cellStyle name="20% - Accent4 10 5" xfId="23606"/>
    <cellStyle name="20% - Accent4 11" xfId="753"/>
    <cellStyle name="20% - Accent4 11 2" xfId="1082"/>
    <cellStyle name="20% - Accent4 11 2 2" xfId="23925"/>
    <cellStyle name="20% - Accent4 11 3" xfId="22692"/>
    <cellStyle name="20% - Accent4 11 3 2" xfId="42566"/>
    <cellStyle name="20% - Accent4 11 4" xfId="23045"/>
    <cellStyle name="20% - Accent4 11 4 2" xfId="42919"/>
    <cellStyle name="20% - Accent4 11 5" xfId="23622"/>
    <cellStyle name="20% - Accent4 12" xfId="779"/>
    <cellStyle name="20% - Accent4 12 2" xfId="1098"/>
    <cellStyle name="20% - Accent4 12 2 2" xfId="23941"/>
    <cellStyle name="20% - Accent4 12 3" xfId="22799"/>
    <cellStyle name="20% - Accent4 12 3 2" xfId="42673"/>
    <cellStyle name="20% - Accent4 12 4" xfId="23061"/>
    <cellStyle name="20% - Accent4 12 4 2" xfId="42935"/>
    <cellStyle name="20% - Accent4 12 5" xfId="23638"/>
    <cellStyle name="20% - Accent4 13" xfId="803"/>
    <cellStyle name="20% - Accent4 13 2" xfId="1114"/>
    <cellStyle name="20% - Accent4 13 2 2" xfId="23957"/>
    <cellStyle name="20% - Accent4 13 3" xfId="22656"/>
    <cellStyle name="20% - Accent4 13 3 2" xfId="42530"/>
    <cellStyle name="20% - Accent4 13 4" xfId="23077"/>
    <cellStyle name="20% - Accent4 13 4 2" xfId="42951"/>
    <cellStyle name="20% - Accent4 13 5" xfId="23654"/>
    <cellStyle name="20% - Accent4 14" xfId="822"/>
    <cellStyle name="20% - Accent4 14 2" xfId="1130"/>
    <cellStyle name="20% - Accent4 14 2 2" xfId="23973"/>
    <cellStyle name="20% - Accent4 14 3" xfId="22777"/>
    <cellStyle name="20% - Accent4 14 3 2" xfId="42651"/>
    <cellStyle name="20% - Accent4 14 4" xfId="23093"/>
    <cellStyle name="20% - Accent4 14 4 2" xfId="42967"/>
    <cellStyle name="20% - Accent4 14 5" xfId="23670"/>
    <cellStyle name="20% - Accent4 15" xfId="838"/>
    <cellStyle name="20% - Accent4 15 2" xfId="1146"/>
    <cellStyle name="20% - Accent4 15 2 2" xfId="23989"/>
    <cellStyle name="20% - Accent4 15 3" xfId="22669"/>
    <cellStyle name="20% - Accent4 15 3 2" xfId="42543"/>
    <cellStyle name="20% - Accent4 15 4" xfId="23109"/>
    <cellStyle name="20% - Accent4 15 4 2" xfId="42983"/>
    <cellStyle name="20% - Accent4 15 5" xfId="23686"/>
    <cellStyle name="20% - Accent4 16" xfId="862"/>
    <cellStyle name="20% - Accent4 16 2" xfId="23705"/>
    <cellStyle name="20% - Accent4 17" xfId="22825"/>
    <cellStyle name="20% - Accent4 17 2" xfId="42699"/>
    <cellStyle name="20% - Accent4 18" xfId="23399"/>
    <cellStyle name="20% - Accent4 2" xfId="499"/>
    <cellStyle name="20% - Accent4 2 2" xfId="938"/>
    <cellStyle name="20% - Accent4 2 2 2" xfId="6405"/>
    <cellStyle name="20% - Accent4 2 2 2 2" xfId="9491"/>
    <cellStyle name="20% - Accent4 2 2 2 2 2" xfId="15684"/>
    <cellStyle name="20% - Accent4 2 2 2 2 2 2" xfId="35567"/>
    <cellStyle name="20% - Accent4 2 2 2 2 3" xfId="21836"/>
    <cellStyle name="20% - Accent4 2 2 2 2 3 2" xfId="41719"/>
    <cellStyle name="20% - Accent4 2 2 2 2 4" xfId="29414"/>
    <cellStyle name="20% - Accent4 2 2 2 3" xfId="12618"/>
    <cellStyle name="20% - Accent4 2 2 2 3 2" xfId="32501"/>
    <cellStyle name="20% - Accent4 2 2 2 4" xfId="18770"/>
    <cellStyle name="20% - Accent4 2 2 2 4 2" xfId="38653"/>
    <cellStyle name="20% - Accent4 2 2 2 5" xfId="26348"/>
    <cellStyle name="20% - Accent4 2 2 3" xfId="7956"/>
    <cellStyle name="20% - Accent4 2 2 3 2" xfId="14150"/>
    <cellStyle name="20% - Accent4 2 2 3 2 2" xfId="34033"/>
    <cellStyle name="20% - Accent4 2 2 3 3" xfId="20302"/>
    <cellStyle name="20% - Accent4 2 2 3 3 2" xfId="40185"/>
    <cellStyle name="20% - Accent4 2 2 3 4" xfId="27880"/>
    <cellStyle name="20% - Accent4 2 2 4" xfId="11084"/>
    <cellStyle name="20% - Accent4 2 2 4 2" xfId="30967"/>
    <cellStyle name="20% - Accent4 2 2 5" xfId="17236"/>
    <cellStyle name="20% - Accent4 2 2 5 2" xfId="37119"/>
    <cellStyle name="20% - Accent4 2 2 6" xfId="4780"/>
    <cellStyle name="20% - Accent4 2 2 6 2" xfId="24814"/>
    <cellStyle name="20% - Accent4 2 2 7" xfId="23781"/>
    <cellStyle name="20% - Accent4 2 3" xfId="5619"/>
    <cellStyle name="20% - Accent4 2 3 2" xfId="8722"/>
    <cellStyle name="20% - Accent4 2 3 2 2" xfId="14915"/>
    <cellStyle name="20% - Accent4 2 3 2 2 2" xfId="34798"/>
    <cellStyle name="20% - Accent4 2 3 2 3" xfId="21067"/>
    <cellStyle name="20% - Accent4 2 3 2 3 2" xfId="40950"/>
    <cellStyle name="20% - Accent4 2 3 2 4" xfId="28645"/>
    <cellStyle name="20% - Accent4 2 3 3" xfId="11849"/>
    <cellStyle name="20% - Accent4 2 3 3 2" xfId="31732"/>
    <cellStyle name="20% - Accent4 2 3 4" xfId="18001"/>
    <cellStyle name="20% - Accent4 2 3 4 2" xfId="37884"/>
    <cellStyle name="20% - Accent4 2 3 5" xfId="25579"/>
    <cellStyle name="20% - Accent4 2 4" xfId="7187"/>
    <cellStyle name="20% - Accent4 2 4 2" xfId="13381"/>
    <cellStyle name="20% - Accent4 2 4 2 2" xfId="33264"/>
    <cellStyle name="20% - Accent4 2 4 3" xfId="19533"/>
    <cellStyle name="20% - Accent4 2 4 3 2" xfId="39416"/>
    <cellStyle name="20% - Accent4 2 4 4" xfId="27111"/>
    <cellStyle name="20% - Accent4 2 5" xfId="10315"/>
    <cellStyle name="20% - Accent4 2 5 2" xfId="30198"/>
    <cellStyle name="20% - Accent4 2 6" xfId="16467"/>
    <cellStyle name="20% - Accent4 2 6 2" xfId="36350"/>
    <cellStyle name="20% - Accent4 2 7" xfId="1343"/>
    <cellStyle name="20% - Accent4 2 7 2" xfId="24045"/>
    <cellStyle name="20% - Accent4 2 8" xfId="22901"/>
    <cellStyle name="20% - Accent4 2 8 2" xfId="42775"/>
    <cellStyle name="20% - Accent4 2 9" xfId="23478"/>
    <cellStyle name="20% - Accent4 3" xfId="529"/>
    <cellStyle name="20% - Accent4 3 2" xfId="954"/>
    <cellStyle name="20% - Accent4 3 2 2" xfId="6406"/>
    <cellStyle name="20% - Accent4 3 2 2 2" xfId="9492"/>
    <cellStyle name="20% - Accent4 3 2 2 2 2" xfId="15685"/>
    <cellStyle name="20% - Accent4 3 2 2 2 2 2" xfId="35568"/>
    <cellStyle name="20% - Accent4 3 2 2 2 3" xfId="21837"/>
    <cellStyle name="20% - Accent4 3 2 2 2 3 2" xfId="41720"/>
    <cellStyle name="20% - Accent4 3 2 2 2 4" xfId="29415"/>
    <cellStyle name="20% - Accent4 3 2 2 3" xfId="12619"/>
    <cellStyle name="20% - Accent4 3 2 2 3 2" xfId="32502"/>
    <cellStyle name="20% - Accent4 3 2 2 4" xfId="18771"/>
    <cellStyle name="20% - Accent4 3 2 2 4 2" xfId="38654"/>
    <cellStyle name="20% - Accent4 3 2 2 5" xfId="26349"/>
    <cellStyle name="20% - Accent4 3 2 3" xfId="7957"/>
    <cellStyle name="20% - Accent4 3 2 3 2" xfId="14151"/>
    <cellStyle name="20% - Accent4 3 2 3 2 2" xfId="34034"/>
    <cellStyle name="20% - Accent4 3 2 3 3" xfId="20303"/>
    <cellStyle name="20% - Accent4 3 2 3 3 2" xfId="40186"/>
    <cellStyle name="20% - Accent4 3 2 3 4" xfId="27881"/>
    <cellStyle name="20% - Accent4 3 2 4" xfId="11085"/>
    <cellStyle name="20% - Accent4 3 2 4 2" xfId="30968"/>
    <cellStyle name="20% - Accent4 3 2 5" xfId="17237"/>
    <cellStyle name="20% - Accent4 3 2 5 2" xfId="37120"/>
    <cellStyle name="20% - Accent4 3 2 6" xfId="4781"/>
    <cellStyle name="20% - Accent4 3 2 6 2" xfId="24815"/>
    <cellStyle name="20% - Accent4 3 2 7" xfId="23797"/>
    <cellStyle name="20% - Accent4 3 3" xfId="5620"/>
    <cellStyle name="20% - Accent4 3 3 2" xfId="8723"/>
    <cellStyle name="20% - Accent4 3 3 2 2" xfId="14916"/>
    <cellStyle name="20% - Accent4 3 3 2 2 2" xfId="34799"/>
    <cellStyle name="20% - Accent4 3 3 2 3" xfId="21068"/>
    <cellStyle name="20% - Accent4 3 3 2 3 2" xfId="40951"/>
    <cellStyle name="20% - Accent4 3 3 2 4" xfId="28646"/>
    <cellStyle name="20% - Accent4 3 3 3" xfId="11850"/>
    <cellStyle name="20% - Accent4 3 3 3 2" xfId="31733"/>
    <cellStyle name="20% - Accent4 3 3 4" xfId="18002"/>
    <cellStyle name="20% - Accent4 3 3 4 2" xfId="37885"/>
    <cellStyle name="20% - Accent4 3 3 5" xfId="25580"/>
    <cellStyle name="20% - Accent4 3 4" xfId="7188"/>
    <cellStyle name="20% - Accent4 3 4 2" xfId="13382"/>
    <cellStyle name="20% - Accent4 3 4 2 2" xfId="33265"/>
    <cellStyle name="20% - Accent4 3 4 3" xfId="19534"/>
    <cellStyle name="20% - Accent4 3 4 3 2" xfId="39417"/>
    <cellStyle name="20% - Accent4 3 4 4" xfId="27112"/>
    <cellStyle name="20% - Accent4 3 5" xfId="10316"/>
    <cellStyle name="20% - Accent4 3 5 2" xfId="30199"/>
    <cellStyle name="20% - Accent4 3 6" xfId="16468"/>
    <cellStyle name="20% - Accent4 3 6 2" xfId="36351"/>
    <cellStyle name="20% - Accent4 3 7" xfId="1344"/>
    <cellStyle name="20% - Accent4 3 7 2" xfId="24046"/>
    <cellStyle name="20% - Accent4 3 8" xfId="22917"/>
    <cellStyle name="20% - Accent4 3 8 2" xfId="42791"/>
    <cellStyle name="20% - Accent4 3 9" xfId="23494"/>
    <cellStyle name="20% - Accent4 4" xfId="556"/>
    <cellStyle name="20% - Accent4 4 2" xfId="970"/>
    <cellStyle name="20% - Accent4 4 2 2" xfId="6407"/>
    <cellStyle name="20% - Accent4 4 2 2 2" xfId="9493"/>
    <cellStyle name="20% - Accent4 4 2 2 2 2" xfId="15686"/>
    <cellStyle name="20% - Accent4 4 2 2 2 2 2" xfId="35569"/>
    <cellStyle name="20% - Accent4 4 2 2 2 3" xfId="21838"/>
    <cellStyle name="20% - Accent4 4 2 2 2 3 2" xfId="41721"/>
    <cellStyle name="20% - Accent4 4 2 2 2 4" xfId="29416"/>
    <cellStyle name="20% - Accent4 4 2 2 3" xfId="12620"/>
    <cellStyle name="20% - Accent4 4 2 2 3 2" xfId="32503"/>
    <cellStyle name="20% - Accent4 4 2 2 4" xfId="18772"/>
    <cellStyle name="20% - Accent4 4 2 2 4 2" xfId="38655"/>
    <cellStyle name="20% - Accent4 4 2 2 5" xfId="26350"/>
    <cellStyle name="20% - Accent4 4 2 3" xfId="7958"/>
    <cellStyle name="20% - Accent4 4 2 3 2" xfId="14152"/>
    <cellStyle name="20% - Accent4 4 2 3 2 2" xfId="34035"/>
    <cellStyle name="20% - Accent4 4 2 3 3" xfId="20304"/>
    <cellStyle name="20% - Accent4 4 2 3 3 2" xfId="40187"/>
    <cellStyle name="20% - Accent4 4 2 3 4" xfId="27882"/>
    <cellStyle name="20% - Accent4 4 2 4" xfId="11086"/>
    <cellStyle name="20% - Accent4 4 2 4 2" xfId="30969"/>
    <cellStyle name="20% - Accent4 4 2 5" xfId="17238"/>
    <cellStyle name="20% - Accent4 4 2 5 2" xfId="37121"/>
    <cellStyle name="20% - Accent4 4 2 6" xfId="4782"/>
    <cellStyle name="20% - Accent4 4 2 6 2" xfId="24816"/>
    <cellStyle name="20% - Accent4 4 2 7" xfId="23813"/>
    <cellStyle name="20% - Accent4 4 3" xfId="5621"/>
    <cellStyle name="20% - Accent4 4 3 2" xfId="8724"/>
    <cellStyle name="20% - Accent4 4 3 2 2" xfId="14917"/>
    <cellStyle name="20% - Accent4 4 3 2 2 2" xfId="34800"/>
    <cellStyle name="20% - Accent4 4 3 2 3" xfId="21069"/>
    <cellStyle name="20% - Accent4 4 3 2 3 2" xfId="40952"/>
    <cellStyle name="20% - Accent4 4 3 2 4" xfId="28647"/>
    <cellStyle name="20% - Accent4 4 3 3" xfId="11851"/>
    <cellStyle name="20% - Accent4 4 3 3 2" xfId="31734"/>
    <cellStyle name="20% - Accent4 4 3 4" xfId="18003"/>
    <cellStyle name="20% - Accent4 4 3 4 2" xfId="37886"/>
    <cellStyle name="20% - Accent4 4 3 5" xfId="25581"/>
    <cellStyle name="20% - Accent4 4 4" xfId="7189"/>
    <cellStyle name="20% - Accent4 4 4 2" xfId="13383"/>
    <cellStyle name="20% - Accent4 4 4 2 2" xfId="33266"/>
    <cellStyle name="20% - Accent4 4 4 3" xfId="19535"/>
    <cellStyle name="20% - Accent4 4 4 3 2" xfId="39418"/>
    <cellStyle name="20% - Accent4 4 4 4" xfId="27113"/>
    <cellStyle name="20% - Accent4 4 5" xfId="10317"/>
    <cellStyle name="20% - Accent4 4 5 2" xfId="30200"/>
    <cellStyle name="20% - Accent4 4 6" xfId="16469"/>
    <cellStyle name="20% - Accent4 4 6 2" xfId="36352"/>
    <cellStyle name="20% - Accent4 4 7" xfId="1345"/>
    <cellStyle name="20% - Accent4 4 7 2" xfId="24047"/>
    <cellStyle name="20% - Accent4 4 8" xfId="22933"/>
    <cellStyle name="20% - Accent4 4 8 2" xfId="42807"/>
    <cellStyle name="20% - Accent4 4 9" xfId="23510"/>
    <cellStyle name="20% - Accent4 5" xfId="584"/>
    <cellStyle name="20% - Accent4 5 10" xfId="23526"/>
    <cellStyle name="20% - Accent4 5 2" xfId="986"/>
    <cellStyle name="20% - Accent4 5 2 2" xfId="6408"/>
    <cellStyle name="20% - Accent4 5 2 2 2" xfId="9494"/>
    <cellStyle name="20% - Accent4 5 2 2 2 2" xfId="15687"/>
    <cellStyle name="20% - Accent4 5 2 2 2 2 2" xfId="35570"/>
    <cellStyle name="20% - Accent4 5 2 2 2 3" xfId="21839"/>
    <cellStyle name="20% - Accent4 5 2 2 2 3 2" xfId="41722"/>
    <cellStyle name="20% - Accent4 5 2 2 2 4" xfId="29417"/>
    <cellStyle name="20% - Accent4 5 2 2 3" xfId="12621"/>
    <cellStyle name="20% - Accent4 5 2 2 3 2" xfId="32504"/>
    <cellStyle name="20% - Accent4 5 2 2 4" xfId="18773"/>
    <cellStyle name="20% - Accent4 5 2 2 4 2" xfId="38656"/>
    <cellStyle name="20% - Accent4 5 2 2 5" xfId="26351"/>
    <cellStyle name="20% - Accent4 5 2 3" xfId="7959"/>
    <cellStyle name="20% - Accent4 5 2 3 2" xfId="14153"/>
    <cellStyle name="20% - Accent4 5 2 3 2 2" xfId="34036"/>
    <cellStyle name="20% - Accent4 5 2 3 3" xfId="20305"/>
    <cellStyle name="20% - Accent4 5 2 3 3 2" xfId="40188"/>
    <cellStyle name="20% - Accent4 5 2 3 4" xfId="27883"/>
    <cellStyle name="20% - Accent4 5 2 4" xfId="11087"/>
    <cellStyle name="20% - Accent4 5 2 4 2" xfId="30970"/>
    <cellStyle name="20% - Accent4 5 2 5" xfId="17239"/>
    <cellStyle name="20% - Accent4 5 2 5 2" xfId="37122"/>
    <cellStyle name="20% - Accent4 5 2 6" xfId="4783"/>
    <cellStyle name="20% - Accent4 5 2 6 2" xfId="24817"/>
    <cellStyle name="20% - Accent4 5 2 7" xfId="23829"/>
    <cellStyle name="20% - Accent4 5 3" xfId="5622"/>
    <cellStyle name="20% - Accent4 5 3 2" xfId="8725"/>
    <cellStyle name="20% - Accent4 5 3 2 2" xfId="14918"/>
    <cellStyle name="20% - Accent4 5 3 2 2 2" xfId="34801"/>
    <cellStyle name="20% - Accent4 5 3 2 3" xfId="21070"/>
    <cellStyle name="20% - Accent4 5 3 2 3 2" xfId="40953"/>
    <cellStyle name="20% - Accent4 5 3 2 4" xfId="28648"/>
    <cellStyle name="20% - Accent4 5 3 3" xfId="11852"/>
    <cellStyle name="20% - Accent4 5 3 3 2" xfId="31735"/>
    <cellStyle name="20% - Accent4 5 3 4" xfId="18004"/>
    <cellStyle name="20% - Accent4 5 3 4 2" xfId="37887"/>
    <cellStyle name="20% - Accent4 5 3 5" xfId="25582"/>
    <cellStyle name="20% - Accent4 5 4" xfId="7190"/>
    <cellStyle name="20% - Accent4 5 4 2" xfId="13384"/>
    <cellStyle name="20% - Accent4 5 4 2 2" xfId="33267"/>
    <cellStyle name="20% - Accent4 5 4 3" xfId="19536"/>
    <cellStyle name="20% - Accent4 5 4 3 2" xfId="39419"/>
    <cellStyle name="20% - Accent4 5 4 4" xfId="27114"/>
    <cellStyle name="20% - Accent4 5 5" xfId="10318"/>
    <cellStyle name="20% - Accent4 5 5 2" xfId="30201"/>
    <cellStyle name="20% - Accent4 5 6" xfId="16470"/>
    <cellStyle name="20% - Accent4 5 6 2" xfId="36353"/>
    <cellStyle name="20% - Accent4 5 7" xfId="1346"/>
    <cellStyle name="20% - Accent4 5 7 2" xfId="24048"/>
    <cellStyle name="20% - Accent4 5 8" xfId="22610"/>
    <cellStyle name="20% - Accent4 5 8 2" xfId="42484"/>
    <cellStyle name="20% - Accent4 5 9" xfId="22949"/>
    <cellStyle name="20% - Accent4 5 9 2" xfId="42823"/>
    <cellStyle name="20% - Accent4 6" xfId="609"/>
    <cellStyle name="20% - Accent4 6 2" xfId="1002"/>
    <cellStyle name="20% - Accent4 6 2 2" xfId="23845"/>
    <cellStyle name="20% - Accent4 6 3" xfId="1347"/>
    <cellStyle name="20% - Accent4 6 4" xfId="22773"/>
    <cellStyle name="20% - Accent4 6 4 2" xfId="42647"/>
    <cellStyle name="20% - Accent4 6 5" xfId="22965"/>
    <cellStyle name="20% - Accent4 6 5 2" xfId="42839"/>
    <cellStyle name="20% - Accent4 6 6" xfId="23542"/>
    <cellStyle name="20% - Accent4 7" xfId="634"/>
    <cellStyle name="20% - Accent4 7 2" xfId="1018"/>
    <cellStyle name="20% - Accent4 7 2 2" xfId="23861"/>
    <cellStyle name="20% - Accent4 7 3" xfId="22788"/>
    <cellStyle name="20% - Accent4 7 3 2" xfId="42662"/>
    <cellStyle name="20% - Accent4 7 4" xfId="22981"/>
    <cellStyle name="20% - Accent4 7 4 2" xfId="42855"/>
    <cellStyle name="20% - Accent4 7 5" xfId="23558"/>
    <cellStyle name="20% - Accent4 8" xfId="659"/>
    <cellStyle name="20% - Accent4 8 2" xfId="1034"/>
    <cellStyle name="20% - Accent4 8 2 2" xfId="23877"/>
    <cellStyle name="20% - Accent4 8 3" xfId="22812"/>
    <cellStyle name="20% - Accent4 8 3 2" xfId="42686"/>
    <cellStyle name="20% - Accent4 8 4" xfId="22997"/>
    <cellStyle name="20% - Accent4 8 4 2" xfId="42871"/>
    <cellStyle name="20% - Accent4 8 5" xfId="23574"/>
    <cellStyle name="20% - Accent4 9" xfId="698"/>
    <cellStyle name="20% - Accent4 9 2" xfId="1050"/>
    <cellStyle name="20% - Accent4 9 2 2" xfId="23893"/>
    <cellStyle name="20% - Accent4 9 3" xfId="22647"/>
    <cellStyle name="20% - Accent4 9 3 2" xfId="42521"/>
    <cellStyle name="20% - Accent4 9 4" xfId="23013"/>
    <cellStyle name="20% - Accent4 9 4 2" xfId="42887"/>
    <cellStyle name="20% - Accent4 9 5" xfId="23590"/>
    <cellStyle name="20% - Accent5" xfId="185" builtinId="46" customBuiltin="1"/>
    <cellStyle name="20% - Accent5 10" xfId="730"/>
    <cellStyle name="20% - Accent5 10 2" xfId="1068"/>
    <cellStyle name="20% - Accent5 10 2 2" xfId="23911"/>
    <cellStyle name="20% - Accent5 10 3" xfId="22760"/>
    <cellStyle name="20% - Accent5 10 3 2" xfId="42634"/>
    <cellStyle name="20% - Accent5 10 4" xfId="23031"/>
    <cellStyle name="20% - Accent5 10 4 2" xfId="42905"/>
    <cellStyle name="20% - Accent5 10 5" xfId="23608"/>
    <cellStyle name="20% - Accent5 11" xfId="756"/>
    <cellStyle name="20% - Accent5 11 2" xfId="1084"/>
    <cellStyle name="20% - Accent5 11 2 2" xfId="23927"/>
    <cellStyle name="20% - Accent5 11 3" xfId="22725"/>
    <cellStyle name="20% - Accent5 11 3 2" xfId="42599"/>
    <cellStyle name="20% - Accent5 11 4" xfId="23047"/>
    <cellStyle name="20% - Accent5 11 4 2" xfId="42921"/>
    <cellStyle name="20% - Accent5 11 5" xfId="23624"/>
    <cellStyle name="20% - Accent5 12" xfId="782"/>
    <cellStyle name="20% - Accent5 12 2" xfId="1100"/>
    <cellStyle name="20% - Accent5 12 2 2" xfId="23943"/>
    <cellStyle name="20% - Accent5 12 3" xfId="22685"/>
    <cellStyle name="20% - Accent5 12 3 2" xfId="42559"/>
    <cellStyle name="20% - Accent5 12 4" xfId="23063"/>
    <cellStyle name="20% - Accent5 12 4 2" xfId="42937"/>
    <cellStyle name="20% - Accent5 12 5" xfId="23640"/>
    <cellStyle name="20% - Accent5 13" xfId="806"/>
    <cellStyle name="20% - Accent5 13 2" xfId="1116"/>
    <cellStyle name="20% - Accent5 13 2 2" xfId="23959"/>
    <cellStyle name="20% - Accent5 13 3" xfId="22663"/>
    <cellStyle name="20% - Accent5 13 3 2" xfId="42537"/>
    <cellStyle name="20% - Accent5 13 4" xfId="23079"/>
    <cellStyle name="20% - Accent5 13 4 2" xfId="42953"/>
    <cellStyle name="20% - Accent5 13 5" xfId="23656"/>
    <cellStyle name="20% - Accent5 14" xfId="824"/>
    <cellStyle name="20% - Accent5 14 2" xfId="1132"/>
    <cellStyle name="20% - Accent5 14 2 2" xfId="23975"/>
    <cellStyle name="20% - Accent5 14 3" xfId="22716"/>
    <cellStyle name="20% - Accent5 14 3 2" xfId="42590"/>
    <cellStyle name="20% - Accent5 14 4" xfId="23095"/>
    <cellStyle name="20% - Accent5 14 4 2" xfId="42969"/>
    <cellStyle name="20% - Accent5 14 5" xfId="23672"/>
    <cellStyle name="20% - Accent5 15" xfId="840"/>
    <cellStyle name="20% - Accent5 15 2" xfId="1148"/>
    <cellStyle name="20% - Accent5 15 2 2" xfId="23991"/>
    <cellStyle name="20% - Accent5 15 3" xfId="22679"/>
    <cellStyle name="20% - Accent5 15 3 2" xfId="42553"/>
    <cellStyle name="20% - Accent5 15 4" xfId="23111"/>
    <cellStyle name="20% - Accent5 15 4 2" xfId="42985"/>
    <cellStyle name="20% - Accent5 15 5" xfId="23688"/>
    <cellStyle name="20% - Accent5 16" xfId="864"/>
    <cellStyle name="20% - Accent5 16 2" xfId="23707"/>
    <cellStyle name="20% - Accent5 17" xfId="22827"/>
    <cellStyle name="20% - Accent5 17 2" xfId="42701"/>
    <cellStyle name="20% - Accent5 18" xfId="23401"/>
    <cellStyle name="20% - Accent5 2" xfId="503"/>
    <cellStyle name="20% - Accent5 2 2" xfId="940"/>
    <cellStyle name="20% - Accent5 2 2 2" xfId="6409"/>
    <cellStyle name="20% - Accent5 2 2 2 2" xfId="9495"/>
    <cellStyle name="20% - Accent5 2 2 2 2 2" xfId="15688"/>
    <cellStyle name="20% - Accent5 2 2 2 2 2 2" xfId="35571"/>
    <cellStyle name="20% - Accent5 2 2 2 2 3" xfId="21840"/>
    <cellStyle name="20% - Accent5 2 2 2 2 3 2" xfId="41723"/>
    <cellStyle name="20% - Accent5 2 2 2 2 4" xfId="29418"/>
    <cellStyle name="20% - Accent5 2 2 2 3" xfId="12622"/>
    <cellStyle name="20% - Accent5 2 2 2 3 2" xfId="32505"/>
    <cellStyle name="20% - Accent5 2 2 2 4" xfId="18774"/>
    <cellStyle name="20% - Accent5 2 2 2 4 2" xfId="38657"/>
    <cellStyle name="20% - Accent5 2 2 2 5" xfId="26352"/>
    <cellStyle name="20% - Accent5 2 2 3" xfId="7960"/>
    <cellStyle name="20% - Accent5 2 2 3 2" xfId="14154"/>
    <cellStyle name="20% - Accent5 2 2 3 2 2" xfId="34037"/>
    <cellStyle name="20% - Accent5 2 2 3 3" xfId="20306"/>
    <cellStyle name="20% - Accent5 2 2 3 3 2" xfId="40189"/>
    <cellStyle name="20% - Accent5 2 2 3 4" xfId="27884"/>
    <cellStyle name="20% - Accent5 2 2 4" xfId="11088"/>
    <cellStyle name="20% - Accent5 2 2 4 2" xfId="30971"/>
    <cellStyle name="20% - Accent5 2 2 5" xfId="17240"/>
    <cellStyle name="20% - Accent5 2 2 5 2" xfId="37123"/>
    <cellStyle name="20% - Accent5 2 2 6" xfId="4784"/>
    <cellStyle name="20% - Accent5 2 2 6 2" xfId="24818"/>
    <cellStyle name="20% - Accent5 2 2 7" xfId="23783"/>
    <cellStyle name="20% - Accent5 2 3" xfId="5623"/>
    <cellStyle name="20% - Accent5 2 3 2" xfId="8726"/>
    <cellStyle name="20% - Accent5 2 3 2 2" xfId="14919"/>
    <cellStyle name="20% - Accent5 2 3 2 2 2" xfId="34802"/>
    <cellStyle name="20% - Accent5 2 3 2 3" xfId="21071"/>
    <cellStyle name="20% - Accent5 2 3 2 3 2" xfId="40954"/>
    <cellStyle name="20% - Accent5 2 3 2 4" xfId="28649"/>
    <cellStyle name="20% - Accent5 2 3 3" xfId="11853"/>
    <cellStyle name="20% - Accent5 2 3 3 2" xfId="31736"/>
    <cellStyle name="20% - Accent5 2 3 4" xfId="18005"/>
    <cellStyle name="20% - Accent5 2 3 4 2" xfId="37888"/>
    <cellStyle name="20% - Accent5 2 3 5" xfId="25583"/>
    <cellStyle name="20% - Accent5 2 4" xfId="7191"/>
    <cellStyle name="20% - Accent5 2 4 2" xfId="13385"/>
    <cellStyle name="20% - Accent5 2 4 2 2" xfId="33268"/>
    <cellStyle name="20% - Accent5 2 4 3" xfId="19537"/>
    <cellStyle name="20% - Accent5 2 4 3 2" xfId="39420"/>
    <cellStyle name="20% - Accent5 2 4 4" xfId="27115"/>
    <cellStyle name="20% - Accent5 2 5" xfId="10319"/>
    <cellStyle name="20% - Accent5 2 5 2" xfId="30202"/>
    <cellStyle name="20% - Accent5 2 6" xfId="16471"/>
    <cellStyle name="20% - Accent5 2 6 2" xfId="36354"/>
    <cellStyle name="20% - Accent5 2 7" xfId="1348"/>
    <cellStyle name="20% - Accent5 2 7 2" xfId="24049"/>
    <cellStyle name="20% - Accent5 2 8" xfId="22903"/>
    <cellStyle name="20% - Accent5 2 8 2" xfId="42777"/>
    <cellStyle name="20% - Accent5 2 9" xfId="23480"/>
    <cellStyle name="20% - Accent5 3" xfId="533"/>
    <cellStyle name="20% - Accent5 3 2" xfId="956"/>
    <cellStyle name="20% - Accent5 3 2 2" xfId="6410"/>
    <cellStyle name="20% - Accent5 3 2 2 2" xfId="9496"/>
    <cellStyle name="20% - Accent5 3 2 2 2 2" xfId="15689"/>
    <cellStyle name="20% - Accent5 3 2 2 2 2 2" xfId="35572"/>
    <cellStyle name="20% - Accent5 3 2 2 2 3" xfId="21841"/>
    <cellStyle name="20% - Accent5 3 2 2 2 3 2" xfId="41724"/>
    <cellStyle name="20% - Accent5 3 2 2 2 4" xfId="29419"/>
    <cellStyle name="20% - Accent5 3 2 2 3" xfId="12623"/>
    <cellStyle name="20% - Accent5 3 2 2 3 2" xfId="32506"/>
    <cellStyle name="20% - Accent5 3 2 2 4" xfId="18775"/>
    <cellStyle name="20% - Accent5 3 2 2 4 2" xfId="38658"/>
    <cellStyle name="20% - Accent5 3 2 2 5" xfId="26353"/>
    <cellStyle name="20% - Accent5 3 2 3" xfId="7961"/>
    <cellStyle name="20% - Accent5 3 2 3 2" xfId="14155"/>
    <cellStyle name="20% - Accent5 3 2 3 2 2" xfId="34038"/>
    <cellStyle name="20% - Accent5 3 2 3 3" xfId="20307"/>
    <cellStyle name="20% - Accent5 3 2 3 3 2" xfId="40190"/>
    <cellStyle name="20% - Accent5 3 2 3 4" xfId="27885"/>
    <cellStyle name="20% - Accent5 3 2 4" xfId="11089"/>
    <cellStyle name="20% - Accent5 3 2 4 2" xfId="30972"/>
    <cellStyle name="20% - Accent5 3 2 5" xfId="17241"/>
    <cellStyle name="20% - Accent5 3 2 5 2" xfId="37124"/>
    <cellStyle name="20% - Accent5 3 2 6" xfId="4785"/>
    <cellStyle name="20% - Accent5 3 2 6 2" xfId="24819"/>
    <cellStyle name="20% - Accent5 3 2 7" xfId="23799"/>
    <cellStyle name="20% - Accent5 3 3" xfId="5624"/>
    <cellStyle name="20% - Accent5 3 3 2" xfId="8727"/>
    <cellStyle name="20% - Accent5 3 3 2 2" xfId="14920"/>
    <cellStyle name="20% - Accent5 3 3 2 2 2" xfId="34803"/>
    <cellStyle name="20% - Accent5 3 3 2 3" xfId="21072"/>
    <cellStyle name="20% - Accent5 3 3 2 3 2" xfId="40955"/>
    <cellStyle name="20% - Accent5 3 3 2 4" xfId="28650"/>
    <cellStyle name="20% - Accent5 3 3 3" xfId="11854"/>
    <cellStyle name="20% - Accent5 3 3 3 2" xfId="31737"/>
    <cellStyle name="20% - Accent5 3 3 4" xfId="18006"/>
    <cellStyle name="20% - Accent5 3 3 4 2" xfId="37889"/>
    <cellStyle name="20% - Accent5 3 3 5" xfId="25584"/>
    <cellStyle name="20% - Accent5 3 4" xfId="7192"/>
    <cellStyle name="20% - Accent5 3 4 2" xfId="13386"/>
    <cellStyle name="20% - Accent5 3 4 2 2" xfId="33269"/>
    <cellStyle name="20% - Accent5 3 4 3" xfId="19538"/>
    <cellStyle name="20% - Accent5 3 4 3 2" xfId="39421"/>
    <cellStyle name="20% - Accent5 3 4 4" xfId="27116"/>
    <cellStyle name="20% - Accent5 3 5" xfId="10320"/>
    <cellStyle name="20% - Accent5 3 5 2" xfId="30203"/>
    <cellStyle name="20% - Accent5 3 6" xfId="16472"/>
    <cellStyle name="20% - Accent5 3 6 2" xfId="36355"/>
    <cellStyle name="20% - Accent5 3 7" xfId="1349"/>
    <cellStyle name="20% - Accent5 3 7 2" xfId="24050"/>
    <cellStyle name="20% - Accent5 3 8" xfId="22919"/>
    <cellStyle name="20% - Accent5 3 8 2" xfId="42793"/>
    <cellStyle name="20% - Accent5 3 9" xfId="23496"/>
    <cellStyle name="20% - Accent5 4" xfId="560"/>
    <cellStyle name="20% - Accent5 4 2" xfId="972"/>
    <cellStyle name="20% - Accent5 4 2 2" xfId="6411"/>
    <cellStyle name="20% - Accent5 4 2 2 2" xfId="9497"/>
    <cellStyle name="20% - Accent5 4 2 2 2 2" xfId="15690"/>
    <cellStyle name="20% - Accent5 4 2 2 2 2 2" xfId="35573"/>
    <cellStyle name="20% - Accent5 4 2 2 2 3" xfId="21842"/>
    <cellStyle name="20% - Accent5 4 2 2 2 3 2" xfId="41725"/>
    <cellStyle name="20% - Accent5 4 2 2 2 4" xfId="29420"/>
    <cellStyle name="20% - Accent5 4 2 2 3" xfId="12624"/>
    <cellStyle name="20% - Accent5 4 2 2 3 2" xfId="32507"/>
    <cellStyle name="20% - Accent5 4 2 2 4" xfId="18776"/>
    <cellStyle name="20% - Accent5 4 2 2 4 2" xfId="38659"/>
    <cellStyle name="20% - Accent5 4 2 2 5" xfId="26354"/>
    <cellStyle name="20% - Accent5 4 2 3" xfId="7962"/>
    <cellStyle name="20% - Accent5 4 2 3 2" xfId="14156"/>
    <cellStyle name="20% - Accent5 4 2 3 2 2" xfId="34039"/>
    <cellStyle name="20% - Accent5 4 2 3 3" xfId="20308"/>
    <cellStyle name="20% - Accent5 4 2 3 3 2" xfId="40191"/>
    <cellStyle name="20% - Accent5 4 2 3 4" xfId="27886"/>
    <cellStyle name="20% - Accent5 4 2 4" xfId="11090"/>
    <cellStyle name="20% - Accent5 4 2 4 2" xfId="30973"/>
    <cellStyle name="20% - Accent5 4 2 5" xfId="17242"/>
    <cellStyle name="20% - Accent5 4 2 5 2" xfId="37125"/>
    <cellStyle name="20% - Accent5 4 2 6" xfId="4786"/>
    <cellStyle name="20% - Accent5 4 2 6 2" xfId="24820"/>
    <cellStyle name="20% - Accent5 4 2 7" xfId="23815"/>
    <cellStyle name="20% - Accent5 4 3" xfId="5625"/>
    <cellStyle name="20% - Accent5 4 3 2" xfId="8728"/>
    <cellStyle name="20% - Accent5 4 3 2 2" xfId="14921"/>
    <cellStyle name="20% - Accent5 4 3 2 2 2" xfId="34804"/>
    <cellStyle name="20% - Accent5 4 3 2 3" xfId="21073"/>
    <cellStyle name="20% - Accent5 4 3 2 3 2" xfId="40956"/>
    <cellStyle name="20% - Accent5 4 3 2 4" xfId="28651"/>
    <cellStyle name="20% - Accent5 4 3 3" xfId="11855"/>
    <cellStyle name="20% - Accent5 4 3 3 2" xfId="31738"/>
    <cellStyle name="20% - Accent5 4 3 4" xfId="18007"/>
    <cellStyle name="20% - Accent5 4 3 4 2" xfId="37890"/>
    <cellStyle name="20% - Accent5 4 3 5" xfId="25585"/>
    <cellStyle name="20% - Accent5 4 4" xfId="7193"/>
    <cellStyle name="20% - Accent5 4 4 2" xfId="13387"/>
    <cellStyle name="20% - Accent5 4 4 2 2" xfId="33270"/>
    <cellStyle name="20% - Accent5 4 4 3" xfId="19539"/>
    <cellStyle name="20% - Accent5 4 4 3 2" xfId="39422"/>
    <cellStyle name="20% - Accent5 4 4 4" xfId="27117"/>
    <cellStyle name="20% - Accent5 4 5" xfId="10321"/>
    <cellStyle name="20% - Accent5 4 5 2" xfId="30204"/>
    <cellStyle name="20% - Accent5 4 6" xfId="16473"/>
    <cellStyle name="20% - Accent5 4 6 2" xfId="36356"/>
    <cellStyle name="20% - Accent5 4 7" xfId="1350"/>
    <cellStyle name="20% - Accent5 4 7 2" xfId="24051"/>
    <cellStyle name="20% - Accent5 4 8" xfId="22935"/>
    <cellStyle name="20% - Accent5 4 8 2" xfId="42809"/>
    <cellStyle name="20% - Accent5 4 9" xfId="23512"/>
    <cellStyle name="20% - Accent5 5" xfId="587"/>
    <cellStyle name="20% - Accent5 5 2" xfId="988"/>
    <cellStyle name="20% - Accent5 5 2 2" xfId="23831"/>
    <cellStyle name="20% - Accent5 5 3" xfId="1351"/>
    <cellStyle name="20% - Accent5 5 4" xfId="22596"/>
    <cellStyle name="20% - Accent5 5 4 2" xfId="42470"/>
    <cellStyle name="20% - Accent5 5 5" xfId="22951"/>
    <cellStyle name="20% - Accent5 5 5 2" xfId="42825"/>
    <cellStyle name="20% - Accent5 5 6" xfId="23528"/>
    <cellStyle name="20% - Accent5 6" xfId="613"/>
    <cellStyle name="20% - Accent5 6 2" xfId="1004"/>
    <cellStyle name="20% - Accent5 6 2 2" xfId="23847"/>
    <cellStyle name="20% - Accent5 6 3" xfId="22757"/>
    <cellStyle name="20% - Accent5 6 3 2" xfId="42631"/>
    <cellStyle name="20% - Accent5 6 4" xfId="22967"/>
    <cellStyle name="20% - Accent5 6 4 2" xfId="42841"/>
    <cellStyle name="20% - Accent5 6 5" xfId="23544"/>
    <cellStyle name="20% - Accent5 7" xfId="637"/>
    <cellStyle name="20% - Accent5 7 2" xfId="1020"/>
    <cellStyle name="20% - Accent5 7 2 2" xfId="23863"/>
    <cellStyle name="20% - Accent5 7 3" xfId="22772"/>
    <cellStyle name="20% - Accent5 7 3 2" xfId="42646"/>
    <cellStyle name="20% - Accent5 7 4" xfId="22983"/>
    <cellStyle name="20% - Accent5 7 4 2" xfId="42857"/>
    <cellStyle name="20% - Accent5 7 5" xfId="23560"/>
    <cellStyle name="20% - Accent5 8" xfId="662"/>
    <cellStyle name="20% - Accent5 8 2" xfId="1036"/>
    <cellStyle name="20% - Accent5 8 2 2" xfId="23879"/>
    <cellStyle name="20% - Accent5 8 3" xfId="22801"/>
    <cellStyle name="20% - Accent5 8 3 2" xfId="42675"/>
    <cellStyle name="20% - Accent5 8 4" xfId="22999"/>
    <cellStyle name="20% - Accent5 8 4 2" xfId="42873"/>
    <cellStyle name="20% - Accent5 8 5" xfId="23576"/>
    <cellStyle name="20% - Accent5 9" xfId="702"/>
    <cellStyle name="20% - Accent5 9 2" xfId="1052"/>
    <cellStyle name="20% - Accent5 9 2 2" xfId="23895"/>
    <cellStyle name="20% - Accent5 9 3" xfId="22696"/>
    <cellStyle name="20% - Accent5 9 3 2" xfId="42570"/>
    <cellStyle name="20% - Accent5 9 4" xfId="23015"/>
    <cellStyle name="20% - Accent5 9 4 2" xfId="42889"/>
    <cellStyle name="20% - Accent5 9 5" xfId="23592"/>
    <cellStyle name="20% - Accent6" xfId="189" builtinId="50" customBuiltin="1"/>
    <cellStyle name="20% - Accent6 10" xfId="734"/>
    <cellStyle name="20% - Accent6 10 2" xfId="1070"/>
    <cellStyle name="20% - Accent6 10 2 2" xfId="23913"/>
    <cellStyle name="20% - Accent6 10 3" xfId="22691"/>
    <cellStyle name="20% - Accent6 10 3 2" xfId="42565"/>
    <cellStyle name="20% - Accent6 10 4" xfId="23033"/>
    <cellStyle name="20% - Accent6 10 4 2" xfId="42907"/>
    <cellStyle name="20% - Accent6 10 5" xfId="23610"/>
    <cellStyle name="20% - Accent6 11" xfId="760"/>
    <cellStyle name="20% - Accent6 11 2" xfId="1086"/>
    <cellStyle name="20% - Accent6 11 2 2" xfId="23929"/>
    <cellStyle name="20% - Accent6 11 3" xfId="22666"/>
    <cellStyle name="20% - Accent6 11 3 2" xfId="42540"/>
    <cellStyle name="20% - Accent6 11 4" xfId="23049"/>
    <cellStyle name="20% - Accent6 11 4 2" xfId="42923"/>
    <cellStyle name="20% - Accent6 11 5" xfId="23626"/>
    <cellStyle name="20% - Accent6 12" xfId="785"/>
    <cellStyle name="20% - Accent6 12 2" xfId="1102"/>
    <cellStyle name="20% - Accent6 12 2 2" xfId="23945"/>
    <cellStyle name="20% - Accent6 12 3" xfId="22688"/>
    <cellStyle name="20% - Accent6 12 3 2" xfId="42562"/>
    <cellStyle name="20% - Accent6 12 4" xfId="23065"/>
    <cellStyle name="20% - Accent6 12 4 2" xfId="42939"/>
    <cellStyle name="20% - Accent6 12 5" xfId="23642"/>
    <cellStyle name="20% - Accent6 13" xfId="809"/>
    <cellStyle name="20% - Accent6 13 2" xfId="1118"/>
    <cellStyle name="20% - Accent6 13 2 2" xfId="23961"/>
    <cellStyle name="20% - Accent6 13 3" xfId="22730"/>
    <cellStyle name="20% - Accent6 13 3 2" xfId="42604"/>
    <cellStyle name="20% - Accent6 13 4" xfId="23081"/>
    <cellStyle name="20% - Accent6 13 4 2" xfId="42955"/>
    <cellStyle name="20% - Accent6 13 5" xfId="23658"/>
    <cellStyle name="20% - Accent6 14" xfId="826"/>
    <cellStyle name="20% - Accent6 14 2" xfId="1134"/>
    <cellStyle name="20% - Accent6 14 2 2" xfId="23977"/>
    <cellStyle name="20% - Accent6 14 3" xfId="22611"/>
    <cellStyle name="20% - Accent6 14 3 2" xfId="42485"/>
    <cellStyle name="20% - Accent6 14 4" xfId="23097"/>
    <cellStyle name="20% - Accent6 14 4 2" xfId="42971"/>
    <cellStyle name="20% - Accent6 14 5" xfId="23674"/>
    <cellStyle name="20% - Accent6 15" xfId="842"/>
    <cellStyle name="20% - Accent6 15 2" xfId="1150"/>
    <cellStyle name="20% - Accent6 15 2 2" xfId="23993"/>
    <cellStyle name="20% - Accent6 15 3" xfId="22591"/>
    <cellStyle name="20% - Accent6 15 3 2" xfId="42465"/>
    <cellStyle name="20% - Accent6 15 4" xfId="23113"/>
    <cellStyle name="20% - Accent6 15 4 2" xfId="42987"/>
    <cellStyle name="20% - Accent6 15 5" xfId="23690"/>
    <cellStyle name="20% - Accent6 16" xfId="866"/>
    <cellStyle name="20% - Accent6 16 2" xfId="23709"/>
    <cellStyle name="20% - Accent6 17" xfId="22829"/>
    <cellStyle name="20% - Accent6 17 2" xfId="42703"/>
    <cellStyle name="20% - Accent6 18" xfId="23403"/>
    <cellStyle name="20% - Accent6 2" xfId="507"/>
    <cellStyle name="20% - Accent6 2 2" xfId="942"/>
    <cellStyle name="20% - Accent6 2 2 2" xfId="6412"/>
    <cellStyle name="20% - Accent6 2 2 2 2" xfId="9498"/>
    <cellStyle name="20% - Accent6 2 2 2 2 2" xfId="15691"/>
    <cellStyle name="20% - Accent6 2 2 2 2 2 2" xfId="35574"/>
    <cellStyle name="20% - Accent6 2 2 2 2 3" xfId="21843"/>
    <cellStyle name="20% - Accent6 2 2 2 2 3 2" xfId="41726"/>
    <cellStyle name="20% - Accent6 2 2 2 2 4" xfId="29421"/>
    <cellStyle name="20% - Accent6 2 2 2 3" xfId="12625"/>
    <cellStyle name="20% - Accent6 2 2 2 3 2" xfId="32508"/>
    <cellStyle name="20% - Accent6 2 2 2 4" xfId="18777"/>
    <cellStyle name="20% - Accent6 2 2 2 4 2" xfId="38660"/>
    <cellStyle name="20% - Accent6 2 2 2 5" xfId="26355"/>
    <cellStyle name="20% - Accent6 2 2 3" xfId="7963"/>
    <cellStyle name="20% - Accent6 2 2 3 2" xfId="14157"/>
    <cellStyle name="20% - Accent6 2 2 3 2 2" xfId="34040"/>
    <cellStyle name="20% - Accent6 2 2 3 3" xfId="20309"/>
    <cellStyle name="20% - Accent6 2 2 3 3 2" xfId="40192"/>
    <cellStyle name="20% - Accent6 2 2 3 4" xfId="27887"/>
    <cellStyle name="20% - Accent6 2 2 4" xfId="11091"/>
    <cellStyle name="20% - Accent6 2 2 4 2" xfId="30974"/>
    <cellStyle name="20% - Accent6 2 2 5" xfId="17243"/>
    <cellStyle name="20% - Accent6 2 2 5 2" xfId="37126"/>
    <cellStyle name="20% - Accent6 2 2 6" xfId="4787"/>
    <cellStyle name="20% - Accent6 2 2 6 2" xfId="24821"/>
    <cellStyle name="20% - Accent6 2 2 7" xfId="23785"/>
    <cellStyle name="20% - Accent6 2 3" xfId="5626"/>
    <cellStyle name="20% - Accent6 2 3 2" xfId="8729"/>
    <cellStyle name="20% - Accent6 2 3 2 2" xfId="14922"/>
    <cellStyle name="20% - Accent6 2 3 2 2 2" xfId="34805"/>
    <cellStyle name="20% - Accent6 2 3 2 3" xfId="21074"/>
    <cellStyle name="20% - Accent6 2 3 2 3 2" xfId="40957"/>
    <cellStyle name="20% - Accent6 2 3 2 4" xfId="28652"/>
    <cellStyle name="20% - Accent6 2 3 3" xfId="11856"/>
    <cellStyle name="20% - Accent6 2 3 3 2" xfId="31739"/>
    <cellStyle name="20% - Accent6 2 3 4" xfId="18008"/>
    <cellStyle name="20% - Accent6 2 3 4 2" xfId="37891"/>
    <cellStyle name="20% - Accent6 2 3 5" xfId="25586"/>
    <cellStyle name="20% - Accent6 2 4" xfId="7194"/>
    <cellStyle name="20% - Accent6 2 4 2" xfId="13388"/>
    <cellStyle name="20% - Accent6 2 4 2 2" xfId="33271"/>
    <cellStyle name="20% - Accent6 2 4 3" xfId="19540"/>
    <cellStyle name="20% - Accent6 2 4 3 2" xfId="39423"/>
    <cellStyle name="20% - Accent6 2 4 4" xfId="27118"/>
    <cellStyle name="20% - Accent6 2 5" xfId="10322"/>
    <cellStyle name="20% - Accent6 2 5 2" xfId="30205"/>
    <cellStyle name="20% - Accent6 2 6" xfId="16474"/>
    <cellStyle name="20% - Accent6 2 6 2" xfId="36357"/>
    <cellStyle name="20% - Accent6 2 7" xfId="1352"/>
    <cellStyle name="20% - Accent6 2 7 2" xfId="24052"/>
    <cellStyle name="20% - Accent6 2 8" xfId="22905"/>
    <cellStyle name="20% - Accent6 2 8 2" xfId="42779"/>
    <cellStyle name="20% - Accent6 2 9" xfId="23482"/>
    <cellStyle name="20% - Accent6 3" xfId="537"/>
    <cellStyle name="20% - Accent6 3 2" xfId="958"/>
    <cellStyle name="20% - Accent6 3 2 2" xfId="6413"/>
    <cellStyle name="20% - Accent6 3 2 2 2" xfId="9499"/>
    <cellStyle name="20% - Accent6 3 2 2 2 2" xfId="15692"/>
    <cellStyle name="20% - Accent6 3 2 2 2 2 2" xfId="35575"/>
    <cellStyle name="20% - Accent6 3 2 2 2 3" xfId="21844"/>
    <cellStyle name="20% - Accent6 3 2 2 2 3 2" xfId="41727"/>
    <cellStyle name="20% - Accent6 3 2 2 2 4" xfId="29422"/>
    <cellStyle name="20% - Accent6 3 2 2 3" xfId="12626"/>
    <cellStyle name="20% - Accent6 3 2 2 3 2" xfId="32509"/>
    <cellStyle name="20% - Accent6 3 2 2 4" xfId="18778"/>
    <cellStyle name="20% - Accent6 3 2 2 4 2" xfId="38661"/>
    <cellStyle name="20% - Accent6 3 2 2 5" xfId="26356"/>
    <cellStyle name="20% - Accent6 3 2 3" xfId="7964"/>
    <cellStyle name="20% - Accent6 3 2 3 2" xfId="14158"/>
    <cellStyle name="20% - Accent6 3 2 3 2 2" xfId="34041"/>
    <cellStyle name="20% - Accent6 3 2 3 3" xfId="20310"/>
    <cellStyle name="20% - Accent6 3 2 3 3 2" xfId="40193"/>
    <cellStyle name="20% - Accent6 3 2 3 4" xfId="27888"/>
    <cellStyle name="20% - Accent6 3 2 4" xfId="11092"/>
    <cellStyle name="20% - Accent6 3 2 4 2" xfId="30975"/>
    <cellStyle name="20% - Accent6 3 2 5" xfId="17244"/>
    <cellStyle name="20% - Accent6 3 2 5 2" xfId="37127"/>
    <cellStyle name="20% - Accent6 3 2 6" xfId="4788"/>
    <cellStyle name="20% - Accent6 3 2 6 2" xfId="24822"/>
    <cellStyle name="20% - Accent6 3 2 7" xfId="23801"/>
    <cellStyle name="20% - Accent6 3 3" xfId="5627"/>
    <cellStyle name="20% - Accent6 3 3 2" xfId="8730"/>
    <cellStyle name="20% - Accent6 3 3 2 2" xfId="14923"/>
    <cellStyle name="20% - Accent6 3 3 2 2 2" xfId="34806"/>
    <cellStyle name="20% - Accent6 3 3 2 3" xfId="21075"/>
    <cellStyle name="20% - Accent6 3 3 2 3 2" xfId="40958"/>
    <cellStyle name="20% - Accent6 3 3 2 4" xfId="28653"/>
    <cellStyle name="20% - Accent6 3 3 3" xfId="11857"/>
    <cellStyle name="20% - Accent6 3 3 3 2" xfId="31740"/>
    <cellStyle name="20% - Accent6 3 3 4" xfId="18009"/>
    <cellStyle name="20% - Accent6 3 3 4 2" xfId="37892"/>
    <cellStyle name="20% - Accent6 3 3 5" xfId="25587"/>
    <cellStyle name="20% - Accent6 3 4" xfId="7195"/>
    <cellStyle name="20% - Accent6 3 4 2" xfId="13389"/>
    <cellStyle name="20% - Accent6 3 4 2 2" xfId="33272"/>
    <cellStyle name="20% - Accent6 3 4 3" xfId="19541"/>
    <cellStyle name="20% - Accent6 3 4 3 2" xfId="39424"/>
    <cellStyle name="20% - Accent6 3 4 4" xfId="27119"/>
    <cellStyle name="20% - Accent6 3 5" xfId="10323"/>
    <cellStyle name="20% - Accent6 3 5 2" xfId="30206"/>
    <cellStyle name="20% - Accent6 3 6" xfId="16475"/>
    <cellStyle name="20% - Accent6 3 6 2" xfId="36358"/>
    <cellStyle name="20% - Accent6 3 7" xfId="1353"/>
    <cellStyle name="20% - Accent6 3 7 2" xfId="24053"/>
    <cellStyle name="20% - Accent6 3 8" xfId="22921"/>
    <cellStyle name="20% - Accent6 3 8 2" xfId="42795"/>
    <cellStyle name="20% - Accent6 3 9" xfId="23498"/>
    <cellStyle name="20% - Accent6 4" xfId="564"/>
    <cellStyle name="20% - Accent6 4 2" xfId="974"/>
    <cellStyle name="20% - Accent6 4 2 2" xfId="6414"/>
    <cellStyle name="20% - Accent6 4 2 2 2" xfId="9500"/>
    <cellStyle name="20% - Accent6 4 2 2 2 2" xfId="15693"/>
    <cellStyle name="20% - Accent6 4 2 2 2 2 2" xfId="35576"/>
    <cellStyle name="20% - Accent6 4 2 2 2 3" xfId="21845"/>
    <cellStyle name="20% - Accent6 4 2 2 2 3 2" xfId="41728"/>
    <cellStyle name="20% - Accent6 4 2 2 2 4" xfId="29423"/>
    <cellStyle name="20% - Accent6 4 2 2 3" xfId="12627"/>
    <cellStyle name="20% - Accent6 4 2 2 3 2" xfId="32510"/>
    <cellStyle name="20% - Accent6 4 2 2 4" xfId="18779"/>
    <cellStyle name="20% - Accent6 4 2 2 4 2" xfId="38662"/>
    <cellStyle name="20% - Accent6 4 2 2 5" xfId="26357"/>
    <cellStyle name="20% - Accent6 4 2 3" xfId="7965"/>
    <cellStyle name="20% - Accent6 4 2 3 2" xfId="14159"/>
    <cellStyle name="20% - Accent6 4 2 3 2 2" xfId="34042"/>
    <cellStyle name="20% - Accent6 4 2 3 3" xfId="20311"/>
    <cellStyle name="20% - Accent6 4 2 3 3 2" xfId="40194"/>
    <cellStyle name="20% - Accent6 4 2 3 4" xfId="27889"/>
    <cellStyle name="20% - Accent6 4 2 4" xfId="11093"/>
    <cellStyle name="20% - Accent6 4 2 4 2" xfId="30976"/>
    <cellStyle name="20% - Accent6 4 2 5" xfId="17245"/>
    <cellStyle name="20% - Accent6 4 2 5 2" xfId="37128"/>
    <cellStyle name="20% - Accent6 4 2 6" xfId="4789"/>
    <cellStyle name="20% - Accent6 4 2 6 2" xfId="24823"/>
    <cellStyle name="20% - Accent6 4 2 7" xfId="23817"/>
    <cellStyle name="20% - Accent6 4 3" xfId="5628"/>
    <cellStyle name="20% - Accent6 4 3 2" xfId="8731"/>
    <cellStyle name="20% - Accent6 4 3 2 2" xfId="14924"/>
    <cellStyle name="20% - Accent6 4 3 2 2 2" xfId="34807"/>
    <cellStyle name="20% - Accent6 4 3 2 3" xfId="21076"/>
    <cellStyle name="20% - Accent6 4 3 2 3 2" xfId="40959"/>
    <cellStyle name="20% - Accent6 4 3 2 4" xfId="28654"/>
    <cellStyle name="20% - Accent6 4 3 3" xfId="11858"/>
    <cellStyle name="20% - Accent6 4 3 3 2" xfId="31741"/>
    <cellStyle name="20% - Accent6 4 3 4" xfId="18010"/>
    <cellStyle name="20% - Accent6 4 3 4 2" xfId="37893"/>
    <cellStyle name="20% - Accent6 4 3 5" xfId="25588"/>
    <cellStyle name="20% - Accent6 4 4" xfId="7196"/>
    <cellStyle name="20% - Accent6 4 4 2" xfId="13390"/>
    <cellStyle name="20% - Accent6 4 4 2 2" xfId="33273"/>
    <cellStyle name="20% - Accent6 4 4 3" xfId="19542"/>
    <cellStyle name="20% - Accent6 4 4 3 2" xfId="39425"/>
    <cellStyle name="20% - Accent6 4 4 4" xfId="27120"/>
    <cellStyle name="20% - Accent6 4 5" xfId="10324"/>
    <cellStyle name="20% - Accent6 4 5 2" xfId="30207"/>
    <cellStyle name="20% - Accent6 4 6" xfId="16476"/>
    <cellStyle name="20% - Accent6 4 6 2" xfId="36359"/>
    <cellStyle name="20% - Accent6 4 7" xfId="1354"/>
    <cellStyle name="20% - Accent6 4 7 2" xfId="24054"/>
    <cellStyle name="20% - Accent6 4 8" xfId="22937"/>
    <cellStyle name="20% - Accent6 4 8 2" xfId="42811"/>
    <cellStyle name="20% - Accent6 4 9" xfId="23514"/>
    <cellStyle name="20% - Accent6 5" xfId="590"/>
    <cellStyle name="20% - Accent6 5 2" xfId="990"/>
    <cellStyle name="20% - Accent6 5 2 2" xfId="23833"/>
    <cellStyle name="20% - Accent6 5 3" xfId="1355"/>
    <cellStyle name="20% - Accent6 5 4" xfId="22590"/>
    <cellStyle name="20% - Accent6 5 4 2" xfId="42464"/>
    <cellStyle name="20% - Accent6 5 5" xfId="22953"/>
    <cellStyle name="20% - Accent6 5 5 2" xfId="42827"/>
    <cellStyle name="20% - Accent6 5 6" xfId="23530"/>
    <cellStyle name="20% - Accent6 6" xfId="617"/>
    <cellStyle name="20% - Accent6 6 2" xfId="1006"/>
    <cellStyle name="20% - Accent6 6 2 2" xfId="23849"/>
    <cellStyle name="20% - Accent6 6 3" xfId="22740"/>
    <cellStyle name="20% - Accent6 6 3 2" xfId="42614"/>
    <cellStyle name="20% - Accent6 6 4" xfId="22969"/>
    <cellStyle name="20% - Accent6 6 4 2" xfId="42843"/>
    <cellStyle name="20% - Accent6 6 5" xfId="23546"/>
    <cellStyle name="20% - Accent6 7" xfId="641"/>
    <cellStyle name="20% - Accent6 7 2" xfId="1022"/>
    <cellStyle name="20% - Accent6 7 2 2" xfId="23865"/>
    <cellStyle name="20% - Accent6 7 3" xfId="22665"/>
    <cellStyle name="20% - Accent6 7 3 2" xfId="42539"/>
    <cellStyle name="20% - Accent6 7 4" xfId="22985"/>
    <cellStyle name="20% - Accent6 7 4 2" xfId="42859"/>
    <cellStyle name="20% - Accent6 7 5" xfId="23562"/>
    <cellStyle name="20% - Accent6 8" xfId="666"/>
    <cellStyle name="20% - Accent6 8 2" xfId="1038"/>
    <cellStyle name="20% - Accent6 8 2 2" xfId="23881"/>
    <cellStyle name="20% - Accent6 8 3" xfId="22662"/>
    <cellStyle name="20% - Accent6 8 3 2" xfId="42536"/>
    <cellStyle name="20% - Accent6 8 4" xfId="23001"/>
    <cellStyle name="20% - Accent6 8 4 2" xfId="42875"/>
    <cellStyle name="20% - Accent6 8 5" xfId="23578"/>
    <cellStyle name="20% - Accent6 9" xfId="706"/>
    <cellStyle name="20% - Accent6 9 2" xfId="1054"/>
    <cellStyle name="20% - Accent6 9 2 2" xfId="23897"/>
    <cellStyle name="20% - Accent6 9 3" xfId="22617"/>
    <cellStyle name="20% - Accent6 9 3 2" xfId="42491"/>
    <cellStyle name="20% - Accent6 9 4" xfId="23017"/>
    <cellStyle name="20% - Accent6 9 4 2" xfId="42891"/>
    <cellStyle name="20% - Accent6 9 5" xfId="23594"/>
    <cellStyle name="40% - Accent1" xfId="170" builtinId="31" customBuiltin="1"/>
    <cellStyle name="40% - Accent1 10" xfId="716"/>
    <cellStyle name="40% - Accent1 10 2" xfId="1061"/>
    <cellStyle name="40% - Accent1 10 2 2" xfId="23904"/>
    <cellStyle name="40% - Accent1 10 3" xfId="22627"/>
    <cellStyle name="40% - Accent1 10 3 2" xfId="42501"/>
    <cellStyle name="40% - Accent1 10 4" xfId="23024"/>
    <cellStyle name="40% - Accent1 10 4 2" xfId="42898"/>
    <cellStyle name="40% - Accent1 10 5" xfId="23601"/>
    <cellStyle name="40% - Accent1 11" xfId="744"/>
    <cellStyle name="40% - Accent1 11 2" xfId="1077"/>
    <cellStyle name="40% - Accent1 11 2 2" xfId="23920"/>
    <cellStyle name="40% - Accent1 11 3" xfId="22809"/>
    <cellStyle name="40% - Accent1 11 3 2" xfId="42683"/>
    <cellStyle name="40% - Accent1 11 4" xfId="23040"/>
    <cellStyle name="40% - Accent1 11 4 2" xfId="42914"/>
    <cellStyle name="40% - Accent1 11 5" xfId="23617"/>
    <cellStyle name="40% - Accent1 12" xfId="770"/>
    <cellStyle name="40% - Accent1 12 2" xfId="1093"/>
    <cellStyle name="40% - Accent1 12 2 2" xfId="23936"/>
    <cellStyle name="40% - Accent1 12 3" xfId="22758"/>
    <cellStyle name="40% - Accent1 12 3 2" xfId="42632"/>
    <cellStyle name="40% - Accent1 12 4" xfId="23056"/>
    <cellStyle name="40% - Accent1 12 4 2" xfId="42930"/>
    <cellStyle name="40% - Accent1 12 5" xfId="23633"/>
    <cellStyle name="40% - Accent1 13" xfId="795"/>
    <cellStyle name="40% - Accent1 13 2" xfId="1109"/>
    <cellStyle name="40% - Accent1 13 2 2" xfId="23952"/>
    <cellStyle name="40% - Accent1 13 3" xfId="22714"/>
    <cellStyle name="40% - Accent1 13 3 2" xfId="42588"/>
    <cellStyle name="40% - Accent1 13 4" xfId="23072"/>
    <cellStyle name="40% - Accent1 13 4 2" xfId="42946"/>
    <cellStyle name="40% - Accent1 13 5" xfId="23649"/>
    <cellStyle name="40% - Accent1 14" xfId="817"/>
    <cellStyle name="40% - Accent1 14 2" xfId="1125"/>
    <cellStyle name="40% - Accent1 14 2 2" xfId="23968"/>
    <cellStyle name="40% - Accent1 14 3" xfId="22786"/>
    <cellStyle name="40% - Accent1 14 3 2" xfId="42660"/>
    <cellStyle name="40% - Accent1 14 4" xfId="23088"/>
    <cellStyle name="40% - Accent1 14 4 2" xfId="42962"/>
    <cellStyle name="40% - Accent1 14 5" xfId="23665"/>
    <cellStyle name="40% - Accent1 15" xfId="833"/>
    <cellStyle name="40% - Accent1 15 2" xfId="1141"/>
    <cellStyle name="40% - Accent1 15 2 2" xfId="23984"/>
    <cellStyle name="40% - Accent1 15 3" xfId="22677"/>
    <cellStyle name="40% - Accent1 15 3 2" xfId="42551"/>
    <cellStyle name="40% - Accent1 15 4" xfId="23104"/>
    <cellStyle name="40% - Accent1 15 4 2" xfId="42978"/>
    <cellStyle name="40% - Accent1 15 5" xfId="23681"/>
    <cellStyle name="40% - Accent1 16" xfId="857"/>
    <cellStyle name="40% - Accent1 16 2" xfId="23700"/>
    <cellStyle name="40% - Accent1 17" xfId="22820"/>
    <cellStyle name="40% - Accent1 17 2" xfId="42694"/>
    <cellStyle name="40% - Accent1 18" xfId="23394"/>
    <cellStyle name="40% - Accent1 2" xfId="488"/>
    <cellStyle name="40% - Accent1 2 2" xfId="933"/>
    <cellStyle name="40% - Accent1 2 2 2" xfId="6415"/>
    <cellStyle name="40% - Accent1 2 2 2 2" xfId="9501"/>
    <cellStyle name="40% - Accent1 2 2 2 2 2" xfId="15694"/>
    <cellStyle name="40% - Accent1 2 2 2 2 2 2" xfId="35577"/>
    <cellStyle name="40% - Accent1 2 2 2 2 3" xfId="21846"/>
    <cellStyle name="40% - Accent1 2 2 2 2 3 2" xfId="41729"/>
    <cellStyle name="40% - Accent1 2 2 2 2 4" xfId="29424"/>
    <cellStyle name="40% - Accent1 2 2 2 3" xfId="12628"/>
    <cellStyle name="40% - Accent1 2 2 2 3 2" xfId="32511"/>
    <cellStyle name="40% - Accent1 2 2 2 4" xfId="18780"/>
    <cellStyle name="40% - Accent1 2 2 2 4 2" xfId="38663"/>
    <cellStyle name="40% - Accent1 2 2 2 5" xfId="26358"/>
    <cellStyle name="40% - Accent1 2 2 3" xfId="7966"/>
    <cellStyle name="40% - Accent1 2 2 3 2" xfId="14160"/>
    <cellStyle name="40% - Accent1 2 2 3 2 2" xfId="34043"/>
    <cellStyle name="40% - Accent1 2 2 3 3" xfId="20312"/>
    <cellStyle name="40% - Accent1 2 2 3 3 2" xfId="40195"/>
    <cellStyle name="40% - Accent1 2 2 3 4" xfId="27890"/>
    <cellStyle name="40% - Accent1 2 2 4" xfId="11094"/>
    <cellStyle name="40% - Accent1 2 2 4 2" xfId="30977"/>
    <cellStyle name="40% - Accent1 2 2 5" xfId="17246"/>
    <cellStyle name="40% - Accent1 2 2 5 2" xfId="37129"/>
    <cellStyle name="40% - Accent1 2 2 6" xfId="4790"/>
    <cellStyle name="40% - Accent1 2 2 6 2" xfId="24824"/>
    <cellStyle name="40% - Accent1 2 2 7" xfId="23776"/>
    <cellStyle name="40% - Accent1 2 3" xfId="5629"/>
    <cellStyle name="40% - Accent1 2 3 2" xfId="8732"/>
    <cellStyle name="40% - Accent1 2 3 2 2" xfId="14925"/>
    <cellStyle name="40% - Accent1 2 3 2 2 2" xfId="34808"/>
    <cellStyle name="40% - Accent1 2 3 2 3" xfId="21077"/>
    <cellStyle name="40% - Accent1 2 3 2 3 2" xfId="40960"/>
    <cellStyle name="40% - Accent1 2 3 2 4" xfId="28655"/>
    <cellStyle name="40% - Accent1 2 3 3" xfId="11859"/>
    <cellStyle name="40% - Accent1 2 3 3 2" xfId="31742"/>
    <cellStyle name="40% - Accent1 2 3 4" xfId="18011"/>
    <cellStyle name="40% - Accent1 2 3 4 2" xfId="37894"/>
    <cellStyle name="40% - Accent1 2 3 5" xfId="25589"/>
    <cellStyle name="40% - Accent1 2 4" xfId="7197"/>
    <cellStyle name="40% - Accent1 2 4 2" xfId="13391"/>
    <cellStyle name="40% - Accent1 2 4 2 2" xfId="33274"/>
    <cellStyle name="40% - Accent1 2 4 3" xfId="19543"/>
    <cellStyle name="40% - Accent1 2 4 3 2" xfId="39426"/>
    <cellStyle name="40% - Accent1 2 4 4" xfId="27121"/>
    <cellStyle name="40% - Accent1 2 5" xfId="10325"/>
    <cellStyle name="40% - Accent1 2 5 2" xfId="30208"/>
    <cellStyle name="40% - Accent1 2 6" xfId="16477"/>
    <cellStyle name="40% - Accent1 2 6 2" xfId="36360"/>
    <cellStyle name="40% - Accent1 2 7" xfId="1356"/>
    <cellStyle name="40% - Accent1 2 7 2" xfId="24055"/>
    <cellStyle name="40% - Accent1 2 8" xfId="22896"/>
    <cellStyle name="40% - Accent1 2 8 2" xfId="42770"/>
    <cellStyle name="40% - Accent1 2 9" xfId="23473"/>
    <cellStyle name="40% - Accent1 3" xfId="519"/>
    <cellStyle name="40% - Accent1 3 2" xfId="949"/>
    <cellStyle name="40% - Accent1 3 2 2" xfId="6416"/>
    <cellStyle name="40% - Accent1 3 2 2 2" xfId="9502"/>
    <cellStyle name="40% - Accent1 3 2 2 2 2" xfId="15695"/>
    <cellStyle name="40% - Accent1 3 2 2 2 2 2" xfId="35578"/>
    <cellStyle name="40% - Accent1 3 2 2 2 3" xfId="21847"/>
    <cellStyle name="40% - Accent1 3 2 2 2 3 2" xfId="41730"/>
    <cellStyle name="40% - Accent1 3 2 2 2 4" xfId="29425"/>
    <cellStyle name="40% - Accent1 3 2 2 3" xfId="12629"/>
    <cellStyle name="40% - Accent1 3 2 2 3 2" xfId="32512"/>
    <cellStyle name="40% - Accent1 3 2 2 4" xfId="18781"/>
    <cellStyle name="40% - Accent1 3 2 2 4 2" xfId="38664"/>
    <cellStyle name="40% - Accent1 3 2 2 5" xfId="26359"/>
    <cellStyle name="40% - Accent1 3 2 3" xfId="7967"/>
    <cellStyle name="40% - Accent1 3 2 3 2" xfId="14161"/>
    <cellStyle name="40% - Accent1 3 2 3 2 2" xfId="34044"/>
    <cellStyle name="40% - Accent1 3 2 3 3" xfId="20313"/>
    <cellStyle name="40% - Accent1 3 2 3 3 2" xfId="40196"/>
    <cellStyle name="40% - Accent1 3 2 3 4" xfId="27891"/>
    <cellStyle name="40% - Accent1 3 2 4" xfId="11095"/>
    <cellStyle name="40% - Accent1 3 2 4 2" xfId="30978"/>
    <cellStyle name="40% - Accent1 3 2 5" xfId="17247"/>
    <cellStyle name="40% - Accent1 3 2 5 2" xfId="37130"/>
    <cellStyle name="40% - Accent1 3 2 6" xfId="4791"/>
    <cellStyle name="40% - Accent1 3 2 6 2" xfId="24825"/>
    <cellStyle name="40% - Accent1 3 2 7" xfId="23792"/>
    <cellStyle name="40% - Accent1 3 3" xfId="5630"/>
    <cellStyle name="40% - Accent1 3 3 2" xfId="8733"/>
    <cellStyle name="40% - Accent1 3 3 2 2" xfId="14926"/>
    <cellStyle name="40% - Accent1 3 3 2 2 2" xfId="34809"/>
    <cellStyle name="40% - Accent1 3 3 2 3" xfId="21078"/>
    <cellStyle name="40% - Accent1 3 3 2 3 2" xfId="40961"/>
    <cellStyle name="40% - Accent1 3 3 2 4" xfId="28656"/>
    <cellStyle name="40% - Accent1 3 3 3" xfId="11860"/>
    <cellStyle name="40% - Accent1 3 3 3 2" xfId="31743"/>
    <cellStyle name="40% - Accent1 3 3 4" xfId="18012"/>
    <cellStyle name="40% - Accent1 3 3 4 2" xfId="37895"/>
    <cellStyle name="40% - Accent1 3 3 5" xfId="25590"/>
    <cellStyle name="40% - Accent1 3 4" xfId="7198"/>
    <cellStyle name="40% - Accent1 3 4 2" xfId="13392"/>
    <cellStyle name="40% - Accent1 3 4 2 2" xfId="33275"/>
    <cellStyle name="40% - Accent1 3 4 3" xfId="19544"/>
    <cellStyle name="40% - Accent1 3 4 3 2" xfId="39427"/>
    <cellStyle name="40% - Accent1 3 4 4" xfId="27122"/>
    <cellStyle name="40% - Accent1 3 5" xfId="10326"/>
    <cellStyle name="40% - Accent1 3 5 2" xfId="30209"/>
    <cellStyle name="40% - Accent1 3 6" xfId="16478"/>
    <cellStyle name="40% - Accent1 3 6 2" xfId="36361"/>
    <cellStyle name="40% - Accent1 3 7" xfId="1357"/>
    <cellStyle name="40% - Accent1 3 7 2" xfId="24056"/>
    <cellStyle name="40% - Accent1 3 8" xfId="22912"/>
    <cellStyle name="40% - Accent1 3 8 2" xfId="42786"/>
    <cellStyle name="40% - Accent1 3 9" xfId="23489"/>
    <cellStyle name="40% - Accent1 4" xfId="547"/>
    <cellStyle name="40% - Accent1 4 2" xfId="965"/>
    <cellStyle name="40% - Accent1 4 2 2" xfId="6417"/>
    <cellStyle name="40% - Accent1 4 2 2 2" xfId="9503"/>
    <cellStyle name="40% - Accent1 4 2 2 2 2" xfId="15696"/>
    <cellStyle name="40% - Accent1 4 2 2 2 2 2" xfId="35579"/>
    <cellStyle name="40% - Accent1 4 2 2 2 3" xfId="21848"/>
    <cellStyle name="40% - Accent1 4 2 2 2 3 2" xfId="41731"/>
    <cellStyle name="40% - Accent1 4 2 2 2 4" xfId="29426"/>
    <cellStyle name="40% - Accent1 4 2 2 3" xfId="12630"/>
    <cellStyle name="40% - Accent1 4 2 2 3 2" xfId="32513"/>
    <cellStyle name="40% - Accent1 4 2 2 4" xfId="18782"/>
    <cellStyle name="40% - Accent1 4 2 2 4 2" xfId="38665"/>
    <cellStyle name="40% - Accent1 4 2 2 5" xfId="26360"/>
    <cellStyle name="40% - Accent1 4 2 3" xfId="7968"/>
    <cellStyle name="40% - Accent1 4 2 3 2" xfId="14162"/>
    <cellStyle name="40% - Accent1 4 2 3 2 2" xfId="34045"/>
    <cellStyle name="40% - Accent1 4 2 3 3" xfId="20314"/>
    <cellStyle name="40% - Accent1 4 2 3 3 2" xfId="40197"/>
    <cellStyle name="40% - Accent1 4 2 3 4" xfId="27892"/>
    <cellStyle name="40% - Accent1 4 2 4" xfId="11096"/>
    <cellStyle name="40% - Accent1 4 2 4 2" xfId="30979"/>
    <cellStyle name="40% - Accent1 4 2 5" xfId="17248"/>
    <cellStyle name="40% - Accent1 4 2 5 2" xfId="37131"/>
    <cellStyle name="40% - Accent1 4 2 6" xfId="4792"/>
    <cellStyle name="40% - Accent1 4 2 6 2" xfId="24826"/>
    <cellStyle name="40% - Accent1 4 2 7" xfId="23808"/>
    <cellStyle name="40% - Accent1 4 3" xfId="5631"/>
    <cellStyle name="40% - Accent1 4 3 2" xfId="8734"/>
    <cellStyle name="40% - Accent1 4 3 2 2" xfId="14927"/>
    <cellStyle name="40% - Accent1 4 3 2 2 2" xfId="34810"/>
    <cellStyle name="40% - Accent1 4 3 2 3" xfId="21079"/>
    <cellStyle name="40% - Accent1 4 3 2 3 2" xfId="40962"/>
    <cellStyle name="40% - Accent1 4 3 2 4" xfId="28657"/>
    <cellStyle name="40% - Accent1 4 3 3" xfId="11861"/>
    <cellStyle name="40% - Accent1 4 3 3 2" xfId="31744"/>
    <cellStyle name="40% - Accent1 4 3 4" xfId="18013"/>
    <cellStyle name="40% - Accent1 4 3 4 2" xfId="37896"/>
    <cellStyle name="40% - Accent1 4 3 5" xfId="25591"/>
    <cellStyle name="40% - Accent1 4 4" xfId="7199"/>
    <cellStyle name="40% - Accent1 4 4 2" xfId="13393"/>
    <cellStyle name="40% - Accent1 4 4 2 2" xfId="33276"/>
    <cellStyle name="40% - Accent1 4 4 3" xfId="19545"/>
    <cellStyle name="40% - Accent1 4 4 3 2" xfId="39428"/>
    <cellStyle name="40% - Accent1 4 4 4" xfId="27123"/>
    <cellStyle name="40% - Accent1 4 5" xfId="10327"/>
    <cellStyle name="40% - Accent1 4 5 2" xfId="30210"/>
    <cellStyle name="40% - Accent1 4 6" xfId="16479"/>
    <cellStyle name="40% - Accent1 4 6 2" xfId="36362"/>
    <cellStyle name="40% - Accent1 4 7" xfId="1358"/>
    <cellStyle name="40% - Accent1 4 7 2" xfId="24057"/>
    <cellStyle name="40% - Accent1 4 8" xfId="22928"/>
    <cellStyle name="40% - Accent1 4 8 2" xfId="42802"/>
    <cellStyle name="40% - Accent1 4 9" xfId="23505"/>
    <cellStyle name="40% - Accent1 5" xfId="574"/>
    <cellStyle name="40% - Accent1 5 10" xfId="23521"/>
    <cellStyle name="40% - Accent1 5 2" xfId="981"/>
    <cellStyle name="40% - Accent1 5 2 2" xfId="6418"/>
    <cellStyle name="40% - Accent1 5 2 2 2" xfId="9504"/>
    <cellStyle name="40% - Accent1 5 2 2 2 2" xfId="15697"/>
    <cellStyle name="40% - Accent1 5 2 2 2 2 2" xfId="35580"/>
    <cellStyle name="40% - Accent1 5 2 2 2 3" xfId="21849"/>
    <cellStyle name="40% - Accent1 5 2 2 2 3 2" xfId="41732"/>
    <cellStyle name="40% - Accent1 5 2 2 2 4" xfId="29427"/>
    <cellStyle name="40% - Accent1 5 2 2 3" xfId="12631"/>
    <cellStyle name="40% - Accent1 5 2 2 3 2" xfId="32514"/>
    <cellStyle name="40% - Accent1 5 2 2 4" xfId="18783"/>
    <cellStyle name="40% - Accent1 5 2 2 4 2" xfId="38666"/>
    <cellStyle name="40% - Accent1 5 2 2 5" xfId="26361"/>
    <cellStyle name="40% - Accent1 5 2 3" xfId="7969"/>
    <cellStyle name="40% - Accent1 5 2 3 2" xfId="14163"/>
    <cellStyle name="40% - Accent1 5 2 3 2 2" xfId="34046"/>
    <cellStyle name="40% - Accent1 5 2 3 3" xfId="20315"/>
    <cellStyle name="40% - Accent1 5 2 3 3 2" xfId="40198"/>
    <cellStyle name="40% - Accent1 5 2 3 4" xfId="27893"/>
    <cellStyle name="40% - Accent1 5 2 4" xfId="11097"/>
    <cellStyle name="40% - Accent1 5 2 4 2" xfId="30980"/>
    <cellStyle name="40% - Accent1 5 2 5" xfId="17249"/>
    <cellStyle name="40% - Accent1 5 2 5 2" xfId="37132"/>
    <cellStyle name="40% - Accent1 5 2 6" xfId="4793"/>
    <cellStyle name="40% - Accent1 5 2 6 2" xfId="24827"/>
    <cellStyle name="40% - Accent1 5 2 7" xfId="23824"/>
    <cellStyle name="40% - Accent1 5 3" xfId="5632"/>
    <cellStyle name="40% - Accent1 5 3 2" xfId="8735"/>
    <cellStyle name="40% - Accent1 5 3 2 2" xfId="14928"/>
    <cellStyle name="40% - Accent1 5 3 2 2 2" xfId="34811"/>
    <cellStyle name="40% - Accent1 5 3 2 3" xfId="21080"/>
    <cellStyle name="40% - Accent1 5 3 2 3 2" xfId="40963"/>
    <cellStyle name="40% - Accent1 5 3 2 4" xfId="28658"/>
    <cellStyle name="40% - Accent1 5 3 3" xfId="11862"/>
    <cellStyle name="40% - Accent1 5 3 3 2" xfId="31745"/>
    <cellStyle name="40% - Accent1 5 3 4" xfId="18014"/>
    <cellStyle name="40% - Accent1 5 3 4 2" xfId="37897"/>
    <cellStyle name="40% - Accent1 5 3 5" xfId="25592"/>
    <cellStyle name="40% - Accent1 5 4" xfId="7200"/>
    <cellStyle name="40% - Accent1 5 4 2" xfId="13394"/>
    <cellStyle name="40% - Accent1 5 4 2 2" xfId="33277"/>
    <cellStyle name="40% - Accent1 5 4 3" xfId="19546"/>
    <cellStyle name="40% - Accent1 5 4 3 2" xfId="39429"/>
    <cellStyle name="40% - Accent1 5 4 4" xfId="27124"/>
    <cellStyle name="40% - Accent1 5 5" xfId="10328"/>
    <cellStyle name="40% - Accent1 5 5 2" xfId="30211"/>
    <cellStyle name="40% - Accent1 5 6" xfId="16480"/>
    <cellStyle name="40% - Accent1 5 6 2" xfId="36363"/>
    <cellStyle name="40% - Accent1 5 7" xfId="1359"/>
    <cellStyle name="40% - Accent1 5 7 2" xfId="24058"/>
    <cellStyle name="40% - Accent1 5 8" xfId="22594"/>
    <cellStyle name="40% - Accent1 5 8 2" xfId="42468"/>
    <cellStyle name="40% - Accent1 5 9" xfId="22944"/>
    <cellStyle name="40% - Accent1 5 9 2" xfId="42818"/>
    <cellStyle name="40% - Accent1 6" xfId="601"/>
    <cellStyle name="40% - Accent1 6 2" xfId="997"/>
    <cellStyle name="40% - Accent1 6 2 2" xfId="23840"/>
    <cellStyle name="40% - Accent1 6 3" xfId="1360"/>
    <cellStyle name="40% - Accent1 6 4" xfId="22612"/>
    <cellStyle name="40% - Accent1 6 4 2" xfId="42486"/>
    <cellStyle name="40% - Accent1 6 5" xfId="22960"/>
    <cellStyle name="40% - Accent1 6 5 2" xfId="42834"/>
    <cellStyle name="40% - Accent1 6 6" xfId="23537"/>
    <cellStyle name="40% - Accent1 7" xfId="625"/>
    <cellStyle name="40% - Accent1 7 2" xfId="1013"/>
    <cellStyle name="40% - Accent1 7 2 2" xfId="23856"/>
    <cellStyle name="40% - Accent1 7 3" xfId="22704"/>
    <cellStyle name="40% - Accent1 7 3 2" xfId="42578"/>
    <cellStyle name="40% - Accent1 7 4" xfId="22976"/>
    <cellStyle name="40% - Accent1 7 4 2" xfId="42850"/>
    <cellStyle name="40% - Accent1 7 5" xfId="23553"/>
    <cellStyle name="40% - Accent1 8" xfId="649"/>
    <cellStyle name="40% - Accent1 8 2" xfId="1029"/>
    <cellStyle name="40% - Accent1 8 2 2" xfId="23872"/>
    <cellStyle name="40% - Accent1 8 3" xfId="22719"/>
    <cellStyle name="40% - Accent1 8 3 2" xfId="42593"/>
    <cellStyle name="40% - Accent1 8 4" xfId="22992"/>
    <cellStyle name="40% - Accent1 8 4 2" xfId="42866"/>
    <cellStyle name="40% - Accent1 8 5" xfId="23569"/>
    <cellStyle name="40% - Accent1 9" xfId="687"/>
    <cellStyle name="40% - Accent1 9 2" xfId="1045"/>
    <cellStyle name="40% - Accent1 9 2 2" xfId="23888"/>
    <cellStyle name="40% - Accent1 9 3" xfId="22606"/>
    <cellStyle name="40% - Accent1 9 3 2" xfId="42480"/>
    <cellStyle name="40% - Accent1 9 4" xfId="23008"/>
    <cellStyle name="40% - Accent1 9 4 2" xfId="42882"/>
    <cellStyle name="40% - Accent1 9 5" xfId="23585"/>
    <cellStyle name="40% - Accent2" xfId="174" builtinId="35" customBuiltin="1"/>
    <cellStyle name="40% - Accent2 10" xfId="719"/>
    <cellStyle name="40% - Accent2 10 2" xfId="1063"/>
    <cellStyle name="40% - Accent2 10 2 2" xfId="23906"/>
    <cellStyle name="40% - Accent2 10 3" xfId="22802"/>
    <cellStyle name="40% - Accent2 10 3 2" xfId="42676"/>
    <cellStyle name="40% - Accent2 10 4" xfId="23026"/>
    <cellStyle name="40% - Accent2 10 4 2" xfId="42900"/>
    <cellStyle name="40% - Accent2 10 5" xfId="23603"/>
    <cellStyle name="40% - Accent2 11" xfId="747"/>
    <cellStyle name="40% - Accent2 11 2" xfId="1079"/>
    <cellStyle name="40% - Accent2 11 2 2" xfId="23922"/>
    <cellStyle name="40% - Accent2 11 3" xfId="1219"/>
    <cellStyle name="40% - Accent2 11 3 2" xfId="24006"/>
    <cellStyle name="40% - Accent2 11 4" xfId="23042"/>
    <cellStyle name="40% - Accent2 11 4 2" xfId="42916"/>
    <cellStyle name="40% - Accent2 11 5" xfId="23619"/>
    <cellStyle name="40% - Accent2 12" xfId="773"/>
    <cellStyle name="40% - Accent2 12 2" xfId="1095"/>
    <cellStyle name="40% - Accent2 12 2 2" xfId="23938"/>
    <cellStyle name="40% - Accent2 12 3" xfId="22622"/>
    <cellStyle name="40% - Accent2 12 3 2" xfId="42496"/>
    <cellStyle name="40% - Accent2 12 4" xfId="23058"/>
    <cellStyle name="40% - Accent2 12 4 2" xfId="42932"/>
    <cellStyle name="40% - Accent2 12 5" xfId="23635"/>
    <cellStyle name="40% - Accent2 13" xfId="797"/>
    <cellStyle name="40% - Accent2 13 2" xfId="1111"/>
    <cellStyle name="40% - Accent2 13 2 2" xfId="23954"/>
    <cellStyle name="40% - Accent2 13 3" xfId="22603"/>
    <cellStyle name="40% - Accent2 13 3 2" xfId="42477"/>
    <cellStyle name="40% - Accent2 13 4" xfId="23074"/>
    <cellStyle name="40% - Accent2 13 4 2" xfId="42948"/>
    <cellStyle name="40% - Accent2 13 5" xfId="23651"/>
    <cellStyle name="40% - Accent2 14" xfId="819"/>
    <cellStyle name="40% - Accent2 14 2" xfId="1127"/>
    <cellStyle name="40% - Accent2 14 2 2" xfId="23970"/>
    <cellStyle name="40% - Accent2 14 3" xfId="22750"/>
    <cellStyle name="40% - Accent2 14 3 2" xfId="42624"/>
    <cellStyle name="40% - Accent2 14 4" xfId="23090"/>
    <cellStyle name="40% - Accent2 14 4 2" xfId="42964"/>
    <cellStyle name="40% - Accent2 14 5" xfId="23667"/>
    <cellStyle name="40% - Accent2 15" xfId="835"/>
    <cellStyle name="40% - Accent2 15 2" xfId="1143"/>
    <cellStyle name="40% - Accent2 15 2 2" xfId="23986"/>
    <cellStyle name="40% - Accent2 15 3" xfId="22732"/>
    <cellStyle name="40% - Accent2 15 3 2" xfId="42606"/>
    <cellStyle name="40% - Accent2 15 4" xfId="23106"/>
    <cellStyle name="40% - Accent2 15 4 2" xfId="42980"/>
    <cellStyle name="40% - Accent2 15 5" xfId="23683"/>
    <cellStyle name="40% - Accent2 16" xfId="859"/>
    <cellStyle name="40% - Accent2 16 2" xfId="23702"/>
    <cellStyle name="40% - Accent2 17" xfId="22822"/>
    <cellStyle name="40% - Accent2 17 2" xfId="42696"/>
    <cellStyle name="40% - Accent2 18" xfId="23396"/>
    <cellStyle name="40% - Accent2 2" xfId="492"/>
    <cellStyle name="40% - Accent2 2 2" xfId="935"/>
    <cellStyle name="40% - Accent2 2 2 2" xfId="6419"/>
    <cellStyle name="40% - Accent2 2 2 2 2" xfId="9505"/>
    <cellStyle name="40% - Accent2 2 2 2 2 2" xfId="15698"/>
    <cellStyle name="40% - Accent2 2 2 2 2 2 2" xfId="35581"/>
    <cellStyle name="40% - Accent2 2 2 2 2 3" xfId="21850"/>
    <cellStyle name="40% - Accent2 2 2 2 2 3 2" xfId="41733"/>
    <cellStyle name="40% - Accent2 2 2 2 2 4" xfId="29428"/>
    <cellStyle name="40% - Accent2 2 2 2 3" xfId="12632"/>
    <cellStyle name="40% - Accent2 2 2 2 3 2" xfId="32515"/>
    <cellStyle name="40% - Accent2 2 2 2 4" xfId="18784"/>
    <cellStyle name="40% - Accent2 2 2 2 4 2" xfId="38667"/>
    <cellStyle name="40% - Accent2 2 2 2 5" xfId="26362"/>
    <cellStyle name="40% - Accent2 2 2 3" xfId="7970"/>
    <cellStyle name="40% - Accent2 2 2 3 2" xfId="14164"/>
    <cellStyle name="40% - Accent2 2 2 3 2 2" xfId="34047"/>
    <cellStyle name="40% - Accent2 2 2 3 3" xfId="20316"/>
    <cellStyle name="40% - Accent2 2 2 3 3 2" xfId="40199"/>
    <cellStyle name="40% - Accent2 2 2 3 4" xfId="27894"/>
    <cellStyle name="40% - Accent2 2 2 4" xfId="11098"/>
    <cellStyle name="40% - Accent2 2 2 4 2" xfId="30981"/>
    <cellStyle name="40% - Accent2 2 2 5" xfId="17250"/>
    <cellStyle name="40% - Accent2 2 2 5 2" xfId="37133"/>
    <cellStyle name="40% - Accent2 2 2 6" xfId="4794"/>
    <cellStyle name="40% - Accent2 2 2 6 2" xfId="24828"/>
    <cellStyle name="40% - Accent2 2 2 7" xfId="23778"/>
    <cellStyle name="40% - Accent2 2 3" xfId="5633"/>
    <cellStyle name="40% - Accent2 2 3 2" xfId="8736"/>
    <cellStyle name="40% - Accent2 2 3 2 2" xfId="14929"/>
    <cellStyle name="40% - Accent2 2 3 2 2 2" xfId="34812"/>
    <cellStyle name="40% - Accent2 2 3 2 3" xfId="21081"/>
    <cellStyle name="40% - Accent2 2 3 2 3 2" xfId="40964"/>
    <cellStyle name="40% - Accent2 2 3 2 4" xfId="28659"/>
    <cellStyle name="40% - Accent2 2 3 3" xfId="11863"/>
    <cellStyle name="40% - Accent2 2 3 3 2" xfId="31746"/>
    <cellStyle name="40% - Accent2 2 3 4" xfId="18015"/>
    <cellStyle name="40% - Accent2 2 3 4 2" xfId="37898"/>
    <cellStyle name="40% - Accent2 2 3 5" xfId="25593"/>
    <cellStyle name="40% - Accent2 2 4" xfId="7201"/>
    <cellStyle name="40% - Accent2 2 4 2" xfId="13395"/>
    <cellStyle name="40% - Accent2 2 4 2 2" xfId="33278"/>
    <cellStyle name="40% - Accent2 2 4 3" xfId="19547"/>
    <cellStyle name="40% - Accent2 2 4 3 2" xfId="39430"/>
    <cellStyle name="40% - Accent2 2 4 4" xfId="27125"/>
    <cellStyle name="40% - Accent2 2 5" xfId="10329"/>
    <cellStyle name="40% - Accent2 2 5 2" xfId="30212"/>
    <cellStyle name="40% - Accent2 2 6" xfId="16481"/>
    <cellStyle name="40% - Accent2 2 6 2" xfId="36364"/>
    <cellStyle name="40% - Accent2 2 7" xfId="1361"/>
    <cellStyle name="40% - Accent2 2 7 2" xfId="24059"/>
    <cellStyle name="40% - Accent2 2 8" xfId="22898"/>
    <cellStyle name="40% - Accent2 2 8 2" xfId="42772"/>
    <cellStyle name="40% - Accent2 2 9" xfId="23475"/>
    <cellStyle name="40% - Accent2 3" xfId="522"/>
    <cellStyle name="40% - Accent2 3 2" xfId="951"/>
    <cellStyle name="40% - Accent2 3 2 2" xfId="6420"/>
    <cellStyle name="40% - Accent2 3 2 2 2" xfId="9506"/>
    <cellStyle name="40% - Accent2 3 2 2 2 2" xfId="15699"/>
    <cellStyle name="40% - Accent2 3 2 2 2 2 2" xfId="35582"/>
    <cellStyle name="40% - Accent2 3 2 2 2 3" xfId="21851"/>
    <cellStyle name="40% - Accent2 3 2 2 2 3 2" xfId="41734"/>
    <cellStyle name="40% - Accent2 3 2 2 2 4" xfId="29429"/>
    <cellStyle name="40% - Accent2 3 2 2 3" xfId="12633"/>
    <cellStyle name="40% - Accent2 3 2 2 3 2" xfId="32516"/>
    <cellStyle name="40% - Accent2 3 2 2 4" xfId="18785"/>
    <cellStyle name="40% - Accent2 3 2 2 4 2" xfId="38668"/>
    <cellStyle name="40% - Accent2 3 2 2 5" xfId="26363"/>
    <cellStyle name="40% - Accent2 3 2 3" xfId="7971"/>
    <cellStyle name="40% - Accent2 3 2 3 2" xfId="14165"/>
    <cellStyle name="40% - Accent2 3 2 3 2 2" xfId="34048"/>
    <cellStyle name="40% - Accent2 3 2 3 3" xfId="20317"/>
    <cellStyle name="40% - Accent2 3 2 3 3 2" xfId="40200"/>
    <cellStyle name="40% - Accent2 3 2 3 4" xfId="27895"/>
    <cellStyle name="40% - Accent2 3 2 4" xfId="11099"/>
    <cellStyle name="40% - Accent2 3 2 4 2" xfId="30982"/>
    <cellStyle name="40% - Accent2 3 2 5" xfId="17251"/>
    <cellStyle name="40% - Accent2 3 2 5 2" xfId="37134"/>
    <cellStyle name="40% - Accent2 3 2 6" xfId="4795"/>
    <cellStyle name="40% - Accent2 3 2 6 2" xfId="24829"/>
    <cellStyle name="40% - Accent2 3 2 7" xfId="23794"/>
    <cellStyle name="40% - Accent2 3 3" xfId="5634"/>
    <cellStyle name="40% - Accent2 3 3 2" xfId="8737"/>
    <cellStyle name="40% - Accent2 3 3 2 2" xfId="14930"/>
    <cellStyle name="40% - Accent2 3 3 2 2 2" xfId="34813"/>
    <cellStyle name="40% - Accent2 3 3 2 3" xfId="21082"/>
    <cellStyle name="40% - Accent2 3 3 2 3 2" xfId="40965"/>
    <cellStyle name="40% - Accent2 3 3 2 4" xfId="28660"/>
    <cellStyle name="40% - Accent2 3 3 3" xfId="11864"/>
    <cellStyle name="40% - Accent2 3 3 3 2" xfId="31747"/>
    <cellStyle name="40% - Accent2 3 3 4" xfId="18016"/>
    <cellStyle name="40% - Accent2 3 3 4 2" xfId="37899"/>
    <cellStyle name="40% - Accent2 3 3 5" xfId="25594"/>
    <cellStyle name="40% - Accent2 3 4" xfId="7202"/>
    <cellStyle name="40% - Accent2 3 4 2" xfId="13396"/>
    <cellStyle name="40% - Accent2 3 4 2 2" xfId="33279"/>
    <cellStyle name="40% - Accent2 3 4 3" xfId="19548"/>
    <cellStyle name="40% - Accent2 3 4 3 2" xfId="39431"/>
    <cellStyle name="40% - Accent2 3 4 4" xfId="27126"/>
    <cellStyle name="40% - Accent2 3 5" xfId="10330"/>
    <cellStyle name="40% - Accent2 3 5 2" xfId="30213"/>
    <cellStyle name="40% - Accent2 3 6" xfId="16482"/>
    <cellStyle name="40% - Accent2 3 6 2" xfId="36365"/>
    <cellStyle name="40% - Accent2 3 7" xfId="1362"/>
    <cellStyle name="40% - Accent2 3 7 2" xfId="24060"/>
    <cellStyle name="40% - Accent2 3 8" xfId="22914"/>
    <cellStyle name="40% - Accent2 3 8 2" xfId="42788"/>
    <cellStyle name="40% - Accent2 3 9" xfId="23491"/>
    <cellStyle name="40% - Accent2 4" xfId="550"/>
    <cellStyle name="40% - Accent2 4 2" xfId="967"/>
    <cellStyle name="40% - Accent2 4 2 2" xfId="6421"/>
    <cellStyle name="40% - Accent2 4 2 2 2" xfId="9507"/>
    <cellStyle name="40% - Accent2 4 2 2 2 2" xfId="15700"/>
    <cellStyle name="40% - Accent2 4 2 2 2 2 2" xfId="35583"/>
    <cellStyle name="40% - Accent2 4 2 2 2 3" xfId="21852"/>
    <cellStyle name="40% - Accent2 4 2 2 2 3 2" xfId="41735"/>
    <cellStyle name="40% - Accent2 4 2 2 2 4" xfId="29430"/>
    <cellStyle name="40% - Accent2 4 2 2 3" xfId="12634"/>
    <cellStyle name="40% - Accent2 4 2 2 3 2" xfId="32517"/>
    <cellStyle name="40% - Accent2 4 2 2 4" xfId="18786"/>
    <cellStyle name="40% - Accent2 4 2 2 4 2" xfId="38669"/>
    <cellStyle name="40% - Accent2 4 2 2 5" xfId="26364"/>
    <cellStyle name="40% - Accent2 4 2 3" xfId="7972"/>
    <cellStyle name="40% - Accent2 4 2 3 2" xfId="14166"/>
    <cellStyle name="40% - Accent2 4 2 3 2 2" xfId="34049"/>
    <cellStyle name="40% - Accent2 4 2 3 3" xfId="20318"/>
    <cellStyle name="40% - Accent2 4 2 3 3 2" xfId="40201"/>
    <cellStyle name="40% - Accent2 4 2 3 4" xfId="27896"/>
    <cellStyle name="40% - Accent2 4 2 4" xfId="11100"/>
    <cellStyle name="40% - Accent2 4 2 4 2" xfId="30983"/>
    <cellStyle name="40% - Accent2 4 2 5" xfId="17252"/>
    <cellStyle name="40% - Accent2 4 2 5 2" xfId="37135"/>
    <cellStyle name="40% - Accent2 4 2 6" xfId="4796"/>
    <cellStyle name="40% - Accent2 4 2 6 2" xfId="24830"/>
    <cellStyle name="40% - Accent2 4 2 7" xfId="23810"/>
    <cellStyle name="40% - Accent2 4 3" xfId="5635"/>
    <cellStyle name="40% - Accent2 4 3 2" xfId="8738"/>
    <cellStyle name="40% - Accent2 4 3 2 2" xfId="14931"/>
    <cellStyle name="40% - Accent2 4 3 2 2 2" xfId="34814"/>
    <cellStyle name="40% - Accent2 4 3 2 3" xfId="21083"/>
    <cellStyle name="40% - Accent2 4 3 2 3 2" xfId="40966"/>
    <cellStyle name="40% - Accent2 4 3 2 4" xfId="28661"/>
    <cellStyle name="40% - Accent2 4 3 3" xfId="11865"/>
    <cellStyle name="40% - Accent2 4 3 3 2" xfId="31748"/>
    <cellStyle name="40% - Accent2 4 3 4" xfId="18017"/>
    <cellStyle name="40% - Accent2 4 3 4 2" xfId="37900"/>
    <cellStyle name="40% - Accent2 4 3 5" xfId="25595"/>
    <cellStyle name="40% - Accent2 4 4" xfId="7203"/>
    <cellStyle name="40% - Accent2 4 4 2" xfId="13397"/>
    <cellStyle name="40% - Accent2 4 4 2 2" xfId="33280"/>
    <cellStyle name="40% - Accent2 4 4 3" xfId="19549"/>
    <cellStyle name="40% - Accent2 4 4 3 2" xfId="39432"/>
    <cellStyle name="40% - Accent2 4 4 4" xfId="27127"/>
    <cellStyle name="40% - Accent2 4 5" xfId="10331"/>
    <cellStyle name="40% - Accent2 4 5 2" xfId="30214"/>
    <cellStyle name="40% - Accent2 4 6" xfId="16483"/>
    <cellStyle name="40% - Accent2 4 6 2" xfId="36366"/>
    <cellStyle name="40% - Accent2 4 7" xfId="1363"/>
    <cellStyle name="40% - Accent2 4 7 2" xfId="24061"/>
    <cellStyle name="40% - Accent2 4 8" xfId="22930"/>
    <cellStyle name="40% - Accent2 4 8 2" xfId="42804"/>
    <cellStyle name="40% - Accent2 4 9" xfId="23507"/>
    <cellStyle name="40% - Accent2 5" xfId="577"/>
    <cellStyle name="40% - Accent2 5 2" xfId="983"/>
    <cellStyle name="40% - Accent2 5 2 2" xfId="23826"/>
    <cellStyle name="40% - Accent2 5 3" xfId="1364"/>
    <cellStyle name="40% - Accent2 5 4" xfId="22682"/>
    <cellStyle name="40% - Accent2 5 4 2" xfId="42556"/>
    <cellStyle name="40% - Accent2 5 5" xfId="22946"/>
    <cellStyle name="40% - Accent2 5 5 2" xfId="42820"/>
    <cellStyle name="40% - Accent2 5 6" xfId="23523"/>
    <cellStyle name="40% - Accent2 6" xfId="604"/>
    <cellStyle name="40% - Accent2 6 2" xfId="999"/>
    <cellStyle name="40% - Accent2 6 2 2" xfId="23842"/>
    <cellStyle name="40% - Accent2 6 3" xfId="22718"/>
    <cellStyle name="40% - Accent2 6 3 2" xfId="42592"/>
    <cellStyle name="40% - Accent2 6 4" xfId="22962"/>
    <cellStyle name="40% - Accent2 6 4 2" xfId="42836"/>
    <cellStyle name="40% - Accent2 6 5" xfId="23539"/>
    <cellStyle name="40% - Accent2 7" xfId="628"/>
    <cellStyle name="40% - Accent2 7 2" xfId="1015"/>
    <cellStyle name="40% - Accent2 7 2 2" xfId="23858"/>
    <cellStyle name="40% - Accent2 7 3" xfId="22722"/>
    <cellStyle name="40% - Accent2 7 3 2" xfId="42596"/>
    <cellStyle name="40% - Accent2 7 4" xfId="22978"/>
    <cellStyle name="40% - Accent2 7 4 2" xfId="42852"/>
    <cellStyle name="40% - Accent2 7 5" xfId="23555"/>
    <cellStyle name="40% - Accent2 8" xfId="652"/>
    <cellStyle name="40% - Accent2 8 2" xfId="1031"/>
    <cellStyle name="40% - Accent2 8 2 2" xfId="23874"/>
    <cellStyle name="40% - Accent2 8 3" xfId="22784"/>
    <cellStyle name="40% - Accent2 8 3 2" xfId="42658"/>
    <cellStyle name="40% - Accent2 8 4" xfId="22994"/>
    <cellStyle name="40% - Accent2 8 4 2" xfId="42868"/>
    <cellStyle name="40% - Accent2 8 5" xfId="23571"/>
    <cellStyle name="40% - Accent2 9" xfId="691"/>
    <cellStyle name="40% - Accent2 9 2" xfId="1047"/>
    <cellStyle name="40% - Accent2 9 2 2" xfId="23890"/>
    <cellStyle name="40% - Accent2 9 3" xfId="22619"/>
    <cellStyle name="40% - Accent2 9 3 2" xfId="42493"/>
    <cellStyle name="40% - Accent2 9 4" xfId="23010"/>
    <cellStyle name="40% - Accent2 9 4 2" xfId="42884"/>
    <cellStyle name="40% - Accent2 9 5" xfId="23587"/>
    <cellStyle name="40% - Accent3" xfId="178" builtinId="39" customBuiltin="1"/>
    <cellStyle name="40% - Accent3 10" xfId="723"/>
    <cellStyle name="40% - Accent3 10 2" xfId="1065"/>
    <cellStyle name="40% - Accent3 10 2 2" xfId="23908"/>
    <cellStyle name="40% - Accent3 10 3" xfId="22626"/>
    <cellStyle name="40% - Accent3 10 3 2" xfId="42500"/>
    <cellStyle name="40% - Accent3 10 4" xfId="23028"/>
    <cellStyle name="40% - Accent3 10 4 2" xfId="42902"/>
    <cellStyle name="40% - Accent3 10 5" xfId="23605"/>
    <cellStyle name="40% - Accent3 11" xfId="750"/>
    <cellStyle name="40% - Accent3 11 2" xfId="1081"/>
    <cellStyle name="40% - Accent3 11 2 2" xfId="23924"/>
    <cellStyle name="40% - Accent3 11 3" xfId="22724"/>
    <cellStyle name="40% - Accent3 11 3 2" xfId="42598"/>
    <cellStyle name="40% - Accent3 11 4" xfId="23044"/>
    <cellStyle name="40% - Accent3 11 4 2" xfId="42918"/>
    <cellStyle name="40% - Accent3 11 5" xfId="23621"/>
    <cellStyle name="40% - Accent3 12" xfId="776"/>
    <cellStyle name="40% - Accent3 12 2" xfId="1097"/>
    <cellStyle name="40% - Accent3 12 2 2" xfId="23940"/>
    <cellStyle name="40% - Accent3 12 3" xfId="22712"/>
    <cellStyle name="40% - Accent3 12 3 2" xfId="42586"/>
    <cellStyle name="40% - Accent3 12 4" xfId="23060"/>
    <cellStyle name="40% - Accent3 12 4 2" xfId="42934"/>
    <cellStyle name="40% - Accent3 12 5" xfId="23637"/>
    <cellStyle name="40% - Accent3 13" xfId="800"/>
    <cellStyle name="40% - Accent3 13 2" xfId="1113"/>
    <cellStyle name="40% - Accent3 13 2 2" xfId="23956"/>
    <cellStyle name="40% - Accent3 13 3" xfId="22787"/>
    <cellStyle name="40% - Accent3 13 3 2" xfId="42661"/>
    <cellStyle name="40% - Accent3 13 4" xfId="23076"/>
    <cellStyle name="40% - Accent3 13 4 2" xfId="42950"/>
    <cellStyle name="40% - Accent3 13 5" xfId="23653"/>
    <cellStyle name="40% - Accent3 14" xfId="821"/>
    <cellStyle name="40% - Accent3 14 2" xfId="1129"/>
    <cellStyle name="40% - Accent3 14 2 2" xfId="23972"/>
    <cellStyle name="40% - Accent3 14 3" xfId="22658"/>
    <cellStyle name="40% - Accent3 14 3 2" xfId="42532"/>
    <cellStyle name="40% - Accent3 14 4" xfId="23092"/>
    <cellStyle name="40% - Accent3 14 4 2" xfId="42966"/>
    <cellStyle name="40% - Accent3 14 5" xfId="23669"/>
    <cellStyle name="40% - Accent3 15" xfId="837"/>
    <cellStyle name="40% - Accent3 15 2" xfId="1145"/>
    <cellStyle name="40% - Accent3 15 2 2" xfId="23988"/>
    <cellStyle name="40% - Accent3 15 3" xfId="22668"/>
    <cellStyle name="40% - Accent3 15 3 2" xfId="42542"/>
    <cellStyle name="40% - Accent3 15 4" xfId="23108"/>
    <cellStyle name="40% - Accent3 15 4 2" xfId="42982"/>
    <cellStyle name="40% - Accent3 15 5" xfId="23685"/>
    <cellStyle name="40% - Accent3 16" xfId="861"/>
    <cellStyle name="40% - Accent3 16 2" xfId="23704"/>
    <cellStyle name="40% - Accent3 17" xfId="22824"/>
    <cellStyle name="40% - Accent3 17 2" xfId="42698"/>
    <cellStyle name="40% - Accent3 18" xfId="23398"/>
    <cellStyle name="40% - Accent3 2" xfId="496"/>
    <cellStyle name="40% - Accent3 2 2" xfId="937"/>
    <cellStyle name="40% - Accent3 2 2 2" xfId="6422"/>
    <cellStyle name="40% - Accent3 2 2 2 2" xfId="9508"/>
    <cellStyle name="40% - Accent3 2 2 2 2 2" xfId="15701"/>
    <cellStyle name="40% - Accent3 2 2 2 2 2 2" xfId="35584"/>
    <cellStyle name="40% - Accent3 2 2 2 2 3" xfId="21853"/>
    <cellStyle name="40% - Accent3 2 2 2 2 3 2" xfId="41736"/>
    <cellStyle name="40% - Accent3 2 2 2 2 4" xfId="29431"/>
    <cellStyle name="40% - Accent3 2 2 2 3" xfId="12635"/>
    <cellStyle name="40% - Accent3 2 2 2 3 2" xfId="32518"/>
    <cellStyle name="40% - Accent3 2 2 2 4" xfId="18787"/>
    <cellStyle name="40% - Accent3 2 2 2 4 2" xfId="38670"/>
    <cellStyle name="40% - Accent3 2 2 2 5" xfId="26365"/>
    <cellStyle name="40% - Accent3 2 2 3" xfId="7973"/>
    <cellStyle name="40% - Accent3 2 2 3 2" xfId="14167"/>
    <cellStyle name="40% - Accent3 2 2 3 2 2" xfId="34050"/>
    <cellStyle name="40% - Accent3 2 2 3 3" xfId="20319"/>
    <cellStyle name="40% - Accent3 2 2 3 3 2" xfId="40202"/>
    <cellStyle name="40% - Accent3 2 2 3 4" xfId="27897"/>
    <cellStyle name="40% - Accent3 2 2 4" xfId="11101"/>
    <cellStyle name="40% - Accent3 2 2 4 2" xfId="30984"/>
    <cellStyle name="40% - Accent3 2 2 5" xfId="17253"/>
    <cellStyle name="40% - Accent3 2 2 5 2" xfId="37136"/>
    <cellStyle name="40% - Accent3 2 2 6" xfId="4797"/>
    <cellStyle name="40% - Accent3 2 2 6 2" xfId="24831"/>
    <cellStyle name="40% - Accent3 2 2 7" xfId="23780"/>
    <cellStyle name="40% - Accent3 2 3" xfId="5636"/>
    <cellStyle name="40% - Accent3 2 3 2" xfId="8739"/>
    <cellStyle name="40% - Accent3 2 3 2 2" xfId="14932"/>
    <cellStyle name="40% - Accent3 2 3 2 2 2" xfId="34815"/>
    <cellStyle name="40% - Accent3 2 3 2 3" xfId="21084"/>
    <cellStyle name="40% - Accent3 2 3 2 3 2" xfId="40967"/>
    <cellStyle name="40% - Accent3 2 3 2 4" xfId="28662"/>
    <cellStyle name="40% - Accent3 2 3 3" xfId="11866"/>
    <cellStyle name="40% - Accent3 2 3 3 2" xfId="31749"/>
    <cellStyle name="40% - Accent3 2 3 4" xfId="18018"/>
    <cellStyle name="40% - Accent3 2 3 4 2" xfId="37901"/>
    <cellStyle name="40% - Accent3 2 3 5" xfId="25596"/>
    <cellStyle name="40% - Accent3 2 4" xfId="7204"/>
    <cellStyle name="40% - Accent3 2 4 2" xfId="13398"/>
    <cellStyle name="40% - Accent3 2 4 2 2" xfId="33281"/>
    <cellStyle name="40% - Accent3 2 4 3" xfId="19550"/>
    <cellStyle name="40% - Accent3 2 4 3 2" xfId="39433"/>
    <cellStyle name="40% - Accent3 2 4 4" xfId="27128"/>
    <cellStyle name="40% - Accent3 2 5" xfId="10332"/>
    <cellStyle name="40% - Accent3 2 5 2" xfId="30215"/>
    <cellStyle name="40% - Accent3 2 6" xfId="16484"/>
    <cellStyle name="40% - Accent3 2 6 2" xfId="36367"/>
    <cellStyle name="40% - Accent3 2 7" xfId="1365"/>
    <cellStyle name="40% - Accent3 2 7 2" xfId="24062"/>
    <cellStyle name="40% - Accent3 2 8" xfId="22900"/>
    <cellStyle name="40% - Accent3 2 8 2" xfId="42774"/>
    <cellStyle name="40% - Accent3 2 9" xfId="23477"/>
    <cellStyle name="40% - Accent3 3" xfId="526"/>
    <cellStyle name="40% - Accent3 3 2" xfId="953"/>
    <cellStyle name="40% - Accent3 3 2 2" xfId="6423"/>
    <cellStyle name="40% - Accent3 3 2 2 2" xfId="9509"/>
    <cellStyle name="40% - Accent3 3 2 2 2 2" xfId="15702"/>
    <cellStyle name="40% - Accent3 3 2 2 2 2 2" xfId="35585"/>
    <cellStyle name="40% - Accent3 3 2 2 2 3" xfId="21854"/>
    <cellStyle name="40% - Accent3 3 2 2 2 3 2" xfId="41737"/>
    <cellStyle name="40% - Accent3 3 2 2 2 4" xfId="29432"/>
    <cellStyle name="40% - Accent3 3 2 2 3" xfId="12636"/>
    <cellStyle name="40% - Accent3 3 2 2 3 2" xfId="32519"/>
    <cellStyle name="40% - Accent3 3 2 2 4" xfId="18788"/>
    <cellStyle name="40% - Accent3 3 2 2 4 2" xfId="38671"/>
    <cellStyle name="40% - Accent3 3 2 2 5" xfId="26366"/>
    <cellStyle name="40% - Accent3 3 2 3" xfId="7974"/>
    <cellStyle name="40% - Accent3 3 2 3 2" xfId="14168"/>
    <cellStyle name="40% - Accent3 3 2 3 2 2" xfId="34051"/>
    <cellStyle name="40% - Accent3 3 2 3 3" xfId="20320"/>
    <cellStyle name="40% - Accent3 3 2 3 3 2" xfId="40203"/>
    <cellStyle name="40% - Accent3 3 2 3 4" xfId="27898"/>
    <cellStyle name="40% - Accent3 3 2 4" xfId="11102"/>
    <cellStyle name="40% - Accent3 3 2 4 2" xfId="30985"/>
    <cellStyle name="40% - Accent3 3 2 5" xfId="17254"/>
    <cellStyle name="40% - Accent3 3 2 5 2" xfId="37137"/>
    <cellStyle name="40% - Accent3 3 2 6" xfId="4798"/>
    <cellStyle name="40% - Accent3 3 2 6 2" xfId="24832"/>
    <cellStyle name="40% - Accent3 3 2 7" xfId="23796"/>
    <cellStyle name="40% - Accent3 3 3" xfId="5637"/>
    <cellStyle name="40% - Accent3 3 3 2" xfId="8740"/>
    <cellStyle name="40% - Accent3 3 3 2 2" xfId="14933"/>
    <cellStyle name="40% - Accent3 3 3 2 2 2" xfId="34816"/>
    <cellStyle name="40% - Accent3 3 3 2 3" xfId="21085"/>
    <cellStyle name="40% - Accent3 3 3 2 3 2" xfId="40968"/>
    <cellStyle name="40% - Accent3 3 3 2 4" xfId="28663"/>
    <cellStyle name="40% - Accent3 3 3 3" xfId="11867"/>
    <cellStyle name="40% - Accent3 3 3 3 2" xfId="31750"/>
    <cellStyle name="40% - Accent3 3 3 4" xfId="18019"/>
    <cellStyle name="40% - Accent3 3 3 4 2" xfId="37902"/>
    <cellStyle name="40% - Accent3 3 3 5" xfId="25597"/>
    <cellStyle name="40% - Accent3 3 4" xfId="7205"/>
    <cellStyle name="40% - Accent3 3 4 2" xfId="13399"/>
    <cellStyle name="40% - Accent3 3 4 2 2" xfId="33282"/>
    <cellStyle name="40% - Accent3 3 4 3" xfId="19551"/>
    <cellStyle name="40% - Accent3 3 4 3 2" xfId="39434"/>
    <cellStyle name="40% - Accent3 3 4 4" xfId="27129"/>
    <cellStyle name="40% - Accent3 3 5" xfId="10333"/>
    <cellStyle name="40% - Accent3 3 5 2" xfId="30216"/>
    <cellStyle name="40% - Accent3 3 6" xfId="16485"/>
    <cellStyle name="40% - Accent3 3 6 2" xfId="36368"/>
    <cellStyle name="40% - Accent3 3 7" xfId="1366"/>
    <cellStyle name="40% - Accent3 3 7 2" xfId="24063"/>
    <cellStyle name="40% - Accent3 3 8" xfId="22916"/>
    <cellStyle name="40% - Accent3 3 8 2" xfId="42790"/>
    <cellStyle name="40% - Accent3 3 9" xfId="23493"/>
    <cellStyle name="40% - Accent3 4" xfId="553"/>
    <cellStyle name="40% - Accent3 4 2" xfId="969"/>
    <cellStyle name="40% - Accent3 4 2 2" xfId="6424"/>
    <cellStyle name="40% - Accent3 4 2 2 2" xfId="9510"/>
    <cellStyle name="40% - Accent3 4 2 2 2 2" xfId="15703"/>
    <cellStyle name="40% - Accent3 4 2 2 2 2 2" xfId="35586"/>
    <cellStyle name="40% - Accent3 4 2 2 2 3" xfId="21855"/>
    <cellStyle name="40% - Accent3 4 2 2 2 3 2" xfId="41738"/>
    <cellStyle name="40% - Accent3 4 2 2 2 4" xfId="29433"/>
    <cellStyle name="40% - Accent3 4 2 2 3" xfId="12637"/>
    <cellStyle name="40% - Accent3 4 2 2 3 2" xfId="32520"/>
    <cellStyle name="40% - Accent3 4 2 2 4" xfId="18789"/>
    <cellStyle name="40% - Accent3 4 2 2 4 2" xfId="38672"/>
    <cellStyle name="40% - Accent3 4 2 2 5" xfId="26367"/>
    <cellStyle name="40% - Accent3 4 2 3" xfId="7975"/>
    <cellStyle name="40% - Accent3 4 2 3 2" xfId="14169"/>
    <cellStyle name="40% - Accent3 4 2 3 2 2" xfId="34052"/>
    <cellStyle name="40% - Accent3 4 2 3 3" xfId="20321"/>
    <cellStyle name="40% - Accent3 4 2 3 3 2" xfId="40204"/>
    <cellStyle name="40% - Accent3 4 2 3 4" xfId="27899"/>
    <cellStyle name="40% - Accent3 4 2 4" xfId="11103"/>
    <cellStyle name="40% - Accent3 4 2 4 2" xfId="30986"/>
    <cellStyle name="40% - Accent3 4 2 5" xfId="17255"/>
    <cellStyle name="40% - Accent3 4 2 5 2" xfId="37138"/>
    <cellStyle name="40% - Accent3 4 2 6" xfId="4799"/>
    <cellStyle name="40% - Accent3 4 2 6 2" xfId="24833"/>
    <cellStyle name="40% - Accent3 4 2 7" xfId="23812"/>
    <cellStyle name="40% - Accent3 4 3" xfId="5638"/>
    <cellStyle name="40% - Accent3 4 3 2" xfId="8741"/>
    <cellStyle name="40% - Accent3 4 3 2 2" xfId="14934"/>
    <cellStyle name="40% - Accent3 4 3 2 2 2" xfId="34817"/>
    <cellStyle name="40% - Accent3 4 3 2 3" xfId="21086"/>
    <cellStyle name="40% - Accent3 4 3 2 3 2" xfId="40969"/>
    <cellStyle name="40% - Accent3 4 3 2 4" xfId="28664"/>
    <cellStyle name="40% - Accent3 4 3 3" xfId="11868"/>
    <cellStyle name="40% - Accent3 4 3 3 2" xfId="31751"/>
    <cellStyle name="40% - Accent3 4 3 4" xfId="18020"/>
    <cellStyle name="40% - Accent3 4 3 4 2" xfId="37903"/>
    <cellStyle name="40% - Accent3 4 3 5" xfId="25598"/>
    <cellStyle name="40% - Accent3 4 4" xfId="7206"/>
    <cellStyle name="40% - Accent3 4 4 2" xfId="13400"/>
    <cellStyle name="40% - Accent3 4 4 2 2" xfId="33283"/>
    <cellStyle name="40% - Accent3 4 4 3" xfId="19552"/>
    <cellStyle name="40% - Accent3 4 4 3 2" xfId="39435"/>
    <cellStyle name="40% - Accent3 4 4 4" xfId="27130"/>
    <cellStyle name="40% - Accent3 4 5" xfId="10334"/>
    <cellStyle name="40% - Accent3 4 5 2" xfId="30217"/>
    <cellStyle name="40% - Accent3 4 6" xfId="16486"/>
    <cellStyle name="40% - Accent3 4 6 2" xfId="36369"/>
    <cellStyle name="40% - Accent3 4 7" xfId="1367"/>
    <cellStyle name="40% - Accent3 4 7 2" xfId="24064"/>
    <cellStyle name="40% - Accent3 4 8" xfId="22932"/>
    <cellStyle name="40% - Accent3 4 8 2" xfId="42806"/>
    <cellStyle name="40% - Accent3 4 9" xfId="23509"/>
    <cellStyle name="40% - Accent3 5" xfId="581"/>
    <cellStyle name="40% - Accent3 5 10" xfId="23525"/>
    <cellStyle name="40% - Accent3 5 2" xfId="985"/>
    <cellStyle name="40% - Accent3 5 2 2" xfId="6425"/>
    <cellStyle name="40% - Accent3 5 2 2 2" xfId="9511"/>
    <cellStyle name="40% - Accent3 5 2 2 2 2" xfId="15704"/>
    <cellStyle name="40% - Accent3 5 2 2 2 2 2" xfId="35587"/>
    <cellStyle name="40% - Accent3 5 2 2 2 3" xfId="21856"/>
    <cellStyle name="40% - Accent3 5 2 2 2 3 2" xfId="41739"/>
    <cellStyle name="40% - Accent3 5 2 2 2 4" xfId="29434"/>
    <cellStyle name="40% - Accent3 5 2 2 3" xfId="12638"/>
    <cellStyle name="40% - Accent3 5 2 2 3 2" xfId="32521"/>
    <cellStyle name="40% - Accent3 5 2 2 4" xfId="18790"/>
    <cellStyle name="40% - Accent3 5 2 2 4 2" xfId="38673"/>
    <cellStyle name="40% - Accent3 5 2 2 5" xfId="26368"/>
    <cellStyle name="40% - Accent3 5 2 3" xfId="7976"/>
    <cellStyle name="40% - Accent3 5 2 3 2" xfId="14170"/>
    <cellStyle name="40% - Accent3 5 2 3 2 2" xfId="34053"/>
    <cellStyle name="40% - Accent3 5 2 3 3" xfId="20322"/>
    <cellStyle name="40% - Accent3 5 2 3 3 2" xfId="40205"/>
    <cellStyle name="40% - Accent3 5 2 3 4" xfId="27900"/>
    <cellStyle name="40% - Accent3 5 2 4" xfId="11104"/>
    <cellStyle name="40% - Accent3 5 2 4 2" xfId="30987"/>
    <cellStyle name="40% - Accent3 5 2 5" xfId="17256"/>
    <cellStyle name="40% - Accent3 5 2 5 2" xfId="37139"/>
    <cellStyle name="40% - Accent3 5 2 6" xfId="4800"/>
    <cellStyle name="40% - Accent3 5 2 6 2" xfId="24834"/>
    <cellStyle name="40% - Accent3 5 2 7" xfId="23828"/>
    <cellStyle name="40% - Accent3 5 3" xfId="5639"/>
    <cellStyle name="40% - Accent3 5 3 2" xfId="8742"/>
    <cellStyle name="40% - Accent3 5 3 2 2" xfId="14935"/>
    <cellStyle name="40% - Accent3 5 3 2 2 2" xfId="34818"/>
    <cellStyle name="40% - Accent3 5 3 2 3" xfId="21087"/>
    <cellStyle name="40% - Accent3 5 3 2 3 2" xfId="40970"/>
    <cellStyle name="40% - Accent3 5 3 2 4" xfId="28665"/>
    <cellStyle name="40% - Accent3 5 3 3" xfId="11869"/>
    <cellStyle name="40% - Accent3 5 3 3 2" xfId="31752"/>
    <cellStyle name="40% - Accent3 5 3 4" xfId="18021"/>
    <cellStyle name="40% - Accent3 5 3 4 2" xfId="37904"/>
    <cellStyle name="40% - Accent3 5 3 5" xfId="25599"/>
    <cellStyle name="40% - Accent3 5 4" xfId="7207"/>
    <cellStyle name="40% - Accent3 5 4 2" xfId="13401"/>
    <cellStyle name="40% - Accent3 5 4 2 2" xfId="33284"/>
    <cellStyle name="40% - Accent3 5 4 3" xfId="19553"/>
    <cellStyle name="40% - Accent3 5 4 3 2" xfId="39436"/>
    <cellStyle name="40% - Accent3 5 4 4" xfId="27131"/>
    <cellStyle name="40% - Accent3 5 5" xfId="10335"/>
    <cellStyle name="40% - Accent3 5 5 2" xfId="30218"/>
    <cellStyle name="40% - Accent3 5 6" xfId="16487"/>
    <cellStyle name="40% - Accent3 5 6 2" xfId="36370"/>
    <cellStyle name="40% - Accent3 5 7" xfId="1368"/>
    <cellStyle name="40% - Accent3 5 7 2" xfId="24065"/>
    <cellStyle name="40% - Accent3 5 8" xfId="22630"/>
    <cellStyle name="40% - Accent3 5 8 2" xfId="42504"/>
    <cellStyle name="40% - Accent3 5 9" xfId="22948"/>
    <cellStyle name="40% - Accent3 5 9 2" xfId="42822"/>
    <cellStyle name="40% - Accent3 6" xfId="607"/>
    <cellStyle name="40% - Accent3 6 2" xfId="1001"/>
    <cellStyle name="40% - Accent3 6 2 2" xfId="23844"/>
    <cellStyle name="40% - Accent3 6 3" xfId="1369"/>
    <cellStyle name="40% - Accent3 6 4" xfId="22805"/>
    <cellStyle name="40% - Accent3 6 4 2" xfId="42679"/>
    <cellStyle name="40% - Accent3 6 5" xfId="22964"/>
    <cellStyle name="40% - Accent3 6 5 2" xfId="42838"/>
    <cellStyle name="40% - Accent3 6 6" xfId="23541"/>
    <cellStyle name="40% - Accent3 7" xfId="631"/>
    <cellStyle name="40% - Accent3 7 2" xfId="1017"/>
    <cellStyle name="40% - Accent3 7 2 2" xfId="23860"/>
    <cellStyle name="40% - Accent3 7 3" xfId="22599"/>
    <cellStyle name="40% - Accent3 7 3 2" xfId="42473"/>
    <cellStyle name="40% - Accent3 7 4" xfId="22980"/>
    <cellStyle name="40% - Accent3 7 4 2" xfId="42854"/>
    <cellStyle name="40% - Accent3 7 5" xfId="23557"/>
    <cellStyle name="40% - Accent3 8" xfId="656"/>
    <cellStyle name="40% - Accent3 8 2" xfId="1033"/>
    <cellStyle name="40% - Accent3 8 2 2" xfId="23876"/>
    <cellStyle name="40% - Accent3 8 3" xfId="22721"/>
    <cellStyle name="40% - Accent3 8 3 2" xfId="42595"/>
    <cellStyle name="40% - Accent3 8 4" xfId="22996"/>
    <cellStyle name="40% - Accent3 8 4 2" xfId="42870"/>
    <cellStyle name="40% - Accent3 8 5" xfId="23573"/>
    <cellStyle name="40% - Accent3 9" xfId="695"/>
    <cellStyle name="40% - Accent3 9 2" xfId="1049"/>
    <cellStyle name="40% - Accent3 9 2 2" xfId="23892"/>
    <cellStyle name="40% - Accent3 9 3" xfId="22717"/>
    <cellStyle name="40% - Accent3 9 3 2" xfId="42591"/>
    <cellStyle name="40% - Accent3 9 4" xfId="23012"/>
    <cellStyle name="40% - Accent3 9 4 2" xfId="42886"/>
    <cellStyle name="40% - Accent3 9 5" xfId="23589"/>
    <cellStyle name="40% - Accent4" xfId="182" builtinId="43" customBuiltin="1"/>
    <cellStyle name="40% - Accent4 10" xfId="727"/>
    <cellStyle name="40% - Accent4 10 2" xfId="1067"/>
    <cellStyle name="40% - Accent4 10 2 2" xfId="23910"/>
    <cellStyle name="40% - Accent4 10 3" xfId="22649"/>
    <cellStyle name="40% - Accent4 10 3 2" xfId="42523"/>
    <cellStyle name="40% - Accent4 10 4" xfId="23030"/>
    <cellStyle name="40% - Accent4 10 4 2" xfId="42904"/>
    <cellStyle name="40% - Accent4 10 5" xfId="23607"/>
    <cellStyle name="40% - Accent4 11" xfId="754"/>
    <cellStyle name="40% - Accent4 11 2" xfId="1083"/>
    <cellStyle name="40% - Accent4 11 2 2" xfId="23926"/>
    <cellStyle name="40% - Accent4 11 3" xfId="22602"/>
    <cellStyle name="40% - Accent4 11 3 2" xfId="42476"/>
    <cellStyle name="40% - Accent4 11 4" xfId="23046"/>
    <cellStyle name="40% - Accent4 11 4 2" xfId="42920"/>
    <cellStyle name="40% - Accent4 11 5" xfId="23623"/>
    <cellStyle name="40% - Accent4 12" xfId="780"/>
    <cellStyle name="40% - Accent4 12 2" xfId="1099"/>
    <cellStyle name="40% - Accent4 12 2 2" xfId="23942"/>
    <cellStyle name="40% - Accent4 12 3" xfId="22661"/>
    <cellStyle name="40% - Accent4 12 3 2" xfId="42535"/>
    <cellStyle name="40% - Accent4 12 4" xfId="23062"/>
    <cellStyle name="40% - Accent4 12 4 2" xfId="42936"/>
    <cellStyle name="40% - Accent4 12 5" xfId="23639"/>
    <cellStyle name="40% - Accent4 13" xfId="804"/>
    <cellStyle name="40% - Accent4 13 2" xfId="1115"/>
    <cellStyle name="40% - Accent4 13 2 2" xfId="23958"/>
    <cellStyle name="40% - Accent4 13 3" xfId="22683"/>
    <cellStyle name="40% - Accent4 13 3 2" xfId="42557"/>
    <cellStyle name="40% - Accent4 13 4" xfId="23078"/>
    <cellStyle name="40% - Accent4 13 4 2" xfId="42952"/>
    <cellStyle name="40% - Accent4 13 5" xfId="23655"/>
    <cellStyle name="40% - Accent4 14" xfId="823"/>
    <cellStyle name="40% - Accent4 14 2" xfId="1131"/>
    <cellStyle name="40% - Accent4 14 2 2" xfId="23974"/>
    <cellStyle name="40% - Accent4 14 3" xfId="22771"/>
    <cellStyle name="40% - Accent4 14 3 2" xfId="42645"/>
    <cellStyle name="40% - Accent4 14 4" xfId="23094"/>
    <cellStyle name="40% - Accent4 14 4 2" xfId="42968"/>
    <cellStyle name="40% - Accent4 14 5" xfId="23671"/>
    <cellStyle name="40% - Accent4 15" xfId="839"/>
    <cellStyle name="40% - Accent4 15 2" xfId="1147"/>
    <cellStyle name="40% - Accent4 15 2 2" xfId="23990"/>
    <cellStyle name="40% - Accent4 15 3" xfId="22643"/>
    <cellStyle name="40% - Accent4 15 3 2" xfId="42517"/>
    <cellStyle name="40% - Accent4 15 4" xfId="23110"/>
    <cellStyle name="40% - Accent4 15 4 2" xfId="42984"/>
    <cellStyle name="40% - Accent4 15 5" xfId="23687"/>
    <cellStyle name="40% - Accent4 16" xfId="863"/>
    <cellStyle name="40% - Accent4 16 2" xfId="23706"/>
    <cellStyle name="40% - Accent4 17" xfId="22826"/>
    <cellStyle name="40% - Accent4 17 2" xfId="42700"/>
    <cellStyle name="40% - Accent4 18" xfId="23400"/>
    <cellStyle name="40% - Accent4 2" xfId="500"/>
    <cellStyle name="40% - Accent4 2 2" xfId="939"/>
    <cellStyle name="40% - Accent4 2 2 2" xfId="6426"/>
    <cellStyle name="40% - Accent4 2 2 2 2" xfId="9512"/>
    <cellStyle name="40% - Accent4 2 2 2 2 2" xfId="15705"/>
    <cellStyle name="40% - Accent4 2 2 2 2 2 2" xfId="35588"/>
    <cellStyle name="40% - Accent4 2 2 2 2 3" xfId="21857"/>
    <cellStyle name="40% - Accent4 2 2 2 2 3 2" xfId="41740"/>
    <cellStyle name="40% - Accent4 2 2 2 2 4" xfId="29435"/>
    <cellStyle name="40% - Accent4 2 2 2 3" xfId="12639"/>
    <cellStyle name="40% - Accent4 2 2 2 3 2" xfId="32522"/>
    <cellStyle name="40% - Accent4 2 2 2 4" xfId="18791"/>
    <cellStyle name="40% - Accent4 2 2 2 4 2" xfId="38674"/>
    <cellStyle name="40% - Accent4 2 2 2 5" xfId="26369"/>
    <cellStyle name="40% - Accent4 2 2 3" xfId="7977"/>
    <cellStyle name="40% - Accent4 2 2 3 2" xfId="14171"/>
    <cellStyle name="40% - Accent4 2 2 3 2 2" xfId="34054"/>
    <cellStyle name="40% - Accent4 2 2 3 3" xfId="20323"/>
    <cellStyle name="40% - Accent4 2 2 3 3 2" xfId="40206"/>
    <cellStyle name="40% - Accent4 2 2 3 4" xfId="27901"/>
    <cellStyle name="40% - Accent4 2 2 4" xfId="11105"/>
    <cellStyle name="40% - Accent4 2 2 4 2" xfId="30988"/>
    <cellStyle name="40% - Accent4 2 2 5" xfId="17257"/>
    <cellStyle name="40% - Accent4 2 2 5 2" xfId="37140"/>
    <cellStyle name="40% - Accent4 2 2 6" xfId="4801"/>
    <cellStyle name="40% - Accent4 2 2 6 2" xfId="24835"/>
    <cellStyle name="40% - Accent4 2 2 7" xfId="23782"/>
    <cellStyle name="40% - Accent4 2 3" xfId="5640"/>
    <cellStyle name="40% - Accent4 2 3 2" xfId="8743"/>
    <cellStyle name="40% - Accent4 2 3 2 2" xfId="14936"/>
    <cellStyle name="40% - Accent4 2 3 2 2 2" xfId="34819"/>
    <cellStyle name="40% - Accent4 2 3 2 3" xfId="21088"/>
    <cellStyle name="40% - Accent4 2 3 2 3 2" xfId="40971"/>
    <cellStyle name="40% - Accent4 2 3 2 4" xfId="28666"/>
    <cellStyle name="40% - Accent4 2 3 3" xfId="11870"/>
    <cellStyle name="40% - Accent4 2 3 3 2" xfId="31753"/>
    <cellStyle name="40% - Accent4 2 3 4" xfId="18022"/>
    <cellStyle name="40% - Accent4 2 3 4 2" xfId="37905"/>
    <cellStyle name="40% - Accent4 2 3 5" xfId="25600"/>
    <cellStyle name="40% - Accent4 2 4" xfId="7208"/>
    <cellStyle name="40% - Accent4 2 4 2" xfId="13402"/>
    <cellStyle name="40% - Accent4 2 4 2 2" xfId="33285"/>
    <cellStyle name="40% - Accent4 2 4 3" xfId="19554"/>
    <cellStyle name="40% - Accent4 2 4 3 2" xfId="39437"/>
    <cellStyle name="40% - Accent4 2 4 4" xfId="27132"/>
    <cellStyle name="40% - Accent4 2 5" xfId="10336"/>
    <cellStyle name="40% - Accent4 2 5 2" xfId="30219"/>
    <cellStyle name="40% - Accent4 2 6" xfId="16488"/>
    <cellStyle name="40% - Accent4 2 6 2" xfId="36371"/>
    <cellStyle name="40% - Accent4 2 7" xfId="1370"/>
    <cellStyle name="40% - Accent4 2 7 2" xfId="24066"/>
    <cellStyle name="40% - Accent4 2 8" xfId="22902"/>
    <cellStyle name="40% - Accent4 2 8 2" xfId="42776"/>
    <cellStyle name="40% - Accent4 2 9" xfId="23479"/>
    <cellStyle name="40% - Accent4 3" xfId="530"/>
    <cellStyle name="40% - Accent4 3 2" xfId="955"/>
    <cellStyle name="40% - Accent4 3 2 2" xfId="6427"/>
    <cellStyle name="40% - Accent4 3 2 2 2" xfId="9513"/>
    <cellStyle name="40% - Accent4 3 2 2 2 2" xfId="15706"/>
    <cellStyle name="40% - Accent4 3 2 2 2 2 2" xfId="35589"/>
    <cellStyle name="40% - Accent4 3 2 2 2 3" xfId="21858"/>
    <cellStyle name="40% - Accent4 3 2 2 2 3 2" xfId="41741"/>
    <cellStyle name="40% - Accent4 3 2 2 2 4" xfId="29436"/>
    <cellStyle name="40% - Accent4 3 2 2 3" xfId="12640"/>
    <cellStyle name="40% - Accent4 3 2 2 3 2" xfId="32523"/>
    <cellStyle name="40% - Accent4 3 2 2 4" xfId="18792"/>
    <cellStyle name="40% - Accent4 3 2 2 4 2" xfId="38675"/>
    <cellStyle name="40% - Accent4 3 2 2 5" xfId="26370"/>
    <cellStyle name="40% - Accent4 3 2 3" xfId="7978"/>
    <cellStyle name="40% - Accent4 3 2 3 2" xfId="14172"/>
    <cellStyle name="40% - Accent4 3 2 3 2 2" xfId="34055"/>
    <cellStyle name="40% - Accent4 3 2 3 3" xfId="20324"/>
    <cellStyle name="40% - Accent4 3 2 3 3 2" xfId="40207"/>
    <cellStyle name="40% - Accent4 3 2 3 4" xfId="27902"/>
    <cellStyle name="40% - Accent4 3 2 4" xfId="11106"/>
    <cellStyle name="40% - Accent4 3 2 4 2" xfId="30989"/>
    <cellStyle name="40% - Accent4 3 2 5" xfId="17258"/>
    <cellStyle name="40% - Accent4 3 2 5 2" xfId="37141"/>
    <cellStyle name="40% - Accent4 3 2 6" xfId="4802"/>
    <cellStyle name="40% - Accent4 3 2 6 2" xfId="24836"/>
    <cellStyle name="40% - Accent4 3 2 7" xfId="23798"/>
    <cellStyle name="40% - Accent4 3 3" xfId="5641"/>
    <cellStyle name="40% - Accent4 3 3 2" xfId="8744"/>
    <cellStyle name="40% - Accent4 3 3 2 2" xfId="14937"/>
    <cellStyle name="40% - Accent4 3 3 2 2 2" xfId="34820"/>
    <cellStyle name="40% - Accent4 3 3 2 3" xfId="21089"/>
    <cellStyle name="40% - Accent4 3 3 2 3 2" xfId="40972"/>
    <cellStyle name="40% - Accent4 3 3 2 4" xfId="28667"/>
    <cellStyle name="40% - Accent4 3 3 3" xfId="11871"/>
    <cellStyle name="40% - Accent4 3 3 3 2" xfId="31754"/>
    <cellStyle name="40% - Accent4 3 3 4" xfId="18023"/>
    <cellStyle name="40% - Accent4 3 3 4 2" xfId="37906"/>
    <cellStyle name="40% - Accent4 3 3 5" xfId="25601"/>
    <cellStyle name="40% - Accent4 3 4" xfId="7209"/>
    <cellStyle name="40% - Accent4 3 4 2" xfId="13403"/>
    <cellStyle name="40% - Accent4 3 4 2 2" xfId="33286"/>
    <cellStyle name="40% - Accent4 3 4 3" xfId="19555"/>
    <cellStyle name="40% - Accent4 3 4 3 2" xfId="39438"/>
    <cellStyle name="40% - Accent4 3 4 4" xfId="27133"/>
    <cellStyle name="40% - Accent4 3 5" xfId="10337"/>
    <cellStyle name="40% - Accent4 3 5 2" xfId="30220"/>
    <cellStyle name="40% - Accent4 3 6" xfId="16489"/>
    <cellStyle name="40% - Accent4 3 6 2" xfId="36372"/>
    <cellStyle name="40% - Accent4 3 7" xfId="1371"/>
    <cellStyle name="40% - Accent4 3 7 2" xfId="24067"/>
    <cellStyle name="40% - Accent4 3 8" xfId="22918"/>
    <cellStyle name="40% - Accent4 3 8 2" xfId="42792"/>
    <cellStyle name="40% - Accent4 3 9" xfId="23495"/>
    <cellStyle name="40% - Accent4 4" xfId="557"/>
    <cellStyle name="40% - Accent4 4 2" xfId="971"/>
    <cellStyle name="40% - Accent4 4 2 2" xfId="6428"/>
    <cellStyle name="40% - Accent4 4 2 2 2" xfId="9514"/>
    <cellStyle name="40% - Accent4 4 2 2 2 2" xfId="15707"/>
    <cellStyle name="40% - Accent4 4 2 2 2 2 2" xfId="35590"/>
    <cellStyle name="40% - Accent4 4 2 2 2 3" xfId="21859"/>
    <cellStyle name="40% - Accent4 4 2 2 2 3 2" xfId="41742"/>
    <cellStyle name="40% - Accent4 4 2 2 2 4" xfId="29437"/>
    <cellStyle name="40% - Accent4 4 2 2 3" xfId="12641"/>
    <cellStyle name="40% - Accent4 4 2 2 3 2" xfId="32524"/>
    <cellStyle name="40% - Accent4 4 2 2 4" xfId="18793"/>
    <cellStyle name="40% - Accent4 4 2 2 4 2" xfId="38676"/>
    <cellStyle name="40% - Accent4 4 2 2 5" xfId="26371"/>
    <cellStyle name="40% - Accent4 4 2 3" xfId="7979"/>
    <cellStyle name="40% - Accent4 4 2 3 2" xfId="14173"/>
    <cellStyle name="40% - Accent4 4 2 3 2 2" xfId="34056"/>
    <cellStyle name="40% - Accent4 4 2 3 3" xfId="20325"/>
    <cellStyle name="40% - Accent4 4 2 3 3 2" xfId="40208"/>
    <cellStyle name="40% - Accent4 4 2 3 4" xfId="27903"/>
    <cellStyle name="40% - Accent4 4 2 4" xfId="11107"/>
    <cellStyle name="40% - Accent4 4 2 4 2" xfId="30990"/>
    <cellStyle name="40% - Accent4 4 2 5" xfId="17259"/>
    <cellStyle name="40% - Accent4 4 2 5 2" xfId="37142"/>
    <cellStyle name="40% - Accent4 4 2 6" xfId="4803"/>
    <cellStyle name="40% - Accent4 4 2 6 2" xfId="24837"/>
    <cellStyle name="40% - Accent4 4 2 7" xfId="23814"/>
    <cellStyle name="40% - Accent4 4 3" xfId="5642"/>
    <cellStyle name="40% - Accent4 4 3 2" xfId="8745"/>
    <cellStyle name="40% - Accent4 4 3 2 2" xfId="14938"/>
    <cellStyle name="40% - Accent4 4 3 2 2 2" xfId="34821"/>
    <cellStyle name="40% - Accent4 4 3 2 3" xfId="21090"/>
    <cellStyle name="40% - Accent4 4 3 2 3 2" xfId="40973"/>
    <cellStyle name="40% - Accent4 4 3 2 4" xfId="28668"/>
    <cellStyle name="40% - Accent4 4 3 3" xfId="11872"/>
    <cellStyle name="40% - Accent4 4 3 3 2" xfId="31755"/>
    <cellStyle name="40% - Accent4 4 3 4" xfId="18024"/>
    <cellStyle name="40% - Accent4 4 3 4 2" xfId="37907"/>
    <cellStyle name="40% - Accent4 4 3 5" xfId="25602"/>
    <cellStyle name="40% - Accent4 4 4" xfId="7210"/>
    <cellStyle name="40% - Accent4 4 4 2" xfId="13404"/>
    <cellStyle name="40% - Accent4 4 4 2 2" xfId="33287"/>
    <cellStyle name="40% - Accent4 4 4 3" xfId="19556"/>
    <cellStyle name="40% - Accent4 4 4 3 2" xfId="39439"/>
    <cellStyle name="40% - Accent4 4 4 4" xfId="27134"/>
    <cellStyle name="40% - Accent4 4 5" xfId="10338"/>
    <cellStyle name="40% - Accent4 4 5 2" xfId="30221"/>
    <cellStyle name="40% - Accent4 4 6" xfId="16490"/>
    <cellStyle name="40% - Accent4 4 6 2" xfId="36373"/>
    <cellStyle name="40% - Accent4 4 7" xfId="1372"/>
    <cellStyle name="40% - Accent4 4 7 2" xfId="24068"/>
    <cellStyle name="40% - Accent4 4 8" xfId="22934"/>
    <cellStyle name="40% - Accent4 4 8 2" xfId="42808"/>
    <cellStyle name="40% - Accent4 4 9" xfId="23511"/>
    <cellStyle name="40% - Accent4 5" xfId="585"/>
    <cellStyle name="40% - Accent4 5 10" xfId="23527"/>
    <cellStyle name="40% - Accent4 5 2" xfId="987"/>
    <cellStyle name="40% - Accent4 5 2 2" xfId="6429"/>
    <cellStyle name="40% - Accent4 5 2 2 2" xfId="9515"/>
    <cellStyle name="40% - Accent4 5 2 2 2 2" xfId="15708"/>
    <cellStyle name="40% - Accent4 5 2 2 2 2 2" xfId="35591"/>
    <cellStyle name="40% - Accent4 5 2 2 2 3" xfId="21860"/>
    <cellStyle name="40% - Accent4 5 2 2 2 3 2" xfId="41743"/>
    <cellStyle name="40% - Accent4 5 2 2 2 4" xfId="29438"/>
    <cellStyle name="40% - Accent4 5 2 2 3" xfId="12642"/>
    <cellStyle name="40% - Accent4 5 2 2 3 2" xfId="32525"/>
    <cellStyle name="40% - Accent4 5 2 2 4" xfId="18794"/>
    <cellStyle name="40% - Accent4 5 2 2 4 2" xfId="38677"/>
    <cellStyle name="40% - Accent4 5 2 2 5" xfId="26372"/>
    <cellStyle name="40% - Accent4 5 2 3" xfId="7980"/>
    <cellStyle name="40% - Accent4 5 2 3 2" xfId="14174"/>
    <cellStyle name="40% - Accent4 5 2 3 2 2" xfId="34057"/>
    <cellStyle name="40% - Accent4 5 2 3 3" xfId="20326"/>
    <cellStyle name="40% - Accent4 5 2 3 3 2" xfId="40209"/>
    <cellStyle name="40% - Accent4 5 2 3 4" xfId="27904"/>
    <cellStyle name="40% - Accent4 5 2 4" xfId="11108"/>
    <cellStyle name="40% - Accent4 5 2 4 2" xfId="30991"/>
    <cellStyle name="40% - Accent4 5 2 5" xfId="17260"/>
    <cellStyle name="40% - Accent4 5 2 5 2" xfId="37143"/>
    <cellStyle name="40% - Accent4 5 2 6" xfId="4804"/>
    <cellStyle name="40% - Accent4 5 2 6 2" xfId="24838"/>
    <cellStyle name="40% - Accent4 5 2 7" xfId="23830"/>
    <cellStyle name="40% - Accent4 5 3" xfId="5643"/>
    <cellStyle name="40% - Accent4 5 3 2" xfId="8746"/>
    <cellStyle name="40% - Accent4 5 3 2 2" xfId="14939"/>
    <cellStyle name="40% - Accent4 5 3 2 2 2" xfId="34822"/>
    <cellStyle name="40% - Accent4 5 3 2 3" xfId="21091"/>
    <cellStyle name="40% - Accent4 5 3 2 3 2" xfId="40974"/>
    <cellStyle name="40% - Accent4 5 3 2 4" xfId="28669"/>
    <cellStyle name="40% - Accent4 5 3 3" xfId="11873"/>
    <cellStyle name="40% - Accent4 5 3 3 2" xfId="31756"/>
    <cellStyle name="40% - Accent4 5 3 4" xfId="18025"/>
    <cellStyle name="40% - Accent4 5 3 4 2" xfId="37908"/>
    <cellStyle name="40% - Accent4 5 3 5" xfId="25603"/>
    <cellStyle name="40% - Accent4 5 4" xfId="7211"/>
    <cellStyle name="40% - Accent4 5 4 2" xfId="13405"/>
    <cellStyle name="40% - Accent4 5 4 2 2" xfId="33288"/>
    <cellStyle name="40% - Accent4 5 4 3" xfId="19557"/>
    <cellStyle name="40% - Accent4 5 4 3 2" xfId="39440"/>
    <cellStyle name="40% - Accent4 5 4 4" xfId="27135"/>
    <cellStyle name="40% - Accent4 5 5" xfId="10339"/>
    <cellStyle name="40% - Accent4 5 5 2" xfId="30222"/>
    <cellStyle name="40% - Accent4 5 6" xfId="16491"/>
    <cellStyle name="40% - Accent4 5 6 2" xfId="36374"/>
    <cellStyle name="40% - Accent4 5 7" xfId="1373"/>
    <cellStyle name="40% - Accent4 5 7 2" xfId="24069"/>
    <cellStyle name="40% - Accent4 5 8" xfId="22756"/>
    <cellStyle name="40% - Accent4 5 8 2" xfId="42630"/>
    <cellStyle name="40% - Accent4 5 9" xfId="22950"/>
    <cellStyle name="40% - Accent4 5 9 2" xfId="42824"/>
    <cellStyle name="40% - Accent4 6" xfId="610"/>
    <cellStyle name="40% - Accent4 6 2" xfId="1003"/>
    <cellStyle name="40% - Accent4 6 2 2" xfId="23846"/>
    <cellStyle name="40% - Accent4 6 3" xfId="1374"/>
    <cellStyle name="40% - Accent4 6 4" xfId="22693"/>
    <cellStyle name="40% - Accent4 6 4 2" xfId="42567"/>
    <cellStyle name="40% - Accent4 6 5" xfId="22966"/>
    <cellStyle name="40% - Accent4 6 5 2" xfId="42840"/>
    <cellStyle name="40% - Accent4 6 6" xfId="23543"/>
    <cellStyle name="40% - Accent4 7" xfId="635"/>
    <cellStyle name="40% - Accent4 7 2" xfId="1019"/>
    <cellStyle name="40% - Accent4 7 2 2" xfId="23862"/>
    <cellStyle name="40% - Accent4 7 3" xfId="22676"/>
    <cellStyle name="40% - Accent4 7 3 2" xfId="42550"/>
    <cellStyle name="40% - Accent4 7 4" xfId="22982"/>
    <cellStyle name="40% - Accent4 7 4 2" xfId="42856"/>
    <cellStyle name="40% - Accent4 7 5" xfId="23559"/>
    <cellStyle name="40% - Accent4 8" xfId="660"/>
    <cellStyle name="40% - Accent4 8 2" xfId="1035"/>
    <cellStyle name="40% - Accent4 8 2 2" xfId="23878"/>
    <cellStyle name="40% - Accent4 8 3" xfId="22614"/>
    <cellStyle name="40% - Accent4 8 3 2" xfId="42488"/>
    <cellStyle name="40% - Accent4 8 4" xfId="22998"/>
    <cellStyle name="40% - Accent4 8 4 2" xfId="42872"/>
    <cellStyle name="40% - Accent4 8 5" xfId="23575"/>
    <cellStyle name="40% - Accent4 9" xfId="699"/>
    <cellStyle name="40% - Accent4 9 2" xfId="1051"/>
    <cellStyle name="40% - Accent4 9 2 2" xfId="23894"/>
    <cellStyle name="40% - Accent4 9 3" xfId="22652"/>
    <cellStyle name="40% - Accent4 9 3 2" xfId="42526"/>
    <cellStyle name="40% - Accent4 9 4" xfId="23014"/>
    <cellStyle name="40% - Accent4 9 4 2" xfId="42888"/>
    <cellStyle name="40% - Accent4 9 5" xfId="23591"/>
    <cellStyle name="40% - Accent5" xfId="186" builtinId="47" customBuiltin="1"/>
    <cellStyle name="40% - Accent5 10" xfId="731"/>
    <cellStyle name="40% - Accent5 10 2" xfId="1069"/>
    <cellStyle name="40% - Accent5 10 2 2" xfId="23912"/>
    <cellStyle name="40% - Accent5 10 3" xfId="22797"/>
    <cellStyle name="40% - Accent5 10 3 2" xfId="42671"/>
    <cellStyle name="40% - Accent5 10 4" xfId="23032"/>
    <cellStyle name="40% - Accent5 10 4 2" xfId="42906"/>
    <cellStyle name="40% - Accent5 10 5" xfId="23609"/>
    <cellStyle name="40% - Accent5 11" xfId="757"/>
    <cellStyle name="40% - Accent5 11 2" xfId="1085"/>
    <cellStyle name="40% - Accent5 11 2 2" xfId="23928"/>
    <cellStyle name="40% - Accent5 11 3" xfId="22793"/>
    <cellStyle name="40% - Accent5 11 3 2" xfId="42667"/>
    <cellStyle name="40% - Accent5 11 4" xfId="23048"/>
    <cellStyle name="40% - Accent5 11 4 2" xfId="42922"/>
    <cellStyle name="40% - Accent5 11 5" xfId="23625"/>
    <cellStyle name="40% - Accent5 12" xfId="783"/>
    <cellStyle name="40% - Accent5 12 2" xfId="1101"/>
    <cellStyle name="40% - Accent5 12 2 2" xfId="23944"/>
    <cellStyle name="40% - Accent5 12 3" xfId="22780"/>
    <cellStyle name="40% - Accent5 12 3 2" xfId="42654"/>
    <cellStyle name="40% - Accent5 12 4" xfId="23064"/>
    <cellStyle name="40% - Accent5 12 4 2" xfId="42938"/>
    <cellStyle name="40% - Accent5 12 5" xfId="23641"/>
    <cellStyle name="40% - Accent5 13" xfId="807"/>
    <cellStyle name="40% - Accent5 13 2" xfId="1117"/>
    <cellStyle name="40% - Accent5 13 2 2" xfId="23960"/>
    <cellStyle name="40% - Accent5 13 3" xfId="22743"/>
    <cellStyle name="40% - Accent5 13 3 2" xfId="42617"/>
    <cellStyle name="40% - Accent5 13 4" xfId="23080"/>
    <cellStyle name="40% - Accent5 13 4 2" xfId="42954"/>
    <cellStyle name="40% - Accent5 13 5" xfId="23657"/>
    <cellStyle name="40% - Accent5 14" xfId="825"/>
    <cellStyle name="40% - Accent5 14 2" xfId="1133"/>
    <cellStyle name="40% - Accent5 14 2 2" xfId="23976"/>
    <cellStyle name="40% - Accent5 14 3" xfId="22609"/>
    <cellStyle name="40% - Accent5 14 3 2" xfId="42483"/>
    <cellStyle name="40% - Accent5 14 4" xfId="23096"/>
    <cellStyle name="40% - Accent5 14 4 2" xfId="42970"/>
    <cellStyle name="40% - Accent5 14 5" xfId="23673"/>
    <cellStyle name="40% - Accent5 15" xfId="841"/>
    <cellStyle name="40% - Accent5 15 2" xfId="1149"/>
    <cellStyle name="40% - Accent5 15 2 2" xfId="23992"/>
    <cellStyle name="40% - Accent5 15 3" xfId="22600"/>
    <cellStyle name="40% - Accent5 15 3 2" xfId="42474"/>
    <cellStyle name="40% - Accent5 15 4" xfId="23112"/>
    <cellStyle name="40% - Accent5 15 4 2" xfId="42986"/>
    <cellStyle name="40% - Accent5 15 5" xfId="23689"/>
    <cellStyle name="40% - Accent5 16" xfId="865"/>
    <cellStyle name="40% - Accent5 16 2" xfId="23708"/>
    <cellStyle name="40% - Accent5 17" xfId="22828"/>
    <cellStyle name="40% - Accent5 17 2" xfId="42702"/>
    <cellStyle name="40% - Accent5 18" xfId="23402"/>
    <cellStyle name="40% - Accent5 2" xfId="504"/>
    <cellStyle name="40% - Accent5 2 2" xfId="941"/>
    <cellStyle name="40% - Accent5 2 2 2" xfId="6430"/>
    <cellStyle name="40% - Accent5 2 2 2 2" xfId="9516"/>
    <cellStyle name="40% - Accent5 2 2 2 2 2" xfId="15709"/>
    <cellStyle name="40% - Accent5 2 2 2 2 2 2" xfId="35592"/>
    <cellStyle name="40% - Accent5 2 2 2 2 3" xfId="21861"/>
    <cellStyle name="40% - Accent5 2 2 2 2 3 2" xfId="41744"/>
    <cellStyle name="40% - Accent5 2 2 2 2 4" xfId="29439"/>
    <cellStyle name="40% - Accent5 2 2 2 3" xfId="12643"/>
    <cellStyle name="40% - Accent5 2 2 2 3 2" xfId="32526"/>
    <cellStyle name="40% - Accent5 2 2 2 4" xfId="18795"/>
    <cellStyle name="40% - Accent5 2 2 2 4 2" xfId="38678"/>
    <cellStyle name="40% - Accent5 2 2 2 5" xfId="26373"/>
    <cellStyle name="40% - Accent5 2 2 3" xfId="7981"/>
    <cellStyle name="40% - Accent5 2 2 3 2" xfId="14175"/>
    <cellStyle name="40% - Accent5 2 2 3 2 2" xfId="34058"/>
    <cellStyle name="40% - Accent5 2 2 3 3" xfId="20327"/>
    <cellStyle name="40% - Accent5 2 2 3 3 2" xfId="40210"/>
    <cellStyle name="40% - Accent5 2 2 3 4" xfId="27905"/>
    <cellStyle name="40% - Accent5 2 2 4" xfId="11109"/>
    <cellStyle name="40% - Accent5 2 2 4 2" xfId="30992"/>
    <cellStyle name="40% - Accent5 2 2 5" xfId="17261"/>
    <cellStyle name="40% - Accent5 2 2 5 2" xfId="37144"/>
    <cellStyle name="40% - Accent5 2 2 6" xfId="4805"/>
    <cellStyle name="40% - Accent5 2 2 6 2" xfId="24839"/>
    <cellStyle name="40% - Accent5 2 2 7" xfId="23784"/>
    <cellStyle name="40% - Accent5 2 3" xfId="5644"/>
    <cellStyle name="40% - Accent5 2 3 2" xfId="8747"/>
    <cellStyle name="40% - Accent5 2 3 2 2" xfId="14940"/>
    <cellStyle name="40% - Accent5 2 3 2 2 2" xfId="34823"/>
    <cellStyle name="40% - Accent5 2 3 2 3" xfId="21092"/>
    <cellStyle name="40% - Accent5 2 3 2 3 2" xfId="40975"/>
    <cellStyle name="40% - Accent5 2 3 2 4" xfId="28670"/>
    <cellStyle name="40% - Accent5 2 3 3" xfId="11874"/>
    <cellStyle name="40% - Accent5 2 3 3 2" xfId="31757"/>
    <cellStyle name="40% - Accent5 2 3 4" xfId="18026"/>
    <cellStyle name="40% - Accent5 2 3 4 2" xfId="37909"/>
    <cellStyle name="40% - Accent5 2 3 5" xfId="25604"/>
    <cellStyle name="40% - Accent5 2 4" xfId="7212"/>
    <cellStyle name="40% - Accent5 2 4 2" xfId="13406"/>
    <cellStyle name="40% - Accent5 2 4 2 2" xfId="33289"/>
    <cellStyle name="40% - Accent5 2 4 3" xfId="19558"/>
    <cellStyle name="40% - Accent5 2 4 3 2" xfId="39441"/>
    <cellStyle name="40% - Accent5 2 4 4" xfId="27136"/>
    <cellStyle name="40% - Accent5 2 5" xfId="10340"/>
    <cellStyle name="40% - Accent5 2 5 2" xfId="30223"/>
    <cellStyle name="40% - Accent5 2 6" xfId="16492"/>
    <cellStyle name="40% - Accent5 2 6 2" xfId="36375"/>
    <cellStyle name="40% - Accent5 2 7" xfId="1375"/>
    <cellStyle name="40% - Accent5 2 7 2" xfId="24070"/>
    <cellStyle name="40% - Accent5 2 8" xfId="22904"/>
    <cellStyle name="40% - Accent5 2 8 2" xfId="42778"/>
    <cellStyle name="40% - Accent5 2 9" xfId="23481"/>
    <cellStyle name="40% - Accent5 3" xfId="534"/>
    <cellStyle name="40% - Accent5 3 2" xfId="957"/>
    <cellStyle name="40% - Accent5 3 2 2" xfId="6431"/>
    <cellStyle name="40% - Accent5 3 2 2 2" xfId="9517"/>
    <cellStyle name="40% - Accent5 3 2 2 2 2" xfId="15710"/>
    <cellStyle name="40% - Accent5 3 2 2 2 2 2" xfId="35593"/>
    <cellStyle name="40% - Accent5 3 2 2 2 3" xfId="21862"/>
    <cellStyle name="40% - Accent5 3 2 2 2 3 2" xfId="41745"/>
    <cellStyle name="40% - Accent5 3 2 2 2 4" xfId="29440"/>
    <cellStyle name="40% - Accent5 3 2 2 3" xfId="12644"/>
    <cellStyle name="40% - Accent5 3 2 2 3 2" xfId="32527"/>
    <cellStyle name="40% - Accent5 3 2 2 4" xfId="18796"/>
    <cellStyle name="40% - Accent5 3 2 2 4 2" xfId="38679"/>
    <cellStyle name="40% - Accent5 3 2 2 5" xfId="26374"/>
    <cellStyle name="40% - Accent5 3 2 3" xfId="7982"/>
    <cellStyle name="40% - Accent5 3 2 3 2" xfId="14176"/>
    <cellStyle name="40% - Accent5 3 2 3 2 2" xfId="34059"/>
    <cellStyle name="40% - Accent5 3 2 3 3" xfId="20328"/>
    <cellStyle name="40% - Accent5 3 2 3 3 2" xfId="40211"/>
    <cellStyle name="40% - Accent5 3 2 3 4" xfId="27906"/>
    <cellStyle name="40% - Accent5 3 2 4" xfId="11110"/>
    <cellStyle name="40% - Accent5 3 2 4 2" xfId="30993"/>
    <cellStyle name="40% - Accent5 3 2 5" xfId="17262"/>
    <cellStyle name="40% - Accent5 3 2 5 2" xfId="37145"/>
    <cellStyle name="40% - Accent5 3 2 6" xfId="4806"/>
    <cellStyle name="40% - Accent5 3 2 6 2" xfId="24840"/>
    <cellStyle name="40% - Accent5 3 2 7" xfId="23800"/>
    <cellStyle name="40% - Accent5 3 3" xfId="5645"/>
    <cellStyle name="40% - Accent5 3 3 2" xfId="8748"/>
    <cellStyle name="40% - Accent5 3 3 2 2" xfId="14941"/>
    <cellStyle name="40% - Accent5 3 3 2 2 2" xfId="34824"/>
    <cellStyle name="40% - Accent5 3 3 2 3" xfId="21093"/>
    <cellStyle name="40% - Accent5 3 3 2 3 2" xfId="40976"/>
    <cellStyle name="40% - Accent5 3 3 2 4" xfId="28671"/>
    <cellStyle name="40% - Accent5 3 3 3" xfId="11875"/>
    <cellStyle name="40% - Accent5 3 3 3 2" xfId="31758"/>
    <cellStyle name="40% - Accent5 3 3 4" xfId="18027"/>
    <cellStyle name="40% - Accent5 3 3 4 2" xfId="37910"/>
    <cellStyle name="40% - Accent5 3 3 5" xfId="25605"/>
    <cellStyle name="40% - Accent5 3 4" xfId="7213"/>
    <cellStyle name="40% - Accent5 3 4 2" xfId="13407"/>
    <cellStyle name="40% - Accent5 3 4 2 2" xfId="33290"/>
    <cellStyle name="40% - Accent5 3 4 3" xfId="19559"/>
    <cellStyle name="40% - Accent5 3 4 3 2" xfId="39442"/>
    <cellStyle name="40% - Accent5 3 4 4" xfId="27137"/>
    <cellStyle name="40% - Accent5 3 5" xfId="10341"/>
    <cellStyle name="40% - Accent5 3 5 2" xfId="30224"/>
    <cellStyle name="40% - Accent5 3 6" xfId="16493"/>
    <cellStyle name="40% - Accent5 3 6 2" xfId="36376"/>
    <cellStyle name="40% - Accent5 3 7" xfId="1376"/>
    <cellStyle name="40% - Accent5 3 7 2" xfId="24071"/>
    <cellStyle name="40% - Accent5 3 8" xfId="22920"/>
    <cellStyle name="40% - Accent5 3 8 2" xfId="42794"/>
    <cellStyle name="40% - Accent5 3 9" xfId="23497"/>
    <cellStyle name="40% - Accent5 4" xfId="561"/>
    <cellStyle name="40% - Accent5 4 2" xfId="973"/>
    <cellStyle name="40% - Accent5 4 2 2" xfId="6432"/>
    <cellStyle name="40% - Accent5 4 2 2 2" xfId="9518"/>
    <cellStyle name="40% - Accent5 4 2 2 2 2" xfId="15711"/>
    <cellStyle name="40% - Accent5 4 2 2 2 2 2" xfId="35594"/>
    <cellStyle name="40% - Accent5 4 2 2 2 3" xfId="21863"/>
    <cellStyle name="40% - Accent5 4 2 2 2 3 2" xfId="41746"/>
    <cellStyle name="40% - Accent5 4 2 2 2 4" xfId="29441"/>
    <cellStyle name="40% - Accent5 4 2 2 3" xfId="12645"/>
    <cellStyle name="40% - Accent5 4 2 2 3 2" xfId="32528"/>
    <cellStyle name="40% - Accent5 4 2 2 4" xfId="18797"/>
    <cellStyle name="40% - Accent5 4 2 2 4 2" xfId="38680"/>
    <cellStyle name="40% - Accent5 4 2 2 5" xfId="26375"/>
    <cellStyle name="40% - Accent5 4 2 3" xfId="7983"/>
    <cellStyle name="40% - Accent5 4 2 3 2" xfId="14177"/>
    <cellStyle name="40% - Accent5 4 2 3 2 2" xfId="34060"/>
    <cellStyle name="40% - Accent5 4 2 3 3" xfId="20329"/>
    <cellStyle name="40% - Accent5 4 2 3 3 2" xfId="40212"/>
    <cellStyle name="40% - Accent5 4 2 3 4" xfId="27907"/>
    <cellStyle name="40% - Accent5 4 2 4" xfId="11111"/>
    <cellStyle name="40% - Accent5 4 2 4 2" xfId="30994"/>
    <cellStyle name="40% - Accent5 4 2 5" xfId="17263"/>
    <cellStyle name="40% - Accent5 4 2 5 2" xfId="37146"/>
    <cellStyle name="40% - Accent5 4 2 6" xfId="4807"/>
    <cellStyle name="40% - Accent5 4 2 6 2" xfId="24841"/>
    <cellStyle name="40% - Accent5 4 2 7" xfId="23816"/>
    <cellStyle name="40% - Accent5 4 3" xfId="5646"/>
    <cellStyle name="40% - Accent5 4 3 2" xfId="8749"/>
    <cellStyle name="40% - Accent5 4 3 2 2" xfId="14942"/>
    <cellStyle name="40% - Accent5 4 3 2 2 2" xfId="34825"/>
    <cellStyle name="40% - Accent5 4 3 2 3" xfId="21094"/>
    <cellStyle name="40% - Accent5 4 3 2 3 2" xfId="40977"/>
    <cellStyle name="40% - Accent5 4 3 2 4" xfId="28672"/>
    <cellStyle name="40% - Accent5 4 3 3" xfId="11876"/>
    <cellStyle name="40% - Accent5 4 3 3 2" xfId="31759"/>
    <cellStyle name="40% - Accent5 4 3 4" xfId="18028"/>
    <cellStyle name="40% - Accent5 4 3 4 2" xfId="37911"/>
    <cellStyle name="40% - Accent5 4 3 5" xfId="25606"/>
    <cellStyle name="40% - Accent5 4 4" xfId="7214"/>
    <cellStyle name="40% - Accent5 4 4 2" xfId="13408"/>
    <cellStyle name="40% - Accent5 4 4 2 2" xfId="33291"/>
    <cellStyle name="40% - Accent5 4 4 3" xfId="19560"/>
    <cellStyle name="40% - Accent5 4 4 3 2" xfId="39443"/>
    <cellStyle name="40% - Accent5 4 4 4" xfId="27138"/>
    <cellStyle name="40% - Accent5 4 5" xfId="10342"/>
    <cellStyle name="40% - Accent5 4 5 2" xfId="30225"/>
    <cellStyle name="40% - Accent5 4 6" xfId="16494"/>
    <cellStyle name="40% - Accent5 4 6 2" xfId="36377"/>
    <cellStyle name="40% - Accent5 4 7" xfId="1377"/>
    <cellStyle name="40% - Accent5 4 7 2" xfId="24072"/>
    <cellStyle name="40% - Accent5 4 8" xfId="22936"/>
    <cellStyle name="40% - Accent5 4 8 2" xfId="42810"/>
    <cellStyle name="40% - Accent5 4 9" xfId="23513"/>
    <cellStyle name="40% - Accent5 5" xfId="588"/>
    <cellStyle name="40% - Accent5 5 2" xfId="989"/>
    <cellStyle name="40% - Accent5 5 2 2" xfId="23832"/>
    <cellStyle name="40% - Accent5 5 3" xfId="1378"/>
    <cellStyle name="40% - Accent5 5 4" xfId="22690"/>
    <cellStyle name="40% - Accent5 5 4 2" xfId="42564"/>
    <cellStyle name="40% - Accent5 5 5" xfId="22952"/>
    <cellStyle name="40% - Accent5 5 5 2" xfId="42826"/>
    <cellStyle name="40% - Accent5 5 6" xfId="23529"/>
    <cellStyle name="40% - Accent5 6" xfId="614"/>
    <cellStyle name="40% - Accent5 6 2" xfId="1005"/>
    <cellStyle name="40% - Accent5 6 2 2" xfId="23848"/>
    <cellStyle name="40% - Accent5 6 3" xfId="22726"/>
    <cellStyle name="40% - Accent5 6 3 2" xfId="42600"/>
    <cellStyle name="40% - Accent5 6 4" xfId="22968"/>
    <cellStyle name="40% - Accent5 6 4 2" xfId="42842"/>
    <cellStyle name="40% - Accent5 6 5" xfId="23545"/>
    <cellStyle name="40% - Accent5 7" xfId="638"/>
    <cellStyle name="40% - Accent5 7 2" xfId="1021"/>
    <cellStyle name="40% - Accent5 7 2 2" xfId="23864"/>
    <cellStyle name="40% - Accent5 7 3" xfId="22744"/>
    <cellStyle name="40% - Accent5 7 3 2" xfId="42618"/>
    <cellStyle name="40% - Accent5 7 4" xfId="22984"/>
    <cellStyle name="40% - Accent5 7 4 2" xfId="42858"/>
    <cellStyle name="40% - Accent5 7 5" xfId="23561"/>
    <cellStyle name="40% - Accent5 8" xfId="663"/>
    <cellStyle name="40% - Accent5 8 2" xfId="1037"/>
    <cellStyle name="40% - Accent5 8 2 2" xfId="23880"/>
    <cellStyle name="40% - Accent5 8 3" xfId="1163"/>
    <cellStyle name="40% - Accent5 8 3 2" xfId="24003"/>
    <cellStyle name="40% - Accent5 8 4" xfId="23000"/>
    <cellStyle name="40% - Accent5 8 4 2" xfId="42874"/>
    <cellStyle name="40% - Accent5 8 5" xfId="23577"/>
    <cellStyle name="40% - Accent5 9" xfId="703"/>
    <cellStyle name="40% - Accent5 9 2" xfId="1053"/>
    <cellStyle name="40% - Accent5 9 2 2" xfId="23896"/>
    <cellStyle name="40% - Accent5 9 3" xfId="22642"/>
    <cellStyle name="40% - Accent5 9 3 2" xfId="42516"/>
    <cellStyle name="40% - Accent5 9 4" xfId="23016"/>
    <cellStyle name="40% - Accent5 9 4 2" xfId="42890"/>
    <cellStyle name="40% - Accent5 9 5" xfId="23593"/>
    <cellStyle name="40% - Accent6" xfId="190" builtinId="51" customBuiltin="1"/>
    <cellStyle name="40% - Accent6 10" xfId="735"/>
    <cellStyle name="40% - Accent6 10 2" xfId="1071"/>
    <cellStyle name="40% - Accent6 10 2 2" xfId="23914"/>
    <cellStyle name="40% - Accent6 10 3" xfId="22776"/>
    <cellStyle name="40% - Accent6 10 3 2" xfId="42650"/>
    <cellStyle name="40% - Accent6 10 4" xfId="23034"/>
    <cellStyle name="40% - Accent6 10 4 2" xfId="42908"/>
    <cellStyle name="40% - Accent6 10 5" xfId="23611"/>
    <cellStyle name="40% - Accent6 11" xfId="761"/>
    <cellStyle name="40% - Accent6 11 2" xfId="1087"/>
    <cellStyle name="40% - Accent6 11 2 2" xfId="23930"/>
    <cellStyle name="40% - Accent6 11 3" xfId="22713"/>
    <cellStyle name="40% - Accent6 11 3 2" xfId="42587"/>
    <cellStyle name="40% - Accent6 11 4" xfId="23050"/>
    <cellStyle name="40% - Accent6 11 4 2" xfId="42924"/>
    <cellStyle name="40% - Accent6 11 5" xfId="23627"/>
    <cellStyle name="40% - Accent6 12" xfId="786"/>
    <cellStyle name="40% - Accent6 12 2" xfId="1103"/>
    <cellStyle name="40% - Accent6 12 2 2" xfId="23946"/>
    <cellStyle name="40% - Accent6 12 3" xfId="22635"/>
    <cellStyle name="40% - Accent6 12 3 2" xfId="42509"/>
    <cellStyle name="40% - Accent6 12 4" xfId="23066"/>
    <cellStyle name="40% - Accent6 12 4 2" xfId="42940"/>
    <cellStyle name="40% - Accent6 12 5" xfId="23643"/>
    <cellStyle name="40% - Accent6 13" xfId="810"/>
    <cellStyle name="40% - Accent6 13 2" xfId="1119"/>
    <cellStyle name="40% - Accent6 13 2 2" xfId="23962"/>
    <cellStyle name="40% - Accent6 13 3" xfId="22747"/>
    <cellStyle name="40% - Accent6 13 3 2" xfId="42621"/>
    <cellStyle name="40% - Accent6 13 4" xfId="23082"/>
    <cellStyle name="40% - Accent6 13 4 2" xfId="42956"/>
    <cellStyle name="40% - Accent6 13 5" xfId="23659"/>
    <cellStyle name="40% - Accent6 14" xfId="827"/>
    <cellStyle name="40% - Accent6 14 2" xfId="1135"/>
    <cellStyle name="40% - Accent6 14 2 2" xfId="23978"/>
    <cellStyle name="40% - Accent6 14 3" xfId="22738"/>
    <cellStyle name="40% - Accent6 14 3 2" xfId="42612"/>
    <cellStyle name="40% - Accent6 14 4" xfId="23098"/>
    <cellStyle name="40% - Accent6 14 4 2" xfId="42972"/>
    <cellStyle name="40% - Accent6 14 5" xfId="23675"/>
    <cellStyle name="40% - Accent6 15" xfId="843"/>
    <cellStyle name="40% - Accent6 15 2" xfId="1151"/>
    <cellStyle name="40% - Accent6 15 2 2" xfId="23994"/>
    <cellStyle name="40% - Accent6 15 3" xfId="22808"/>
    <cellStyle name="40% - Accent6 15 3 2" xfId="42682"/>
    <cellStyle name="40% - Accent6 15 4" xfId="23114"/>
    <cellStyle name="40% - Accent6 15 4 2" xfId="42988"/>
    <cellStyle name="40% - Accent6 15 5" xfId="23691"/>
    <cellStyle name="40% - Accent6 16" xfId="867"/>
    <cellStyle name="40% - Accent6 16 2" xfId="23710"/>
    <cellStyle name="40% - Accent6 17" xfId="22830"/>
    <cellStyle name="40% - Accent6 17 2" xfId="42704"/>
    <cellStyle name="40% - Accent6 18" xfId="23404"/>
    <cellStyle name="40% - Accent6 2" xfId="508"/>
    <cellStyle name="40% - Accent6 2 2" xfId="943"/>
    <cellStyle name="40% - Accent6 2 2 2" xfId="6433"/>
    <cellStyle name="40% - Accent6 2 2 2 2" xfId="9519"/>
    <cellStyle name="40% - Accent6 2 2 2 2 2" xfId="15712"/>
    <cellStyle name="40% - Accent6 2 2 2 2 2 2" xfId="35595"/>
    <cellStyle name="40% - Accent6 2 2 2 2 3" xfId="21864"/>
    <cellStyle name="40% - Accent6 2 2 2 2 3 2" xfId="41747"/>
    <cellStyle name="40% - Accent6 2 2 2 2 4" xfId="29442"/>
    <cellStyle name="40% - Accent6 2 2 2 3" xfId="12646"/>
    <cellStyle name="40% - Accent6 2 2 2 3 2" xfId="32529"/>
    <cellStyle name="40% - Accent6 2 2 2 4" xfId="18798"/>
    <cellStyle name="40% - Accent6 2 2 2 4 2" xfId="38681"/>
    <cellStyle name="40% - Accent6 2 2 2 5" xfId="26376"/>
    <cellStyle name="40% - Accent6 2 2 3" xfId="7984"/>
    <cellStyle name="40% - Accent6 2 2 3 2" xfId="14178"/>
    <cellStyle name="40% - Accent6 2 2 3 2 2" xfId="34061"/>
    <cellStyle name="40% - Accent6 2 2 3 3" xfId="20330"/>
    <cellStyle name="40% - Accent6 2 2 3 3 2" xfId="40213"/>
    <cellStyle name="40% - Accent6 2 2 3 4" xfId="27908"/>
    <cellStyle name="40% - Accent6 2 2 4" xfId="11112"/>
    <cellStyle name="40% - Accent6 2 2 4 2" xfId="30995"/>
    <cellStyle name="40% - Accent6 2 2 5" xfId="17264"/>
    <cellStyle name="40% - Accent6 2 2 5 2" xfId="37147"/>
    <cellStyle name="40% - Accent6 2 2 6" xfId="4808"/>
    <cellStyle name="40% - Accent6 2 2 6 2" xfId="24842"/>
    <cellStyle name="40% - Accent6 2 2 7" xfId="23786"/>
    <cellStyle name="40% - Accent6 2 3" xfId="5647"/>
    <cellStyle name="40% - Accent6 2 3 2" xfId="8750"/>
    <cellStyle name="40% - Accent6 2 3 2 2" xfId="14943"/>
    <cellStyle name="40% - Accent6 2 3 2 2 2" xfId="34826"/>
    <cellStyle name="40% - Accent6 2 3 2 3" xfId="21095"/>
    <cellStyle name="40% - Accent6 2 3 2 3 2" xfId="40978"/>
    <cellStyle name="40% - Accent6 2 3 2 4" xfId="28673"/>
    <cellStyle name="40% - Accent6 2 3 3" xfId="11877"/>
    <cellStyle name="40% - Accent6 2 3 3 2" xfId="31760"/>
    <cellStyle name="40% - Accent6 2 3 4" xfId="18029"/>
    <cellStyle name="40% - Accent6 2 3 4 2" xfId="37912"/>
    <cellStyle name="40% - Accent6 2 3 5" xfId="25607"/>
    <cellStyle name="40% - Accent6 2 4" xfId="7215"/>
    <cellStyle name="40% - Accent6 2 4 2" xfId="13409"/>
    <cellStyle name="40% - Accent6 2 4 2 2" xfId="33292"/>
    <cellStyle name="40% - Accent6 2 4 3" xfId="19561"/>
    <cellStyle name="40% - Accent6 2 4 3 2" xfId="39444"/>
    <cellStyle name="40% - Accent6 2 4 4" xfId="27139"/>
    <cellStyle name="40% - Accent6 2 5" xfId="10343"/>
    <cellStyle name="40% - Accent6 2 5 2" xfId="30226"/>
    <cellStyle name="40% - Accent6 2 6" xfId="16495"/>
    <cellStyle name="40% - Accent6 2 6 2" xfId="36378"/>
    <cellStyle name="40% - Accent6 2 7" xfId="1379"/>
    <cellStyle name="40% - Accent6 2 7 2" xfId="24073"/>
    <cellStyle name="40% - Accent6 2 8" xfId="22906"/>
    <cellStyle name="40% - Accent6 2 8 2" xfId="42780"/>
    <cellStyle name="40% - Accent6 2 9" xfId="23483"/>
    <cellStyle name="40% - Accent6 3" xfId="538"/>
    <cellStyle name="40% - Accent6 3 2" xfId="959"/>
    <cellStyle name="40% - Accent6 3 2 2" xfId="6434"/>
    <cellStyle name="40% - Accent6 3 2 2 2" xfId="9520"/>
    <cellStyle name="40% - Accent6 3 2 2 2 2" xfId="15713"/>
    <cellStyle name="40% - Accent6 3 2 2 2 2 2" xfId="35596"/>
    <cellStyle name="40% - Accent6 3 2 2 2 3" xfId="21865"/>
    <cellStyle name="40% - Accent6 3 2 2 2 3 2" xfId="41748"/>
    <cellStyle name="40% - Accent6 3 2 2 2 4" xfId="29443"/>
    <cellStyle name="40% - Accent6 3 2 2 3" xfId="12647"/>
    <cellStyle name="40% - Accent6 3 2 2 3 2" xfId="32530"/>
    <cellStyle name="40% - Accent6 3 2 2 4" xfId="18799"/>
    <cellStyle name="40% - Accent6 3 2 2 4 2" xfId="38682"/>
    <cellStyle name="40% - Accent6 3 2 2 5" xfId="26377"/>
    <cellStyle name="40% - Accent6 3 2 3" xfId="7985"/>
    <cellStyle name="40% - Accent6 3 2 3 2" xfId="14179"/>
    <cellStyle name="40% - Accent6 3 2 3 2 2" xfId="34062"/>
    <cellStyle name="40% - Accent6 3 2 3 3" xfId="20331"/>
    <cellStyle name="40% - Accent6 3 2 3 3 2" xfId="40214"/>
    <cellStyle name="40% - Accent6 3 2 3 4" xfId="27909"/>
    <cellStyle name="40% - Accent6 3 2 4" xfId="11113"/>
    <cellStyle name="40% - Accent6 3 2 4 2" xfId="30996"/>
    <cellStyle name="40% - Accent6 3 2 5" xfId="17265"/>
    <cellStyle name="40% - Accent6 3 2 5 2" xfId="37148"/>
    <cellStyle name="40% - Accent6 3 2 6" xfId="4809"/>
    <cellStyle name="40% - Accent6 3 2 6 2" xfId="24843"/>
    <cellStyle name="40% - Accent6 3 2 7" xfId="23802"/>
    <cellStyle name="40% - Accent6 3 3" xfId="5648"/>
    <cellStyle name="40% - Accent6 3 3 2" xfId="8751"/>
    <cellStyle name="40% - Accent6 3 3 2 2" xfId="14944"/>
    <cellStyle name="40% - Accent6 3 3 2 2 2" xfId="34827"/>
    <cellStyle name="40% - Accent6 3 3 2 3" xfId="21096"/>
    <cellStyle name="40% - Accent6 3 3 2 3 2" xfId="40979"/>
    <cellStyle name="40% - Accent6 3 3 2 4" xfId="28674"/>
    <cellStyle name="40% - Accent6 3 3 3" xfId="11878"/>
    <cellStyle name="40% - Accent6 3 3 3 2" xfId="31761"/>
    <cellStyle name="40% - Accent6 3 3 4" xfId="18030"/>
    <cellStyle name="40% - Accent6 3 3 4 2" xfId="37913"/>
    <cellStyle name="40% - Accent6 3 3 5" xfId="25608"/>
    <cellStyle name="40% - Accent6 3 4" xfId="7216"/>
    <cellStyle name="40% - Accent6 3 4 2" xfId="13410"/>
    <cellStyle name="40% - Accent6 3 4 2 2" xfId="33293"/>
    <cellStyle name="40% - Accent6 3 4 3" xfId="19562"/>
    <cellStyle name="40% - Accent6 3 4 3 2" xfId="39445"/>
    <cellStyle name="40% - Accent6 3 4 4" xfId="27140"/>
    <cellStyle name="40% - Accent6 3 5" xfId="10344"/>
    <cellStyle name="40% - Accent6 3 5 2" xfId="30227"/>
    <cellStyle name="40% - Accent6 3 6" xfId="16496"/>
    <cellStyle name="40% - Accent6 3 6 2" xfId="36379"/>
    <cellStyle name="40% - Accent6 3 7" xfId="1380"/>
    <cellStyle name="40% - Accent6 3 7 2" xfId="24074"/>
    <cellStyle name="40% - Accent6 3 8" xfId="22922"/>
    <cellStyle name="40% - Accent6 3 8 2" xfId="42796"/>
    <cellStyle name="40% - Accent6 3 9" xfId="23499"/>
    <cellStyle name="40% - Accent6 4" xfId="565"/>
    <cellStyle name="40% - Accent6 4 2" xfId="975"/>
    <cellStyle name="40% - Accent6 4 2 2" xfId="6435"/>
    <cellStyle name="40% - Accent6 4 2 2 2" xfId="9521"/>
    <cellStyle name="40% - Accent6 4 2 2 2 2" xfId="15714"/>
    <cellStyle name="40% - Accent6 4 2 2 2 2 2" xfId="35597"/>
    <cellStyle name="40% - Accent6 4 2 2 2 3" xfId="21866"/>
    <cellStyle name="40% - Accent6 4 2 2 2 3 2" xfId="41749"/>
    <cellStyle name="40% - Accent6 4 2 2 2 4" xfId="29444"/>
    <cellStyle name="40% - Accent6 4 2 2 3" xfId="12648"/>
    <cellStyle name="40% - Accent6 4 2 2 3 2" xfId="32531"/>
    <cellStyle name="40% - Accent6 4 2 2 4" xfId="18800"/>
    <cellStyle name="40% - Accent6 4 2 2 4 2" xfId="38683"/>
    <cellStyle name="40% - Accent6 4 2 2 5" xfId="26378"/>
    <cellStyle name="40% - Accent6 4 2 3" xfId="7986"/>
    <cellStyle name="40% - Accent6 4 2 3 2" xfId="14180"/>
    <cellStyle name="40% - Accent6 4 2 3 2 2" xfId="34063"/>
    <cellStyle name="40% - Accent6 4 2 3 3" xfId="20332"/>
    <cellStyle name="40% - Accent6 4 2 3 3 2" xfId="40215"/>
    <cellStyle name="40% - Accent6 4 2 3 4" xfId="27910"/>
    <cellStyle name="40% - Accent6 4 2 4" xfId="11114"/>
    <cellStyle name="40% - Accent6 4 2 4 2" xfId="30997"/>
    <cellStyle name="40% - Accent6 4 2 5" xfId="17266"/>
    <cellStyle name="40% - Accent6 4 2 5 2" xfId="37149"/>
    <cellStyle name="40% - Accent6 4 2 6" xfId="4810"/>
    <cellStyle name="40% - Accent6 4 2 6 2" xfId="24844"/>
    <cellStyle name="40% - Accent6 4 2 7" xfId="23818"/>
    <cellStyle name="40% - Accent6 4 3" xfId="5649"/>
    <cellStyle name="40% - Accent6 4 3 2" xfId="8752"/>
    <cellStyle name="40% - Accent6 4 3 2 2" xfId="14945"/>
    <cellStyle name="40% - Accent6 4 3 2 2 2" xfId="34828"/>
    <cellStyle name="40% - Accent6 4 3 2 3" xfId="21097"/>
    <cellStyle name="40% - Accent6 4 3 2 3 2" xfId="40980"/>
    <cellStyle name="40% - Accent6 4 3 2 4" xfId="28675"/>
    <cellStyle name="40% - Accent6 4 3 3" xfId="11879"/>
    <cellStyle name="40% - Accent6 4 3 3 2" xfId="31762"/>
    <cellStyle name="40% - Accent6 4 3 4" xfId="18031"/>
    <cellStyle name="40% - Accent6 4 3 4 2" xfId="37914"/>
    <cellStyle name="40% - Accent6 4 3 5" xfId="25609"/>
    <cellStyle name="40% - Accent6 4 4" xfId="7217"/>
    <cellStyle name="40% - Accent6 4 4 2" xfId="13411"/>
    <cellStyle name="40% - Accent6 4 4 2 2" xfId="33294"/>
    <cellStyle name="40% - Accent6 4 4 3" xfId="19563"/>
    <cellStyle name="40% - Accent6 4 4 3 2" xfId="39446"/>
    <cellStyle name="40% - Accent6 4 4 4" xfId="27141"/>
    <cellStyle name="40% - Accent6 4 5" xfId="10345"/>
    <cellStyle name="40% - Accent6 4 5 2" xfId="30228"/>
    <cellStyle name="40% - Accent6 4 6" xfId="16497"/>
    <cellStyle name="40% - Accent6 4 6 2" xfId="36380"/>
    <cellStyle name="40% - Accent6 4 7" xfId="1381"/>
    <cellStyle name="40% - Accent6 4 7 2" xfId="24075"/>
    <cellStyle name="40% - Accent6 4 8" xfId="22938"/>
    <cellStyle name="40% - Accent6 4 8 2" xfId="42812"/>
    <cellStyle name="40% - Accent6 4 9" xfId="23515"/>
    <cellStyle name="40% - Accent6 5" xfId="591"/>
    <cellStyle name="40% - Accent6 5 10" xfId="23531"/>
    <cellStyle name="40% - Accent6 5 2" xfId="991"/>
    <cellStyle name="40% - Accent6 5 2 2" xfId="6436"/>
    <cellStyle name="40% - Accent6 5 2 2 2" xfId="9522"/>
    <cellStyle name="40% - Accent6 5 2 2 2 2" xfId="15715"/>
    <cellStyle name="40% - Accent6 5 2 2 2 2 2" xfId="35598"/>
    <cellStyle name="40% - Accent6 5 2 2 2 3" xfId="21867"/>
    <cellStyle name="40% - Accent6 5 2 2 2 3 2" xfId="41750"/>
    <cellStyle name="40% - Accent6 5 2 2 2 4" xfId="29445"/>
    <cellStyle name="40% - Accent6 5 2 2 3" xfId="12649"/>
    <cellStyle name="40% - Accent6 5 2 2 3 2" xfId="32532"/>
    <cellStyle name="40% - Accent6 5 2 2 4" xfId="18801"/>
    <cellStyle name="40% - Accent6 5 2 2 4 2" xfId="38684"/>
    <cellStyle name="40% - Accent6 5 2 2 5" xfId="26379"/>
    <cellStyle name="40% - Accent6 5 2 3" xfId="7987"/>
    <cellStyle name="40% - Accent6 5 2 3 2" xfId="14181"/>
    <cellStyle name="40% - Accent6 5 2 3 2 2" xfId="34064"/>
    <cellStyle name="40% - Accent6 5 2 3 3" xfId="20333"/>
    <cellStyle name="40% - Accent6 5 2 3 3 2" xfId="40216"/>
    <cellStyle name="40% - Accent6 5 2 3 4" xfId="27911"/>
    <cellStyle name="40% - Accent6 5 2 4" xfId="11115"/>
    <cellStyle name="40% - Accent6 5 2 4 2" xfId="30998"/>
    <cellStyle name="40% - Accent6 5 2 5" xfId="17267"/>
    <cellStyle name="40% - Accent6 5 2 5 2" xfId="37150"/>
    <cellStyle name="40% - Accent6 5 2 6" xfId="4811"/>
    <cellStyle name="40% - Accent6 5 2 6 2" xfId="24845"/>
    <cellStyle name="40% - Accent6 5 2 7" xfId="23834"/>
    <cellStyle name="40% - Accent6 5 3" xfId="5650"/>
    <cellStyle name="40% - Accent6 5 3 2" xfId="8753"/>
    <cellStyle name="40% - Accent6 5 3 2 2" xfId="14946"/>
    <cellStyle name="40% - Accent6 5 3 2 2 2" xfId="34829"/>
    <cellStyle name="40% - Accent6 5 3 2 3" xfId="21098"/>
    <cellStyle name="40% - Accent6 5 3 2 3 2" xfId="40981"/>
    <cellStyle name="40% - Accent6 5 3 2 4" xfId="28676"/>
    <cellStyle name="40% - Accent6 5 3 3" xfId="11880"/>
    <cellStyle name="40% - Accent6 5 3 3 2" xfId="31763"/>
    <cellStyle name="40% - Accent6 5 3 4" xfId="18032"/>
    <cellStyle name="40% - Accent6 5 3 4 2" xfId="37915"/>
    <cellStyle name="40% - Accent6 5 3 5" xfId="25610"/>
    <cellStyle name="40% - Accent6 5 4" xfId="7218"/>
    <cellStyle name="40% - Accent6 5 4 2" xfId="13412"/>
    <cellStyle name="40% - Accent6 5 4 2 2" xfId="33295"/>
    <cellStyle name="40% - Accent6 5 4 3" xfId="19564"/>
    <cellStyle name="40% - Accent6 5 4 3 2" xfId="39447"/>
    <cellStyle name="40% - Accent6 5 4 4" xfId="27142"/>
    <cellStyle name="40% - Accent6 5 5" xfId="10346"/>
    <cellStyle name="40% - Accent6 5 5 2" xfId="30229"/>
    <cellStyle name="40% - Accent6 5 6" xfId="16498"/>
    <cellStyle name="40% - Accent6 5 6 2" xfId="36381"/>
    <cellStyle name="40% - Accent6 5 7" xfId="1382"/>
    <cellStyle name="40% - Accent6 5 7 2" xfId="24076"/>
    <cellStyle name="40% - Accent6 5 8" xfId="22720"/>
    <cellStyle name="40% - Accent6 5 8 2" xfId="42594"/>
    <cellStyle name="40% - Accent6 5 9" xfId="22954"/>
    <cellStyle name="40% - Accent6 5 9 2" xfId="42828"/>
    <cellStyle name="40% - Accent6 6" xfId="618"/>
    <cellStyle name="40% - Accent6 6 2" xfId="1007"/>
    <cellStyle name="40% - Accent6 6 2 2" xfId="23850"/>
    <cellStyle name="40% - Accent6 6 3" xfId="1383"/>
    <cellStyle name="40% - Accent6 6 4" xfId="22616"/>
    <cellStyle name="40% - Accent6 6 4 2" xfId="42490"/>
    <cellStyle name="40% - Accent6 6 5" xfId="22970"/>
    <cellStyle name="40% - Accent6 6 5 2" xfId="42844"/>
    <cellStyle name="40% - Accent6 6 6" xfId="23547"/>
    <cellStyle name="40% - Accent6 7" xfId="642"/>
    <cellStyle name="40% - Accent6 7 2" xfId="1023"/>
    <cellStyle name="40% - Accent6 7 2 2" xfId="23866"/>
    <cellStyle name="40% - Accent6 7 3" xfId="22785"/>
    <cellStyle name="40% - Accent6 7 3 2" xfId="42659"/>
    <cellStyle name="40% - Accent6 7 4" xfId="22986"/>
    <cellStyle name="40% - Accent6 7 4 2" xfId="42860"/>
    <cellStyle name="40% - Accent6 7 5" xfId="23563"/>
    <cellStyle name="40% - Accent6 8" xfId="667"/>
    <cellStyle name="40% - Accent6 8 2" xfId="1039"/>
    <cellStyle name="40% - Accent6 8 2 2" xfId="23882"/>
    <cellStyle name="40% - Accent6 8 3" xfId="22648"/>
    <cellStyle name="40% - Accent6 8 3 2" xfId="42522"/>
    <cellStyle name="40% - Accent6 8 4" xfId="23002"/>
    <cellStyle name="40% - Accent6 8 4 2" xfId="42876"/>
    <cellStyle name="40% - Accent6 8 5" xfId="23579"/>
    <cellStyle name="40% - Accent6 9" xfId="707"/>
    <cellStyle name="40% - Accent6 9 2" xfId="1055"/>
    <cellStyle name="40% - Accent6 9 2 2" xfId="23898"/>
    <cellStyle name="40% - Accent6 9 3" xfId="22593"/>
    <cellStyle name="40% - Accent6 9 3 2" xfId="42467"/>
    <cellStyle name="40% - Accent6 9 4" xfId="23018"/>
    <cellStyle name="40% - Accent6 9 4 2" xfId="42892"/>
    <cellStyle name="40% - Accent6 9 5" xfId="23595"/>
    <cellStyle name="60% - Accent1" xfId="171" builtinId="32" customBuiltin="1"/>
    <cellStyle name="60% - Accent1 2" xfId="1384"/>
    <cellStyle name="60% - Accent1 3" xfId="1385"/>
    <cellStyle name="60% - Accent1 4" xfId="1386"/>
    <cellStyle name="60% - Accent1 5" xfId="1387"/>
    <cellStyle name="60% - Accent1 6" xfId="1388"/>
    <cellStyle name="60% - Accent2" xfId="175" builtinId="36" customBuiltin="1"/>
    <cellStyle name="60% - Accent2 2" xfId="1389"/>
    <cellStyle name="60% - Accent2 3" xfId="1390"/>
    <cellStyle name="60% - Accent2 4" xfId="1391"/>
    <cellStyle name="60% - Accent2 5" xfId="1392"/>
    <cellStyle name="60% - Accent3" xfId="179" builtinId="40" customBuiltin="1"/>
    <cellStyle name="60% - Accent3 2" xfId="1393"/>
    <cellStyle name="60% - Accent3 3" xfId="1394"/>
    <cellStyle name="60% - Accent3 4" xfId="1395"/>
    <cellStyle name="60% - Accent3 5" xfId="1396"/>
    <cellStyle name="60% - Accent3 6" xfId="1397"/>
    <cellStyle name="60% - Accent4" xfId="183" builtinId="44" customBuiltin="1"/>
    <cellStyle name="60% - Accent4 2" xfId="1398"/>
    <cellStyle name="60% - Accent4 3" xfId="1399"/>
    <cellStyle name="60% - Accent4 4" xfId="1400"/>
    <cellStyle name="60% - Accent4 5" xfId="1401"/>
    <cellStyle name="60% - Accent4 6" xfId="1402"/>
    <cellStyle name="60% - Accent5" xfId="187" builtinId="48" customBuiltin="1"/>
    <cellStyle name="60% - Accent5 2" xfId="1403"/>
    <cellStyle name="60% - Accent5 3" xfId="1404"/>
    <cellStyle name="60% - Accent5 4" xfId="1405"/>
    <cellStyle name="60% - Accent5 5" xfId="1406"/>
    <cellStyle name="60% - Accent6" xfId="191" builtinId="52" customBuiltin="1"/>
    <cellStyle name="60% - Accent6 2" xfId="1407"/>
    <cellStyle name="60% - Accent6 3" xfId="1408"/>
    <cellStyle name="60% - Accent6 4" xfId="1409"/>
    <cellStyle name="60% - Accent6 5" xfId="1410"/>
    <cellStyle name="60% - Accent6 6" xfId="1411"/>
    <cellStyle name="Accent1" xfId="168" builtinId="29" customBuiltin="1"/>
    <cellStyle name="Accent1 2" xfId="1412"/>
    <cellStyle name="Accent1 3" xfId="1413"/>
    <cellStyle name="Accent1 4" xfId="1414"/>
    <cellStyle name="Accent1 5" xfId="1415"/>
    <cellStyle name="Accent1 6" xfId="1416"/>
    <cellStyle name="Accent2" xfId="172" builtinId="33" customBuiltin="1"/>
    <cellStyle name="Accent2 2" xfId="1417"/>
    <cellStyle name="Accent2 3" xfId="1418"/>
    <cellStyle name="Accent2 4" xfId="1419"/>
    <cellStyle name="Accent2 5" xfId="1420"/>
    <cellStyle name="Accent2 6" xfId="1421"/>
    <cellStyle name="Accent3" xfId="176" builtinId="37" customBuiltin="1"/>
    <cellStyle name="Accent3 2" xfId="1422"/>
    <cellStyle name="Accent3 3" xfId="1423"/>
    <cellStyle name="Accent3 4" xfId="1424"/>
    <cellStyle name="Accent3 5" xfId="1425"/>
    <cellStyle name="Accent3 6" xfId="1426"/>
    <cellStyle name="Accent4" xfId="180" builtinId="41" customBuiltin="1"/>
    <cellStyle name="Accent4 2" xfId="1427"/>
    <cellStyle name="Accent4 3" xfId="1428"/>
    <cellStyle name="Accent4 4" xfId="1429"/>
    <cellStyle name="Accent4 5" xfId="1430"/>
    <cellStyle name="Accent4 6" xfId="1431"/>
    <cellStyle name="Accent5" xfId="184" builtinId="45" customBuiltin="1"/>
    <cellStyle name="Accent5 2" xfId="1432"/>
    <cellStyle name="Accent5 3" xfId="1433"/>
    <cellStyle name="Accent5 4" xfId="1434"/>
    <cellStyle name="Accent5 5" xfId="1435"/>
    <cellStyle name="Accent6" xfId="188" builtinId="49" customBuiltin="1"/>
    <cellStyle name="Accent6 2" xfId="1436"/>
    <cellStyle name="Accent6 3" xfId="1437"/>
    <cellStyle name="Accent6 4" xfId="1438"/>
    <cellStyle name="Accent6 5" xfId="1439"/>
    <cellStyle name="alarm" xfId="1440"/>
    <cellStyle name="assumption" xfId="1441"/>
    <cellStyle name="assumption 2" xfId="1442"/>
    <cellStyle name="Bad" xfId="158" builtinId="27" customBuiltin="1"/>
    <cellStyle name="Bad 2" xfId="1443"/>
    <cellStyle name="Bad 3" xfId="1444"/>
    <cellStyle name="Bad 4" xfId="1445"/>
    <cellStyle name="Bad 5" xfId="1446"/>
    <cellStyle name="Bad 6" xfId="1447"/>
    <cellStyle name="Blank" xfId="1448"/>
    <cellStyle name="Calculation" xfId="162" builtinId="22" customBuiltin="1"/>
    <cellStyle name="Calculation 2" xfId="1449"/>
    <cellStyle name="Calculation 3" xfId="1450"/>
    <cellStyle name="Calculation 4" xfId="1451"/>
    <cellStyle name="Calculation 5" xfId="1452"/>
    <cellStyle name="Calculation 6" xfId="1453"/>
    <cellStyle name="Calculation 6 2" xfId="5515"/>
    <cellStyle name="Calculation 6 2 2" xfId="7137"/>
    <cellStyle name="Calculation 6 3" xfId="5557"/>
    <cellStyle name="Calculation 6 3 2" xfId="6269"/>
    <cellStyle name="Calculation 6 4" xfId="5528"/>
    <cellStyle name="Calculation 6 4 2" xfId="6206"/>
    <cellStyle name="Calculation 6 5" xfId="5509"/>
    <cellStyle name="Calculation 6 5 2" xfId="6203"/>
    <cellStyle name="Calculation 6 6" xfId="7140"/>
    <cellStyle name="Centered Heading" xfId="1454"/>
    <cellStyle name="Centered Heading 2" xfId="1455"/>
    <cellStyle name="Centered Heading 3" xfId="1456"/>
    <cellStyle name="Check Cell" xfId="164" builtinId="23" customBuiltin="1"/>
    <cellStyle name="Check Cell 2" xfId="1457"/>
    <cellStyle name="Check Cell 3" xfId="1458"/>
    <cellStyle name="Check Cell 4" xfId="1459"/>
    <cellStyle name="Check Cell 5" xfId="1460"/>
    <cellStyle name="Column Header" xfId="1461"/>
    <cellStyle name="ColumnAttributeAbovePrompt" xfId="1193"/>
    <cellStyle name="ColumnAttributePrompt" xfId="1194"/>
    <cellStyle name="ColumnAttributeValue" xfId="1195"/>
    <cellStyle name="ColumnHeadingPrompt" xfId="1196"/>
    <cellStyle name="ColumnHeadingValue" xfId="1197"/>
    <cellStyle name="Comma" xfId="1" builtinId="3"/>
    <cellStyle name="Comma [0] 2" xfId="2"/>
    <cellStyle name="Comma [0] 2 2" xfId="4629"/>
    <cellStyle name="Comma [0] 2 3" xfId="1322"/>
    <cellStyle name="Comma [0] 3" xfId="1198"/>
    <cellStyle name="Comma [0] 4" xfId="1291"/>
    <cellStyle name="Comma [0] 5" xfId="4626"/>
    <cellStyle name="Comma [0] 6" xfId="4734"/>
    <cellStyle name="Comma [0] 7" xfId="7147"/>
    <cellStyle name="Comma [0] 8" xfId="10275"/>
    <cellStyle name="Comma [0] 9" xfId="1184"/>
    <cellStyle name="Comma 0" xfId="1462"/>
    <cellStyle name="Comma 0.0" xfId="1463"/>
    <cellStyle name="Comma 0.00" xfId="1464"/>
    <cellStyle name="Comma 0.000" xfId="1465"/>
    <cellStyle name="Comma 10" xfId="135"/>
    <cellStyle name="Comma 10 2" xfId="877"/>
    <cellStyle name="Comma 10 2 2" xfId="1468"/>
    <cellStyle name="Comma 10 2 3" xfId="1469"/>
    <cellStyle name="Comma 10 2 4" xfId="1467"/>
    <cellStyle name="Comma 10 2 5" xfId="23720"/>
    <cellStyle name="Comma 10 3" xfId="1470"/>
    <cellStyle name="Comma 10 4" xfId="4715"/>
    <cellStyle name="Comma 10 5" xfId="1466"/>
    <cellStyle name="Comma 10 6" xfId="1302"/>
    <cellStyle name="Comma 10 7" xfId="22695"/>
    <cellStyle name="Comma 10 7 2" xfId="42569"/>
    <cellStyle name="Comma 10 8" xfId="22840"/>
    <cellStyle name="Comma 10 8 2" xfId="42714"/>
    <cellStyle name="Comma 10 9" xfId="226"/>
    <cellStyle name="Comma 10 9 2" xfId="23417"/>
    <cellStyle name="Comma 100" xfId="1471"/>
    <cellStyle name="Comma 101" xfId="1472"/>
    <cellStyle name="Comma 102" xfId="1473"/>
    <cellStyle name="Comma 103" xfId="1474"/>
    <cellStyle name="Comma 104" xfId="1475"/>
    <cellStyle name="Comma 105" xfId="1476"/>
    <cellStyle name="Comma 106" xfId="1477"/>
    <cellStyle name="Comma 107" xfId="1478"/>
    <cellStyle name="Comma 108" xfId="1479"/>
    <cellStyle name="Comma 109" xfId="1480"/>
    <cellStyle name="Comma 11" xfId="150"/>
    <cellStyle name="Comma 11 10" xfId="228"/>
    <cellStyle name="Comma 11 10 2" xfId="23419"/>
    <cellStyle name="Comma 11 2" xfId="879"/>
    <cellStyle name="Comma 11 2 2" xfId="1482"/>
    <cellStyle name="Comma 11 2 3" xfId="23722"/>
    <cellStyle name="Comma 11 3" xfId="1483"/>
    <cellStyle name="Comma 11 3 2" xfId="1484"/>
    <cellStyle name="Comma 11 3 3" xfId="1485"/>
    <cellStyle name="Comma 11 4" xfId="1486"/>
    <cellStyle name="Comma 11 5" xfId="4711"/>
    <cellStyle name="Comma 11 6" xfId="1481"/>
    <cellStyle name="Comma 11 7" xfId="1298"/>
    <cellStyle name="Comma 11 8" xfId="22813"/>
    <cellStyle name="Comma 11 8 2" xfId="42687"/>
    <cellStyle name="Comma 11 9" xfId="22842"/>
    <cellStyle name="Comma 11 9 2" xfId="42716"/>
    <cellStyle name="Comma 110" xfId="1487"/>
    <cellStyle name="Comma 111" xfId="1488"/>
    <cellStyle name="Comma 112" xfId="1489"/>
    <cellStyle name="Comma 113" xfId="1490"/>
    <cellStyle name="Comma 114" xfId="1491"/>
    <cellStyle name="Comma 115" xfId="1492"/>
    <cellStyle name="Comma 116" xfId="1493"/>
    <cellStyle name="Comma 117" xfId="1494"/>
    <cellStyle name="Comma 118" xfId="1495"/>
    <cellStyle name="Comma 119" xfId="1496"/>
    <cellStyle name="Comma 12" xfId="129"/>
    <cellStyle name="Comma 12 2" xfId="881"/>
    <cellStyle name="Comma 12 2 2" xfId="1499"/>
    <cellStyle name="Comma 12 2 3" xfId="1500"/>
    <cellStyle name="Comma 12 2 4" xfId="1498"/>
    <cellStyle name="Comma 12 2 5" xfId="23724"/>
    <cellStyle name="Comma 12 3" xfId="1501"/>
    <cellStyle name="Comma 12 4" xfId="1497"/>
    <cellStyle name="Comma 12 5" xfId="22746"/>
    <cellStyle name="Comma 12 5 2" xfId="42620"/>
    <cellStyle name="Comma 12 6" xfId="22844"/>
    <cellStyle name="Comma 12 6 2" xfId="42718"/>
    <cellStyle name="Comma 12 7" xfId="230"/>
    <cellStyle name="Comma 12 7 2" xfId="23421"/>
    <cellStyle name="Comma 120" xfId="1502"/>
    <cellStyle name="Comma 121" xfId="1503"/>
    <cellStyle name="Comma 122" xfId="1504"/>
    <cellStyle name="Comma 123" xfId="1505"/>
    <cellStyle name="Comma 124" xfId="1506"/>
    <cellStyle name="Comma 125" xfId="1507"/>
    <cellStyle name="Comma 126" xfId="1508"/>
    <cellStyle name="Comma 127" xfId="1509"/>
    <cellStyle name="Comma 128" xfId="1510"/>
    <cellStyle name="Comma 129" xfId="1511"/>
    <cellStyle name="Comma 13" xfId="134"/>
    <cellStyle name="Comma 13 2" xfId="882"/>
    <cellStyle name="Comma 13 2 2" xfId="1514"/>
    <cellStyle name="Comma 13 2 3" xfId="1515"/>
    <cellStyle name="Comma 13 2 4" xfId="1513"/>
    <cellStyle name="Comma 13 2 5" xfId="23725"/>
    <cellStyle name="Comma 13 3" xfId="1512"/>
    <cellStyle name="Comma 13 4" xfId="22741"/>
    <cellStyle name="Comma 13 4 2" xfId="42615"/>
    <cellStyle name="Comma 13 5" xfId="22845"/>
    <cellStyle name="Comma 13 5 2" xfId="42719"/>
    <cellStyle name="Comma 13 6" xfId="231"/>
    <cellStyle name="Comma 13 6 2" xfId="23422"/>
    <cellStyle name="Comma 130" xfId="1516"/>
    <cellStyle name="Comma 131" xfId="1517"/>
    <cellStyle name="Comma 132" xfId="1518"/>
    <cellStyle name="Comma 133" xfId="1519"/>
    <cellStyle name="Comma 134" xfId="1520"/>
    <cellStyle name="Comma 135" xfId="1521"/>
    <cellStyle name="Comma 136" xfId="1522"/>
    <cellStyle name="Comma 137" xfId="1523"/>
    <cellStyle name="Comma 138" xfId="1524"/>
    <cellStyle name="Comma 139" xfId="1525"/>
    <cellStyle name="Comma 14" xfId="124"/>
    <cellStyle name="Comma 14 2" xfId="880"/>
    <cellStyle name="Comma 14 2 2" xfId="23723"/>
    <cellStyle name="Comma 14 3" xfId="1526"/>
    <cellStyle name="Comma 14 4" xfId="22769"/>
    <cellStyle name="Comma 14 4 2" xfId="42643"/>
    <cellStyle name="Comma 14 5" xfId="22843"/>
    <cellStyle name="Comma 14 5 2" xfId="42717"/>
    <cellStyle name="Comma 14 6" xfId="229"/>
    <cellStyle name="Comma 14 6 2" xfId="23420"/>
    <cellStyle name="Comma 140" xfId="1527"/>
    <cellStyle name="Comma 141" xfId="1528"/>
    <cellStyle name="Comma 141 2" xfId="1529"/>
    <cellStyle name="Comma 141 2 2" xfId="1530"/>
    <cellStyle name="Comma 141 2 2 2" xfId="1531"/>
    <cellStyle name="Comma 141 2 3" xfId="1532"/>
    <cellStyle name="Comma 141 3" xfId="1533"/>
    <cellStyle name="Comma 141 3 2" xfId="1534"/>
    <cellStyle name="Comma 141 4" xfId="1535"/>
    <cellStyle name="Comma 141 4 2" xfId="1536"/>
    <cellStyle name="Comma 141 5" xfId="1537"/>
    <cellStyle name="Comma 142" xfId="1538"/>
    <cellStyle name="Comma 142 2" xfId="1539"/>
    <cellStyle name="Comma 142 2 2" xfId="1540"/>
    <cellStyle name="Comma 142 2 2 2" xfId="1541"/>
    <cellStyle name="Comma 142 2 3" xfId="1542"/>
    <cellStyle name="Comma 142 3" xfId="1543"/>
    <cellStyle name="Comma 142 3 2" xfId="1544"/>
    <cellStyle name="Comma 142 4" xfId="1545"/>
    <cellStyle name="Comma 142 4 2" xfId="1546"/>
    <cellStyle name="Comma 142 5" xfId="1547"/>
    <cellStyle name="Comma 143" xfId="1548"/>
    <cellStyle name="Comma 143 2" xfId="4812"/>
    <cellStyle name="Comma 143 2 2" xfId="6437"/>
    <cellStyle name="Comma 143 2 2 2" xfId="9523"/>
    <cellStyle name="Comma 143 2 2 2 2" xfId="15716"/>
    <cellStyle name="Comma 143 2 2 2 2 2" xfId="35599"/>
    <cellStyle name="Comma 143 2 2 2 3" xfId="21868"/>
    <cellStyle name="Comma 143 2 2 2 3 2" xfId="41751"/>
    <cellStyle name="Comma 143 2 2 2 4" xfId="29446"/>
    <cellStyle name="Comma 143 2 2 3" xfId="12650"/>
    <cellStyle name="Comma 143 2 2 3 2" xfId="32533"/>
    <cellStyle name="Comma 143 2 2 4" xfId="18802"/>
    <cellStyle name="Comma 143 2 2 4 2" xfId="38685"/>
    <cellStyle name="Comma 143 2 2 5" xfId="26380"/>
    <cellStyle name="Comma 143 2 3" xfId="7988"/>
    <cellStyle name="Comma 143 2 3 2" xfId="14182"/>
    <cellStyle name="Comma 143 2 3 2 2" xfId="34065"/>
    <cellStyle name="Comma 143 2 3 3" xfId="20334"/>
    <cellStyle name="Comma 143 2 3 3 2" xfId="40217"/>
    <cellStyle name="Comma 143 2 3 4" xfId="27912"/>
    <cellStyle name="Comma 143 2 4" xfId="11116"/>
    <cellStyle name="Comma 143 2 4 2" xfId="30999"/>
    <cellStyle name="Comma 143 2 5" xfId="17268"/>
    <cellStyle name="Comma 143 2 5 2" xfId="37151"/>
    <cellStyle name="Comma 143 2 6" xfId="24846"/>
    <cellStyle name="Comma 143 3" xfId="5651"/>
    <cellStyle name="Comma 143 3 2" xfId="8754"/>
    <cellStyle name="Comma 143 3 2 2" xfId="14947"/>
    <cellStyle name="Comma 143 3 2 2 2" xfId="34830"/>
    <cellStyle name="Comma 143 3 2 3" xfId="21099"/>
    <cellStyle name="Comma 143 3 2 3 2" xfId="40982"/>
    <cellStyle name="Comma 143 3 2 4" xfId="28677"/>
    <cellStyle name="Comma 143 3 3" xfId="11881"/>
    <cellStyle name="Comma 143 3 3 2" xfId="31764"/>
    <cellStyle name="Comma 143 3 4" xfId="18033"/>
    <cellStyle name="Comma 143 3 4 2" xfId="37916"/>
    <cellStyle name="Comma 143 3 5" xfId="25611"/>
    <cellStyle name="Comma 143 4" xfId="7219"/>
    <cellStyle name="Comma 143 4 2" xfId="13413"/>
    <cellStyle name="Comma 143 4 2 2" xfId="33296"/>
    <cellStyle name="Comma 143 4 3" xfId="19565"/>
    <cellStyle name="Comma 143 4 3 2" xfId="39448"/>
    <cellStyle name="Comma 143 4 4" xfId="27143"/>
    <cellStyle name="Comma 143 5" xfId="10347"/>
    <cellStyle name="Comma 143 5 2" xfId="30230"/>
    <cellStyle name="Comma 143 6" xfId="16499"/>
    <cellStyle name="Comma 143 6 2" xfId="36382"/>
    <cellStyle name="Comma 143 7" xfId="24077"/>
    <cellStyle name="Comma 144" xfId="1549"/>
    <cellStyle name="Comma 144 2" xfId="4813"/>
    <cellStyle name="Comma 144 2 2" xfId="6438"/>
    <cellStyle name="Comma 144 2 2 2" xfId="9524"/>
    <cellStyle name="Comma 144 2 2 2 2" xfId="15717"/>
    <cellStyle name="Comma 144 2 2 2 2 2" xfId="35600"/>
    <cellStyle name="Comma 144 2 2 2 3" xfId="21869"/>
    <cellStyle name="Comma 144 2 2 2 3 2" xfId="41752"/>
    <cellStyle name="Comma 144 2 2 2 4" xfId="29447"/>
    <cellStyle name="Comma 144 2 2 3" xfId="12651"/>
    <cellStyle name="Comma 144 2 2 3 2" xfId="32534"/>
    <cellStyle name="Comma 144 2 2 4" xfId="18803"/>
    <cellStyle name="Comma 144 2 2 4 2" xfId="38686"/>
    <cellStyle name="Comma 144 2 2 5" xfId="26381"/>
    <cellStyle name="Comma 144 2 3" xfId="7989"/>
    <cellStyle name="Comma 144 2 3 2" xfId="14183"/>
    <cellStyle name="Comma 144 2 3 2 2" xfId="34066"/>
    <cellStyle name="Comma 144 2 3 3" xfId="20335"/>
    <cellStyle name="Comma 144 2 3 3 2" xfId="40218"/>
    <cellStyle name="Comma 144 2 3 4" xfId="27913"/>
    <cellStyle name="Comma 144 2 4" xfId="11117"/>
    <cellStyle name="Comma 144 2 4 2" xfId="31000"/>
    <cellStyle name="Comma 144 2 5" xfId="17269"/>
    <cellStyle name="Comma 144 2 5 2" xfId="37152"/>
    <cellStyle name="Comma 144 2 6" xfId="24847"/>
    <cellStyle name="Comma 144 3" xfId="5652"/>
    <cellStyle name="Comma 144 3 2" xfId="8755"/>
    <cellStyle name="Comma 144 3 2 2" xfId="14948"/>
    <cellStyle name="Comma 144 3 2 2 2" xfId="34831"/>
    <cellStyle name="Comma 144 3 2 3" xfId="21100"/>
    <cellStyle name="Comma 144 3 2 3 2" xfId="40983"/>
    <cellStyle name="Comma 144 3 2 4" xfId="28678"/>
    <cellStyle name="Comma 144 3 3" xfId="11882"/>
    <cellStyle name="Comma 144 3 3 2" xfId="31765"/>
    <cellStyle name="Comma 144 3 4" xfId="18034"/>
    <cellStyle name="Comma 144 3 4 2" xfId="37917"/>
    <cellStyle name="Comma 144 3 5" xfId="25612"/>
    <cellStyle name="Comma 144 4" xfId="7220"/>
    <cellStyle name="Comma 144 4 2" xfId="13414"/>
    <cellStyle name="Comma 144 4 2 2" xfId="33297"/>
    <cellStyle name="Comma 144 4 3" xfId="19566"/>
    <cellStyle name="Comma 144 4 3 2" xfId="39449"/>
    <cellStyle name="Comma 144 4 4" xfId="27144"/>
    <cellStyle name="Comma 144 5" xfId="10348"/>
    <cellStyle name="Comma 144 5 2" xfId="30231"/>
    <cellStyle name="Comma 144 6" xfId="16500"/>
    <cellStyle name="Comma 144 6 2" xfId="36383"/>
    <cellStyle name="Comma 144 7" xfId="24078"/>
    <cellStyle name="Comma 145" xfId="1550"/>
    <cellStyle name="Comma 145 2" xfId="4814"/>
    <cellStyle name="Comma 145 2 2" xfId="6439"/>
    <cellStyle name="Comma 145 2 2 2" xfId="9525"/>
    <cellStyle name="Comma 145 2 2 2 2" xfId="15718"/>
    <cellStyle name="Comma 145 2 2 2 2 2" xfId="35601"/>
    <cellStyle name="Comma 145 2 2 2 3" xfId="21870"/>
    <cellStyle name="Comma 145 2 2 2 3 2" xfId="41753"/>
    <cellStyle name="Comma 145 2 2 2 4" xfId="29448"/>
    <cellStyle name="Comma 145 2 2 3" xfId="12652"/>
    <cellStyle name="Comma 145 2 2 3 2" xfId="32535"/>
    <cellStyle name="Comma 145 2 2 4" xfId="18804"/>
    <cellStyle name="Comma 145 2 2 4 2" xfId="38687"/>
    <cellStyle name="Comma 145 2 2 5" xfId="26382"/>
    <cellStyle name="Comma 145 2 3" xfId="7990"/>
    <cellStyle name="Comma 145 2 3 2" xfId="14184"/>
    <cellStyle name="Comma 145 2 3 2 2" xfId="34067"/>
    <cellStyle name="Comma 145 2 3 3" xfId="20336"/>
    <cellStyle name="Comma 145 2 3 3 2" xfId="40219"/>
    <cellStyle name="Comma 145 2 3 4" xfId="27914"/>
    <cellStyle name="Comma 145 2 4" xfId="11118"/>
    <cellStyle name="Comma 145 2 4 2" xfId="31001"/>
    <cellStyle name="Comma 145 2 5" xfId="17270"/>
    <cellStyle name="Comma 145 2 5 2" xfId="37153"/>
    <cellStyle name="Comma 145 2 6" xfId="24848"/>
    <cellStyle name="Comma 145 3" xfId="5653"/>
    <cellStyle name="Comma 145 3 2" xfId="8756"/>
    <cellStyle name="Comma 145 3 2 2" xfId="14949"/>
    <cellStyle name="Comma 145 3 2 2 2" xfId="34832"/>
    <cellStyle name="Comma 145 3 2 3" xfId="21101"/>
    <cellStyle name="Comma 145 3 2 3 2" xfId="40984"/>
    <cellStyle name="Comma 145 3 2 4" xfId="28679"/>
    <cellStyle name="Comma 145 3 3" xfId="11883"/>
    <cellStyle name="Comma 145 3 3 2" xfId="31766"/>
    <cellStyle name="Comma 145 3 4" xfId="18035"/>
    <cellStyle name="Comma 145 3 4 2" xfId="37918"/>
    <cellStyle name="Comma 145 3 5" xfId="25613"/>
    <cellStyle name="Comma 145 4" xfId="7221"/>
    <cellStyle name="Comma 145 4 2" xfId="13415"/>
    <cellStyle name="Comma 145 4 2 2" xfId="33298"/>
    <cellStyle name="Comma 145 4 3" xfId="19567"/>
    <cellStyle name="Comma 145 4 3 2" xfId="39450"/>
    <cellStyle name="Comma 145 4 4" xfId="27145"/>
    <cellStyle name="Comma 145 5" xfId="10349"/>
    <cellStyle name="Comma 145 5 2" xfId="30232"/>
    <cellStyle name="Comma 145 6" xfId="16501"/>
    <cellStyle name="Comma 145 6 2" xfId="36384"/>
    <cellStyle name="Comma 145 7" xfId="24079"/>
    <cellStyle name="Comma 146" xfId="1551"/>
    <cellStyle name="Comma 146 2" xfId="4815"/>
    <cellStyle name="Comma 146 2 2" xfId="6440"/>
    <cellStyle name="Comma 146 2 2 2" xfId="9526"/>
    <cellStyle name="Comma 146 2 2 2 2" xfId="15719"/>
    <cellStyle name="Comma 146 2 2 2 2 2" xfId="35602"/>
    <cellStyle name="Comma 146 2 2 2 3" xfId="21871"/>
    <cellStyle name="Comma 146 2 2 2 3 2" xfId="41754"/>
    <cellStyle name="Comma 146 2 2 2 4" xfId="29449"/>
    <cellStyle name="Comma 146 2 2 3" xfId="12653"/>
    <cellStyle name="Comma 146 2 2 3 2" xfId="32536"/>
    <cellStyle name="Comma 146 2 2 4" xfId="18805"/>
    <cellStyle name="Comma 146 2 2 4 2" xfId="38688"/>
    <cellStyle name="Comma 146 2 2 5" xfId="26383"/>
    <cellStyle name="Comma 146 2 3" xfId="7991"/>
    <cellStyle name="Comma 146 2 3 2" xfId="14185"/>
    <cellStyle name="Comma 146 2 3 2 2" xfId="34068"/>
    <cellStyle name="Comma 146 2 3 3" xfId="20337"/>
    <cellStyle name="Comma 146 2 3 3 2" xfId="40220"/>
    <cellStyle name="Comma 146 2 3 4" xfId="27915"/>
    <cellStyle name="Comma 146 2 4" xfId="11119"/>
    <cellStyle name="Comma 146 2 4 2" xfId="31002"/>
    <cellStyle name="Comma 146 2 5" xfId="17271"/>
    <cellStyle name="Comma 146 2 5 2" xfId="37154"/>
    <cellStyle name="Comma 146 2 6" xfId="24849"/>
    <cellStyle name="Comma 146 3" xfId="5654"/>
    <cellStyle name="Comma 146 3 2" xfId="8757"/>
    <cellStyle name="Comma 146 3 2 2" xfId="14950"/>
    <cellStyle name="Comma 146 3 2 2 2" xfId="34833"/>
    <cellStyle name="Comma 146 3 2 3" xfId="21102"/>
    <cellStyle name="Comma 146 3 2 3 2" xfId="40985"/>
    <cellStyle name="Comma 146 3 2 4" xfId="28680"/>
    <cellStyle name="Comma 146 3 3" xfId="11884"/>
    <cellStyle name="Comma 146 3 3 2" xfId="31767"/>
    <cellStyle name="Comma 146 3 4" xfId="18036"/>
    <cellStyle name="Comma 146 3 4 2" xfId="37919"/>
    <cellStyle name="Comma 146 3 5" xfId="25614"/>
    <cellStyle name="Comma 146 4" xfId="7222"/>
    <cellStyle name="Comma 146 4 2" xfId="13416"/>
    <cellStyle name="Comma 146 4 2 2" xfId="33299"/>
    <cellStyle name="Comma 146 4 3" xfId="19568"/>
    <cellStyle name="Comma 146 4 3 2" xfId="39451"/>
    <cellStyle name="Comma 146 4 4" xfId="27146"/>
    <cellStyle name="Comma 146 5" xfId="10350"/>
    <cellStyle name="Comma 146 5 2" xfId="30233"/>
    <cellStyle name="Comma 146 6" xfId="16502"/>
    <cellStyle name="Comma 146 6 2" xfId="36385"/>
    <cellStyle name="Comma 146 7" xfId="24080"/>
    <cellStyle name="Comma 147" xfId="1552"/>
    <cellStyle name="Comma 147 2" xfId="4816"/>
    <cellStyle name="Comma 147 2 2" xfId="6441"/>
    <cellStyle name="Comma 147 2 2 2" xfId="9527"/>
    <cellStyle name="Comma 147 2 2 2 2" xfId="15720"/>
    <cellStyle name="Comma 147 2 2 2 2 2" xfId="35603"/>
    <cellStyle name="Comma 147 2 2 2 3" xfId="21872"/>
    <cellStyle name="Comma 147 2 2 2 3 2" xfId="41755"/>
    <cellStyle name="Comma 147 2 2 2 4" xfId="29450"/>
    <cellStyle name="Comma 147 2 2 3" xfId="12654"/>
    <cellStyle name="Comma 147 2 2 3 2" xfId="32537"/>
    <cellStyle name="Comma 147 2 2 4" xfId="18806"/>
    <cellStyle name="Comma 147 2 2 4 2" xfId="38689"/>
    <cellStyle name="Comma 147 2 2 5" xfId="26384"/>
    <cellStyle name="Comma 147 2 3" xfId="7992"/>
    <cellStyle name="Comma 147 2 3 2" xfId="14186"/>
    <cellStyle name="Comma 147 2 3 2 2" xfId="34069"/>
    <cellStyle name="Comma 147 2 3 3" xfId="20338"/>
    <cellStyle name="Comma 147 2 3 3 2" xfId="40221"/>
    <cellStyle name="Comma 147 2 3 4" xfId="27916"/>
    <cellStyle name="Comma 147 2 4" xfId="11120"/>
    <cellStyle name="Comma 147 2 4 2" xfId="31003"/>
    <cellStyle name="Comma 147 2 5" xfId="17272"/>
    <cellStyle name="Comma 147 2 5 2" xfId="37155"/>
    <cellStyle name="Comma 147 2 6" xfId="24850"/>
    <cellStyle name="Comma 147 3" xfId="5655"/>
    <cellStyle name="Comma 147 3 2" xfId="8758"/>
    <cellStyle name="Comma 147 3 2 2" xfId="14951"/>
    <cellStyle name="Comma 147 3 2 2 2" xfId="34834"/>
    <cellStyle name="Comma 147 3 2 3" xfId="21103"/>
    <cellStyle name="Comma 147 3 2 3 2" xfId="40986"/>
    <cellStyle name="Comma 147 3 2 4" xfId="28681"/>
    <cellStyle name="Comma 147 3 3" xfId="11885"/>
    <cellStyle name="Comma 147 3 3 2" xfId="31768"/>
    <cellStyle name="Comma 147 3 4" xfId="18037"/>
    <cellStyle name="Comma 147 3 4 2" xfId="37920"/>
    <cellStyle name="Comma 147 3 5" xfId="25615"/>
    <cellStyle name="Comma 147 4" xfId="7223"/>
    <cellStyle name="Comma 147 4 2" xfId="13417"/>
    <cellStyle name="Comma 147 4 2 2" xfId="33300"/>
    <cellStyle name="Comma 147 4 3" xfId="19569"/>
    <cellStyle name="Comma 147 4 3 2" xfId="39452"/>
    <cellStyle name="Comma 147 4 4" xfId="27147"/>
    <cellStyle name="Comma 147 5" xfId="10351"/>
    <cellStyle name="Comma 147 5 2" xfId="30234"/>
    <cellStyle name="Comma 147 6" xfId="16503"/>
    <cellStyle name="Comma 147 6 2" xfId="36386"/>
    <cellStyle name="Comma 147 7" xfId="24081"/>
    <cellStyle name="Comma 148" xfId="1553"/>
    <cellStyle name="Comma 148 2" xfId="4817"/>
    <cellStyle name="Comma 148 2 2" xfId="6442"/>
    <cellStyle name="Comma 148 2 2 2" xfId="9528"/>
    <cellStyle name="Comma 148 2 2 2 2" xfId="15721"/>
    <cellStyle name="Comma 148 2 2 2 2 2" xfId="35604"/>
    <cellStyle name="Comma 148 2 2 2 3" xfId="21873"/>
    <cellStyle name="Comma 148 2 2 2 3 2" xfId="41756"/>
    <cellStyle name="Comma 148 2 2 2 4" xfId="29451"/>
    <cellStyle name="Comma 148 2 2 3" xfId="12655"/>
    <cellStyle name="Comma 148 2 2 3 2" xfId="32538"/>
    <cellStyle name="Comma 148 2 2 4" xfId="18807"/>
    <cellStyle name="Comma 148 2 2 4 2" xfId="38690"/>
    <cellStyle name="Comma 148 2 2 5" xfId="26385"/>
    <cellStyle name="Comma 148 2 3" xfId="7993"/>
    <cellStyle name="Comma 148 2 3 2" xfId="14187"/>
    <cellStyle name="Comma 148 2 3 2 2" xfId="34070"/>
    <cellStyle name="Comma 148 2 3 3" xfId="20339"/>
    <cellStyle name="Comma 148 2 3 3 2" xfId="40222"/>
    <cellStyle name="Comma 148 2 3 4" xfId="27917"/>
    <cellStyle name="Comma 148 2 4" xfId="11121"/>
    <cellStyle name="Comma 148 2 4 2" xfId="31004"/>
    <cellStyle name="Comma 148 2 5" xfId="17273"/>
    <cellStyle name="Comma 148 2 5 2" xfId="37156"/>
    <cellStyle name="Comma 148 2 6" xfId="24851"/>
    <cellStyle name="Comma 148 3" xfId="5656"/>
    <cellStyle name="Comma 148 3 2" xfId="8759"/>
    <cellStyle name="Comma 148 3 2 2" xfId="14952"/>
    <cellStyle name="Comma 148 3 2 2 2" xfId="34835"/>
    <cellStyle name="Comma 148 3 2 3" xfId="21104"/>
    <cellStyle name="Comma 148 3 2 3 2" xfId="40987"/>
    <cellStyle name="Comma 148 3 2 4" xfId="28682"/>
    <cellStyle name="Comma 148 3 3" xfId="11886"/>
    <cellStyle name="Comma 148 3 3 2" xfId="31769"/>
    <cellStyle name="Comma 148 3 4" xfId="18038"/>
    <cellStyle name="Comma 148 3 4 2" xfId="37921"/>
    <cellStyle name="Comma 148 3 5" xfId="25616"/>
    <cellStyle name="Comma 148 4" xfId="7224"/>
    <cellStyle name="Comma 148 4 2" xfId="13418"/>
    <cellStyle name="Comma 148 4 2 2" xfId="33301"/>
    <cellStyle name="Comma 148 4 3" xfId="19570"/>
    <cellStyle name="Comma 148 4 3 2" xfId="39453"/>
    <cellStyle name="Comma 148 4 4" xfId="27148"/>
    <cellStyle name="Comma 148 5" xfId="10352"/>
    <cellStyle name="Comma 148 5 2" xfId="30235"/>
    <cellStyle name="Comma 148 6" xfId="16504"/>
    <cellStyle name="Comma 148 6 2" xfId="36387"/>
    <cellStyle name="Comma 148 7" xfId="24082"/>
    <cellStyle name="Comma 149" xfId="1554"/>
    <cellStyle name="Comma 149 2" xfId="4818"/>
    <cellStyle name="Comma 149 2 2" xfId="6443"/>
    <cellStyle name="Comma 149 2 2 2" xfId="9529"/>
    <cellStyle name="Comma 149 2 2 2 2" xfId="15722"/>
    <cellStyle name="Comma 149 2 2 2 2 2" xfId="35605"/>
    <cellStyle name="Comma 149 2 2 2 3" xfId="21874"/>
    <cellStyle name="Comma 149 2 2 2 3 2" xfId="41757"/>
    <cellStyle name="Comma 149 2 2 2 4" xfId="29452"/>
    <cellStyle name="Comma 149 2 2 3" xfId="12656"/>
    <cellStyle name="Comma 149 2 2 3 2" xfId="32539"/>
    <cellStyle name="Comma 149 2 2 4" xfId="18808"/>
    <cellStyle name="Comma 149 2 2 4 2" xfId="38691"/>
    <cellStyle name="Comma 149 2 2 5" xfId="26386"/>
    <cellStyle name="Comma 149 2 3" xfId="7994"/>
    <cellStyle name="Comma 149 2 3 2" xfId="14188"/>
    <cellStyle name="Comma 149 2 3 2 2" xfId="34071"/>
    <cellStyle name="Comma 149 2 3 3" xfId="20340"/>
    <cellStyle name="Comma 149 2 3 3 2" xfId="40223"/>
    <cellStyle name="Comma 149 2 3 4" xfId="27918"/>
    <cellStyle name="Comma 149 2 4" xfId="11122"/>
    <cellStyle name="Comma 149 2 4 2" xfId="31005"/>
    <cellStyle name="Comma 149 2 5" xfId="17274"/>
    <cellStyle name="Comma 149 2 5 2" xfId="37157"/>
    <cellStyle name="Comma 149 2 6" xfId="24852"/>
    <cellStyle name="Comma 149 3" xfId="5657"/>
    <cellStyle name="Comma 149 3 2" xfId="8760"/>
    <cellStyle name="Comma 149 3 2 2" xfId="14953"/>
    <cellStyle name="Comma 149 3 2 2 2" xfId="34836"/>
    <cellStyle name="Comma 149 3 2 3" xfId="21105"/>
    <cellStyle name="Comma 149 3 2 3 2" xfId="40988"/>
    <cellStyle name="Comma 149 3 2 4" xfId="28683"/>
    <cellStyle name="Comma 149 3 3" xfId="11887"/>
    <cellStyle name="Comma 149 3 3 2" xfId="31770"/>
    <cellStyle name="Comma 149 3 4" xfId="18039"/>
    <cellStyle name="Comma 149 3 4 2" xfId="37922"/>
    <cellStyle name="Comma 149 3 5" xfId="25617"/>
    <cellStyle name="Comma 149 4" xfId="7225"/>
    <cellStyle name="Comma 149 4 2" xfId="13419"/>
    <cellStyle name="Comma 149 4 2 2" xfId="33302"/>
    <cellStyle name="Comma 149 4 3" xfId="19571"/>
    <cellStyle name="Comma 149 4 3 2" xfId="39454"/>
    <cellStyle name="Comma 149 4 4" xfId="27149"/>
    <cellStyle name="Comma 149 5" xfId="10353"/>
    <cellStyle name="Comma 149 5 2" xfId="30236"/>
    <cellStyle name="Comma 149 6" xfId="16505"/>
    <cellStyle name="Comma 149 6 2" xfId="36388"/>
    <cellStyle name="Comma 149 7" xfId="24083"/>
    <cellStyle name="Comma 15" xfId="232"/>
    <cellStyle name="Comma 15 2" xfId="883"/>
    <cellStyle name="Comma 15 2 2" xfId="1556"/>
    <cellStyle name="Comma 15 2 3" xfId="23726"/>
    <cellStyle name="Comma 15 3" xfId="1555"/>
    <cellStyle name="Comma 15 4" xfId="22621"/>
    <cellStyle name="Comma 15 4 2" xfId="42495"/>
    <cellStyle name="Comma 15 5" xfId="22846"/>
    <cellStyle name="Comma 15 5 2" xfId="42720"/>
    <cellStyle name="Comma 15 6" xfId="23423"/>
    <cellStyle name="Comma 150" xfId="1557"/>
    <cellStyle name="Comma 150 2" xfId="4819"/>
    <cellStyle name="Comma 150 2 2" xfId="6444"/>
    <cellStyle name="Comma 150 2 2 2" xfId="9530"/>
    <cellStyle name="Comma 150 2 2 2 2" xfId="15723"/>
    <cellStyle name="Comma 150 2 2 2 2 2" xfId="35606"/>
    <cellStyle name="Comma 150 2 2 2 3" xfId="21875"/>
    <cellStyle name="Comma 150 2 2 2 3 2" xfId="41758"/>
    <cellStyle name="Comma 150 2 2 2 4" xfId="29453"/>
    <cellStyle name="Comma 150 2 2 3" xfId="12657"/>
    <cellStyle name="Comma 150 2 2 3 2" xfId="32540"/>
    <cellStyle name="Comma 150 2 2 4" xfId="18809"/>
    <cellStyle name="Comma 150 2 2 4 2" xfId="38692"/>
    <cellStyle name="Comma 150 2 2 5" xfId="26387"/>
    <cellStyle name="Comma 150 2 3" xfId="7995"/>
    <cellStyle name="Comma 150 2 3 2" xfId="14189"/>
    <cellStyle name="Comma 150 2 3 2 2" xfId="34072"/>
    <cellStyle name="Comma 150 2 3 3" xfId="20341"/>
    <cellStyle name="Comma 150 2 3 3 2" xfId="40224"/>
    <cellStyle name="Comma 150 2 3 4" xfId="27919"/>
    <cellStyle name="Comma 150 2 4" xfId="11123"/>
    <cellStyle name="Comma 150 2 4 2" xfId="31006"/>
    <cellStyle name="Comma 150 2 5" xfId="17275"/>
    <cellStyle name="Comma 150 2 5 2" xfId="37158"/>
    <cellStyle name="Comma 150 2 6" xfId="24853"/>
    <cellStyle name="Comma 150 3" xfId="5658"/>
    <cellStyle name="Comma 150 3 2" xfId="8761"/>
    <cellStyle name="Comma 150 3 2 2" xfId="14954"/>
    <cellStyle name="Comma 150 3 2 2 2" xfId="34837"/>
    <cellStyle name="Comma 150 3 2 3" xfId="21106"/>
    <cellStyle name="Comma 150 3 2 3 2" xfId="40989"/>
    <cellStyle name="Comma 150 3 2 4" xfId="28684"/>
    <cellStyle name="Comma 150 3 3" xfId="11888"/>
    <cellStyle name="Comma 150 3 3 2" xfId="31771"/>
    <cellStyle name="Comma 150 3 4" xfId="18040"/>
    <cellStyle name="Comma 150 3 4 2" xfId="37923"/>
    <cellStyle name="Comma 150 3 5" xfId="25618"/>
    <cellStyle name="Comma 150 4" xfId="7226"/>
    <cellStyle name="Comma 150 4 2" xfId="13420"/>
    <cellStyle name="Comma 150 4 2 2" xfId="33303"/>
    <cellStyle name="Comma 150 4 3" xfId="19572"/>
    <cellStyle name="Comma 150 4 3 2" xfId="39455"/>
    <cellStyle name="Comma 150 4 4" xfId="27150"/>
    <cellStyle name="Comma 150 5" xfId="10354"/>
    <cellStyle name="Comma 150 5 2" xfId="30237"/>
    <cellStyle name="Comma 150 6" xfId="16506"/>
    <cellStyle name="Comma 150 6 2" xfId="36389"/>
    <cellStyle name="Comma 150 7" xfId="24084"/>
    <cellStyle name="Comma 151" xfId="1558"/>
    <cellStyle name="Comma 151 2" xfId="4820"/>
    <cellStyle name="Comma 151 2 2" xfId="6445"/>
    <cellStyle name="Comma 151 2 2 2" xfId="9531"/>
    <cellStyle name="Comma 151 2 2 2 2" xfId="15724"/>
    <cellStyle name="Comma 151 2 2 2 2 2" xfId="35607"/>
    <cellStyle name="Comma 151 2 2 2 3" xfId="21876"/>
    <cellStyle name="Comma 151 2 2 2 3 2" xfId="41759"/>
    <cellStyle name="Comma 151 2 2 2 4" xfId="29454"/>
    <cellStyle name="Comma 151 2 2 3" xfId="12658"/>
    <cellStyle name="Comma 151 2 2 3 2" xfId="32541"/>
    <cellStyle name="Comma 151 2 2 4" xfId="18810"/>
    <cellStyle name="Comma 151 2 2 4 2" xfId="38693"/>
    <cellStyle name="Comma 151 2 2 5" xfId="26388"/>
    <cellStyle name="Comma 151 2 3" xfId="7996"/>
    <cellStyle name="Comma 151 2 3 2" xfId="14190"/>
    <cellStyle name="Comma 151 2 3 2 2" xfId="34073"/>
    <cellStyle name="Comma 151 2 3 3" xfId="20342"/>
    <cellStyle name="Comma 151 2 3 3 2" xfId="40225"/>
    <cellStyle name="Comma 151 2 3 4" xfId="27920"/>
    <cellStyle name="Comma 151 2 4" xfId="11124"/>
    <cellStyle name="Comma 151 2 4 2" xfId="31007"/>
    <cellStyle name="Comma 151 2 5" xfId="17276"/>
    <cellStyle name="Comma 151 2 5 2" xfId="37159"/>
    <cellStyle name="Comma 151 2 6" xfId="24854"/>
    <cellStyle name="Comma 151 3" xfId="5659"/>
    <cellStyle name="Comma 151 3 2" xfId="8762"/>
    <cellStyle name="Comma 151 3 2 2" xfId="14955"/>
    <cellStyle name="Comma 151 3 2 2 2" xfId="34838"/>
    <cellStyle name="Comma 151 3 2 3" xfId="21107"/>
    <cellStyle name="Comma 151 3 2 3 2" xfId="40990"/>
    <cellStyle name="Comma 151 3 2 4" xfId="28685"/>
    <cellStyle name="Comma 151 3 3" xfId="11889"/>
    <cellStyle name="Comma 151 3 3 2" xfId="31772"/>
    <cellStyle name="Comma 151 3 4" xfId="18041"/>
    <cellStyle name="Comma 151 3 4 2" xfId="37924"/>
    <cellStyle name="Comma 151 3 5" xfId="25619"/>
    <cellStyle name="Comma 151 4" xfId="7227"/>
    <cellStyle name="Comma 151 4 2" xfId="13421"/>
    <cellStyle name="Comma 151 4 2 2" xfId="33304"/>
    <cellStyle name="Comma 151 4 3" xfId="19573"/>
    <cellStyle name="Comma 151 4 3 2" xfId="39456"/>
    <cellStyle name="Comma 151 4 4" xfId="27151"/>
    <cellStyle name="Comma 151 5" xfId="10355"/>
    <cellStyle name="Comma 151 5 2" xfId="30238"/>
    <cellStyle name="Comma 151 6" xfId="16507"/>
    <cellStyle name="Comma 151 6 2" xfId="36390"/>
    <cellStyle name="Comma 151 7" xfId="24085"/>
    <cellStyle name="Comma 152" xfId="1559"/>
    <cellStyle name="Comma 152 2" xfId="4821"/>
    <cellStyle name="Comma 152 2 2" xfId="6446"/>
    <cellStyle name="Comma 152 2 2 2" xfId="9532"/>
    <cellStyle name="Comma 152 2 2 2 2" xfId="15725"/>
    <cellStyle name="Comma 152 2 2 2 2 2" xfId="35608"/>
    <cellStyle name="Comma 152 2 2 2 3" xfId="21877"/>
    <cellStyle name="Comma 152 2 2 2 3 2" xfId="41760"/>
    <cellStyle name="Comma 152 2 2 2 4" xfId="29455"/>
    <cellStyle name="Comma 152 2 2 3" xfId="12659"/>
    <cellStyle name="Comma 152 2 2 3 2" xfId="32542"/>
    <cellStyle name="Comma 152 2 2 4" xfId="18811"/>
    <cellStyle name="Comma 152 2 2 4 2" xfId="38694"/>
    <cellStyle name="Comma 152 2 2 5" xfId="26389"/>
    <cellStyle name="Comma 152 2 3" xfId="7997"/>
    <cellStyle name="Comma 152 2 3 2" xfId="14191"/>
    <cellStyle name="Comma 152 2 3 2 2" xfId="34074"/>
    <cellStyle name="Comma 152 2 3 3" xfId="20343"/>
    <cellStyle name="Comma 152 2 3 3 2" xfId="40226"/>
    <cellStyle name="Comma 152 2 3 4" xfId="27921"/>
    <cellStyle name="Comma 152 2 4" xfId="11125"/>
    <cellStyle name="Comma 152 2 4 2" xfId="31008"/>
    <cellStyle name="Comma 152 2 5" xfId="17277"/>
    <cellStyle name="Comma 152 2 5 2" xfId="37160"/>
    <cellStyle name="Comma 152 2 6" xfId="24855"/>
    <cellStyle name="Comma 152 3" xfId="5660"/>
    <cellStyle name="Comma 152 3 2" xfId="8763"/>
    <cellStyle name="Comma 152 3 2 2" xfId="14956"/>
    <cellStyle name="Comma 152 3 2 2 2" xfId="34839"/>
    <cellStyle name="Comma 152 3 2 3" xfId="21108"/>
    <cellStyle name="Comma 152 3 2 3 2" xfId="40991"/>
    <cellStyle name="Comma 152 3 2 4" xfId="28686"/>
    <cellStyle name="Comma 152 3 3" xfId="11890"/>
    <cellStyle name="Comma 152 3 3 2" xfId="31773"/>
    <cellStyle name="Comma 152 3 4" xfId="18042"/>
    <cellStyle name="Comma 152 3 4 2" xfId="37925"/>
    <cellStyle name="Comma 152 3 5" xfId="25620"/>
    <cellStyle name="Comma 152 4" xfId="7228"/>
    <cellStyle name="Comma 152 4 2" xfId="13422"/>
    <cellStyle name="Comma 152 4 2 2" xfId="33305"/>
    <cellStyle name="Comma 152 4 3" xfId="19574"/>
    <cellStyle name="Comma 152 4 3 2" xfId="39457"/>
    <cellStyle name="Comma 152 4 4" xfId="27152"/>
    <cellStyle name="Comma 152 5" xfId="10356"/>
    <cellStyle name="Comma 152 5 2" xfId="30239"/>
    <cellStyle name="Comma 152 6" xfId="16508"/>
    <cellStyle name="Comma 152 6 2" xfId="36391"/>
    <cellStyle name="Comma 152 7" xfId="24086"/>
    <cellStyle name="Comma 153" xfId="1560"/>
    <cellStyle name="Comma 153 2" xfId="4822"/>
    <cellStyle name="Comma 153 2 2" xfId="6447"/>
    <cellStyle name="Comma 153 2 2 2" xfId="9533"/>
    <cellStyle name="Comma 153 2 2 2 2" xfId="15726"/>
    <cellStyle name="Comma 153 2 2 2 2 2" xfId="35609"/>
    <cellStyle name="Comma 153 2 2 2 3" xfId="21878"/>
    <cellStyle name="Comma 153 2 2 2 3 2" xfId="41761"/>
    <cellStyle name="Comma 153 2 2 2 4" xfId="29456"/>
    <cellStyle name="Comma 153 2 2 3" xfId="12660"/>
    <cellStyle name="Comma 153 2 2 3 2" xfId="32543"/>
    <cellStyle name="Comma 153 2 2 4" xfId="18812"/>
    <cellStyle name="Comma 153 2 2 4 2" xfId="38695"/>
    <cellStyle name="Comma 153 2 2 5" xfId="26390"/>
    <cellStyle name="Comma 153 2 3" xfId="7998"/>
    <cellStyle name="Comma 153 2 3 2" xfId="14192"/>
    <cellStyle name="Comma 153 2 3 2 2" xfId="34075"/>
    <cellStyle name="Comma 153 2 3 3" xfId="20344"/>
    <cellStyle name="Comma 153 2 3 3 2" xfId="40227"/>
    <cellStyle name="Comma 153 2 3 4" xfId="27922"/>
    <cellStyle name="Comma 153 2 4" xfId="11126"/>
    <cellStyle name="Comma 153 2 4 2" xfId="31009"/>
    <cellStyle name="Comma 153 2 5" xfId="17278"/>
    <cellStyle name="Comma 153 2 5 2" xfId="37161"/>
    <cellStyle name="Comma 153 2 6" xfId="24856"/>
    <cellStyle name="Comma 153 3" xfId="5661"/>
    <cellStyle name="Comma 153 3 2" xfId="8764"/>
    <cellStyle name="Comma 153 3 2 2" xfId="14957"/>
    <cellStyle name="Comma 153 3 2 2 2" xfId="34840"/>
    <cellStyle name="Comma 153 3 2 3" xfId="21109"/>
    <cellStyle name="Comma 153 3 2 3 2" xfId="40992"/>
    <cellStyle name="Comma 153 3 2 4" xfId="28687"/>
    <cellStyle name="Comma 153 3 3" xfId="11891"/>
    <cellStyle name="Comma 153 3 3 2" xfId="31774"/>
    <cellStyle name="Comma 153 3 4" xfId="18043"/>
    <cellStyle name="Comma 153 3 4 2" xfId="37926"/>
    <cellStyle name="Comma 153 3 5" xfId="25621"/>
    <cellStyle name="Comma 153 4" xfId="7229"/>
    <cellStyle name="Comma 153 4 2" xfId="13423"/>
    <cellStyle name="Comma 153 4 2 2" xfId="33306"/>
    <cellStyle name="Comma 153 4 3" xfId="19575"/>
    <cellStyle name="Comma 153 4 3 2" xfId="39458"/>
    <cellStyle name="Comma 153 4 4" xfId="27153"/>
    <cellStyle name="Comma 153 5" xfId="10357"/>
    <cellStyle name="Comma 153 5 2" xfId="30240"/>
    <cellStyle name="Comma 153 6" xfId="16509"/>
    <cellStyle name="Comma 153 6 2" xfId="36392"/>
    <cellStyle name="Comma 153 7" xfId="24087"/>
    <cellStyle name="Comma 154" xfId="1561"/>
    <cellStyle name="Comma 154 2" xfId="1562"/>
    <cellStyle name="Comma 155" xfId="1563"/>
    <cellStyle name="Comma 155 2" xfId="1564"/>
    <cellStyle name="Comma 156" xfId="1565"/>
    <cellStyle name="Comma 156 2" xfId="1566"/>
    <cellStyle name="Comma 157" xfId="1567"/>
    <cellStyle name="Comma 158" xfId="1568"/>
    <cellStyle name="Comma 159" xfId="1569"/>
    <cellStyle name="Comma 16" xfId="233"/>
    <cellStyle name="Comma 16 2" xfId="884"/>
    <cellStyle name="Comma 16 2 2" xfId="23727"/>
    <cellStyle name="Comma 16 3" xfId="1570"/>
    <cellStyle name="Comma 16 4" xfId="22815"/>
    <cellStyle name="Comma 16 4 2" xfId="42689"/>
    <cellStyle name="Comma 16 5" xfId="22847"/>
    <cellStyle name="Comma 16 5 2" xfId="42721"/>
    <cellStyle name="Comma 16 6" xfId="23424"/>
    <cellStyle name="Comma 160" xfId="1571"/>
    <cellStyle name="Comma 161" xfId="1572"/>
    <cellStyle name="Comma 162" xfId="1573"/>
    <cellStyle name="Comma 163" xfId="1574"/>
    <cellStyle name="Comma 164" xfId="1575"/>
    <cellStyle name="Comma 165" xfId="1576"/>
    <cellStyle name="Comma 166" xfId="1577"/>
    <cellStyle name="Comma 167" xfId="1578"/>
    <cellStyle name="Comma 168" xfId="1579"/>
    <cellStyle name="Comma 169" xfId="1580"/>
    <cellStyle name="Comma 17" xfId="234"/>
    <cellStyle name="Comma 17 2" xfId="885"/>
    <cellStyle name="Comma 17 2 2" xfId="23728"/>
    <cellStyle name="Comma 17 3" xfId="1581"/>
    <cellStyle name="Comma 17 4" xfId="22615"/>
    <cellStyle name="Comma 17 4 2" xfId="42489"/>
    <cellStyle name="Comma 17 5" xfId="22848"/>
    <cellStyle name="Comma 17 5 2" xfId="42722"/>
    <cellStyle name="Comma 17 6" xfId="23425"/>
    <cellStyle name="Comma 170" xfId="1582"/>
    <cellStyle name="Comma 171" xfId="1583"/>
    <cellStyle name="Comma 172" xfId="1584"/>
    <cellStyle name="Comma 173" xfId="1585"/>
    <cellStyle name="Comma 174" xfId="1586"/>
    <cellStyle name="Comma 175" xfId="1587"/>
    <cellStyle name="Comma 176" xfId="1588"/>
    <cellStyle name="Comma 177" xfId="1589"/>
    <cellStyle name="Comma 178" xfId="1590"/>
    <cellStyle name="Comma 179" xfId="1591"/>
    <cellStyle name="Comma 18" xfId="236"/>
    <cellStyle name="Comma 18 2" xfId="887"/>
    <cellStyle name="Comma 18 2 2" xfId="23730"/>
    <cellStyle name="Comma 18 3" xfId="1592"/>
    <cellStyle name="Comma 18 4" xfId="22761"/>
    <cellStyle name="Comma 18 4 2" xfId="42635"/>
    <cellStyle name="Comma 18 5" xfId="22850"/>
    <cellStyle name="Comma 18 5 2" xfId="42724"/>
    <cellStyle name="Comma 18 6" xfId="23427"/>
    <cellStyle name="Comma 180" xfId="1593"/>
    <cellStyle name="Comma 181" xfId="1594"/>
    <cellStyle name="Comma 182" xfId="1595"/>
    <cellStyle name="Comma 182 2" xfId="4823"/>
    <cellStyle name="Comma 182 2 2" xfId="6448"/>
    <cellStyle name="Comma 182 2 2 2" xfId="9534"/>
    <cellStyle name="Comma 182 2 2 2 2" xfId="15727"/>
    <cellStyle name="Comma 182 2 2 2 2 2" xfId="35610"/>
    <cellStyle name="Comma 182 2 2 2 3" xfId="21879"/>
    <cellStyle name="Comma 182 2 2 2 3 2" xfId="41762"/>
    <cellStyle name="Comma 182 2 2 2 4" xfId="29457"/>
    <cellStyle name="Comma 182 2 2 3" xfId="12661"/>
    <cellStyle name="Comma 182 2 2 3 2" xfId="32544"/>
    <cellStyle name="Comma 182 2 2 4" xfId="18813"/>
    <cellStyle name="Comma 182 2 2 4 2" xfId="38696"/>
    <cellStyle name="Comma 182 2 2 5" xfId="26391"/>
    <cellStyle name="Comma 182 2 3" xfId="7999"/>
    <cellStyle name="Comma 182 2 3 2" xfId="14193"/>
    <cellStyle name="Comma 182 2 3 2 2" xfId="34076"/>
    <cellStyle name="Comma 182 2 3 3" xfId="20345"/>
    <cellStyle name="Comma 182 2 3 3 2" xfId="40228"/>
    <cellStyle name="Comma 182 2 3 4" xfId="27923"/>
    <cellStyle name="Comma 182 2 4" xfId="11127"/>
    <cellStyle name="Comma 182 2 4 2" xfId="31010"/>
    <cellStyle name="Comma 182 2 5" xfId="17279"/>
    <cellStyle name="Comma 182 2 5 2" xfId="37162"/>
    <cellStyle name="Comma 182 2 6" xfId="24857"/>
    <cellStyle name="Comma 182 3" xfId="5662"/>
    <cellStyle name="Comma 182 3 2" xfId="8765"/>
    <cellStyle name="Comma 182 3 2 2" xfId="14958"/>
    <cellStyle name="Comma 182 3 2 2 2" xfId="34841"/>
    <cellStyle name="Comma 182 3 2 3" xfId="21110"/>
    <cellStyle name="Comma 182 3 2 3 2" xfId="40993"/>
    <cellStyle name="Comma 182 3 2 4" xfId="28688"/>
    <cellStyle name="Comma 182 3 3" xfId="11892"/>
    <cellStyle name="Comma 182 3 3 2" xfId="31775"/>
    <cellStyle name="Comma 182 3 4" xfId="18044"/>
    <cellStyle name="Comma 182 3 4 2" xfId="37927"/>
    <cellStyle name="Comma 182 3 5" xfId="25622"/>
    <cellStyle name="Comma 182 4" xfId="7230"/>
    <cellStyle name="Comma 182 4 2" xfId="13424"/>
    <cellStyle name="Comma 182 4 2 2" xfId="33307"/>
    <cellStyle name="Comma 182 4 3" xfId="19576"/>
    <cellStyle name="Comma 182 4 3 2" xfId="39459"/>
    <cellStyle name="Comma 182 4 4" xfId="27154"/>
    <cellStyle name="Comma 182 5" xfId="10358"/>
    <cellStyle name="Comma 182 5 2" xfId="30241"/>
    <cellStyle name="Comma 182 6" xfId="16510"/>
    <cellStyle name="Comma 182 6 2" xfId="36393"/>
    <cellStyle name="Comma 182 7" xfId="24088"/>
    <cellStyle name="Comma 183" xfId="1596"/>
    <cellStyle name="Comma 184" xfId="1321"/>
    <cellStyle name="Comma 185" xfId="4625"/>
    <cellStyle name="Comma 186" xfId="1318"/>
    <cellStyle name="Comma 186 2" xfId="4765"/>
    <cellStyle name="Comma 186 2 2" xfId="6390"/>
    <cellStyle name="Comma 186 2 2 2" xfId="9476"/>
    <cellStyle name="Comma 186 2 2 2 2" xfId="15669"/>
    <cellStyle name="Comma 186 2 2 2 2 2" xfId="35552"/>
    <cellStyle name="Comma 186 2 2 2 3" xfId="21821"/>
    <cellStyle name="Comma 186 2 2 2 3 2" xfId="41704"/>
    <cellStyle name="Comma 186 2 2 2 4" xfId="29399"/>
    <cellStyle name="Comma 186 2 2 3" xfId="12603"/>
    <cellStyle name="Comma 186 2 2 3 2" xfId="32486"/>
    <cellStyle name="Comma 186 2 2 4" xfId="18755"/>
    <cellStyle name="Comma 186 2 2 4 2" xfId="38638"/>
    <cellStyle name="Comma 186 2 2 5" xfId="26333"/>
    <cellStyle name="Comma 186 2 3" xfId="7941"/>
    <cellStyle name="Comma 186 2 3 2" xfId="14135"/>
    <cellStyle name="Comma 186 2 3 2 2" xfId="34018"/>
    <cellStyle name="Comma 186 2 3 3" xfId="20287"/>
    <cellStyle name="Comma 186 2 3 3 2" xfId="40170"/>
    <cellStyle name="Comma 186 2 3 4" xfId="27865"/>
    <cellStyle name="Comma 186 2 4" xfId="11069"/>
    <cellStyle name="Comma 186 2 4 2" xfId="30952"/>
    <cellStyle name="Comma 186 2 5" xfId="17221"/>
    <cellStyle name="Comma 186 2 5 2" xfId="37104"/>
    <cellStyle name="Comma 186 2 6" xfId="24799"/>
    <cellStyle name="Comma 186 3" xfId="5604"/>
    <cellStyle name="Comma 186 3 2" xfId="8707"/>
    <cellStyle name="Comma 186 3 2 2" xfId="14900"/>
    <cellStyle name="Comma 186 3 2 2 2" xfId="34783"/>
    <cellStyle name="Comma 186 3 2 3" xfId="21052"/>
    <cellStyle name="Comma 186 3 2 3 2" xfId="40935"/>
    <cellStyle name="Comma 186 3 2 4" xfId="28630"/>
    <cellStyle name="Comma 186 3 3" xfId="11834"/>
    <cellStyle name="Comma 186 3 3 2" xfId="31717"/>
    <cellStyle name="Comma 186 3 4" xfId="17986"/>
    <cellStyle name="Comma 186 3 4 2" xfId="37869"/>
    <cellStyle name="Comma 186 3 5" xfId="25564"/>
    <cellStyle name="Comma 186 4" xfId="7172"/>
    <cellStyle name="Comma 186 4 2" xfId="13366"/>
    <cellStyle name="Comma 186 4 2 2" xfId="33249"/>
    <cellStyle name="Comma 186 4 3" xfId="19518"/>
    <cellStyle name="Comma 186 4 3 2" xfId="39401"/>
    <cellStyle name="Comma 186 4 4" xfId="27096"/>
    <cellStyle name="Comma 186 5" xfId="10300"/>
    <cellStyle name="Comma 186 5 2" xfId="30183"/>
    <cellStyle name="Comma 186 6" xfId="16452"/>
    <cellStyle name="Comma 186 6 2" xfId="36335"/>
    <cellStyle name="Comma 186 7" xfId="24030"/>
    <cellStyle name="Comma 187" xfId="4729"/>
    <cellStyle name="Comma 187 2" xfId="4735"/>
    <cellStyle name="Comma 187 3" xfId="6361"/>
    <cellStyle name="Comma 187 3 2" xfId="9447"/>
    <cellStyle name="Comma 187 3 2 2" xfId="15640"/>
    <cellStyle name="Comma 187 3 2 2 2" xfId="35523"/>
    <cellStyle name="Comma 187 3 2 3" xfId="21792"/>
    <cellStyle name="Comma 187 3 2 3 2" xfId="41675"/>
    <cellStyle name="Comma 187 3 2 4" xfId="29370"/>
    <cellStyle name="Comma 187 3 3" xfId="12574"/>
    <cellStyle name="Comma 187 3 3 2" xfId="32457"/>
    <cellStyle name="Comma 187 3 4" xfId="18726"/>
    <cellStyle name="Comma 187 3 4 2" xfId="38609"/>
    <cellStyle name="Comma 187 3 5" xfId="26304"/>
    <cellStyle name="Comma 187 4" xfId="7912"/>
    <cellStyle name="Comma 187 4 2" xfId="14106"/>
    <cellStyle name="Comma 187 4 2 2" xfId="33989"/>
    <cellStyle name="Comma 187 4 3" xfId="20258"/>
    <cellStyle name="Comma 187 4 3 2" xfId="40141"/>
    <cellStyle name="Comma 187 4 4" xfId="27836"/>
    <cellStyle name="Comma 187 5" xfId="11040"/>
    <cellStyle name="Comma 187 5 2" xfId="30923"/>
    <cellStyle name="Comma 187 6" xfId="17192"/>
    <cellStyle name="Comma 187 6 2" xfId="37075"/>
    <cellStyle name="Comma 187 7" xfId="24770"/>
    <cellStyle name="Comma 188" xfId="5506"/>
    <cellStyle name="Comma 189" xfId="5572"/>
    <cellStyle name="Comma 19" xfId="237"/>
    <cellStyle name="Comma 19 2" xfId="888"/>
    <cellStyle name="Comma 19 2 2" xfId="23731"/>
    <cellStyle name="Comma 19 3" xfId="1597"/>
    <cellStyle name="Comma 19 4" xfId="22654"/>
    <cellStyle name="Comma 19 4 2" xfId="42528"/>
    <cellStyle name="Comma 19 5" xfId="22851"/>
    <cellStyle name="Comma 19 5 2" xfId="42725"/>
    <cellStyle name="Comma 19 6" xfId="23428"/>
    <cellStyle name="Comma 190" xfId="5514"/>
    <cellStyle name="Comma 191" xfId="5563"/>
    <cellStyle name="Comma 192" xfId="5507"/>
    <cellStyle name="Comma 193" xfId="5569"/>
    <cellStyle name="Comma 194" xfId="5516"/>
    <cellStyle name="Comma 195" xfId="5561"/>
    <cellStyle name="Comma 196" xfId="5529"/>
    <cellStyle name="Comma 197" xfId="5548"/>
    <cellStyle name="Comma 198" xfId="5531"/>
    <cellStyle name="Comma 199" xfId="5542"/>
    <cellStyle name="Comma 2" xfId="3"/>
    <cellStyle name="Comma 2 10" xfId="309"/>
    <cellStyle name="Comma 2 10 2" xfId="4630"/>
    <cellStyle name="Comma 2 10 3" xfId="1599"/>
    <cellStyle name="Comma 2 10 4" xfId="1199"/>
    <cellStyle name="Comma 2 11" xfId="356"/>
    <cellStyle name="Comma 2 11 2" xfId="4631"/>
    <cellStyle name="Comma 2 11 3" xfId="1600"/>
    <cellStyle name="Comma 2 11 4" xfId="1200"/>
    <cellStyle name="Comma 2 12" xfId="371"/>
    <cellStyle name="Comma 2 12 2" xfId="4632"/>
    <cellStyle name="Comma 2 12 3" xfId="1601"/>
    <cellStyle name="Comma 2 12 4" xfId="1201"/>
    <cellStyle name="Comma 2 13" xfId="386"/>
    <cellStyle name="Comma 2 13 2" xfId="4633"/>
    <cellStyle name="Comma 2 13 3" xfId="1602"/>
    <cellStyle name="Comma 2 13 4" xfId="1202"/>
    <cellStyle name="Comma 2 14" xfId="401"/>
    <cellStyle name="Comma 2 14 2" xfId="4634"/>
    <cellStyle name="Comma 2 14 3" xfId="1603"/>
    <cellStyle name="Comma 2 14 4" xfId="1203"/>
    <cellStyle name="Comma 2 15" xfId="413"/>
    <cellStyle name="Comma 2 15 2" xfId="4635"/>
    <cellStyle name="Comma 2 15 3" xfId="1604"/>
    <cellStyle name="Comma 2 15 4" xfId="1204"/>
    <cellStyle name="Comma 2 16" xfId="419"/>
    <cellStyle name="Comma 2 16 2" xfId="4636"/>
    <cellStyle name="Comma 2 16 3" xfId="1605"/>
    <cellStyle name="Comma 2 16 4" xfId="1205"/>
    <cellStyle name="Comma 2 17" xfId="454"/>
    <cellStyle name="Comma 2 17 2" xfId="4637"/>
    <cellStyle name="Comma 2 17 3" xfId="1606"/>
    <cellStyle name="Comma 2 17 4" xfId="1206"/>
    <cellStyle name="Comma 2 18" xfId="482"/>
    <cellStyle name="Comma 2 18 2" xfId="4638"/>
    <cellStyle name="Comma 2 18 3" xfId="1607"/>
    <cellStyle name="Comma 2 18 4" xfId="1207"/>
    <cellStyle name="Comma 2 19" xfId="451"/>
    <cellStyle name="Comma 2 19 2" xfId="4639"/>
    <cellStyle name="Comma 2 19 3" xfId="1608"/>
    <cellStyle name="Comma 2 19 4" xfId="1208"/>
    <cellStyle name="Comma 2 2" xfId="4"/>
    <cellStyle name="Comma 2 2 10" xfId="1609"/>
    <cellStyle name="Comma 2 2 10 2" xfId="4825"/>
    <cellStyle name="Comma 2 2 10 2 2" xfId="6450"/>
    <cellStyle name="Comma 2 2 10 2 2 2" xfId="9536"/>
    <cellStyle name="Comma 2 2 10 2 2 2 2" xfId="15729"/>
    <cellStyle name="Comma 2 2 10 2 2 2 2 2" xfId="35612"/>
    <cellStyle name="Comma 2 2 10 2 2 2 3" xfId="21881"/>
    <cellStyle name="Comma 2 2 10 2 2 2 3 2" xfId="41764"/>
    <cellStyle name="Comma 2 2 10 2 2 2 4" xfId="29459"/>
    <cellStyle name="Comma 2 2 10 2 2 3" xfId="12663"/>
    <cellStyle name="Comma 2 2 10 2 2 3 2" xfId="32546"/>
    <cellStyle name="Comma 2 2 10 2 2 4" xfId="18815"/>
    <cellStyle name="Comma 2 2 10 2 2 4 2" xfId="38698"/>
    <cellStyle name="Comma 2 2 10 2 2 5" xfId="26393"/>
    <cellStyle name="Comma 2 2 10 2 3" xfId="8001"/>
    <cellStyle name="Comma 2 2 10 2 3 2" xfId="14195"/>
    <cellStyle name="Comma 2 2 10 2 3 2 2" xfId="34078"/>
    <cellStyle name="Comma 2 2 10 2 3 3" xfId="20347"/>
    <cellStyle name="Comma 2 2 10 2 3 3 2" xfId="40230"/>
    <cellStyle name="Comma 2 2 10 2 3 4" xfId="27925"/>
    <cellStyle name="Comma 2 2 10 2 4" xfId="11129"/>
    <cellStyle name="Comma 2 2 10 2 4 2" xfId="31012"/>
    <cellStyle name="Comma 2 2 10 2 5" xfId="17281"/>
    <cellStyle name="Comma 2 2 10 2 5 2" xfId="37164"/>
    <cellStyle name="Comma 2 2 10 2 6" xfId="24859"/>
    <cellStyle name="Comma 2 2 10 3" xfId="5664"/>
    <cellStyle name="Comma 2 2 10 3 2" xfId="8767"/>
    <cellStyle name="Comma 2 2 10 3 2 2" xfId="14960"/>
    <cellStyle name="Comma 2 2 10 3 2 2 2" xfId="34843"/>
    <cellStyle name="Comma 2 2 10 3 2 3" xfId="21112"/>
    <cellStyle name="Comma 2 2 10 3 2 3 2" xfId="40995"/>
    <cellStyle name="Comma 2 2 10 3 2 4" xfId="28690"/>
    <cellStyle name="Comma 2 2 10 3 3" xfId="11894"/>
    <cellStyle name="Comma 2 2 10 3 3 2" xfId="31777"/>
    <cellStyle name="Comma 2 2 10 3 4" xfId="18046"/>
    <cellStyle name="Comma 2 2 10 3 4 2" xfId="37929"/>
    <cellStyle name="Comma 2 2 10 3 5" xfId="25624"/>
    <cellStyle name="Comma 2 2 10 4" xfId="7232"/>
    <cellStyle name="Comma 2 2 10 4 2" xfId="13426"/>
    <cellStyle name="Comma 2 2 10 4 2 2" xfId="33309"/>
    <cellStyle name="Comma 2 2 10 4 3" xfId="19578"/>
    <cellStyle name="Comma 2 2 10 4 3 2" xfId="39461"/>
    <cellStyle name="Comma 2 2 10 4 4" xfId="27156"/>
    <cellStyle name="Comma 2 2 10 5" xfId="10360"/>
    <cellStyle name="Comma 2 2 10 5 2" xfId="30243"/>
    <cellStyle name="Comma 2 2 10 6" xfId="16512"/>
    <cellStyle name="Comma 2 2 10 6 2" xfId="36395"/>
    <cellStyle name="Comma 2 2 10 7" xfId="24090"/>
    <cellStyle name="Comma 2 2 11" xfId="1610"/>
    <cellStyle name="Comma 2 2 11 2" xfId="4826"/>
    <cellStyle name="Comma 2 2 11 2 2" xfId="6451"/>
    <cellStyle name="Comma 2 2 11 2 2 2" xfId="9537"/>
    <cellStyle name="Comma 2 2 11 2 2 2 2" xfId="15730"/>
    <cellStyle name="Comma 2 2 11 2 2 2 2 2" xfId="35613"/>
    <cellStyle name="Comma 2 2 11 2 2 2 3" xfId="21882"/>
    <cellStyle name="Comma 2 2 11 2 2 2 3 2" xfId="41765"/>
    <cellStyle name="Comma 2 2 11 2 2 2 4" xfId="29460"/>
    <cellStyle name="Comma 2 2 11 2 2 3" xfId="12664"/>
    <cellStyle name="Comma 2 2 11 2 2 3 2" xfId="32547"/>
    <cellStyle name="Comma 2 2 11 2 2 4" xfId="18816"/>
    <cellStyle name="Comma 2 2 11 2 2 4 2" xfId="38699"/>
    <cellStyle name="Comma 2 2 11 2 2 5" xfId="26394"/>
    <cellStyle name="Comma 2 2 11 2 3" xfId="8002"/>
    <cellStyle name="Comma 2 2 11 2 3 2" xfId="14196"/>
    <cellStyle name="Comma 2 2 11 2 3 2 2" xfId="34079"/>
    <cellStyle name="Comma 2 2 11 2 3 3" xfId="20348"/>
    <cellStyle name="Comma 2 2 11 2 3 3 2" xfId="40231"/>
    <cellStyle name="Comma 2 2 11 2 3 4" xfId="27926"/>
    <cellStyle name="Comma 2 2 11 2 4" xfId="11130"/>
    <cellStyle name="Comma 2 2 11 2 4 2" xfId="31013"/>
    <cellStyle name="Comma 2 2 11 2 5" xfId="17282"/>
    <cellStyle name="Comma 2 2 11 2 5 2" xfId="37165"/>
    <cellStyle name="Comma 2 2 11 2 6" xfId="24860"/>
    <cellStyle name="Comma 2 2 11 3" xfId="5665"/>
    <cellStyle name="Comma 2 2 11 3 2" xfId="8768"/>
    <cellStyle name="Comma 2 2 11 3 2 2" xfId="14961"/>
    <cellStyle name="Comma 2 2 11 3 2 2 2" xfId="34844"/>
    <cellStyle name="Comma 2 2 11 3 2 3" xfId="21113"/>
    <cellStyle name="Comma 2 2 11 3 2 3 2" xfId="40996"/>
    <cellStyle name="Comma 2 2 11 3 2 4" xfId="28691"/>
    <cellStyle name="Comma 2 2 11 3 3" xfId="11895"/>
    <cellStyle name="Comma 2 2 11 3 3 2" xfId="31778"/>
    <cellStyle name="Comma 2 2 11 3 4" xfId="18047"/>
    <cellStyle name="Comma 2 2 11 3 4 2" xfId="37930"/>
    <cellStyle name="Comma 2 2 11 3 5" xfId="25625"/>
    <cellStyle name="Comma 2 2 11 4" xfId="7233"/>
    <cellStyle name="Comma 2 2 11 4 2" xfId="13427"/>
    <cellStyle name="Comma 2 2 11 4 2 2" xfId="33310"/>
    <cellStyle name="Comma 2 2 11 4 3" xfId="19579"/>
    <cellStyle name="Comma 2 2 11 4 3 2" xfId="39462"/>
    <cellStyle name="Comma 2 2 11 4 4" xfId="27157"/>
    <cellStyle name="Comma 2 2 11 5" xfId="10361"/>
    <cellStyle name="Comma 2 2 11 5 2" xfId="30244"/>
    <cellStyle name="Comma 2 2 11 6" xfId="16513"/>
    <cellStyle name="Comma 2 2 11 6 2" xfId="36396"/>
    <cellStyle name="Comma 2 2 11 7" xfId="24091"/>
    <cellStyle name="Comma 2 2 12" xfId="1611"/>
    <cellStyle name="Comma 2 2 12 2" xfId="4827"/>
    <cellStyle name="Comma 2 2 12 2 2" xfId="6452"/>
    <cellStyle name="Comma 2 2 12 2 2 2" xfId="9538"/>
    <cellStyle name="Comma 2 2 12 2 2 2 2" xfId="15731"/>
    <cellStyle name="Comma 2 2 12 2 2 2 2 2" xfId="35614"/>
    <cellStyle name="Comma 2 2 12 2 2 2 3" xfId="21883"/>
    <cellStyle name="Comma 2 2 12 2 2 2 3 2" xfId="41766"/>
    <cellStyle name="Comma 2 2 12 2 2 2 4" xfId="29461"/>
    <cellStyle name="Comma 2 2 12 2 2 3" xfId="12665"/>
    <cellStyle name="Comma 2 2 12 2 2 3 2" xfId="32548"/>
    <cellStyle name="Comma 2 2 12 2 2 4" xfId="18817"/>
    <cellStyle name="Comma 2 2 12 2 2 4 2" xfId="38700"/>
    <cellStyle name="Comma 2 2 12 2 2 5" xfId="26395"/>
    <cellStyle name="Comma 2 2 12 2 3" xfId="8003"/>
    <cellStyle name="Comma 2 2 12 2 3 2" xfId="14197"/>
    <cellStyle name="Comma 2 2 12 2 3 2 2" xfId="34080"/>
    <cellStyle name="Comma 2 2 12 2 3 3" xfId="20349"/>
    <cellStyle name="Comma 2 2 12 2 3 3 2" xfId="40232"/>
    <cellStyle name="Comma 2 2 12 2 3 4" xfId="27927"/>
    <cellStyle name="Comma 2 2 12 2 4" xfId="11131"/>
    <cellStyle name="Comma 2 2 12 2 4 2" xfId="31014"/>
    <cellStyle name="Comma 2 2 12 2 5" xfId="17283"/>
    <cellStyle name="Comma 2 2 12 2 5 2" xfId="37166"/>
    <cellStyle name="Comma 2 2 12 2 6" xfId="24861"/>
    <cellStyle name="Comma 2 2 12 3" xfId="5666"/>
    <cellStyle name="Comma 2 2 12 3 2" xfId="8769"/>
    <cellStyle name="Comma 2 2 12 3 2 2" xfId="14962"/>
    <cellStyle name="Comma 2 2 12 3 2 2 2" xfId="34845"/>
    <cellStyle name="Comma 2 2 12 3 2 3" xfId="21114"/>
    <cellStyle name="Comma 2 2 12 3 2 3 2" xfId="40997"/>
    <cellStyle name="Comma 2 2 12 3 2 4" xfId="28692"/>
    <cellStyle name="Comma 2 2 12 3 3" xfId="11896"/>
    <cellStyle name="Comma 2 2 12 3 3 2" xfId="31779"/>
    <cellStyle name="Comma 2 2 12 3 4" xfId="18048"/>
    <cellStyle name="Comma 2 2 12 3 4 2" xfId="37931"/>
    <cellStyle name="Comma 2 2 12 3 5" xfId="25626"/>
    <cellStyle name="Comma 2 2 12 4" xfId="7234"/>
    <cellStyle name="Comma 2 2 12 4 2" xfId="13428"/>
    <cellStyle name="Comma 2 2 12 4 2 2" xfId="33311"/>
    <cellStyle name="Comma 2 2 12 4 3" xfId="19580"/>
    <cellStyle name="Comma 2 2 12 4 3 2" xfId="39463"/>
    <cellStyle name="Comma 2 2 12 4 4" xfId="27158"/>
    <cellStyle name="Comma 2 2 12 5" xfId="10362"/>
    <cellStyle name="Comma 2 2 12 5 2" xfId="30245"/>
    <cellStyle name="Comma 2 2 12 6" xfId="16514"/>
    <cellStyle name="Comma 2 2 12 6 2" xfId="36397"/>
    <cellStyle name="Comma 2 2 12 7" xfId="24092"/>
    <cellStyle name="Comma 2 2 13" xfId="1612"/>
    <cellStyle name="Comma 2 2 13 2" xfId="4828"/>
    <cellStyle name="Comma 2 2 13 2 2" xfId="6453"/>
    <cellStyle name="Comma 2 2 13 2 2 2" xfId="9539"/>
    <cellStyle name="Comma 2 2 13 2 2 2 2" xfId="15732"/>
    <cellStyle name="Comma 2 2 13 2 2 2 2 2" xfId="35615"/>
    <cellStyle name="Comma 2 2 13 2 2 2 3" xfId="21884"/>
    <cellStyle name="Comma 2 2 13 2 2 2 3 2" xfId="41767"/>
    <cellStyle name="Comma 2 2 13 2 2 2 4" xfId="29462"/>
    <cellStyle name="Comma 2 2 13 2 2 3" xfId="12666"/>
    <cellStyle name="Comma 2 2 13 2 2 3 2" xfId="32549"/>
    <cellStyle name="Comma 2 2 13 2 2 4" xfId="18818"/>
    <cellStyle name="Comma 2 2 13 2 2 4 2" xfId="38701"/>
    <cellStyle name="Comma 2 2 13 2 2 5" xfId="26396"/>
    <cellStyle name="Comma 2 2 13 2 3" xfId="8004"/>
    <cellStyle name="Comma 2 2 13 2 3 2" xfId="14198"/>
    <cellStyle name="Comma 2 2 13 2 3 2 2" xfId="34081"/>
    <cellStyle name="Comma 2 2 13 2 3 3" xfId="20350"/>
    <cellStyle name="Comma 2 2 13 2 3 3 2" xfId="40233"/>
    <cellStyle name="Comma 2 2 13 2 3 4" xfId="27928"/>
    <cellStyle name="Comma 2 2 13 2 4" xfId="11132"/>
    <cellStyle name="Comma 2 2 13 2 4 2" xfId="31015"/>
    <cellStyle name="Comma 2 2 13 2 5" xfId="17284"/>
    <cellStyle name="Comma 2 2 13 2 5 2" xfId="37167"/>
    <cellStyle name="Comma 2 2 13 2 6" xfId="24862"/>
    <cellStyle name="Comma 2 2 13 3" xfId="5667"/>
    <cellStyle name="Comma 2 2 13 3 2" xfId="8770"/>
    <cellStyle name="Comma 2 2 13 3 2 2" xfId="14963"/>
    <cellStyle name="Comma 2 2 13 3 2 2 2" xfId="34846"/>
    <cellStyle name="Comma 2 2 13 3 2 3" xfId="21115"/>
    <cellStyle name="Comma 2 2 13 3 2 3 2" xfId="40998"/>
    <cellStyle name="Comma 2 2 13 3 2 4" xfId="28693"/>
    <cellStyle name="Comma 2 2 13 3 3" xfId="11897"/>
    <cellStyle name="Comma 2 2 13 3 3 2" xfId="31780"/>
    <cellStyle name="Comma 2 2 13 3 4" xfId="18049"/>
    <cellStyle name="Comma 2 2 13 3 4 2" xfId="37932"/>
    <cellStyle name="Comma 2 2 13 3 5" xfId="25627"/>
    <cellStyle name="Comma 2 2 13 4" xfId="7235"/>
    <cellStyle name="Comma 2 2 13 4 2" xfId="13429"/>
    <cellStyle name="Comma 2 2 13 4 2 2" xfId="33312"/>
    <cellStyle name="Comma 2 2 13 4 3" xfId="19581"/>
    <cellStyle name="Comma 2 2 13 4 3 2" xfId="39464"/>
    <cellStyle name="Comma 2 2 13 4 4" xfId="27159"/>
    <cellStyle name="Comma 2 2 13 5" xfId="10363"/>
    <cellStyle name="Comma 2 2 13 5 2" xfId="30246"/>
    <cellStyle name="Comma 2 2 13 6" xfId="16515"/>
    <cellStyle name="Comma 2 2 13 6 2" xfId="36398"/>
    <cellStyle name="Comma 2 2 13 7" xfId="24093"/>
    <cellStyle name="Comma 2 2 14" xfId="1613"/>
    <cellStyle name="Comma 2 2 14 2" xfId="4829"/>
    <cellStyle name="Comma 2 2 14 2 2" xfId="6454"/>
    <cellStyle name="Comma 2 2 14 2 2 2" xfId="9540"/>
    <cellStyle name="Comma 2 2 14 2 2 2 2" xfId="15733"/>
    <cellStyle name="Comma 2 2 14 2 2 2 2 2" xfId="35616"/>
    <cellStyle name="Comma 2 2 14 2 2 2 3" xfId="21885"/>
    <cellStyle name="Comma 2 2 14 2 2 2 3 2" xfId="41768"/>
    <cellStyle name="Comma 2 2 14 2 2 2 4" xfId="29463"/>
    <cellStyle name="Comma 2 2 14 2 2 3" xfId="12667"/>
    <cellStyle name="Comma 2 2 14 2 2 3 2" xfId="32550"/>
    <cellStyle name="Comma 2 2 14 2 2 4" xfId="18819"/>
    <cellStyle name="Comma 2 2 14 2 2 4 2" xfId="38702"/>
    <cellStyle name="Comma 2 2 14 2 2 5" xfId="26397"/>
    <cellStyle name="Comma 2 2 14 2 3" xfId="8005"/>
    <cellStyle name="Comma 2 2 14 2 3 2" xfId="14199"/>
    <cellStyle name="Comma 2 2 14 2 3 2 2" xfId="34082"/>
    <cellStyle name="Comma 2 2 14 2 3 3" xfId="20351"/>
    <cellStyle name="Comma 2 2 14 2 3 3 2" xfId="40234"/>
    <cellStyle name="Comma 2 2 14 2 3 4" xfId="27929"/>
    <cellStyle name="Comma 2 2 14 2 4" xfId="11133"/>
    <cellStyle name="Comma 2 2 14 2 4 2" xfId="31016"/>
    <cellStyle name="Comma 2 2 14 2 5" xfId="17285"/>
    <cellStyle name="Comma 2 2 14 2 5 2" xfId="37168"/>
    <cellStyle name="Comma 2 2 14 2 6" xfId="24863"/>
    <cellStyle name="Comma 2 2 14 3" xfId="5668"/>
    <cellStyle name="Comma 2 2 14 3 2" xfId="8771"/>
    <cellStyle name="Comma 2 2 14 3 2 2" xfId="14964"/>
    <cellStyle name="Comma 2 2 14 3 2 2 2" xfId="34847"/>
    <cellStyle name="Comma 2 2 14 3 2 3" xfId="21116"/>
    <cellStyle name="Comma 2 2 14 3 2 3 2" xfId="40999"/>
    <cellStyle name="Comma 2 2 14 3 2 4" xfId="28694"/>
    <cellStyle name="Comma 2 2 14 3 3" xfId="11898"/>
    <cellStyle name="Comma 2 2 14 3 3 2" xfId="31781"/>
    <cellStyle name="Comma 2 2 14 3 4" xfId="18050"/>
    <cellStyle name="Comma 2 2 14 3 4 2" xfId="37933"/>
    <cellStyle name="Comma 2 2 14 3 5" xfId="25628"/>
    <cellStyle name="Comma 2 2 14 4" xfId="7236"/>
    <cellStyle name="Comma 2 2 14 4 2" xfId="13430"/>
    <cellStyle name="Comma 2 2 14 4 2 2" xfId="33313"/>
    <cellStyle name="Comma 2 2 14 4 3" xfId="19582"/>
    <cellStyle name="Comma 2 2 14 4 3 2" xfId="39465"/>
    <cellStyle name="Comma 2 2 14 4 4" xfId="27160"/>
    <cellStyle name="Comma 2 2 14 5" xfId="10364"/>
    <cellStyle name="Comma 2 2 14 5 2" xfId="30247"/>
    <cellStyle name="Comma 2 2 14 6" xfId="16516"/>
    <cellStyle name="Comma 2 2 14 6 2" xfId="36399"/>
    <cellStyle name="Comma 2 2 14 7" xfId="24094"/>
    <cellStyle name="Comma 2 2 15" xfId="1614"/>
    <cellStyle name="Comma 2 2 15 2" xfId="4830"/>
    <cellStyle name="Comma 2 2 15 2 2" xfId="6455"/>
    <cellStyle name="Comma 2 2 15 2 2 2" xfId="9541"/>
    <cellStyle name="Comma 2 2 15 2 2 2 2" xfId="15734"/>
    <cellStyle name="Comma 2 2 15 2 2 2 2 2" xfId="35617"/>
    <cellStyle name="Comma 2 2 15 2 2 2 3" xfId="21886"/>
    <cellStyle name="Comma 2 2 15 2 2 2 3 2" xfId="41769"/>
    <cellStyle name="Comma 2 2 15 2 2 2 4" xfId="29464"/>
    <cellStyle name="Comma 2 2 15 2 2 3" xfId="12668"/>
    <cellStyle name="Comma 2 2 15 2 2 3 2" xfId="32551"/>
    <cellStyle name="Comma 2 2 15 2 2 4" xfId="18820"/>
    <cellStyle name="Comma 2 2 15 2 2 4 2" xfId="38703"/>
    <cellStyle name="Comma 2 2 15 2 2 5" xfId="26398"/>
    <cellStyle name="Comma 2 2 15 2 3" xfId="8006"/>
    <cellStyle name="Comma 2 2 15 2 3 2" xfId="14200"/>
    <cellStyle name="Comma 2 2 15 2 3 2 2" xfId="34083"/>
    <cellStyle name="Comma 2 2 15 2 3 3" xfId="20352"/>
    <cellStyle name="Comma 2 2 15 2 3 3 2" xfId="40235"/>
    <cellStyle name="Comma 2 2 15 2 3 4" xfId="27930"/>
    <cellStyle name="Comma 2 2 15 2 4" xfId="11134"/>
    <cellStyle name="Comma 2 2 15 2 4 2" xfId="31017"/>
    <cellStyle name="Comma 2 2 15 2 5" xfId="17286"/>
    <cellStyle name="Comma 2 2 15 2 5 2" xfId="37169"/>
    <cellStyle name="Comma 2 2 15 2 6" xfId="24864"/>
    <cellStyle name="Comma 2 2 15 3" xfId="5669"/>
    <cellStyle name="Comma 2 2 15 3 2" xfId="8772"/>
    <cellStyle name="Comma 2 2 15 3 2 2" xfId="14965"/>
    <cellStyle name="Comma 2 2 15 3 2 2 2" xfId="34848"/>
    <cellStyle name="Comma 2 2 15 3 2 3" xfId="21117"/>
    <cellStyle name="Comma 2 2 15 3 2 3 2" xfId="41000"/>
    <cellStyle name="Comma 2 2 15 3 2 4" xfId="28695"/>
    <cellStyle name="Comma 2 2 15 3 3" xfId="11899"/>
    <cellStyle name="Comma 2 2 15 3 3 2" xfId="31782"/>
    <cellStyle name="Comma 2 2 15 3 4" xfId="18051"/>
    <cellStyle name="Comma 2 2 15 3 4 2" xfId="37934"/>
    <cellStyle name="Comma 2 2 15 3 5" xfId="25629"/>
    <cellStyle name="Comma 2 2 15 4" xfId="7237"/>
    <cellStyle name="Comma 2 2 15 4 2" xfId="13431"/>
    <cellStyle name="Comma 2 2 15 4 2 2" xfId="33314"/>
    <cellStyle name="Comma 2 2 15 4 3" xfId="19583"/>
    <cellStyle name="Comma 2 2 15 4 3 2" xfId="39466"/>
    <cellStyle name="Comma 2 2 15 4 4" xfId="27161"/>
    <cellStyle name="Comma 2 2 15 5" xfId="10365"/>
    <cellStyle name="Comma 2 2 15 5 2" xfId="30248"/>
    <cellStyle name="Comma 2 2 15 6" xfId="16517"/>
    <cellStyle name="Comma 2 2 15 6 2" xfId="36400"/>
    <cellStyle name="Comma 2 2 15 7" xfId="24095"/>
    <cellStyle name="Comma 2 2 16" xfId="1615"/>
    <cellStyle name="Comma 2 2 16 2" xfId="4831"/>
    <cellStyle name="Comma 2 2 16 2 2" xfId="6456"/>
    <cellStyle name="Comma 2 2 16 2 2 2" xfId="9542"/>
    <cellStyle name="Comma 2 2 16 2 2 2 2" xfId="15735"/>
    <cellStyle name="Comma 2 2 16 2 2 2 2 2" xfId="35618"/>
    <cellStyle name="Comma 2 2 16 2 2 2 3" xfId="21887"/>
    <cellStyle name="Comma 2 2 16 2 2 2 3 2" xfId="41770"/>
    <cellStyle name="Comma 2 2 16 2 2 2 4" xfId="29465"/>
    <cellStyle name="Comma 2 2 16 2 2 3" xfId="12669"/>
    <cellStyle name="Comma 2 2 16 2 2 3 2" xfId="32552"/>
    <cellStyle name="Comma 2 2 16 2 2 4" xfId="18821"/>
    <cellStyle name="Comma 2 2 16 2 2 4 2" xfId="38704"/>
    <cellStyle name="Comma 2 2 16 2 2 5" xfId="26399"/>
    <cellStyle name="Comma 2 2 16 2 3" xfId="8007"/>
    <cellStyle name="Comma 2 2 16 2 3 2" xfId="14201"/>
    <cellStyle name="Comma 2 2 16 2 3 2 2" xfId="34084"/>
    <cellStyle name="Comma 2 2 16 2 3 3" xfId="20353"/>
    <cellStyle name="Comma 2 2 16 2 3 3 2" xfId="40236"/>
    <cellStyle name="Comma 2 2 16 2 3 4" xfId="27931"/>
    <cellStyle name="Comma 2 2 16 2 4" xfId="11135"/>
    <cellStyle name="Comma 2 2 16 2 4 2" xfId="31018"/>
    <cellStyle name="Comma 2 2 16 2 5" xfId="17287"/>
    <cellStyle name="Comma 2 2 16 2 5 2" xfId="37170"/>
    <cellStyle name="Comma 2 2 16 2 6" xfId="24865"/>
    <cellStyle name="Comma 2 2 16 3" xfId="5670"/>
    <cellStyle name="Comma 2 2 16 3 2" xfId="8773"/>
    <cellStyle name="Comma 2 2 16 3 2 2" xfId="14966"/>
    <cellStyle name="Comma 2 2 16 3 2 2 2" xfId="34849"/>
    <cellStyle name="Comma 2 2 16 3 2 3" xfId="21118"/>
    <cellStyle name="Comma 2 2 16 3 2 3 2" xfId="41001"/>
    <cellStyle name="Comma 2 2 16 3 2 4" xfId="28696"/>
    <cellStyle name="Comma 2 2 16 3 3" xfId="11900"/>
    <cellStyle name="Comma 2 2 16 3 3 2" xfId="31783"/>
    <cellStyle name="Comma 2 2 16 3 4" xfId="18052"/>
    <cellStyle name="Comma 2 2 16 3 4 2" xfId="37935"/>
    <cellStyle name="Comma 2 2 16 3 5" xfId="25630"/>
    <cellStyle name="Comma 2 2 16 4" xfId="7238"/>
    <cellStyle name="Comma 2 2 16 4 2" xfId="13432"/>
    <cellStyle name="Comma 2 2 16 4 2 2" xfId="33315"/>
    <cellStyle name="Comma 2 2 16 4 3" xfId="19584"/>
    <cellStyle name="Comma 2 2 16 4 3 2" xfId="39467"/>
    <cellStyle name="Comma 2 2 16 4 4" xfId="27162"/>
    <cellStyle name="Comma 2 2 16 5" xfId="10366"/>
    <cellStyle name="Comma 2 2 16 5 2" xfId="30249"/>
    <cellStyle name="Comma 2 2 16 6" xfId="16518"/>
    <cellStyle name="Comma 2 2 16 6 2" xfId="36401"/>
    <cellStyle name="Comma 2 2 16 7" xfId="24096"/>
    <cellStyle name="Comma 2 2 17" xfId="1616"/>
    <cellStyle name="Comma 2 2 17 2" xfId="4832"/>
    <cellStyle name="Comma 2 2 17 2 2" xfId="6457"/>
    <cellStyle name="Comma 2 2 17 2 2 2" xfId="9543"/>
    <cellStyle name="Comma 2 2 17 2 2 2 2" xfId="15736"/>
    <cellStyle name="Comma 2 2 17 2 2 2 2 2" xfId="35619"/>
    <cellStyle name="Comma 2 2 17 2 2 2 3" xfId="21888"/>
    <cellStyle name="Comma 2 2 17 2 2 2 3 2" xfId="41771"/>
    <cellStyle name="Comma 2 2 17 2 2 2 4" xfId="29466"/>
    <cellStyle name="Comma 2 2 17 2 2 3" xfId="12670"/>
    <cellStyle name="Comma 2 2 17 2 2 3 2" xfId="32553"/>
    <cellStyle name="Comma 2 2 17 2 2 4" xfId="18822"/>
    <cellStyle name="Comma 2 2 17 2 2 4 2" xfId="38705"/>
    <cellStyle name="Comma 2 2 17 2 2 5" xfId="26400"/>
    <cellStyle name="Comma 2 2 17 2 3" xfId="8008"/>
    <cellStyle name="Comma 2 2 17 2 3 2" xfId="14202"/>
    <cellStyle name="Comma 2 2 17 2 3 2 2" xfId="34085"/>
    <cellStyle name="Comma 2 2 17 2 3 3" xfId="20354"/>
    <cellStyle name="Comma 2 2 17 2 3 3 2" xfId="40237"/>
    <cellStyle name="Comma 2 2 17 2 3 4" xfId="27932"/>
    <cellStyle name="Comma 2 2 17 2 4" xfId="11136"/>
    <cellStyle name="Comma 2 2 17 2 4 2" xfId="31019"/>
    <cellStyle name="Comma 2 2 17 2 5" xfId="17288"/>
    <cellStyle name="Comma 2 2 17 2 5 2" xfId="37171"/>
    <cellStyle name="Comma 2 2 17 2 6" xfId="24866"/>
    <cellStyle name="Comma 2 2 17 3" xfId="5671"/>
    <cellStyle name="Comma 2 2 17 3 2" xfId="8774"/>
    <cellStyle name="Comma 2 2 17 3 2 2" xfId="14967"/>
    <cellStyle name="Comma 2 2 17 3 2 2 2" xfId="34850"/>
    <cellStyle name="Comma 2 2 17 3 2 3" xfId="21119"/>
    <cellStyle name="Comma 2 2 17 3 2 3 2" xfId="41002"/>
    <cellStyle name="Comma 2 2 17 3 2 4" xfId="28697"/>
    <cellStyle name="Comma 2 2 17 3 3" xfId="11901"/>
    <cellStyle name="Comma 2 2 17 3 3 2" xfId="31784"/>
    <cellStyle name="Comma 2 2 17 3 4" xfId="18053"/>
    <cellStyle name="Comma 2 2 17 3 4 2" xfId="37936"/>
    <cellStyle name="Comma 2 2 17 3 5" xfId="25631"/>
    <cellStyle name="Comma 2 2 17 4" xfId="7239"/>
    <cellStyle name="Comma 2 2 17 4 2" xfId="13433"/>
    <cellStyle name="Comma 2 2 17 4 2 2" xfId="33316"/>
    <cellStyle name="Comma 2 2 17 4 3" xfId="19585"/>
    <cellStyle name="Comma 2 2 17 4 3 2" xfId="39468"/>
    <cellStyle name="Comma 2 2 17 4 4" xfId="27163"/>
    <cellStyle name="Comma 2 2 17 5" xfId="10367"/>
    <cellStyle name="Comma 2 2 17 5 2" xfId="30250"/>
    <cellStyle name="Comma 2 2 17 6" xfId="16519"/>
    <cellStyle name="Comma 2 2 17 6 2" xfId="36402"/>
    <cellStyle name="Comma 2 2 17 7" xfId="24097"/>
    <cellStyle name="Comma 2 2 18" xfId="1617"/>
    <cellStyle name="Comma 2 2 19" xfId="23132"/>
    <cellStyle name="Comma 2 2 2" xfId="1618"/>
    <cellStyle name="Comma 2 2 2 2" xfId="1619"/>
    <cellStyle name="Comma 2 2 2 2 10" xfId="16520"/>
    <cellStyle name="Comma 2 2 2 2 10 2" xfId="36403"/>
    <cellStyle name="Comma 2 2 2 2 11" xfId="24098"/>
    <cellStyle name="Comma 2 2 2 2 2" xfId="1620"/>
    <cellStyle name="Comma 2 2 2 2 2 2" xfId="4834"/>
    <cellStyle name="Comma 2 2 2 2 2 2 2" xfId="6459"/>
    <cellStyle name="Comma 2 2 2 2 2 2 2 2" xfId="9545"/>
    <cellStyle name="Comma 2 2 2 2 2 2 2 2 2" xfId="15738"/>
    <cellStyle name="Comma 2 2 2 2 2 2 2 2 2 2" xfId="35621"/>
    <cellStyle name="Comma 2 2 2 2 2 2 2 2 3" xfId="21890"/>
    <cellStyle name="Comma 2 2 2 2 2 2 2 2 3 2" xfId="41773"/>
    <cellStyle name="Comma 2 2 2 2 2 2 2 2 4" xfId="29468"/>
    <cellStyle name="Comma 2 2 2 2 2 2 2 3" xfId="12672"/>
    <cellStyle name="Comma 2 2 2 2 2 2 2 3 2" xfId="32555"/>
    <cellStyle name="Comma 2 2 2 2 2 2 2 4" xfId="18824"/>
    <cellStyle name="Comma 2 2 2 2 2 2 2 4 2" xfId="38707"/>
    <cellStyle name="Comma 2 2 2 2 2 2 2 5" xfId="26402"/>
    <cellStyle name="Comma 2 2 2 2 2 2 3" xfId="8010"/>
    <cellStyle name="Comma 2 2 2 2 2 2 3 2" xfId="14204"/>
    <cellStyle name="Comma 2 2 2 2 2 2 3 2 2" xfId="34087"/>
    <cellStyle name="Comma 2 2 2 2 2 2 3 3" xfId="20356"/>
    <cellStyle name="Comma 2 2 2 2 2 2 3 3 2" xfId="40239"/>
    <cellStyle name="Comma 2 2 2 2 2 2 3 4" xfId="27934"/>
    <cellStyle name="Comma 2 2 2 2 2 2 4" xfId="11138"/>
    <cellStyle name="Comma 2 2 2 2 2 2 4 2" xfId="31021"/>
    <cellStyle name="Comma 2 2 2 2 2 2 5" xfId="17290"/>
    <cellStyle name="Comma 2 2 2 2 2 2 5 2" xfId="37173"/>
    <cellStyle name="Comma 2 2 2 2 2 2 6" xfId="24868"/>
    <cellStyle name="Comma 2 2 2 2 2 3" xfId="5673"/>
    <cellStyle name="Comma 2 2 2 2 2 3 2" xfId="8776"/>
    <cellStyle name="Comma 2 2 2 2 2 3 2 2" xfId="14969"/>
    <cellStyle name="Comma 2 2 2 2 2 3 2 2 2" xfId="34852"/>
    <cellStyle name="Comma 2 2 2 2 2 3 2 3" xfId="21121"/>
    <cellStyle name="Comma 2 2 2 2 2 3 2 3 2" xfId="41004"/>
    <cellStyle name="Comma 2 2 2 2 2 3 2 4" xfId="28699"/>
    <cellStyle name="Comma 2 2 2 2 2 3 3" xfId="11903"/>
    <cellStyle name="Comma 2 2 2 2 2 3 3 2" xfId="31786"/>
    <cellStyle name="Comma 2 2 2 2 2 3 4" xfId="18055"/>
    <cellStyle name="Comma 2 2 2 2 2 3 4 2" xfId="37938"/>
    <cellStyle name="Comma 2 2 2 2 2 3 5" xfId="25633"/>
    <cellStyle name="Comma 2 2 2 2 2 4" xfId="7241"/>
    <cellStyle name="Comma 2 2 2 2 2 4 2" xfId="13435"/>
    <cellStyle name="Comma 2 2 2 2 2 4 2 2" xfId="33318"/>
    <cellStyle name="Comma 2 2 2 2 2 4 3" xfId="19587"/>
    <cellStyle name="Comma 2 2 2 2 2 4 3 2" xfId="39470"/>
    <cellStyle name="Comma 2 2 2 2 2 4 4" xfId="27165"/>
    <cellStyle name="Comma 2 2 2 2 2 5" xfId="10369"/>
    <cellStyle name="Comma 2 2 2 2 2 5 2" xfId="30252"/>
    <cellStyle name="Comma 2 2 2 2 2 6" xfId="16521"/>
    <cellStyle name="Comma 2 2 2 2 2 6 2" xfId="36404"/>
    <cellStyle name="Comma 2 2 2 2 2 7" xfId="24099"/>
    <cellStyle name="Comma 2 2 2 2 3" xfId="1621"/>
    <cellStyle name="Comma 2 2 2 2 3 2" xfId="4835"/>
    <cellStyle name="Comma 2 2 2 2 3 2 2" xfId="6460"/>
    <cellStyle name="Comma 2 2 2 2 3 2 2 2" xfId="9546"/>
    <cellStyle name="Comma 2 2 2 2 3 2 2 2 2" xfId="15739"/>
    <cellStyle name="Comma 2 2 2 2 3 2 2 2 2 2" xfId="35622"/>
    <cellStyle name="Comma 2 2 2 2 3 2 2 2 3" xfId="21891"/>
    <cellStyle name="Comma 2 2 2 2 3 2 2 2 3 2" xfId="41774"/>
    <cellStyle name="Comma 2 2 2 2 3 2 2 2 4" xfId="29469"/>
    <cellStyle name="Comma 2 2 2 2 3 2 2 3" xfId="12673"/>
    <cellStyle name="Comma 2 2 2 2 3 2 2 3 2" xfId="32556"/>
    <cellStyle name="Comma 2 2 2 2 3 2 2 4" xfId="18825"/>
    <cellStyle name="Comma 2 2 2 2 3 2 2 4 2" xfId="38708"/>
    <cellStyle name="Comma 2 2 2 2 3 2 2 5" xfId="26403"/>
    <cellStyle name="Comma 2 2 2 2 3 2 3" xfId="8011"/>
    <cellStyle name="Comma 2 2 2 2 3 2 3 2" xfId="14205"/>
    <cellStyle name="Comma 2 2 2 2 3 2 3 2 2" xfId="34088"/>
    <cellStyle name="Comma 2 2 2 2 3 2 3 3" xfId="20357"/>
    <cellStyle name="Comma 2 2 2 2 3 2 3 3 2" xfId="40240"/>
    <cellStyle name="Comma 2 2 2 2 3 2 3 4" xfId="27935"/>
    <cellStyle name="Comma 2 2 2 2 3 2 4" xfId="11139"/>
    <cellStyle name="Comma 2 2 2 2 3 2 4 2" xfId="31022"/>
    <cellStyle name="Comma 2 2 2 2 3 2 5" xfId="17291"/>
    <cellStyle name="Comma 2 2 2 2 3 2 5 2" xfId="37174"/>
    <cellStyle name="Comma 2 2 2 2 3 2 6" xfId="24869"/>
    <cellStyle name="Comma 2 2 2 2 3 3" xfId="5674"/>
    <cellStyle name="Comma 2 2 2 2 3 3 2" xfId="8777"/>
    <cellStyle name="Comma 2 2 2 2 3 3 2 2" xfId="14970"/>
    <cellStyle name="Comma 2 2 2 2 3 3 2 2 2" xfId="34853"/>
    <cellStyle name="Comma 2 2 2 2 3 3 2 3" xfId="21122"/>
    <cellStyle name="Comma 2 2 2 2 3 3 2 3 2" xfId="41005"/>
    <cellStyle name="Comma 2 2 2 2 3 3 2 4" xfId="28700"/>
    <cellStyle name="Comma 2 2 2 2 3 3 3" xfId="11904"/>
    <cellStyle name="Comma 2 2 2 2 3 3 3 2" xfId="31787"/>
    <cellStyle name="Comma 2 2 2 2 3 3 4" xfId="18056"/>
    <cellStyle name="Comma 2 2 2 2 3 3 4 2" xfId="37939"/>
    <cellStyle name="Comma 2 2 2 2 3 3 5" xfId="25634"/>
    <cellStyle name="Comma 2 2 2 2 3 4" xfId="7242"/>
    <cellStyle name="Comma 2 2 2 2 3 4 2" xfId="13436"/>
    <cellStyle name="Comma 2 2 2 2 3 4 2 2" xfId="33319"/>
    <cellStyle name="Comma 2 2 2 2 3 4 3" xfId="19588"/>
    <cellStyle name="Comma 2 2 2 2 3 4 3 2" xfId="39471"/>
    <cellStyle name="Comma 2 2 2 2 3 4 4" xfId="27166"/>
    <cellStyle name="Comma 2 2 2 2 3 5" xfId="10370"/>
    <cellStyle name="Comma 2 2 2 2 3 5 2" xfId="30253"/>
    <cellStyle name="Comma 2 2 2 2 3 6" xfId="16522"/>
    <cellStyle name="Comma 2 2 2 2 3 6 2" xfId="36405"/>
    <cellStyle name="Comma 2 2 2 2 3 7" xfId="24100"/>
    <cellStyle name="Comma 2 2 2 2 4" xfId="1622"/>
    <cellStyle name="Comma 2 2 2 2 4 2" xfId="4836"/>
    <cellStyle name="Comma 2 2 2 2 4 2 2" xfId="6461"/>
    <cellStyle name="Comma 2 2 2 2 4 2 2 2" xfId="9547"/>
    <cellStyle name="Comma 2 2 2 2 4 2 2 2 2" xfId="15740"/>
    <cellStyle name="Comma 2 2 2 2 4 2 2 2 2 2" xfId="35623"/>
    <cellStyle name="Comma 2 2 2 2 4 2 2 2 3" xfId="21892"/>
    <cellStyle name="Comma 2 2 2 2 4 2 2 2 3 2" xfId="41775"/>
    <cellStyle name="Comma 2 2 2 2 4 2 2 2 4" xfId="29470"/>
    <cellStyle name="Comma 2 2 2 2 4 2 2 3" xfId="12674"/>
    <cellStyle name="Comma 2 2 2 2 4 2 2 3 2" xfId="32557"/>
    <cellStyle name="Comma 2 2 2 2 4 2 2 4" xfId="18826"/>
    <cellStyle name="Comma 2 2 2 2 4 2 2 4 2" xfId="38709"/>
    <cellStyle name="Comma 2 2 2 2 4 2 2 5" xfId="26404"/>
    <cellStyle name="Comma 2 2 2 2 4 2 3" xfId="8012"/>
    <cellStyle name="Comma 2 2 2 2 4 2 3 2" xfId="14206"/>
    <cellStyle name="Comma 2 2 2 2 4 2 3 2 2" xfId="34089"/>
    <cellStyle name="Comma 2 2 2 2 4 2 3 3" xfId="20358"/>
    <cellStyle name="Comma 2 2 2 2 4 2 3 3 2" xfId="40241"/>
    <cellStyle name="Comma 2 2 2 2 4 2 3 4" xfId="27936"/>
    <cellStyle name="Comma 2 2 2 2 4 2 4" xfId="11140"/>
    <cellStyle name="Comma 2 2 2 2 4 2 4 2" xfId="31023"/>
    <cellStyle name="Comma 2 2 2 2 4 2 5" xfId="17292"/>
    <cellStyle name="Comma 2 2 2 2 4 2 5 2" xfId="37175"/>
    <cellStyle name="Comma 2 2 2 2 4 2 6" xfId="24870"/>
    <cellStyle name="Comma 2 2 2 2 4 3" xfId="5675"/>
    <cellStyle name="Comma 2 2 2 2 4 3 2" xfId="8778"/>
    <cellStyle name="Comma 2 2 2 2 4 3 2 2" xfId="14971"/>
    <cellStyle name="Comma 2 2 2 2 4 3 2 2 2" xfId="34854"/>
    <cellStyle name="Comma 2 2 2 2 4 3 2 3" xfId="21123"/>
    <cellStyle name="Comma 2 2 2 2 4 3 2 3 2" xfId="41006"/>
    <cellStyle name="Comma 2 2 2 2 4 3 2 4" xfId="28701"/>
    <cellStyle name="Comma 2 2 2 2 4 3 3" xfId="11905"/>
    <cellStyle name="Comma 2 2 2 2 4 3 3 2" xfId="31788"/>
    <cellStyle name="Comma 2 2 2 2 4 3 4" xfId="18057"/>
    <cellStyle name="Comma 2 2 2 2 4 3 4 2" xfId="37940"/>
    <cellStyle name="Comma 2 2 2 2 4 3 5" xfId="25635"/>
    <cellStyle name="Comma 2 2 2 2 4 4" xfId="7243"/>
    <cellStyle name="Comma 2 2 2 2 4 4 2" xfId="13437"/>
    <cellStyle name="Comma 2 2 2 2 4 4 2 2" xfId="33320"/>
    <cellStyle name="Comma 2 2 2 2 4 4 3" xfId="19589"/>
    <cellStyle name="Comma 2 2 2 2 4 4 3 2" xfId="39472"/>
    <cellStyle name="Comma 2 2 2 2 4 4 4" xfId="27167"/>
    <cellStyle name="Comma 2 2 2 2 4 5" xfId="10371"/>
    <cellStyle name="Comma 2 2 2 2 4 5 2" xfId="30254"/>
    <cellStyle name="Comma 2 2 2 2 4 6" xfId="16523"/>
    <cellStyle name="Comma 2 2 2 2 4 6 2" xfId="36406"/>
    <cellStyle name="Comma 2 2 2 2 4 7" xfId="24101"/>
    <cellStyle name="Comma 2 2 2 2 5" xfId="1623"/>
    <cellStyle name="Comma 2 2 2 2 5 2" xfId="4837"/>
    <cellStyle name="Comma 2 2 2 2 5 2 2" xfId="6462"/>
    <cellStyle name="Comma 2 2 2 2 5 2 2 2" xfId="9548"/>
    <cellStyle name="Comma 2 2 2 2 5 2 2 2 2" xfId="15741"/>
    <cellStyle name="Comma 2 2 2 2 5 2 2 2 2 2" xfId="35624"/>
    <cellStyle name="Comma 2 2 2 2 5 2 2 2 3" xfId="21893"/>
    <cellStyle name="Comma 2 2 2 2 5 2 2 2 3 2" xfId="41776"/>
    <cellStyle name="Comma 2 2 2 2 5 2 2 2 4" xfId="29471"/>
    <cellStyle name="Comma 2 2 2 2 5 2 2 3" xfId="12675"/>
    <cellStyle name="Comma 2 2 2 2 5 2 2 3 2" xfId="32558"/>
    <cellStyle name="Comma 2 2 2 2 5 2 2 4" xfId="18827"/>
    <cellStyle name="Comma 2 2 2 2 5 2 2 4 2" xfId="38710"/>
    <cellStyle name="Comma 2 2 2 2 5 2 2 5" xfId="26405"/>
    <cellStyle name="Comma 2 2 2 2 5 2 3" xfId="8013"/>
    <cellStyle name="Comma 2 2 2 2 5 2 3 2" xfId="14207"/>
    <cellStyle name="Comma 2 2 2 2 5 2 3 2 2" xfId="34090"/>
    <cellStyle name="Comma 2 2 2 2 5 2 3 3" xfId="20359"/>
    <cellStyle name="Comma 2 2 2 2 5 2 3 3 2" xfId="40242"/>
    <cellStyle name="Comma 2 2 2 2 5 2 3 4" xfId="27937"/>
    <cellStyle name="Comma 2 2 2 2 5 2 4" xfId="11141"/>
    <cellStyle name="Comma 2 2 2 2 5 2 4 2" xfId="31024"/>
    <cellStyle name="Comma 2 2 2 2 5 2 5" xfId="17293"/>
    <cellStyle name="Comma 2 2 2 2 5 2 5 2" xfId="37176"/>
    <cellStyle name="Comma 2 2 2 2 5 2 6" xfId="24871"/>
    <cellStyle name="Comma 2 2 2 2 5 3" xfId="5676"/>
    <cellStyle name="Comma 2 2 2 2 5 3 2" xfId="8779"/>
    <cellStyle name="Comma 2 2 2 2 5 3 2 2" xfId="14972"/>
    <cellStyle name="Comma 2 2 2 2 5 3 2 2 2" xfId="34855"/>
    <cellStyle name="Comma 2 2 2 2 5 3 2 3" xfId="21124"/>
    <cellStyle name="Comma 2 2 2 2 5 3 2 3 2" xfId="41007"/>
    <cellStyle name="Comma 2 2 2 2 5 3 2 4" xfId="28702"/>
    <cellStyle name="Comma 2 2 2 2 5 3 3" xfId="11906"/>
    <cellStyle name="Comma 2 2 2 2 5 3 3 2" xfId="31789"/>
    <cellStyle name="Comma 2 2 2 2 5 3 4" xfId="18058"/>
    <cellStyle name="Comma 2 2 2 2 5 3 4 2" xfId="37941"/>
    <cellStyle name="Comma 2 2 2 2 5 3 5" xfId="25636"/>
    <cellStyle name="Comma 2 2 2 2 5 4" xfId="7244"/>
    <cellStyle name="Comma 2 2 2 2 5 4 2" xfId="13438"/>
    <cellStyle name="Comma 2 2 2 2 5 4 2 2" xfId="33321"/>
    <cellStyle name="Comma 2 2 2 2 5 4 3" xfId="19590"/>
    <cellStyle name="Comma 2 2 2 2 5 4 3 2" xfId="39473"/>
    <cellStyle name="Comma 2 2 2 2 5 4 4" xfId="27168"/>
    <cellStyle name="Comma 2 2 2 2 5 5" xfId="10372"/>
    <cellStyle name="Comma 2 2 2 2 5 5 2" xfId="30255"/>
    <cellStyle name="Comma 2 2 2 2 5 6" xfId="16524"/>
    <cellStyle name="Comma 2 2 2 2 5 6 2" xfId="36407"/>
    <cellStyle name="Comma 2 2 2 2 5 7" xfId="24102"/>
    <cellStyle name="Comma 2 2 2 2 6" xfId="4833"/>
    <cellStyle name="Comma 2 2 2 2 6 2" xfId="6458"/>
    <cellStyle name="Comma 2 2 2 2 6 2 2" xfId="9544"/>
    <cellStyle name="Comma 2 2 2 2 6 2 2 2" xfId="15737"/>
    <cellStyle name="Comma 2 2 2 2 6 2 2 2 2" xfId="35620"/>
    <cellStyle name="Comma 2 2 2 2 6 2 2 3" xfId="21889"/>
    <cellStyle name="Comma 2 2 2 2 6 2 2 3 2" xfId="41772"/>
    <cellStyle name="Comma 2 2 2 2 6 2 2 4" xfId="29467"/>
    <cellStyle name="Comma 2 2 2 2 6 2 3" xfId="12671"/>
    <cellStyle name="Comma 2 2 2 2 6 2 3 2" xfId="32554"/>
    <cellStyle name="Comma 2 2 2 2 6 2 4" xfId="18823"/>
    <cellStyle name="Comma 2 2 2 2 6 2 4 2" xfId="38706"/>
    <cellStyle name="Comma 2 2 2 2 6 2 5" xfId="26401"/>
    <cellStyle name="Comma 2 2 2 2 6 3" xfId="8009"/>
    <cellStyle name="Comma 2 2 2 2 6 3 2" xfId="14203"/>
    <cellStyle name="Comma 2 2 2 2 6 3 2 2" xfId="34086"/>
    <cellStyle name="Comma 2 2 2 2 6 3 3" xfId="20355"/>
    <cellStyle name="Comma 2 2 2 2 6 3 3 2" xfId="40238"/>
    <cellStyle name="Comma 2 2 2 2 6 3 4" xfId="27933"/>
    <cellStyle name="Comma 2 2 2 2 6 4" xfId="11137"/>
    <cellStyle name="Comma 2 2 2 2 6 4 2" xfId="31020"/>
    <cellStyle name="Comma 2 2 2 2 6 5" xfId="17289"/>
    <cellStyle name="Comma 2 2 2 2 6 5 2" xfId="37172"/>
    <cellStyle name="Comma 2 2 2 2 6 6" xfId="24867"/>
    <cellStyle name="Comma 2 2 2 2 7" xfId="5672"/>
    <cellStyle name="Comma 2 2 2 2 7 2" xfId="8775"/>
    <cellStyle name="Comma 2 2 2 2 7 2 2" xfId="14968"/>
    <cellStyle name="Comma 2 2 2 2 7 2 2 2" xfId="34851"/>
    <cellStyle name="Comma 2 2 2 2 7 2 3" xfId="21120"/>
    <cellStyle name="Comma 2 2 2 2 7 2 3 2" xfId="41003"/>
    <cellStyle name="Comma 2 2 2 2 7 2 4" xfId="28698"/>
    <cellStyle name="Comma 2 2 2 2 7 3" xfId="11902"/>
    <cellStyle name="Comma 2 2 2 2 7 3 2" xfId="31785"/>
    <cellStyle name="Comma 2 2 2 2 7 4" xfId="18054"/>
    <cellStyle name="Comma 2 2 2 2 7 4 2" xfId="37937"/>
    <cellStyle name="Comma 2 2 2 2 7 5" xfId="25632"/>
    <cellStyle name="Comma 2 2 2 2 8" xfId="7240"/>
    <cellStyle name="Comma 2 2 2 2 8 2" xfId="13434"/>
    <cellStyle name="Comma 2 2 2 2 8 2 2" xfId="33317"/>
    <cellStyle name="Comma 2 2 2 2 8 3" xfId="19586"/>
    <cellStyle name="Comma 2 2 2 2 8 3 2" xfId="39469"/>
    <cellStyle name="Comma 2 2 2 2 8 4" xfId="27164"/>
    <cellStyle name="Comma 2 2 2 2 9" xfId="10368"/>
    <cellStyle name="Comma 2 2 2 2 9 2" xfId="30251"/>
    <cellStyle name="Comma 2 2 2 3" xfId="1624"/>
    <cellStyle name="Comma 2 2 2 3 2" xfId="4838"/>
    <cellStyle name="Comma 2 2 2 3 2 2" xfId="6463"/>
    <cellStyle name="Comma 2 2 2 3 2 2 2" xfId="9549"/>
    <cellStyle name="Comma 2 2 2 3 2 2 2 2" xfId="15742"/>
    <cellStyle name="Comma 2 2 2 3 2 2 2 2 2" xfId="35625"/>
    <cellStyle name="Comma 2 2 2 3 2 2 2 3" xfId="21894"/>
    <cellStyle name="Comma 2 2 2 3 2 2 2 3 2" xfId="41777"/>
    <cellStyle name="Comma 2 2 2 3 2 2 2 4" xfId="29472"/>
    <cellStyle name="Comma 2 2 2 3 2 2 3" xfId="12676"/>
    <cellStyle name="Comma 2 2 2 3 2 2 3 2" xfId="32559"/>
    <cellStyle name="Comma 2 2 2 3 2 2 4" xfId="18828"/>
    <cellStyle name="Comma 2 2 2 3 2 2 4 2" xfId="38711"/>
    <cellStyle name="Comma 2 2 2 3 2 2 5" xfId="26406"/>
    <cellStyle name="Comma 2 2 2 3 2 3" xfId="8014"/>
    <cellStyle name="Comma 2 2 2 3 2 3 2" xfId="14208"/>
    <cellStyle name="Comma 2 2 2 3 2 3 2 2" xfId="34091"/>
    <cellStyle name="Comma 2 2 2 3 2 3 3" xfId="20360"/>
    <cellStyle name="Comma 2 2 2 3 2 3 3 2" xfId="40243"/>
    <cellStyle name="Comma 2 2 2 3 2 3 4" xfId="27938"/>
    <cellStyle name="Comma 2 2 2 3 2 4" xfId="11142"/>
    <cellStyle name="Comma 2 2 2 3 2 4 2" xfId="31025"/>
    <cellStyle name="Comma 2 2 2 3 2 5" xfId="17294"/>
    <cellStyle name="Comma 2 2 2 3 2 5 2" xfId="37177"/>
    <cellStyle name="Comma 2 2 2 3 2 6" xfId="24872"/>
    <cellStyle name="Comma 2 2 2 3 3" xfId="5677"/>
    <cellStyle name="Comma 2 2 2 3 3 2" xfId="8780"/>
    <cellStyle name="Comma 2 2 2 3 3 2 2" xfId="14973"/>
    <cellStyle name="Comma 2 2 2 3 3 2 2 2" xfId="34856"/>
    <cellStyle name="Comma 2 2 2 3 3 2 3" xfId="21125"/>
    <cellStyle name="Comma 2 2 2 3 3 2 3 2" xfId="41008"/>
    <cellStyle name="Comma 2 2 2 3 3 2 4" xfId="28703"/>
    <cellStyle name="Comma 2 2 2 3 3 3" xfId="11907"/>
    <cellStyle name="Comma 2 2 2 3 3 3 2" xfId="31790"/>
    <cellStyle name="Comma 2 2 2 3 3 4" xfId="18059"/>
    <cellStyle name="Comma 2 2 2 3 3 4 2" xfId="37942"/>
    <cellStyle name="Comma 2 2 2 3 3 5" xfId="25637"/>
    <cellStyle name="Comma 2 2 2 3 4" xfId="7245"/>
    <cellStyle name="Comma 2 2 2 3 4 2" xfId="13439"/>
    <cellStyle name="Comma 2 2 2 3 4 2 2" xfId="33322"/>
    <cellStyle name="Comma 2 2 2 3 4 3" xfId="19591"/>
    <cellStyle name="Comma 2 2 2 3 4 3 2" xfId="39474"/>
    <cellStyle name="Comma 2 2 2 3 4 4" xfId="27169"/>
    <cellStyle name="Comma 2 2 2 3 5" xfId="10373"/>
    <cellStyle name="Comma 2 2 2 3 5 2" xfId="30256"/>
    <cellStyle name="Comma 2 2 2 3 6" xfId="16525"/>
    <cellStyle name="Comma 2 2 2 3 6 2" xfId="36408"/>
    <cellStyle name="Comma 2 2 2 3 7" xfId="24103"/>
    <cellStyle name="Comma 2 2 2 4" xfId="1625"/>
    <cellStyle name="Comma 2 2 2 4 2" xfId="4839"/>
    <cellStyle name="Comma 2 2 2 4 2 2" xfId="6464"/>
    <cellStyle name="Comma 2 2 2 4 2 2 2" xfId="9550"/>
    <cellStyle name="Comma 2 2 2 4 2 2 2 2" xfId="15743"/>
    <cellStyle name="Comma 2 2 2 4 2 2 2 2 2" xfId="35626"/>
    <cellStyle name="Comma 2 2 2 4 2 2 2 3" xfId="21895"/>
    <cellStyle name="Comma 2 2 2 4 2 2 2 3 2" xfId="41778"/>
    <cellStyle name="Comma 2 2 2 4 2 2 2 4" xfId="29473"/>
    <cellStyle name="Comma 2 2 2 4 2 2 3" xfId="12677"/>
    <cellStyle name="Comma 2 2 2 4 2 2 3 2" xfId="32560"/>
    <cellStyle name="Comma 2 2 2 4 2 2 4" xfId="18829"/>
    <cellStyle name="Comma 2 2 2 4 2 2 4 2" xfId="38712"/>
    <cellStyle name="Comma 2 2 2 4 2 2 5" xfId="26407"/>
    <cellStyle name="Comma 2 2 2 4 2 3" xfId="8015"/>
    <cellStyle name="Comma 2 2 2 4 2 3 2" xfId="14209"/>
    <cellStyle name="Comma 2 2 2 4 2 3 2 2" xfId="34092"/>
    <cellStyle name="Comma 2 2 2 4 2 3 3" xfId="20361"/>
    <cellStyle name="Comma 2 2 2 4 2 3 3 2" xfId="40244"/>
    <cellStyle name="Comma 2 2 2 4 2 3 4" xfId="27939"/>
    <cellStyle name="Comma 2 2 2 4 2 4" xfId="11143"/>
    <cellStyle name="Comma 2 2 2 4 2 4 2" xfId="31026"/>
    <cellStyle name="Comma 2 2 2 4 2 5" xfId="17295"/>
    <cellStyle name="Comma 2 2 2 4 2 5 2" xfId="37178"/>
    <cellStyle name="Comma 2 2 2 4 2 6" xfId="24873"/>
    <cellStyle name="Comma 2 2 2 4 3" xfId="5678"/>
    <cellStyle name="Comma 2 2 2 4 3 2" xfId="8781"/>
    <cellStyle name="Comma 2 2 2 4 3 2 2" xfId="14974"/>
    <cellStyle name="Comma 2 2 2 4 3 2 2 2" xfId="34857"/>
    <cellStyle name="Comma 2 2 2 4 3 2 3" xfId="21126"/>
    <cellStyle name="Comma 2 2 2 4 3 2 3 2" xfId="41009"/>
    <cellStyle name="Comma 2 2 2 4 3 2 4" xfId="28704"/>
    <cellStyle name="Comma 2 2 2 4 3 3" xfId="11908"/>
    <cellStyle name="Comma 2 2 2 4 3 3 2" xfId="31791"/>
    <cellStyle name="Comma 2 2 2 4 3 4" xfId="18060"/>
    <cellStyle name="Comma 2 2 2 4 3 4 2" xfId="37943"/>
    <cellStyle name="Comma 2 2 2 4 3 5" xfId="25638"/>
    <cellStyle name="Comma 2 2 2 4 4" xfId="7246"/>
    <cellStyle name="Comma 2 2 2 4 4 2" xfId="13440"/>
    <cellStyle name="Comma 2 2 2 4 4 2 2" xfId="33323"/>
    <cellStyle name="Comma 2 2 2 4 4 3" xfId="19592"/>
    <cellStyle name="Comma 2 2 2 4 4 3 2" xfId="39475"/>
    <cellStyle name="Comma 2 2 2 4 4 4" xfId="27170"/>
    <cellStyle name="Comma 2 2 2 4 5" xfId="10374"/>
    <cellStyle name="Comma 2 2 2 4 5 2" xfId="30257"/>
    <cellStyle name="Comma 2 2 2 4 6" xfId="16526"/>
    <cellStyle name="Comma 2 2 2 4 6 2" xfId="36409"/>
    <cellStyle name="Comma 2 2 2 4 7" xfId="24104"/>
    <cellStyle name="Comma 2 2 2 5" xfId="1626"/>
    <cellStyle name="Comma 2 2 2 5 2" xfId="4840"/>
    <cellStyle name="Comma 2 2 2 5 2 2" xfId="6465"/>
    <cellStyle name="Comma 2 2 2 5 2 2 2" xfId="9551"/>
    <cellStyle name="Comma 2 2 2 5 2 2 2 2" xfId="15744"/>
    <cellStyle name="Comma 2 2 2 5 2 2 2 2 2" xfId="35627"/>
    <cellStyle name="Comma 2 2 2 5 2 2 2 3" xfId="21896"/>
    <cellStyle name="Comma 2 2 2 5 2 2 2 3 2" xfId="41779"/>
    <cellStyle name="Comma 2 2 2 5 2 2 2 4" xfId="29474"/>
    <cellStyle name="Comma 2 2 2 5 2 2 3" xfId="12678"/>
    <cellStyle name="Comma 2 2 2 5 2 2 3 2" xfId="32561"/>
    <cellStyle name="Comma 2 2 2 5 2 2 4" xfId="18830"/>
    <cellStyle name="Comma 2 2 2 5 2 2 4 2" xfId="38713"/>
    <cellStyle name="Comma 2 2 2 5 2 2 5" xfId="26408"/>
    <cellStyle name="Comma 2 2 2 5 2 3" xfId="8016"/>
    <cellStyle name="Comma 2 2 2 5 2 3 2" xfId="14210"/>
    <cellStyle name="Comma 2 2 2 5 2 3 2 2" xfId="34093"/>
    <cellStyle name="Comma 2 2 2 5 2 3 3" xfId="20362"/>
    <cellStyle name="Comma 2 2 2 5 2 3 3 2" xfId="40245"/>
    <cellStyle name="Comma 2 2 2 5 2 3 4" xfId="27940"/>
    <cellStyle name="Comma 2 2 2 5 2 4" xfId="11144"/>
    <cellStyle name="Comma 2 2 2 5 2 4 2" xfId="31027"/>
    <cellStyle name="Comma 2 2 2 5 2 5" xfId="17296"/>
    <cellStyle name="Comma 2 2 2 5 2 5 2" xfId="37179"/>
    <cellStyle name="Comma 2 2 2 5 2 6" xfId="24874"/>
    <cellStyle name="Comma 2 2 2 5 3" xfId="5679"/>
    <cellStyle name="Comma 2 2 2 5 3 2" xfId="8782"/>
    <cellStyle name="Comma 2 2 2 5 3 2 2" xfId="14975"/>
    <cellStyle name="Comma 2 2 2 5 3 2 2 2" xfId="34858"/>
    <cellStyle name="Comma 2 2 2 5 3 2 3" xfId="21127"/>
    <cellStyle name="Comma 2 2 2 5 3 2 3 2" xfId="41010"/>
    <cellStyle name="Comma 2 2 2 5 3 2 4" xfId="28705"/>
    <cellStyle name="Comma 2 2 2 5 3 3" xfId="11909"/>
    <cellStyle name="Comma 2 2 2 5 3 3 2" xfId="31792"/>
    <cellStyle name="Comma 2 2 2 5 3 4" xfId="18061"/>
    <cellStyle name="Comma 2 2 2 5 3 4 2" xfId="37944"/>
    <cellStyle name="Comma 2 2 2 5 3 5" xfId="25639"/>
    <cellStyle name="Comma 2 2 2 5 4" xfId="7247"/>
    <cellStyle name="Comma 2 2 2 5 4 2" xfId="13441"/>
    <cellStyle name="Comma 2 2 2 5 4 2 2" xfId="33324"/>
    <cellStyle name="Comma 2 2 2 5 4 3" xfId="19593"/>
    <cellStyle name="Comma 2 2 2 5 4 3 2" xfId="39476"/>
    <cellStyle name="Comma 2 2 2 5 4 4" xfId="27171"/>
    <cellStyle name="Comma 2 2 2 5 5" xfId="10375"/>
    <cellStyle name="Comma 2 2 2 5 5 2" xfId="30258"/>
    <cellStyle name="Comma 2 2 2 5 6" xfId="16527"/>
    <cellStyle name="Comma 2 2 2 5 6 2" xfId="36410"/>
    <cellStyle name="Comma 2 2 2 5 7" xfId="24105"/>
    <cellStyle name="Comma 2 2 2 6" xfId="1627"/>
    <cellStyle name="Comma 2 2 2 6 2" xfId="4841"/>
    <cellStyle name="Comma 2 2 2 6 2 2" xfId="6466"/>
    <cellStyle name="Comma 2 2 2 6 2 2 2" xfId="9552"/>
    <cellStyle name="Comma 2 2 2 6 2 2 2 2" xfId="15745"/>
    <cellStyle name="Comma 2 2 2 6 2 2 2 2 2" xfId="35628"/>
    <cellStyle name="Comma 2 2 2 6 2 2 2 3" xfId="21897"/>
    <cellStyle name="Comma 2 2 2 6 2 2 2 3 2" xfId="41780"/>
    <cellStyle name="Comma 2 2 2 6 2 2 2 4" xfId="29475"/>
    <cellStyle name="Comma 2 2 2 6 2 2 3" xfId="12679"/>
    <cellStyle name="Comma 2 2 2 6 2 2 3 2" xfId="32562"/>
    <cellStyle name="Comma 2 2 2 6 2 2 4" xfId="18831"/>
    <cellStyle name="Comma 2 2 2 6 2 2 4 2" xfId="38714"/>
    <cellStyle name="Comma 2 2 2 6 2 2 5" xfId="26409"/>
    <cellStyle name="Comma 2 2 2 6 2 3" xfId="8017"/>
    <cellStyle name="Comma 2 2 2 6 2 3 2" xfId="14211"/>
    <cellStyle name="Comma 2 2 2 6 2 3 2 2" xfId="34094"/>
    <cellStyle name="Comma 2 2 2 6 2 3 3" xfId="20363"/>
    <cellStyle name="Comma 2 2 2 6 2 3 3 2" xfId="40246"/>
    <cellStyle name="Comma 2 2 2 6 2 3 4" xfId="27941"/>
    <cellStyle name="Comma 2 2 2 6 2 4" xfId="11145"/>
    <cellStyle name="Comma 2 2 2 6 2 4 2" xfId="31028"/>
    <cellStyle name="Comma 2 2 2 6 2 5" xfId="17297"/>
    <cellStyle name="Comma 2 2 2 6 2 5 2" xfId="37180"/>
    <cellStyle name="Comma 2 2 2 6 2 6" xfId="24875"/>
    <cellStyle name="Comma 2 2 2 6 3" xfId="5680"/>
    <cellStyle name="Comma 2 2 2 6 3 2" xfId="8783"/>
    <cellStyle name="Comma 2 2 2 6 3 2 2" xfId="14976"/>
    <cellStyle name="Comma 2 2 2 6 3 2 2 2" xfId="34859"/>
    <cellStyle name="Comma 2 2 2 6 3 2 3" xfId="21128"/>
    <cellStyle name="Comma 2 2 2 6 3 2 3 2" xfId="41011"/>
    <cellStyle name="Comma 2 2 2 6 3 2 4" xfId="28706"/>
    <cellStyle name="Comma 2 2 2 6 3 3" xfId="11910"/>
    <cellStyle name="Comma 2 2 2 6 3 3 2" xfId="31793"/>
    <cellStyle name="Comma 2 2 2 6 3 4" xfId="18062"/>
    <cellStyle name="Comma 2 2 2 6 3 4 2" xfId="37945"/>
    <cellStyle name="Comma 2 2 2 6 3 5" xfId="25640"/>
    <cellStyle name="Comma 2 2 2 6 4" xfId="7248"/>
    <cellStyle name="Comma 2 2 2 6 4 2" xfId="13442"/>
    <cellStyle name="Comma 2 2 2 6 4 2 2" xfId="33325"/>
    <cellStyle name="Comma 2 2 2 6 4 3" xfId="19594"/>
    <cellStyle name="Comma 2 2 2 6 4 3 2" xfId="39477"/>
    <cellStyle name="Comma 2 2 2 6 4 4" xfId="27172"/>
    <cellStyle name="Comma 2 2 2 6 5" xfId="10376"/>
    <cellStyle name="Comma 2 2 2 6 5 2" xfId="30259"/>
    <cellStyle name="Comma 2 2 2 6 6" xfId="16528"/>
    <cellStyle name="Comma 2 2 2 6 6 2" xfId="36411"/>
    <cellStyle name="Comma 2 2 2 6 7" xfId="24106"/>
    <cellStyle name="Comma 2 2 2 7" xfId="1628"/>
    <cellStyle name="Comma 2 2 2 8" xfId="1629"/>
    <cellStyle name="Comma 2 2 2 9" xfId="23133"/>
    <cellStyle name="Comma 2 2 2 9 2" xfId="42993"/>
    <cellStyle name="Comma 2 2 3" xfId="1630"/>
    <cellStyle name="Comma 2 2 3 10" xfId="16529"/>
    <cellStyle name="Comma 2 2 3 10 2" xfId="36412"/>
    <cellStyle name="Comma 2 2 3 11" xfId="23134"/>
    <cellStyle name="Comma 2 2 3 11 2" xfId="42994"/>
    <cellStyle name="Comma 2 2 3 12" xfId="24107"/>
    <cellStyle name="Comma 2 2 3 2" xfId="1631"/>
    <cellStyle name="Comma 2 2 3 2 2" xfId="1632"/>
    <cellStyle name="Comma 2 2 3 2 2 2" xfId="4843"/>
    <cellStyle name="Comma 2 2 3 2 2 2 2" xfId="6468"/>
    <cellStyle name="Comma 2 2 3 2 2 2 2 2" xfId="9554"/>
    <cellStyle name="Comma 2 2 3 2 2 2 2 2 2" xfId="15747"/>
    <cellStyle name="Comma 2 2 3 2 2 2 2 2 2 2" xfId="35630"/>
    <cellStyle name="Comma 2 2 3 2 2 2 2 2 3" xfId="21899"/>
    <cellStyle name="Comma 2 2 3 2 2 2 2 2 3 2" xfId="41782"/>
    <cellStyle name="Comma 2 2 3 2 2 2 2 2 4" xfId="29477"/>
    <cellStyle name="Comma 2 2 3 2 2 2 2 3" xfId="12681"/>
    <cellStyle name="Comma 2 2 3 2 2 2 2 3 2" xfId="32564"/>
    <cellStyle name="Comma 2 2 3 2 2 2 2 4" xfId="18833"/>
    <cellStyle name="Comma 2 2 3 2 2 2 2 4 2" xfId="38716"/>
    <cellStyle name="Comma 2 2 3 2 2 2 2 5" xfId="26411"/>
    <cellStyle name="Comma 2 2 3 2 2 2 3" xfId="8019"/>
    <cellStyle name="Comma 2 2 3 2 2 2 3 2" xfId="14213"/>
    <cellStyle name="Comma 2 2 3 2 2 2 3 2 2" xfId="34096"/>
    <cellStyle name="Comma 2 2 3 2 2 2 3 3" xfId="20365"/>
    <cellStyle name="Comma 2 2 3 2 2 2 3 3 2" xfId="40248"/>
    <cellStyle name="Comma 2 2 3 2 2 2 3 4" xfId="27943"/>
    <cellStyle name="Comma 2 2 3 2 2 2 4" xfId="11147"/>
    <cellStyle name="Comma 2 2 3 2 2 2 4 2" xfId="31030"/>
    <cellStyle name="Comma 2 2 3 2 2 2 5" xfId="17299"/>
    <cellStyle name="Comma 2 2 3 2 2 2 5 2" xfId="37182"/>
    <cellStyle name="Comma 2 2 3 2 2 2 6" xfId="24877"/>
    <cellStyle name="Comma 2 2 3 2 2 3" xfId="5682"/>
    <cellStyle name="Comma 2 2 3 2 2 3 2" xfId="8785"/>
    <cellStyle name="Comma 2 2 3 2 2 3 2 2" xfId="14978"/>
    <cellStyle name="Comma 2 2 3 2 2 3 2 2 2" xfId="34861"/>
    <cellStyle name="Comma 2 2 3 2 2 3 2 3" xfId="21130"/>
    <cellStyle name="Comma 2 2 3 2 2 3 2 3 2" xfId="41013"/>
    <cellStyle name="Comma 2 2 3 2 2 3 2 4" xfId="28708"/>
    <cellStyle name="Comma 2 2 3 2 2 3 3" xfId="11912"/>
    <cellStyle name="Comma 2 2 3 2 2 3 3 2" xfId="31795"/>
    <cellStyle name="Comma 2 2 3 2 2 3 4" xfId="18064"/>
    <cellStyle name="Comma 2 2 3 2 2 3 4 2" xfId="37947"/>
    <cellStyle name="Comma 2 2 3 2 2 3 5" xfId="25642"/>
    <cellStyle name="Comma 2 2 3 2 2 4" xfId="7250"/>
    <cellStyle name="Comma 2 2 3 2 2 4 2" xfId="13444"/>
    <cellStyle name="Comma 2 2 3 2 2 4 2 2" xfId="33327"/>
    <cellStyle name="Comma 2 2 3 2 2 4 3" xfId="19596"/>
    <cellStyle name="Comma 2 2 3 2 2 4 3 2" xfId="39479"/>
    <cellStyle name="Comma 2 2 3 2 2 4 4" xfId="27174"/>
    <cellStyle name="Comma 2 2 3 2 2 5" xfId="10378"/>
    <cellStyle name="Comma 2 2 3 2 2 5 2" xfId="30261"/>
    <cellStyle name="Comma 2 2 3 2 2 6" xfId="16530"/>
    <cellStyle name="Comma 2 2 3 2 2 6 2" xfId="36413"/>
    <cellStyle name="Comma 2 2 3 2 2 7" xfId="24108"/>
    <cellStyle name="Comma 2 2 3 2 3" xfId="1633"/>
    <cellStyle name="Comma 2 2 3 2 3 2" xfId="4844"/>
    <cellStyle name="Comma 2 2 3 2 3 2 2" xfId="6469"/>
    <cellStyle name="Comma 2 2 3 2 3 2 2 2" xfId="9555"/>
    <cellStyle name="Comma 2 2 3 2 3 2 2 2 2" xfId="15748"/>
    <cellStyle name="Comma 2 2 3 2 3 2 2 2 2 2" xfId="35631"/>
    <cellStyle name="Comma 2 2 3 2 3 2 2 2 3" xfId="21900"/>
    <cellStyle name="Comma 2 2 3 2 3 2 2 2 3 2" xfId="41783"/>
    <cellStyle name="Comma 2 2 3 2 3 2 2 2 4" xfId="29478"/>
    <cellStyle name="Comma 2 2 3 2 3 2 2 3" xfId="12682"/>
    <cellStyle name="Comma 2 2 3 2 3 2 2 3 2" xfId="32565"/>
    <cellStyle name="Comma 2 2 3 2 3 2 2 4" xfId="18834"/>
    <cellStyle name="Comma 2 2 3 2 3 2 2 4 2" xfId="38717"/>
    <cellStyle name="Comma 2 2 3 2 3 2 2 5" xfId="26412"/>
    <cellStyle name="Comma 2 2 3 2 3 2 3" xfId="8020"/>
    <cellStyle name="Comma 2 2 3 2 3 2 3 2" xfId="14214"/>
    <cellStyle name="Comma 2 2 3 2 3 2 3 2 2" xfId="34097"/>
    <cellStyle name="Comma 2 2 3 2 3 2 3 3" xfId="20366"/>
    <cellStyle name="Comma 2 2 3 2 3 2 3 3 2" xfId="40249"/>
    <cellStyle name="Comma 2 2 3 2 3 2 3 4" xfId="27944"/>
    <cellStyle name="Comma 2 2 3 2 3 2 4" xfId="11148"/>
    <cellStyle name="Comma 2 2 3 2 3 2 4 2" xfId="31031"/>
    <cellStyle name="Comma 2 2 3 2 3 2 5" xfId="17300"/>
    <cellStyle name="Comma 2 2 3 2 3 2 5 2" xfId="37183"/>
    <cellStyle name="Comma 2 2 3 2 3 2 6" xfId="24878"/>
    <cellStyle name="Comma 2 2 3 2 3 3" xfId="5683"/>
    <cellStyle name="Comma 2 2 3 2 3 3 2" xfId="8786"/>
    <cellStyle name="Comma 2 2 3 2 3 3 2 2" xfId="14979"/>
    <cellStyle name="Comma 2 2 3 2 3 3 2 2 2" xfId="34862"/>
    <cellStyle name="Comma 2 2 3 2 3 3 2 3" xfId="21131"/>
    <cellStyle name="Comma 2 2 3 2 3 3 2 3 2" xfId="41014"/>
    <cellStyle name="Comma 2 2 3 2 3 3 2 4" xfId="28709"/>
    <cellStyle name="Comma 2 2 3 2 3 3 3" xfId="11913"/>
    <cellStyle name="Comma 2 2 3 2 3 3 3 2" xfId="31796"/>
    <cellStyle name="Comma 2 2 3 2 3 3 4" xfId="18065"/>
    <cellStyle name="Comma 2 2 3 2 3 3 4 2" xfId="37948"/>
    <cellStyle name="Comma 2 2 3 2 3 3 5" xfId="25643"/>
    <cellStyle name="Comma 2 2 3 2 3 4" xfId="7251"/>
    <cellStyle name="Comma 2 2 3 2 3 4 2" xfId="13445"/>
    <cellStyle name="Comma 2 2 3 2 3 4 2 2" xfId="33328"/>
    <cellStyle name="Comma 2 2 3 2 3 4 3" xfId="19597"/>
    <cellStyle name="Comma 2 2 3 2 3 4 3 2" xfId="39480"/>
    <cellStyle name="Comma 2 2 3 2 3 4 4" xfId="27175"/>
    <cellStyle name="Comma 2 2 3 2 3 5" xfId="10379"/>
    <cellStyle name="Comma 2 2 3 2 3 5 2" xfId="30262"/>
    <cellStyle name="Comma 2 2 3 2 3 6" xfId="16531"/>
    <cellStyle name="Comma 2 2 3 2 3 6 2" xfId="36414"/>
    <cellStyle name="Comma 2 2 3 2 3 7" xfId="24109"/>
    <cellStyle name="Comma 2 2 3 2 4" xfId="1634"/>
    <cellStyle name="Comma 2 2 3 2 4 2" xfId="4845"/>
    <cellStyle name="Comma 2 2 3 2 4 2 2" xfId="6470"/>
    <cellStyle name="Comma 2 2 3 2 4 2 2 2" xfId="9556"/>
    <cellStyle name="Comma 2 2 3 2 4 2 2 2 2" xfId="15749"/>
    <cellStyle name="Comma 2 2 3 2 4 2 2 2 2 2" xfId="35632"/>
    <cellStyle name="Comma 2 2 3 2 4 2 2 2 3" xfId="21901"/>
    <cellStyle name="Comma 2 2 3 2 4 2 2 2 3 2" xfId="41784"/>
    <cellStyle name="Comma 2 2 3 2 4 2 2 2 4" xfId="29479"/>
    <cellStyle name="Comma 2 2 3 2 4 2 2 3" xfId="12683"/>
    <cellStyle name="Comma 2 2 3 2 4 2 2 3 2" xfId="32566"/>
    <cellStyle name="Comma 2 2 3 2 4 2 2 4" xfId="18835"/>
    <cellStyle name="Comma 2 2 3 2 4 2 2 4 2" xfId="38718"/>
    <cellStyle name="Comma 2 2 3 2 4 2 2 5" xfId="26413"/>
    <cellStyle name="Comma 2 2 3 2 4 2 3" xfId="8021"/>
    <cellStyle name="Comma 2 2 3 2 4 2 3 2" xfId="14215"/>
    <cellStyle name="Comma 2 2 3 2 4 2 3 2 2" xfId="34098"/>
    <cellStyle name="Comma 2 2 3 2 4 2 3 3" xfId="20367"/>
    <cellStyle name="Comma 2 2 3 2 4 2 3 3 2" xfId="40250"/>
    <cellStyle name="Comma 2 2 3 2 4 2 3 4" xfId="27945"/>
    <cellStyle name="Comma 2 2 3 2 4 2 4" xfId="11149"/>
    <cellStyle name="Comma 2 2 3 2 4 2 4 2" xfId="31032"/>
    <cellStyle name="Comma 2 2 3 2 4 2 5" xfId="17301"/>
    <cellStyle name="Comma 2 2 3 2 4 2 5 2" xfId="37184"/>
    <cellStyle name="Comma 2 2 3 2 4 2 6" xfId="24879"/>
    <cellStyle name="Comma 2 2 3 2 4 3" xfId="5684"/>
    <cellStyle name="Comma 2 2 3 2 4 3 2" xfId="8787"/>
    <cellStyle name="Comma 2 2 3 2 4 3 2 2" xfId="14980"/>
    <cellStyle name="Comma 2 2 3 2 4 3 2 2 2" xfId="34863"/>
    <cellStyle name="Comma 2 2 3 2 4 3 2 3" xfId="21132"/>
    <cellStyle name="Comma 2 2 3 2 4 3 2 3 2" xfId="41015"/>
    <cellStyle name="Comma 2 2 3 2 4 3 2 4" xfId="28710"/>
    <cellStyle name="Comma 2 2 3 2 4 3 3" xfId="11914"/>
    <cellStyle name="Comma 2 2 3 2 4 3 3 2" xfId="31797"/>
    <cellStyle name="Comma 2 2 3 2 4 3 4" xfId="18066"/>
    <cellStyle name="Comma 2 2 3 2 4 3 4 2" xfId="37949"/>
    <cellStyle name="Comma 2 2 3 2 4 3 5" xfId="25644"/>
    <cellStyle name="Comma 2 2 3 2 4 4" xfId="7252"/>
    <cellStyle name="Comma 2 2 3 2 4 4 2" xfId="13446"/>
    <cellStyle name="Comma 2 2 3 2 4 4 2 2" xfId="33329"/>
    <cellStyle name="Comma 2 2 3 2 4 4 3" xfId="19598"/>
    <cellStyle name="Comma 2 2 3 2 4 4 3 2" xfId="39481"/>
    <cellStyle name="Comma 2 2 3 2 4 4 4" xfId="27176"/>
    <cellStyle name="Comma 2 2 3 2 4 5" xfId="10380"/>
    <cellStyle name="Comma 2 2 3 2 4 5 2" xfId="30263"/>
    <cellStyle name="Comma 2 2 3 2 4 6" xfId="16532"/>
    <cellStyle name="Comma 2 2 3 2 4 6 2" xfId="36415"/>
    <cellStyle name="Comma 2 2 3 2 4 7" xfId="24110"/>
    <cellStyle name="Comma 2 2 3 2 5" xfId="1635"/>
    <cellStyle name="Comma 2 2 3 2 5 2" xfId="4846"/>
    <cellStyle name="Comma 2 2 3 2 5 2 2" xfId="6471"/>
    <cellStyle name="Comma 2 2 3 2 5 2 2 2" xfId="9557"/>
    <cellStyle name="Comma 2 2 3 2 5 2 2 2 2" xfId="15750"/>
    <cellStyle name="Comma 2 2 3 2 5 2 2 2 2 2" xfId="35633"/>
    <cellStyle name="Comma 2 2 3 2 5 2 2 2 3" xfId="21902"/>
    <cellStyle name="Comma 2 2 3 2 5 2 2 2 3 2" xfId="41785"/>
    <cellStyle name="Comma 2 2 3 2 5 2 2 2 4" xfId="29480"/>
    <cellStyle name="Comma 2 2 3 2 5 2 2 3" xfId="12684"/>
    <cellStyle name="Comma 2 2 3 2 5 2 2 3 2" xfId="32567"/>
    <cellStyle name="Comma 2 2 3 2 5 2 2 4" xfId="18836"/>
    <cellStyle name="Comma 2 2 3 2 5 2 2 4 2" xfId="38719"/>
    <cellStyle name="Comma 2 2 3 2 5 2 2 5" xfId="26414"/>
    <cellStyle name="Comma 2 2 3 2 5 2 3" xfId="8022"/>
    <cellStyle name="Comma 2 2 3 2 5 2 3 2" xfId="14216"/>
    <cellStyle name="Comma 2 2 3 2 5 2 3 2 2" xfId="34099"/>
    <cellStyle name="Comma 2 2 3 2 5 2 3 3" xfId="20368"/>
    <cellStyle name="Comma 2 2 3 2 5 2 3 3 2" xfId="40251"/>
    <cellStyle name="Comma 2 2 3 2 5 2 3 4" xfId="27946"/>
    <cellStyle name="Comma 2 2 3 2 5 2 4" xfId="11150"/>
    <cellStyle name="Comma 2 2 3 2 5 2 4 2" xfId="31033"/>
    <cellStyle name="Comma 2 2 3 2 5 2 5" xfId="17302"/>
    <cellStyle name="Comma 2 2 3 2 5 2 5 2" xfId="37185"/>
    <cellStyle name="Comma 2 2 3 2 5 2 6" xfId="24880"/>
    <cellStyle name="Comma 2 2 3 2 5 3" xfId="5685"/>
    <cellStyle name="Comma 2 2 3 2 5 3 2" xfId="8788"/>
    <cellStyle name="Comma 2 2 3 2 5 3 2 2" xfId="14981"/>
    <cellStyle name="Comma 2 2 3 2 5 3 2 2 2" xfId="34864"/>
    <cellStyle name="Comma 2 2 3 2 5 3 2 3" xfId="21133"/>
    <cellStyle name="Comma 2 2 3 2 5 3 2 3 2" xfId="41016"/>
    <cellStyle name="Comma 2 2 3 2 5 3 2 4" xfId="28711"/>
    <cellStyle name="Comma 2 2 3 2 5 3 3" xfId="11915"/>
    <cellStyle name="Comma 2 2 3 2 5 3 3 2" xfId="31798"/>
    <cellStyle name="Comma 2 2 3 2 5 3 4" xfId="18067"/>
    <cellStyle name="Comma 2 2 3 2 5 3 4 2" xfId="37950"/>
    <cellStyle name="Comma 2 2 3 2 5 3 5" xfId="25645"/>
    <cellStyle name="Comma 2 2 3 2 5 4" xfId="7253"/>
    <cellStyle name="Comma 2 2 3 2 5 4 2" xfId="13447"/>
    <cellStyle name="Comma 2 2 3 2 5 4 2 2" xfId="33330"/>
    <cellStyle name="Comma 2 2 3 2 5 4 3" xfId="19599"/>
    <cellStyle name="Comma 2 2 3 2 5 4 3 2" xfId="39482"/>
    <cellStyle name="Comma 2 2 3 2 5 4 4" xfId="27177"/>
    <cellStyle name="Comma 2 2 3 2 5 5" xfId="10381"/>
    <cellStyle name="Comma 2 2 3 2 5 5 2" xfId="30264"/>
    <cellStyle name="Comma 2 2 3 2 5 6" xfId="16533"/>
    <cellStyle name="Comma 2 2 3 2 5 6 2" xfId="36416"/>
    <cellStyle name="Comma 2 2 3 2 5 7" xfId="24111"/>
    <cellStyle name="Comma 2 2 3 3" xfId="1636"/>
    <cellStyle name="Comma 2 2 3 3 2" xfId="4847"/>
    <cellStyle name="Comma 2 2 3 3 2 2" xfId="6472"/>
    <cellStyle name="Comma 2 2 3 3 2 2 2" xfId="9558"/>
    <cellStyle name="Comma 2 2 3 3 2 2 2 2" xfId="15751"/>
    <cellStyle name="Comma 2 2 3 3 2 2 2 2 2" xfId="35634"/>
    <cellStyle name="Comma 2 2 3 3 2 2 2 3" xfId="21903"/>
    <cellStyle name="Comma 2 2 3 3 2 2 2 3 2" xfId="41786"/>
    <cellStyle name="Comma 2 2 3 3 2 2 2 4" xfId="29481"/>
    <cellStyle name="Comma 2 2 3 3 2 2 3" xfId="12685"/>
    <cellStyle name="Comma 2 2 3 3 2 2 3 2" xfId="32568"/>
    <cellStyle name="Comma 2 2 3 3 2 2 4" xfId="18837"/>
    <cellStyle name="Comma 2 2 3 3 2 2 4 2" xfId="38720"/>
    <cellStyle name="Comma 2 2 3 3 2 2 5" xfId="26415"/>
    <cellStyle name="Comma 2 2 3 3 2 3" xfId="8023"/>
    <cellStyle name="Comma 2 2 3 3 2 3 2" xfId="14217"/>
    <cellStyle name="Comma 2 2 3 3 2 3 2 2" xfId="34100"/>
    <cellStyle name="Comma 2 2 3 3 2 3 3" xfId="20369"/>
    <cellStyle name="Comma 2 2 3 3 2 3 3 2" xfId="40252"/>
    <cellStyle name="Comma 2 2 3 3 2 3 4" xfId="27947"/>
    <cellStyle name="Comma 2 2 3 3 2 4" xfId="11151"/>
    <cellStyle name="Comma 2 2 3 3 2 4 2" xfId="31034"/>
    <cellStyle name="Comma 2 2 3 3 2 5" xfId="17303"/>
    <cellStyle name="Comma 2 2 3 3 2 5 2" xfId="37186"/>
    <cellStyle name="Comma 2 2 3 3 2 6" xfId="24881"/>
    <cellStyle name="Comma 2 2 3 3 3" xfId="5686"/>
    <cellStyle name="Comma 2 2 3 3 3 2" xfId="8789"/>
    <cellStyle name="Comma 2 2 3 3 3 2 2" xfId="14982"/>
    <cellStyle name="Comma 2 2 3 3 3 2 2 2" xfId="34865"/>
    <cellStyle name="Comma 2 2 3 3 3 2 3" xfId="21134"/>
    <cellStyle name="Comma 2 2 3 3 3 2 3 2" xfId="41017"/>
    <cellStyle name="Comma 2 2 3 3 3 2 4" xfId="28712"/>
    <cellStyle name="Comma 2 2 3 3 3 3" xfId="11916"/>
    <cellStyle name="Comma 2 2 3 3 3 3 2" xfId="31799"/>
    <cellStyle name="Comma 2 2 3 3 3 4" xfId="18068"/>
    <cellStyle name="Comma 2 2 3 3 3 4 2" xfId="37951"/>
    <cellStyle name="Comma 2 2 3 3 3 5" xfId="25646"/>
    <cellStyle name="Comma 2 2 3 3 4" xfId="7254"/>
    <cellStyle name="Comma 2 2 3 3 4 2" xfId="13448"/>
    <cellStyle name="Comma 2 2 3 3 4 2 2" xfId="33331"/>
    <cellStyle name="Comma 2 2 3 3 4 3" xfId="19600"/>
    <cellStyle name="Comma 2 2 3 3 4 3 2" xfId="39483"/>
    <cellStyle name="Comma 2 2 3 3 4 4" xfId="27178"/>
    <cellStyle name="Comma 2 2 3 3 5" xfId="10382"/>
    <cellStyle name="Comma 2 2 3 3 5 2" xfId="30265"/>
    <cellStyle name="Comma 2 2 3 3 6" xfId="16534"/>
    <cellStyle name="Comma 2 2 3 3 6 2" xfId="36417"/>
    <cellStyle name="Comma 2 2 3 3 7" xfId="24112"/>
    <cellStyle name="Comma 2 2 3 4" xfId="1637"/>
    <cellStyle name="Comma 2 2 3 4 2" xfId="1638"/>
    <cellStyle name="Comma 2 2 3 5" xfId="1639"/>
    <cellStyle name="Comma 2 2 3 5 2" xfId="1640"/>
    <cellStyle name="Comma 2 2 3 6" xfId="4842"/>
    <cellStyle name="Comma 2 2 3 6 2" xfId="6467"/>
    <cellStyle name="Comma 2 2 3 6 2 2" xfId="9553"/>
    <cellStyle name="Comma 2 2 3 6 2 2 2" xfId="15746"/>
    <cellStyle name="Comma 2 2 3 6 2 2 2 2" xfId="35629"/>
    <cellStyle name="Comma 2 2 3 6 2 2 3" xfId="21898"/>
    <cellStyle name="Comma 2 2 3 6 2 2 3 2" xfId="41781"/>
    <cellStyle name="Comma 2 2 3 6 2 2 4" xfId="29476"/>
    <cellStyle name="Comma 2 2 3 6 2 3" xfId="12680"/>
    <cellStyle name="Comma 2 2 3 6 2 3 2" xfId="32563"/>
    <cellStyle name="Comma 2 2 3 6 2 4" xfId="18832"/>
    <cellStyle name="Comma 2 2 3 6 2 4 2" xfId="38715"/>
    <cellStyle name="Comma 2 2 3 6 2 5" xfId="26410"/>
    <cellStyle name="Comma 2 2 3 6 3" xfId="8018"/>
    <cellStyle name="Comma 2 2 3 6 3 2" xfId="14212"/>
    <cellStyle name="Comma 2 2 3 6 3 2 2" xfId="34095"/>
    <cellStyle name="Comma 2 2 3 6 3 3" xfId="20364"/>
    <cellStyle name="Comma 2 2 3 6 3 3 2" xfId="40247"/>
    <cellStyle name="Comma 2 2 3 6 3 4" xfId="27942"/>
    <cellStyle name="Comma 2 2 3 6 4" xfId="11146"/>
    <cellStyle name="Comma 2 2 3 6 4 2" xfId="31029"/>
    <cellStyle name="Comma 2 2 3 6 5" xfId="17298"/>
    <cellStyle name="Comma 2 2 3 6 5 2" xfId="37181"/>
    <cellStyle name="Comma 2 2 3 6 6" xfId="24876"/>
    <cellStyle name="Comma 2 2 3 7" xfId="5681"/>
    <cellStyle name="Comma 2 2 3 7 2" xfId="8784"/>
    <cellStyle name="Comma 2 2 3 7 2 2" xfId="14977"/>
    <cellStyle name="Comma 2 2 3 7 2 2 2" xfId="34860"/>
    <cellStyle name="Comma 2 2 3 7 2 3" xfId="21129"/>
    <cellStyle name="Comma 2 2 3 7 2 3 2" xfId="41012"/>
    <cellStyle name="Comma 2 2 3 7 2 4" xfId="28707"/>
    <cellStyle name="Comma 2 2 3 7 3" xfId="11911"/>
    <cellStyle name="Comma 2 2 3 7 3 2" xfId="31794"/>
    <cellStyle name="Comma 2 2 3 7 4" xfId="18063"/>
    <cellStyle name="Comma 2 2 3 7 4 2" xfId="37946"/>
    <cellStyle name="Comma 2 2 3 7 5" xfId="25641"/>
    <cellStyle name="Comma 2 2 3 8" xfId="7249"/>
    <cellStyle name="Comma 2 2 3 8 2" xfId="13443"/>
    <cellStyle name="Comma 2 2 3 8 2 2" xfId="33326"/>
    <cellStyle name="Comma 2 2 3 8 3" xfId="19595"/>
    <cellStyle name="Comma 2 2 3 8 3 2" xfId="39478"/>
    <cellStyle name="Comma 2 2 3 8 4" xfId="27173"/>
    <cellStyle name="Comma 2 2 3 9" xfId="10377"/>
    <cellStyle name="Comma 2 2 3 9 2" xfId="30260"/>
    <cellStyle name="Comma 2 2 4" xfId="1641"/>
    <cellStyle name="Comma 2 2 4 2" xfId="1642"/>
    <cellStyle name="Comma 2 2 4 2 2" xfId="4848"/>
    <cellStyle name="Comma 2 2 4 2 2 2" xfId="6473"/>
    <cellStyle name="Comma 2 2 4 2 2 2 2" xfId="9559"/>
    <cellStyle name="Comma 2 2 4 2 2 2 2 2" xfId="15752"/>
    <cellStyle name="Comma 2 2 4 2 2 2 2 2 2" xfId="35635"/>
    <cellStyle name="Comma 2 2 4 2 2 2 2 3" xfId="21904"/>
    <cellStyle name="Comma 2 2 4 2 2 2 2 3 2" xfId="41787"/>
    <cellStyle name="Comma 2 2 4 2 2 2 2 4" xfId="29482"/>
    <cellStyle name="Comma 2 2 4 2 2 2 3" xfId="12686"/>
    <cellStyle name="Comma 2 2 4 2 2 2 3 2" xfId="32569"/>
    <cellStyle name="Comma 2 2 4 2 2 2 4" xfId="18838"/>
    <cellStyle name="Comma 2 2 4 2 2 2 4 2" xfId="38721"/>
    <cellStyle name="Comma 2 2 4 2 2 2 5" xfId="26416"/>
    <cellStyle name="Comma 2 2 4 2 2 3" xfId="8024"/>
    <cellStyle name="Comma 2 2 4 2 2 3 2" xfId="14218"/>
    <cellStyle name="Comma 2 2 4 2 2 3 2 2" xfId="34101"/>
    <cellStyle name="Comma 2 2 4 2 2 3 3" xfId="20370"/>
    <cellStyle name="Comma 2 2 4 2 2 3 3 2" xfId="40253"/>
    <cellStyle name="Comma 2 2 4 2 2 3 4" xfId="27948"/>
    <cellStyle name="Comma 2 2 4 2 2 4" xfId="11152"/>
    <cellStyle name="Comma 2 2 4 2 2 4 2" xfId="31035"/>
    <cellStyle name="Comma 2 2 4 2 2 5" xfId="17304"/>
    <cellStyle name="Comma 2 2 4 2 2 5 2" xfId="37187"/>
    <cellStyle name="Comma 2 2 4 2 2 6" xfId="24882"/>
    <cellStyle name="Comma 2 2 4 2 3" xfId="5687"/>
    <cellStyle name="Comma 2 2 4 2 3 2" xfId="8790"/>
    <cellStyle name="Comma 2 2 4 2 3 2 2" xfId="14983"/>
    <cellStyle name="Comma 2 2 4 2 3 2 2 2" xfId="34866"/>
    <cellStyle name="Comma 2 2 4 2 3 2 3" xfId="21135"/>
    <cellStyle name="Comma 2 2 4 2 3 2 3 2" xfId="41018"/>
    <cellStyle name="Comma 2 2 4 2 3 2 4" xfId="28713"/>
    <cellStyle name="Comma 2 2 4 2 3 3" xfId="11917"/>
    <cellStyle name="Comma 2 2 4 2 3 3 2" xfId="31800"/>
    <cellStyle name="Comma 2 2 4 2 3 4" xfId="18069"/>
    <cellStyle name="Comma 2 2 4 2 3 4 2" xfId="37952"/>
    <cellStyle name="Comma 2 2 4 2 3 5" xfId="25647"/>
    <cellStyle name="Comma 2 2 4 2 4" xfId="7255"/>
    <cellStyle name="Comma 2 2 4 2 4 2" xfId="13449"/>
    <cellStyle name="Comma 2 2 4 2 4 2 2" xfId="33332"/>
    <cellStyle name="Comma 2 2 4 2 4 3" xfId="19601"/>
    <cellStyle name="Comma 2 2 4 2 4 3 2" xfId="39484"/>
    <cellStyle name="Comma 2 2 4 2 4 4" xfId="27179"/>
    <cellStyle name="Comma 2 2 4 2 5" xfId="10383"/>
    <cellStyle name="Comma 2 2 4 2 5 2" xfId="30266"/>
    <cellStyle name="Comma 2 2 4 2 6" xfId="16535"/>
    <cellStyle name="Comma 2 2 4 2 6 2" xfId="36418"/>
    <cellStyle name="Comma 2 2 4 2 7" xfId="24113"/>
    <cellStyle name="Comma 2 2 4 3" xfId="1643"/>
    <cellStyle name="Comma 2 2 4 4" xfId="1644"/>
    <cellStyle name="Comma 2 2 5" xfId="1645"/>
    <cellStyle name="Comma 2 2 5 2" xfId="4849"/>
    <cellStyle name="Comma 2 2 5 2 2" xfId="6474"/>
    <cellStyle name="Comma 2 2 5 2 2 2" xfId="9560"/>
    <cellStyle name="Comma 2 2 5 2 2 2 2" xfId="15753"/>
    <cellStyle name="Comma 2 2 5 2 2 2 2 2" xfId="35636"/>
    <cellStyle name="Comma 2 2 5 2 2 2 3" xfId="21905"/>
    <cellStyle name="Comma 2 2 5 2 2 2 3 2" xfId="41788"/>
    <cellStyle name="Comma 2 2 5 2 2 2 4" xfId="29483"/>
    <cellStyle name="Comma 2 2 5 2 2 3" xfId="12687"/>
    <cellStyle name="Comma 2 2 5 2 2 3 2" xfId="32570"/>
    <cellStyle name="Comma 2 2 5 2 2 4" xfId="18839"/>
    <cellStyle name="Comma 2 2 5 2 2 4 2" xfId="38722"/>
    <cellStyle name="Comma 2 2 5 2 2 5" xfId="26417"/>
    <cellStyle name="Comma 2 2 5 2 3" xfId="8025"/>
    <cellStyle name="Comma 2 2 5 2 3 2" xfId="14219"/>
    <cellStyle name="Comma 2 2 5 2 3 2 2" xfId="34102"/>
    <cellStyle name="Comma 2 2 5 2 3 3" xfId="20371"/>
    <cellStyle name="Comma 2 2 5 2 3 3 2" xfId="40254"/>
    <cellStyle name="Comma 2 2 5 2 3 4" xfId="27949"/>
    <cellStyle name="Comma 2 2 5 2 4" xfId="11153"/>
    <cellStyle name="Comma 2 2 5 2 4 2" xfId="31036"/>
    <cellStyle name="Comma 2 2 5 2 5" xfId="17305"/>
    <cellStyle name="Comma 2 2 5 2 5 2" xfId="37188"/>
    <cellStyle name="Comma 2 2 5 2 6" xfId="24883"/>
    <cellStyle name="Comma 2 2 5 3" xfId="5688"/>
    <cellStyle name="Comma 2 2 5 3 2" xfId="8791"/>
    <cellStyle name="Comma 2 2 5 3 2 2" xfId="14984"/>
    <cellStyle name="Comma 2 2 5 3 2 2 2" xfId="34867"/>
    <cellStyle name="Comma 2 2 5 3 2 3" xfId="21136"/>
    <cellStyle name="Comma 2 2 5 3 2 3 2" xfId="41019"/>
    <cellStyle name="Comma 2 2 5 3 2 4" xfId="28714"/>
    <cellStyle name="Comma 2 2 5 3 3" xfId="11918"/>
    <cellStyle name="Comma 2 2 5 3 3 2" xfId="31801"/>
    <cellStyle name="Comma 2 2 5 3 4" xfId="18070"/>
    <cellStyle name="Comma 2 2 5 3 4 2" xfId="37953"/>
    <cellStyle name="Comma 2 2 5 3 5" xfId="25648"/>
    <cellStyle name="Comma 2 2 5 4" xfId="7256"/>
    <cellStyle name="Comma 2 2 5 4 2" xfId="13450"/>
    <cellStyle name="Comma 2 2 5 4 2 2" xfId="33333"/>
    <cellStyle name="Comma 2 2 5 4 3" xfId="19602"/>
    <cellStyle name="Comma 2 2 5 4 3 2" xfId="39485"/>
    <cellStyle name="Comma 2 2 5 4 4" xfId="27180"/>
    <cellStyle name="Comma 2 2 5 5" xfId="10384"/>
    <cellStyle name="Comma 2 2 5 5 2" xfId="30267"/>
    <cellStyle name="Comma 2 2 5 6" xfId="16536"/>
    <cellStyle name="Comma 2 2 5 6 2" xfId="36419"/>
    <cellStyle name="Comma 2 2 5 7" xfId="24114"/>
    <cellStyle name="Comma 2 2 6" xfId="1646"/>
    <cellStyle name="Comma 2 2 6 2" xfId="4850"/>
    <cellStyle name="Comma 2 2 6 2 2" xfId="6475"/>
    <cellStyle name="Comma 2 2 6 2 2 2" xfId="9561"/>
    <cellStyle name="Comma 2 2 6 2 2 2 2" xfId="15754"/>
    <cellStyle name="Comma 2 2 6 2 2 2 2 2" xfId="35637"/>
    <cellStyle name="Comma 2 2 6 2 2 2 3" xfId="21906"/>
    <cellStyle name="Comma 2 2 6 2 2 2 3 2" xfId="41789"/>
    <cellStyle name="Comma 2 2 6 2 2 2 4" xfId="29484"/>
    <cellStyle name="Comma 2 2 6 2 2 3" xfId="12688"/>
    <cellStyle name="Comma 2 2 6 2 2 3 2" xfId="32571"/>
    <cellStyle name="Comma 2 2 6 2 2 4" xfId="18840"/>
    <cellStyle name="Comma 2 2 6 2 2 4 2" xfId="38723"/>
    <cellStyle name="Comma 2 2 6 2 2 5" xfId="26418"/>
    <cellStyle name="Comma 2 2 6 2 3" xfId="8026"/>
    <cellStyle name="Comma 2 2 6 2 3 2" xfId="14220"/>
    <cellStyle name="Comma 2 2 6 2 3 2 2" xfId="34103"/>
    <cellStyle name="Comma 2 2 6 2 3 3" xfId="20372"/>
    <cellStyle name="Comma 2 2 6 2 3 3 2" xfId="40255"/>
    <cellStyle name="Comma 2 2 6 2 3 4" xfId="27950"/>
    <cellStyle name="Comma 2 2 6 2 4" xfId="11154"/>
    <cellStyle name="Comma 2 2 6 2 4 2" xfId="31037"/>
    <cellStyle name="Comma 2 2 6 2 5" xfId="17306"/>
    <cellStyle name="Comma 2 2 6 2 5 2" xfId="37189"/>
    <cellStyle name="Comma 2 2 6 2 6" xfId="24884"/>
    <cellStyle name="Comma 2 2 6 3" xfId="5689"/>
    <cellStyle name="Comma 2 2 6 3 2" xfId="8792"/>
    <cellStyle name="Comma 2 2 6 3 2 2" xfId="14985"/>
    <cellStyle name="Comma 2 2 6 3 2 2 2" xfId="34868"/>
    <cellStyle name="Comma 2 2 6 3 2 3" xfId="21137"/>
    <cellStyle name="Comma 2 2 6 3 2 3 2" xfId="41020"/>
    <cellStyle name="Comma 2 2 6 3 2 4" xfId="28715"/>
    <cellStyle name="Comma 2 2 6 3 3" xfId="11919"/>
    <cellStyle name="Comma 2 2 6 3 3 2" xfId="31802"/>
    <cellStyle name="Comma 2 2 6 3 4" xfId="18071"/>
    <cellStyle name="Comma 2 2 6 3 4 2" xfId="37954"/>
    <cellStyle name="Comma 2 2 6 3 5" xfId="25649"/>
    <cellStyle name="Comma 2 2 6 4" xfId="7257"/>
    <cellStyle name="Comma 2 2 6 4 2" xfId="13451"/>
    <cellStyle name="Comma 2 2 6 4 2 2" xfId="33334"/>
    <cellStyle name="Comma 2 2 6 4 3" xfId="19603"/>
    <cellStyle name="Comma 2 2 6 4 3 2" xfId="39486"/>
    <cellStyle name="Comma 2 2 6 4 4" xfId="27181"/>
    <cellStyle name="Comma 2 2 6 5" xfId="10385"/>
    <cellStyle name="Comma 2 2 6 5 2" xfId="30268"/>
    <cellStyle name="Comma 2 2 6 6" xfId="16537"/>
    <cellStyle name="Comma 2 2 6 6 2" xfId="36420"/>
    <cellStyle name="Comma 2 2 6 7" xfId="24115"/>
    <cellStyle name="Comma 2 2 7" xfId="1647"/>
    <cellStyle name="Comma 2 2 7 2" xfId="4851"/>
    <cellStyle name="Comma 2 2 7 2 2" xfId="6476"/>
    <cellStyle name="Comma 2 2 7 2 2 2" xfId="9562"/>
    <cellStyle name="Comma 2 2 7 2 2 2 2" xfId="15755"/>
    <cellStyle name="Comma 2 2 7 2 2 2 2 2" xfId="35638"/>
    <cellStyle name="Comma 2 2 7 2 2 2 3" xfId="21907"/>
    <cellStyle name="Comma 2 2 7 2 2 2 3 2" xfId="41790"/>
    <cellStyle name="Comma 2 2 7 2 2 2 4" xfId="29485"/>
    <cellStyle name="Comma 2 2 7 2 2 3" xfId="12689"/>
    <cellStyle name="Comma 2 2 7 2 2 3 2" xfId="32572"/>
    <cellStyle name="Comma 2 2 7 2 2 4" xfId="18841"/>
    <cellStyle name="Comma 2 2 7 2 2 4 2" xfId="38724"/>
    <cellStyle name="Comma 2 2 7 2 2 5" xfId="26419"/>
    <cellStyle name="Comma 2 2 7 2 3" xfId="8027"/>
    <cellStyle name="Comma 2 2 7 2 3 2" xfId="14221"/>
    <cellStyle name="Comma 2 2 7 2 3 2 2" xfId="34104"/>
    <cellStyle name="Comma 2 2 7 2 3 3" xfId="20373"/>
    <cellStyle name="Comma 2 2 7 2 3 3 2" xfId="40256"/>
    <cellStyle name="Comma 2 2 7 2 3 4" xfId="27951"/>
    <cellStyle name="Comma 2 2 7 2 4" xfId="11155"/>
    <cellStyle name="Comma 2 2 7 2 4 2" xfId="31038"/>
    <cellStyle name="Comma 2 2 7 2 5" xfId="17307"/>
    <cellStyle name="Comma 2 2 7 2 5 2" xfId="37190"/>
    <cellStyle name="Comma 2 2 7 2 6" xfId="24885"/>
    <cellStyle name="Comma 2 2 7 3" xfId="5690"/>
    <cellStyle name="Comma 2 2 7 3 2" xfId="8793"/>
    <cellStyle name="Comma 2 2 7 3 2 2" xfId="14986"/>
    <cellStyle name="Comma 2 2 7 3 2 2 2" xfId="34869"/>
    <cellStyle name="Comma 2 2 7 3 2 3" xfId="21138"/>
    <cellStyle name="Comma 2 2 7 3 2 3 2" xfId="41021"/>
    <cellStyle name="Comma 2 2 7 3 2 4" xfId="28716"/>
    <cellStyle name="Comma 2 2 7 3 3" xfId="11920"/>
    <cellStyle name="Comma 2 2 7 3 3 2" xfId="31803"/>
    <cellStyle name="Comma 2 2 7 3 4" xfId="18072"/>
    <cellStyle name="Comma 2 2 7 3 4 2" xfId="37955"/>
    <cellStyle name="Comma 2 2 7 3 5" xfId="25650"/>
    <cellStyle name="Comma 2 2 7 4" xfId="7258"/>
    <cellStyle name="Comma 2 2 7 4 2" xfId="13452"/>
    <cellStyle name="Comma 2 2 7 4 2 2" xfId="33335"/>
    <cellStyle name="Comma 2 2 7 4 3" xfId="19604"/>
    <cellStyle name="Comma 2 2 7 4 3 2" xfId="39487"/>
    <cellStyle name="Comma 2 2 7 4 4" xfId="27182"/>
    <cellStyle name="Comma 2 2 7 5" xfId="10386"/>
    <cellStyle name="Comma 2 2 7 5 2" xfId="30269"/>
    <cellStyle name="Comma 2 2 7 6" xfId="16538"/>
    <cellStyle name="Comma 2 2 7 6 2" xfId="36421"/>
    <cellStyle name="Comma 2 2 7 7" xfId="24116"/>
    <cellStyle name="Comma 2 2 8" xfId="1648"/>
    <cellStyle name="Comma 2 2 8 2" xfId="4852"/>
    <cellStyle name="Comma 2 2 8 2 2" xfId="6477"/>
    <cellStyle name="Comma 2 2 8 2 2 2" xfId="9563"/>
    <cellStyle name="Comma 2 2 8 2 2 2 2" xfId="15756"/>
    <cellStyle name="Comma 2 2 8 2 2 2 2 2" xfId="35639"/>
    <cellStyle name="Comma 2 2 8 2 2 2 3" xfId="21908"/>
    <cellStyle name="Comma 2 2 8 2 2 2 3 2" xfId="41791"/>
    <cellStyle name="Comma 2 2 8 2 2 2 4" xfId="29486"/>
    <cellStyle name="Comma 2 2 8 2 2 3" xfId="12690"/>
    <cellStyle name="Comma 2 2 8 2 2 3 2" xfId="32573"/>
    <cellStyle name="Comma 2 2 8 2 2 4" xfId="18842"/>
    <cellStyle name="Comma 2 2 8 2 2 4 2" xfId="38725"/>
    <cellStyle name="Comma 2 2 8 2 2 5" xfId="26420"/>
    <cellStyle name="Comma 2 2 8 2 3" xfId="8028"/>
    <cellStyle name="Comma 2 2 8 2 3 2" xfId="14222"/>
    <cellStyle name="Comma 2 2 8 2 3 2 2" xfId="34105"/>
    <cellStyle name="Comma 2 2 8 2 3 3" xfId="20374"/>
    <cellStyle name="Comma 2 2 8 2 3 3 2" xfId="40257"/>
    <cellStyle name="Comma 2 2 8 2 3 4" xfId="27952"/>
    <cellStyle name="Comma 2 2 8 2 4" xfId="11156"/>
    <cellStyle name="Comma 2 2 8 2 4 2" xfId="31039"/>
    <cellStyle name="Comma 2 2 8 2 5" xfId="17308"/>
    <cellStyle name="Comma 2 2 8 2 5 2" xfId="37191"/>
    <cellStyle name="Comma 2 2 8 2 6" xfId="24886"/>
    <cellStyle name="Comma 2 2 8 3" xfId="5691"/>
    <cellStyle name="Comma 2 2 8 3 2" xfId="8794"/>
    <cellStyle name="Comma 2 2 8 3 2 2" xfId="14987"/>
    <cellStyle name="Comma 2 2 8 3 2 2 2" xfId="34870"/>
    <cellStyle name="Comma 2 2 8 3 2 3" xfId="21139"/>
    <cellStyle name="Comma 2 2 8 3 2 3 2" xfId="41022"/>
    <cellStyle name="Comma 2 2 8 3 2 4" xfId="28717"/>
    <cellStyle name="Comma 2 2 8 3 3" xfId="11921"/>
    <cellStyle name="Comma 2 2 8 3 3 2" xfId="31804"/>
    <cellStyle name="Comma 2 2 8 3 4" xfId="18073"/>
    <cellStyle name="Comma 2 2 8 3 4 2" xfId="37956"/>
    <cellStyle name="Comma 2 2 8 3 5" xfId="25651"/>
    <cellStyle name="Comma 2 2 8 4" xfId="7259"/>
    <cellStyle name="Comma 2 2 8 4 2" xfId="13453"/>
    <cellStyle name="Comma 2 2 8 4 2 2" xfId="33336"/>
    <cellStyle name="Comma 2 2 8 4 3" xfId="19605"/>
    <cellStyle name="Comma 2 2 8 4 3 2" xfId="39488"/>
    <cellStyle name="Comma 2 2 8 4 4" xfId="27183"/>
    <cellStyle name="Comma 2 2 8 5" xfId="10387"/>
    <cellStyle name="Comma 2 2 8 5 2" xfId="30270"/>
    <cellStyle name="Comma 2 2 8 6" xfId="16539"/>
    <cellStyle name="Comma 2 2 8 6 2" xfId="36422"/>
    <cellStyle name="Comma 2 2 8 7" xfId="24117"/>
    <cellStyle name="Comma 2 2 9" xfId="1649"/>
    <cellStyle name="Comma 2 2 9 2" xfId="4853"/>
    <cellStyle name="Comma 2 2 9 2 2" xfId="6478"/>
    <cellStyle name="Comma 2 2 9 2 2 2" xfId="9564"/>
    <cellStyle name="Comma 2 2 9 2 2 2 2" xfId="15757"/>
    <cellStyle name="Comma 2 2 9 2 2 2 2 2" xfId="35640"/>
    <cellStyle name="Comma 2 2 9 2 2 2 3" xfId="21909"/>
    <cellStyle name="Comma 2 2 9 2 2 2 3 2" xfId="41792"/>
    <cellStyle name="Comma 2 2 9 2 2 2 4" xfId="29487"/>
    <cellStyle name="Comma 2 2 9 2 2 3" xfId="12691"/>
    <cellStyle name="Comma 2 2 9 2 2 3 2" xfId="32574"/>
    <cellStyle name="Comma 2 2 9 2 2 4" xfId="18843"/>
    <cellStyle name="Comma 2 2 9 2 2 4 2" xfId="38726"/>
    <cellStyle name="Comma 2 2 9 2 2 5" xfId="26421"/>
    <cellStyle name="Comma 2 2 9 2 3" xfId="8029"/>
    <cellStyle name="Comma 2 2 9 2 3 2" xfId="14223"/>
    <cellStyle name="Comma 2 2 9 2 3 2 2" xfId="34106"/>
    <cellStyle name="Comma 2 2 9 2 3 3" xfId="20375"/>
    <cellStyle name="Comma 2 2 9 2 3 3 2" xfId="40258"/>
    <cellStyle name="Comma 2 2 9 2 3 4" xfId="27953"/>
    <cellStyle name="Comma 2 2 9 2 4" xfId="11157"/>
    <cellStyle name="Comma 2 2 9 2 4 2" xfId="31040"/>
    <cellStyle name="Comma 2 2 9 2 5" xfId="17309"/>
    <cellStyle name="Comma 2 2 9 2 5 2" xfId="37192"/>
    <cellStyle name="Comma 2 2 9 2 6" xfId="24887"/>
    <cellStyle name="Comma 2 2 9 3" xfId="5692"/>
    <cellStyle name="Comma 2 2 9 3 2" xfId="8795"/>
    <cellStyle name="Comma 2 2 9 3 2 2" xfId="14988"/>
    <cellStyle name="Comma 2 2 9 3 2 2 2" xfId="34871"/>
    <cellStyle name="Comma 2 2 9 3 2 3" xfId="21140"/>
    <cellStyle name="Comma 2 2 9 3 2 3 2" xfId="41023"/>
    <cellStyle name="Comma 2 2 9 3 2 4" xfId="28718"/>
    <cellStyle name="Comma 2 2 9 3 3" xfId="11922"/>
    <cellStyle name="Comma 2 2 9 3 3 2" xfId="31805"/>
    <cellStyle name="Comma 2 2 9 3 4" xfId="18074"/>
    <cellStyle name="Comma 2 2 9 3 4 2" xfId="37957"/>
    <cellStyle name="Comma 2 2 9 3 5" xfId="25652"/>
    <cellStyle name="Comma 2 2 9 4" xfId="7260"/>
    <cellStyle name="Comma 2 2 9 4 2" xfId="13454"/>
    <cellStyle name="Comma 2 2 9 4 2 2" xfId="33337"/>
    <cellStyle name="Comma 2 2 9 4 3" xfId="19606"/>
    <cellStyle name="Comma 2 2 9 4 3 2" xfId="39489"/>
    <cellStyle name="Comma 2 2 9 4 4" xfId="27184"/>
    <cellStyle name="Comma 2 2 9 5" xfId="10388"/>
    <cellStyle name="Comma 2 2 9 5 2" xfId="30271"/>
    <cellStyle name="Comma 2 2 9 6" xfId="16540"/>
    <cellStyle name="Comma 2 2 9 6 2" xfId="36423"/>
    <cellStyle name="Comma 2 2 9 7" xfId="24118"/>
    <cellStyle name="Comma 2 20" xfId="480"/>
    <cellStyle name="Comma 2 20 2" xfId="1650"/>
    <cellStyle name="Comma 2 21" xfId="493"/>
    <cellStyle name="Comma 2 21 2" xfId="1651"/>
    <cellStyle name="Comma 2 22" xfId="535"/>
    <cellStyle name="Comma 2 22 2" xfId="1652"/>
    <cellStyle name="Comma 2 23" xfId="544"/>
    <cellStyle name="Comma 2 23 2" xfId="4824"/>
    <cellStyle name="Comma 2 23 2 2" xfId="6449"/>
    <cellStyle name="Comma 2 23 2 2 2" xfId="9535"/>
    <cellStyle name="Comma 2 23 2 2 2 2" xfId="15728"/>
    <cellStyle name="Comma 2 23 2 2 2 2 2" xfId="35611"/>
    <cellStyle name="Comma 2 23 2 2 2 3" xfId="21880"/>
    <cellStyle name="Comma 2 23 2 2 2 3 2" xfId="41763"/>
    <cellStyle name="Comma 2 23 2 2 2 4" xfId="29458"/>
    <cellStyle name="Comma 2 23 2 2 3" xfId="12662"/>
    <cellStyle name="Comma 2 23 2 2 3 2" xfId="32545"/>
    <cellStyle name="Comma 2 23 2 2 4" xfId="18814"/>
    <cellStyle name="Comma 2 23 2 2 4 2" xfId="38697"/>
    <cellStyle name="Comma 2 23 2 2 5" xfId="26392"/>
    <cellStyle name="Comma 2 23 2 3" xfId="8000"/>
    <cellStyle name="Comma 2 23 2 3 2" xfId="14194"/>
    <cellStyle name="Comma 2 23 2 3 2 2" xfId="34077"/>
    <cellStyle name="Comma 2 23 2 3 3" xfId="20346"/>
    <cellStyle name="Comma 2 23 2 3 3 2" xfId="40229"/>
    <cellStyle name="Comma 2 23 2 3 4" xfId="27924"/>
    <cellStyle name="Comma 2 23 2 4" xfId="11128"/>
    <cellStyle name="Comma 2 23 2 4 2" xfId="31011"/>
    <cellStyle name="Comma 2 23 2 5" xfId="17280"/>
    <cellStyle name="Comma 2 23 2 5 2" xfId="37163"/>
    <cellStyle name="Comma 2 23 2 6" xfId="24858"/>
    <cellStyle name="Comma 2 23 3" xfId="5663"/>
    <cellStyle name="Comma 2 23 3 2" xfId="8766"/>
    <cellStyle name="Comma 2 23 3 2 2" xfId="14959"/>
    <cellStyle name="Comma 2 23 3 2 2 2" xfId="34842"/>
    <cellStyle name="Comma 2 23 3 2 3" xfId="21111"/>
    <cellStyle name="Comma 2 23 3 2 3 2" xfId="40994"/>
    <cellStyle name="Comma 2 23 3 2 4" xfId="28689"/>
    <cellStyle name="Comma 2 23 3 3" xfId="11893"/>
    <cellStyle name="Comma 2 23 3 3 2" xfId="31776"/>
    <cellStyle name="Comma 2 23 3 4" xfId="18045"/>
    <cellStyle name="Comma 2 23 3 4 2" xfId="37928"/>
    <cellStyle name="Comma 2 23 3 5" xfId="25623"/>
    <cellStyle name="Comma 2 23 4" xfId="7231"/>
    <cellStyle name="Comma 2 23 4 2" xfId="13425"/>
    <cellStyle name="Comma 2 23 4 2 2" xfId="33308"/>
    <cellStyle name="Comma 2 23 4 3" xfId="19577"/>
    <cellStyle name="Comma 2 23 4 3 2" xfId="39460"/>
    <cellStyle name="Comma 2 23 4 4" xfId="27155"/>
    <cellStyle name="Comma 2 23 5" xfId="10359"/>
    <cellStyle name="Comma 2 23 5 2" xfId="30242"/>
    <cellStyle name="Comma 2 23 6" xfId="16511"/>
    <cellStyle name="Comma 2 23 6 2" xfId="36394"/>
    <cellStyle name="Comma 2 23 7" xfId="1598"/>
    <cellStyle name="Comma 2 23 7 2" xfId="24089"/>
    <cellStyle name="Comma 2 24" xfId="626"/>
    <cellStyle name="Comma 2 24 2" xfId="10224"/>
    <cellStyle name="Comma 2 25" xfId="678"/>
    <cellStyle name="Comma 2 26" xfId="680"/>
    <cellStyle name="Comma 2 27" xfId="578"/>
    <cellStyle name="Comma 2 28" xfId="700"/>
    <cellStyle name="Comma 2 29" xfId="732"/>
    <cellStyle name="Comma 2 3" xfId="151"/>
    <cellStyle name="Comma 2 3 10" xfId="210"/>
    <cellStyle name="Comma 2 3 10 2" xfId="23409"/>
    <cellStyle name="Comma 2 3 11" xfId="23135"/>
    <cellStyle name="Comma 2 3 2" xfId="869"/>
    <cellStyle name="Comma 2 3 2 2" xfId="1654"/>
    <cellStyle name="Comma 2 3 2 3" xfId="23712"/>
    <cellStyle name="Comma 2 3 3" xfId="1655"/>
    <cellStyle name="Comma 2 3 4" xfId="4640"/>
    <cellStyle name="Comma 2 3 5" xfId="1653"/>
    <cellStyle name="Comma 2 3 6" xfId="10255"/>
    <cellStyle name="Comma 2 3 7" xfId="1209"/>
    <cellStyle name="Comma 2 3 8" xfId="22748"/>
    <cellStyle name="Comma 2 3 8 2" xfId="42622"/>
    <cellStyle name="Comma 2 3 9" xfId="22832"/>
    <cellStyle name="Comma 2 3 9 2" xfId="42706"/>
    <cellStyle name="Comma 2 30" xfId="758"/>
    <cellStyle name="Comma 2 31" xfId="192"/>
    <cellStyle name="Comma 2 4" xfId="245"/>
    <cellStyle name="Comma 2 4 2" xfId="1657"/>
    <cellStyle name="Comma 2 4 3" xfId="1658"/>
    <cellStyle name="Comma 2 4 4" xfId="1659"/>
    <cellStyle name="Comma 2 4 4 2" xfId="1660"/>
    <cellStyle name="Comma 2 4 5" xfId="1661"/>
    <cellStyle name="Comma 2 4 5 2" xfId="1662"/>
    <cellStyle name="Comma 2 4 6" xfId="1656"/>
    <cellStyle name="Comma 2 4 7" xfId="1210"/>
    <cellStyle name="Comma 2 4 8" xfId="23136"/>
    <cellStyle name="Comma 2 5" xfId="273"/>
    <cellStyle name="Comma 2 5 2" xfId="1664"/>
    <cellStyle name="Comma 2 5 3" xfId="1665"/>
    <cellStyle name="Comma 2 5 4" xfId="4641"/>
    <cellStyle name="Comma 2 5 5" xfId="1663"/>
    <cellStyle name="Comma 2 5 6" xfId="1211"/>
    <cellStyle name="Comma 2 5 7" xfId="23137"/>
    <cellStyle name="Comma 2 6" xfId="265"/>
    <cellStyle name="Comma 2 6 2" xfId="1667"/>
    <cellStyle name="Comma 2 6 3" xfId="1668"/>
    <cellStyle name="Comma 2 6 4" xfId="1666"/>
    <cellStyle name="Comma 2 6 5" xfId="1212"/>
    <cellStyle name="Comma 2 6 6" xfId="23138"/>
    <cellStyle name="Comma 2 7" xfId="288"/>
    <cellStyle name="Comma 2 7 2" xfId="4642"/>
    <cellStyle name="Comma 2 7 3" xfId="1669"/>
    <cellStyle name="Comma 2 7 4" xfId="1213"/>
    <cellStyle name="Comma 2 8" xfId="293"/>
    <cellStyle name="Comma 2 8 2" xfId="4643"/>
    <cellStyle name="Comma 2 8 3" xfId="1670"/>
    <cellStyle name="Comma 2 8 4" xfId="1214"/>
    <cellStyle name="Comma 2 9" xfId="287"/>
    <cellStyle name="Comma 2 9 2" xfId="4644"/>
    <cellStyle name="Comma 2 9 3" xfId="1671"/>
    <cellStyle name="Comma 2 9 4" xfId="1215"/>
    <cellStyle name="Comma 20" xfId="238"/>
    <cellStyle name="Comma 20 2" xfId="889"/>
    <cellStyle name="Comma 20 2 2" xfId="23732"/>
    <cellStyle name="Comma 20 3" xfId="1672"/>
    <cellStyle name="Comma 20 4" xfId="22762"/>
    <cellStyle name="Comma 20 4 2" xfId="42636"/>
    <cellStyle name="Comma 20 5" xfId="22852"/>
    <cellStyle name="Comma 20 5 2" xfId="42726"/>
    <cellStyle name="Comma 20 6" xfId="23429"/>
    <cellStyle name="Comma 200" xfId="5552"/>
    <cellStyle name="Comma 201" xfId="5520"/>
    <cellStyle name="Comma 202" xfId="5532"/>
    <cellStyle name="Comma 203" xfId="5541"/>
    <cellStyle name="Comma 204" xfId="4742"/>
    <cellStyle name="Comma 204 2" xfId="6367"/>
    <cellStyle name="Comma 204 2 2" xfId="9453"/>
    <cellStyle name="Comma 204 2 2 2" xfId="15646"/>
    <cellStyle name="Comma 204 2 2 2 2" xfId="35529"/>
    <cellStyle name="Comma 204 2 2 3" xfId="21798"/>
    <cellStyle name="Comma 204 2 2 3 2" xfId="41681"/>
    <cellStyle name="Comma 204 2 2 4" xfId="29376"/>
    <cellStyle name="Comma 204 2 3" xfId="12580"/>
    <cellStyle name="Comma 204 2 3 2" xfId="32463"/>
    <cellStyle name="Comma 204 2 4" xfId="18732"/>
    <cellStyle name="Comma 204 2 4 2" xfId="38615"/>
    <cellStyle name="Comma 204 2 5" xfId="26310"/>
    <cellStyle name="Comma 204 3" xfId="7918"/>
    <cellStyle name="Comma 204 3 2" xfId="14112"/>
    <cellStyle name="Comma 204 3 2 2" xfId="33995"/>
    <cellStyle name="Comma 204 3 3" xfId="20264"/>
    <cellStyle name="Comma 204 3 3 2" xfId="40147"/>
    <cellStyle name="Comma 204 3 4" xfId="27842"/>
    <cellStyle name="Comma 204 4" xfId="11046"/>
    <cellStyle name="Comma 204 4 2" xfId="30929"/>
    <cellStyle name="Comma 204 5" xfId="17198"/>
    <cellStyle name="Comma 204 5 2" xfId="37081"/>
    <cellStyle name="Comma 204 6" xfId="24776"/>
    <cellStyle name="Comma 205" xfId="5577"/>
    <cellStyle name="Comma 205 2" xfId="8681"/>
    <cellStyle name="Comma 205 2 2" xfId="14875"/>
    <cellStyle name="Comma 205 2 2 2" xfId="34758"/>
    <cellStyle name="Comma 205 2 3" xfId="21027"/>
    <cellStyle name="Comma 205 2 3 2" xfId="40910"/>
    <cellStyle name="Comma 205 2 4" xfId="28605"/>
    <cellStyle name="Comma 205 3" xfId="11809"/>
    <cellStyle name="Comma 205 3 2" xfId="31692"/>
    <cellStyle name="Comma 205 4" xfId="17961"/>
    <cellStyle name="Comma 205 4 2" xfId="37844"/>
    <cellStyle name="Comma 205 5" xfId="25539"/>
    <cellStyle name="Comma 206" xfId="5579"/>
    <cellStyle name="Comma 206 2" xfId="8683"/>
    <cellStyle name="Comma 206 2 2" xfId="14876"/>
    <cellStyle name="Comma 206 2 2 2" xfId="34759"/>
    <cellStyle name="Comma 206 2 3" xfId="21028"/>
    <cellStyle name="Comma 206 2 3 2" xfId="40911"/>
    <cellStyle name="Comma 206 2 4" xfId="28606"/>
    <cellStyle name="Comma 206 3" xfId="11810"/>
    <cellStyle name="Comma 206 3 2" xfId="31693"/>
    <cellStyle name="Comma 206 4" xfId="17962"/>
    <cellStyle name="Comma 206 4 2" xfId="37845"/>
    <cellStyle name="Comma 206 5" xfId="25540"/>
    <cellStyle name="Comma 207" xfId="7146"/>
    <cellStyle name="Comma 208" xfId="10217"/>
    <cellStyle name="Comma 209" xfId="10219"/>
    <cellStyle name="Comma 21" xfId="239"/>
    <cellStyle name="Comma 21 2" xfId="890"/>
    <cellStyle name="Comma 21 2 2" xfId="23733"/>
    <cellStyle name="Comma 21 3" xfId="1673"/>
    <cellStyle name="Comma 21 4" xfId="22752"/>
    <cellStyle name="Comma 21 4 2" xfId="42626"/>
    <cellStyle name="Comma 21 5" xfId="22853"/>
    <cellStyle name="Comma 21 5 2" xfId="42727"/>
    <cellStyle name="Comma 21 6" xfId="23430"/>
    <cellStyle name="Comma 210" xfId="10274"/>
    <cellStyle name="Comma 211" xfId="1183"/>
    <cellStyle name="Comma 212" xfId="1192"/>
    <cellStyle name="Comma 213" xfId="22585"/>
    <cellStyle name="Comma 214" xfId="22583"/>
    <cellStyle name="Comma 215" xfId="22588"/>
    <cellStyle name="Comma 216" xfId="1158"/>
    <cellStyle name="Comma 216 2" xfId="24000"/>
    <cellStyle name="Comma 217" xfId="1165"/>
    <cellStyle name="Comma 217 2" xfId="24005"/>
    <cellStyle name="Comma 218" xfId="22629"/>
    <cellStyle name="Comma 218 2" xfId="42503"/>
    <cellStyle name="Comma 219" xfId="22640"/>
    <cellStyle name="Comma 219 2" xfId="42514"/>
    <cellStyle name="Comma 22" xfId="235"/>
    <cellStyle name="Comma 22 2" xfId="886"/>
    <cellStyle name="Comma 22 2 2" xfId="23729"/>
    <cellStyle name="Comma 22 3" xfId="1674"/>
    <cellStyle name="Comma 22 4" xfId="22637"/>
    <cellStyle name="Comma 22 4 2" xfId="42511"/>
    <cellStyle name="Comma 22 5" xfId="22849"/>
    <cellStyle name="Comma 22 5 2" xfId="42723"/>
    <cellStyle name="Comma 22 6" xfId="23426"/>
    <cellStyle name="Comma 220" xfId="22754"/>
    <cellStyle name="Comma 220 2" xfId="42628"/>
    <cellStyle name="Comma 221" xfId="22763"/>
    <cellStyle name="Comma 221 2" xfId="42637"/>
    <cellStyle name="Comma 222" xfId="22674"/>
    <cellStyle name="Comma 222 2" xfId="42548"/>
    <cellStyle name="Comma 223" xfId="22618"/>
    <cellStyle name="Comma 223 2" xfId="42492"/>
    <cellStyle name="Comma 224" xfId="23129"/>
    <cellStyle name="Comma 225" xfId="23232"/>
    <cellStyle name="Comma 226" xfId="43042"/>
    <cellStyle name="Comma 23" xfId="240"/>
    <cellStyle name="Comma 23 2" xfId="891"/>
    <cellStyle name="Comma 23 2 2" xfId="23734"/>
    <cellStyle name="Comma 23 3" xfId="1675"/>
    <cellStyle name="Comma 23 4" xfId="22804"/>
    <cellStyle name="Comma 23 4 2" xfId="42678"/>
    <cellStyle name="Comma 23 5" xfId="22854"/>
    <cellStyle name="Comma 23 5 2" xfId="42728"/>
    <cellStyle name="Comma 23 6" xfId="23139"/>
    <cellStyle name="Comma 23 7" xfId="23431"/>
    <cellStyle name="Comma 24" xfId="1676"/>
    <cellStyle name="Comma 25" xfId="1677"/>
    <cellStyle name="Comma 26" xfId="1678"/>
    <cellStyle name="Comma 27" xfId="1679"/>
    <cellStyle name="Comma 28" xfId="1680"/>
    <cellStyle name="Comma 29" xfId="1681"/>
    <cellStyle name="Comma 3" xfId="5"/>
    <cellStyle name="Comma 3 10" xfId="387"/>
    <cellStyle name="Comma 3 10 2" xfId="4854"/>
    <cellStyle name="Comma 3 10 2 2" xfId="6479"/>
    <cellStyle name="Comma 3 10 2 2 2" xfId="9565"/>
    <cellStyle name="Comma 3 10 2 2 2 2" xfId="15758"/>
    <cellStyle name="Comma 3 10 2 2 2 2 2" xfId="35641"/>
    <cellStyle name="Comma 3 10 2 2 2 3" xfId="21910"/>
    <cellStyle name="Comma 3 10 2 2 2 3 2" xfId="41793"/>
    <cellStyle name="Comma 3 10 2 2 2 4" xfId="29488"/>
    <cellStyle name="Comma 3 10 2 2 3" xfId="12692"/>
    <cellStyle name="Comma 3 10 2 2 3 2" xfId="32575"/>
    <cellStyle name="Comma 3 10 2 2 4" xfId="18844"/>
    <cellStyle name="Comma 3 10 2 2 4 2" xfId="38727"/>
    <cellStyle name="Comma 3 10 2 2 5" xfId="26422"/>
    <cellStyle name="Comma 3 10 2 3" xfId="8030"/>
    <cellStyle name="Comma 3 10 2 3 2" xfId="14224"/>
    <cellStyle name="Comma 3 10 2 3 2 2" xfId="34107"/>
    <cellStyle name="Comma 3 10 2 3 3" xfId="20376"/>
    <cellStyle name="Comma 3 10 2 3 3 2" xfId="40259"/>
    <cellStyle name="Comma 3 10 2 3 4" xfId="27954"/>
    <cellStyle name="Comma 3 10 2 4" xfId="11158"/>
    <cellStyle name="Comma 3 10 2 4 2" xfId="31041"/>
    <cellStyle name="Comma 3 10 2 5" xfId="17310"/>
    <cellStyle name="Comma 3 10 2 5 2" xfId="37193"/>
    <cellStyle name="Comma 3 10 2 6" xfId="24888"/>
    <cellStyle name="Comma 3 10 3" xfId="5693"/>
    <cellStyle name="Comma 3 10 3 2" xfId="8796"/>
    <cellStyle name="Comma 3 10 3 2 2" xfId="14989"/>
    <cellStyle name="Comma 3 10 3 2 2 2" xfId="34872"/>
    <cellStyle name="Comma 3 10 3 2 3" xfId="21141"/>
    <cellStyle name="Comma 3 10 3 2 3 2" xfId="41024"/>
    <cellStyle name="Comma 3 10 3 2 4" xfId="28719"/>
    <cellStyle name="Comma 3 10 3 3" xfId="11923"/>
    <cellStyle name="Comma 3 10 3 3 2" xfId="31806"/>
    <cellStyle name="Comma 3 10 3 4" xfId="18075"/>
    <cellStyle name="Comma 3 10 3 4 2" xfId="37958"/>
    <cellStyle name="Comma 3 10 3 5" xfId="25653"/>
    <cellStyle name="Comma 3 10 4" xfId="7261"/>
    <cellStyle name="Comma 3 10 4 2" xfId="13455"/>
    <cellStyle name="Comma 3 10 4 2 2" xfId="33338"/>
    <cellStyle name="Comma 3 10 4 3" xfId="19607"/>
    <cellStyle name="Comma 3 10 4 3 2" xfId="39490"/>
    <cellStyle name="Comma 3 10 4 4" xfId="27185"/>
    <cellStyle name="Comma 3 10 5" xfId="10389"/>
    <cellStyle name="Comma 3 10 5 2" xfId="30272"/>
    <cellStyle name="Comma 3 10 6" xfId="16541"/>
    <cellStyle name="Comma 3 10 6 2" xfId="36424"/>
    <cellStyle name="Comma 3 10 7" xfId="1682"/>
    <cellStyle name="Comma 3 10 7 2" xfId="24119"/>
    <cellStyle name="Comma 3 11" xfId="402"/>
    <cellStyle name="Comma 3 11 2" xfId="4855"/>
    <cellStyle name="Comma 3 11 2 2" xfId="6480"/>
    <cellStyle name="Comma 3 11 2 2 2" xfId="9566"/>
    <cellStyle name="Comma 3 11 2 2 2 2" xfId="15759"/>
    <cellStyle name="Comma 3 11 2 2 2 2 2" xfId="35642"/>
    <cellStyle name="Comma 3 11 2 2 2 3" xfId="21911"/>
    <cellStyle name="Comma 3 11 2 2 2 3 2" xfId="41794"/>
    <cellStyle name="Comma 3 11 2 2 2 4" xfId="29489"/>
    <cellStyle name="Comma 3 11 2 2 3" xfId="12693"/>
    <cellStyle name="Comma 3 11 2 2 3 2" xfId="32576"/>
    <cellStyle name="Comma 3 11 2 2 4" xfId="18845"/>
    <cellStyle name="Comma 3 11 2 2 4 2" xfId="38728"/>
    <cellStyle name="Comma 3 11 2 2 5" xfId="26423"/>
    <cellStyle name="Comma 3 11 2 3" xfId="8031"/>
    <cellStyle name="Comma 3 11 2 3 2" xfId="14225"/>
    <cellStyle name="Comma 3 11 2 3 2 2" xfId="34108"/>
    <cellStyle name="Comma 3 11 2 3 3" xfId="20377"/>
    <cellStyle name="Comma 3 11 2 3 3 2" xfId="40260"/>
    <cellStyle name="Comma 3 11 2 3 4" xfId="27955"/>
    <cellStyle name="Comma 3 11 2 4" xfId="11159"/>
    <cellStyle name="Comma 3 11 2 4 2" xfId="31042"/>
    <cellStyle name="Comma 3 11 2 5" xfId="17311"/>
    <cellStyle name="Comma 3 11 2 5 2" xfId="37194"/>
    <cellStyle name="Comma 3 11 2 6" xfId="24889"/>
    <cellStyle name="Comma 3 11 3" xfId="5694"/>
    <cellStyle name="Comma 3 11 3 2" xfId="8797"/>
    <cellStyle name="Comma 3 11 3 2 2" xfId="14990"/>
    <cellStyle name="Comma 3 11 3 2 2 2" xfId="34873"/>
    <cellStyle name="Comma 3 11 3 2 3" xfId="21142"/>
    <cellStyle name="Comma 3 11 3 2 3 2" xfId="41025"/>
    <cellStyle name="Comma 3 11 3 2 4" xfId="28720"/>
    <cellStyle name="Comma 3 11 3 3" xfId="11924"/>
    <cellStyle name="Comma 3 11 3 3 2" xfId="31807"/>
    <cellStyle name="Comma 3 11 3 4" xfId="18076"/>
    <cellStyle name="Comma 3 11 3 4 2" xfId="37959"/>
    <cellStyle name="Comma 3 11 3 5" xfId="25654"/>
    <cellStyle name="Comma 3 11 4" xfId="7262"/>
    <cellStyle name="Comma 3 11 4 2" xfId="13456"/>
    <cellStyle name="Comma 3 11 4 2 2" xfId="33339"/>
    <cellStyle name="Comma 3 11 4 3" xfId="19608"/>
    <cellStyle name="Comma 3 11 4 3 2" xfId="39491"/>
    <cellStyle name="Comma 3 11 4 4" xfId="27186"/>
    <cellStyle name="Comma 3 11 5" xfId="10390"/>
    <cellStyle name="Comma 3 11 5 2" xfId="30273"/>
    <cellStyle name="Comma 3 11 6" xfId="16542"/>
    <cellStyle name="Comma 3 11 6 2" xfId="36425"/>
    <cellStyle name="Comma 3 11 7" xfId="1683"/>
    <cellStyle name="Comma 3 11 7 2" xfId="24120"/>
    <cellStyle name="Comma 3 12" xfId="414"/>
    <cellStyle name="Comma 3 12 2" xfId="4856"/>
    <cellStyle name="Comma 3 12 2 2" xfId="6481"/>
    <cellStyle name="Comma 3 12 2 2 2" xfId="9567"/>
    <cellStyle name="Comma 3 12 2 2 2 2" xfId="15760"/>
    <cellStyle name="Comma 3 12 2 2 2 2 2" xfId="35643"/>
    <cellStyle name="Comma 3 12 2 2 2 3" xfId="21912"/>
    <cellStyle name="Comma 3 12 2 2 2 3 2" xfId="41795"/>
    <cellStyle name="Comma 3 12 2 2 2 4" xfId="29490"/>
    <cellStyle name="Comma 3 12 2 2 3" xfId="12694"/>
    <cellStyle name="Comma 3 12 2 2 3 2" xfId="32577"/>
    <cellStyle name="Comma 3 12 2 2 4" xfId="18846"/>
    <cellStyle name="Comma 3 12 2 2 4 2" xfId="38729"/>
    <cellStyle name="Comma 3 12 2 2 5" xfId="26424"/>
    <cellStyle name="Comma 3 12 2 3" xfId="8032"/>
    <cellStyle name="Comma 3 12 2 3 2" xfId="14226"/>
    <cellStyle name="Comma 3 12 2 3 2 2" xfId="34109"/>
    <cellStyle name="Comma 3 12 2 3 3" xfId="20378"/>
    <cellStyle name="Comma 3 12 2 3 3 2" xfId="40261"/>
    <cellStyle name="Comma 3 12 2 3 4" xfId="27956"/>
    <cellStyle name="Comma 3 12 2 4" xfId="11160"/>
    <cellStyle name="Comma 3 12 2 4 2" xfId="31043"/>
    <cellStyle name="Comma 3 12 2 5" xfId="17312"/>
    <cellStyle name="Comma 3 12 2 5 2" xfId="37195"/>
    <cellStyle name="Comma 3 12 2 6" xfId="24890"/>
    <cellStyle name="Comma 3 12 3" xfId="5695"/>
    <cellStyle name="Comma 3 12 3 2" xfId="8798"/>
    <cellStyle name="Comma 3 12 3 2 2" xfId="14991"/>
    <cellStyle name="Comma 3 12 3 2 2 2" xfId="34874"/>
    <cellStyle name="Comma 3 12 3 2 3" xfId="21143"/>
    <cellStyle name="Comma 3 12 3 2 3 2" xfId="41026"/>
    <cellStyle name="Comma 3 12 3 2 4" xfId="28721"/>
    <cellStyle name="Comma 3 12 3 3" xfId="11925"/>
    <cellStyle name="Comma 3 12 3 3 2" xfId="31808"/>
    <cellStyle name="Comma 3 12 3 4" xfId="18077"/>
    <cellStyle name="Comma 3 12 3 4 2" xfId="37960"/>
    <cellStyle name="Comma 3 12 3 5" xfId="25655"/>
    <cellStyle name="Comma 3 12 4" xfId="7263"/>
    <cellStyle name="Comma 3 12 4 2" xfId="13457"/>
    <cellStyle name="Comma 3 12 4 2 2" xfId="33340"/>
    <cellStyle name="Comma 3 12 4 3" xfId="19609"/>
    <cellStyle name="Comma 3 12 4 3 2" xfId="39492"/>
    <cellStyle name="Comma 3 12 4 4" xfId="27187"/>
    <cellStyle name="Comma 3 12 5" xfId="10391"/>
    <cellStyle name="Comma 3 12 5 2" xfId="30274"/>
    <cellStyle name="Comma 3 12 6" xfId="16543"/>
    <cellStyle name="Comma 3 12 6 2" xfId="36426"/>
    <cellStyle name="Comma 3 12 7" xfId="1684"/>
    <cellStyle name="Comma 3 12 7 2" xfId="24121"/>
    <cellStyle name="Comma 3 13" xfId="426"/>
    <cellStyle name="Comma 3 13 2" xfId="4857"/>
    <cellStyle name="Comma 3 13 2 2" xfId="6482"/>
    <cellStyle name="Comma 3 13 2 2 2" xfId="9568"/>
    <cellStyle name="Comma 3 13 2 2 2 2" xfId="15761"/>
    <cellStyle name="Comma 3 13 2 2 2 2 2" xfId="35644"/>
    <cellStyle name="Comma 3 13 2 2 2 3" xfId="21913"/>
    <cellStyle name="Comma 3 13 2 2 2 3 2" xfId="41796"/>
    <cellStyle name="Comma 3 13 2 2 2 4" xfId="29491"/>
    <cellStyle name="Comma 3 13 2 2 3" xfId="12695"/>
    <cellStyle name="Comma 3 13 2 2 3 2" xfId="32578"/>
    <cellStyle name="Comma 3 13 2 2 4" xfId="18847"/>
    <cellStyle name="Comma 3 13 2 2 4 2" xfId="38730"/>
    <cellStyle name="Comma 3 13 2 2 5" xfId="26425"/>
    <cellStyle name="Comma 3 13 2 3" xfId="8033"/>
    <cellStyle name="Comma 3 13 2 3 2" xfId="14227"/>
    <cellStyle name="Comma 3 13 2 3 2 2" xfId="34110"/>
    <cellStyle name="Comma 3 13 2 3 3" xfId="20379"/>
    <cellStyle name="Comma 3 13 2 3 3 2" xfId="40262"/>
    <cellStyle name="Comma 3 13 2 3 4" xfId="27957"/>
    <cellStyle name="Comma 3 13 2 4" xfId="11161"/>
    <cellStyle name="Comma 3 13 2 4 2" xfId="31044"/>
    <cellStyle name="Comma 3 13 2 5" xfId="17313"/>
    <cellStyle name="Comma 3 13 2 5 2" xfId="37196"/>
    <cellStyle name="Comma 3 13 2 6" xfId="24891"/>
    <cellStyle name="Comma 3 13 3" xfId="5696"/>
    <cellStyle name="Comma 3 13 3 2" xfId="8799"/>
    <cellStyle name="Comma 3 13 3 2 2" xfId="14992"/>
    <cellStyle name="Comma 3 13 3 2 2 2" xfId="34875"/>
    <cellStyle name="Comma 3 13 3 2 3" xfId="21144"/>
    <cellStyle name="Comma 3 13 3 2 3 2" xfId="41027"/>
    <cellStyle name="Comma 3 13 3 2 4" xfId="28722"/>
    <cellStyle name="Comma 3 13 3 3" xfId="11926"/>
    <cellStyle name="Comma 3 13 3 3 2" xfId="31809"/>
    <cellStyle name="Comma 3 13 3 4" xfId="18078"/>
    <cellStyle name="Comma 3 13 3 4 2" xfId="37961"/>
    <cellStyle name="Comma 3 13 3 5" xfId="25656"/>
    <cellStyle name="Comma 3 13 4" xfId="7264"/>
    <cellStyle name="Comma 3 13 4 2" xfId="13458"/>
    <cellStyle name="Comma 3 13 4 2 2" xfId="33341"/>
    <cellStyle name="Comma 3 13 4 3" xfId="19610"/>
    <cellStyle name="Comma 3 13 4 3 2" xfId="39493"/>
    <cellStyle name="Comma 3 13 4 4" xfId="27188"/>
    <cellStyle name="Comma 3 13 5" xfId="10392"/>
    <cellStyle name="Comma 3 13 5 2" xfId="30275"/>
    <cellStyle name="Comma 3 13 6" xfId="16544"/>
    <cellStyle name="Comma 3 13 6 2" xfId="36427"/>
    <cellStyle name="Comma 3 13 7" xfId="1685"/>
    <cellStyle name="Comma 3 13 7 2" xfId="24122"/>
    <cellStyle name="Comma 3 14" xfId="438"/>
    <cellStyle name="Comma 3 14 2" xfId="4858"/>
    <cellStyle name="Comma 3 14 2 2" xfId="6483"/>
    <cellStyle name="Comma 3 14 2 2 2" xfId="9569"/>
    <cellStyle name="Comma 3 14 2 2 2 2" xfId="15762"/>
    <cellStyle name="Comma 3 14 2 2 2 2 2" xfId="35645"/>
    <cellStyle name="Comma 3 14 2 2 2 3" xfId="21914"/>
    <cellStyle name="Comma 3 14 2 2 2 3 2" xfId="41797"/>
    <cellStyle name="Comma 3 14 2 2 2 4" xfId="29492"/>
    <cellStyle name="Comma 3 14 2 2 3" xfId="12696"/>
    <cellStyle name="Comma 3 14 2 2 3 2" xfId="32579"/>
    <cellStyle name="Comma 3 14 2 2 4" xfId="18848"/>
    <cellStyle name="Comma 3 14 2 2 4 2" xfId="38731"/>
    <cellStyle name="Comma 3 14 2 2 5" xfId="26426"/>
    <cellStyle name="Comma 3 14 2 3" xfId="8034"/>
    <cellStyle name="Comma 3 14 2 3 2" xfId="14228"/>
    <cellStyle name="Comma 3 14 2 3 2 2" xfId="34111"/>
    <cellStyle name="Comma 3 14 2 3 3" xfId="20380"/>
    <cellStyle name="Comma 3 14 2 3 3 2" xfId="40263"/>
    <cellStyle name="Comma 3 14 2 3 4" xfId="27958"/>
    <cellStyle name="Comma 3 14 2 4" xfId="11162"/>
    <cellStyle name="Comma 3 14 2 4 2" xfId="31045"/>
    <cellStyle name="Comma 3 14 2 5" xfId="17314"/>
    <cellStyle name="Comma 3 14 2 5 2" xfId="37197"/>
    <cellStyle name="Comma 3 14 2 6" xfId="24892"/>
    <cellStyle name="Comma 3 14 3" xfId="5697"/>
    <cellStyle name="Comma 3 14 3 2" xfId="8800"/>
    <cellStyle name="Comma 3 14 3 2 2" xfId="14993"/>
    <cellStyle name="Comma 3 14 3 2 2 2" xfId="34876"/>
    <cellStyle name="Comma 3 14 3 2 3" xfId="21145"/>
    <cellStyle name="Comma 3 14 3 2 3 2" xfId="41028"/>
    <cellStyle name="Comma 3 14 3 2 4" xfId="28723"/>
    <cellStyle name="Comma 3 14 3 3" xfId="11927"/>
    <cellStyle name="Comma 3 14 3 3 2" xfId="31810"/>
    <cellStyle name="Comma 3 14 3 4" xfId="18079"/>
    <cellStyle name="Comma 3 14 3 4 2" xfId="37962"/>
    <cellStyle name="Comma 3 14 3 5" xfId="25657"/>
    <cellStyle name="Comma 3 14 4" xfId="7265"/>
    <cellStyle name="Comma 3 14 4 2" xfId="13459"/>
    <cellStyle name="Comma 3 14 4 2 2" xfId="33342"/>
    <cellStyle name="Comma 3 14 4 3" xfId="19611"/>
    <cellStyle name="Comma 3 14 4 3 2" xfId="39494"/>
    <cellStyle name="Comma 3 14 4 4" xfId="27189"/>
    <cellStyle name="Comma 3 14 5" xfId="10393"/>
    <cellStyle name="Comma 3 14 5 2" xfId="30276"/>
    <cellStyle name="Comma 3 14 6" xfId="16545"/>
    <cellStyle name="Comma 3 14 6 2" xfId="36428"/>
    <cellStyle name="Comma 3 14 7" xfId="1686"/>
    <cellStyle name="Comma 3 14 7 2" xfId="24123"/>
    <cellStyle name="Comma 3 15" xfId="459"/>
    <cellStyle name="Comma 3 15 2" xfId="4859"/>
    <cellStyle name="Comma 3 15 2 2" xfId="6484"/>
    <cellStyle name="Comma 3 15 2 2 2" xfId="9570"/>
    <cellStyle name="Comma 3 15 2 2 2 2" xfId="15763"/>
    <cellStyle name="Comma 3 15 2 2 2 2 2" xfId="35646"/>
    <cellStyle name="Comma 3 15 2 2 2 3" xfId="21915"/>
    <cellStyle name="Comma 3 15 2 2 2 3 2" xfId="41798"/>
    <cellStyle name="Comma 3 15 2 2 2 4" xfId="29493"/>
    <cellStyle name="Comma 3 15 2 2 3" xfId="12697"/>
    <cellStyle name="Comma 3 15 2 2 3 2" xfId="32580"/>
    <cellStyle name="Comma 3 15 2 2 4" xfId="18849"/>
    <cellStyle name="Comma 3 15 2 2 4 2" xfId="38732"/>
    <cellStyle name="Comma 3 15 2 2 5" xfId="26427"/>
    <cellStyle name="Comma 3 15 2 3" xfId="8035"/>
    <cellStyle name="Comma 3 15 2 3 2" xfId="14229"/>
    <cellStyle name="Comma 3 15 2 3 2 2" xfId="34112"/>
    <cellStyle name="Comma 3 15 2 3 3" xfId="20381"/>
    <cellStyle name="Comma 3 15 2 3 3 2" xfId="40264"/>
    <cellStyle name="Comma 3 15 2 3 4" xfId="27959"/>
    <cellStyle name="Comma 3 15 2 4" xfId="11163"/>
    <cellStyle name="Comma 3 15 2 4 2" xfId="31046"/>
    <cellStyle name="Comma 3 15 2 5" xfId="17315"/>
    <cellStyle name="Comma 3 15 2 5 2" xfId="37198"/>
    <cellStyle name="Comma 3 15 2 6" xfId="24893"/>
    <cellStyle name="Comma 3 15 3" xfId="5698"/>
    <cellStyle name="Comma 3 15 3 2" xfId="8801"/>
    <cellStyle name="Comma 3 15 3 2 2" xfId="14994"/>
    <cellStyle name="Comma 3 15 3 2 2 2" xfId="34877"/>
    <cellStyle name="Comma 3 15 3 2 3" xfId="21146"/>
    <cellStyle name="Comma 3 15 3 2 3 2" xfId="41029"/>
    <cellStyle name="Comma 3 15 3 2 4" xfId="28724"/>
    <cellStyle name="Comma 3 15 3 3" xfId="11928"/>
    <cellStyle name="Comma 3 15 3 3 2" xfId="31811"/>
    <cellStyle name="Comma 3 15 3 4" xfId="18080"/>
    <cellStyle name="Comma 3 15 3 4 2" xfId="37963"/>
    <cellStyle name="Comma 3 15 3 5" xfId="25658"/>
    <cellStyle name="Comma 3 15 4" xfId="7266"/>
    <cellStyle name="Comma 3 15 4 2" xfId="13460"/>
    <cellStyle name="Comma 3 15 4 2 2" xfId="33343"/>
    <cellStyle name="Comma 3 15 4 3" xfId="19612"/>
    <cellStyle name="Comma 3 15 4 3 2" xfId="39495"/>
    <cellStyle name="Comma 3 15 4 4" xfId="27190"/>
    <cellStyle name="Comma 3 15 5" xfId="10394"/>
    <cellStyle name="Comma 3 15 5 2" xfId="30277"/>
    <cellStyle name="Comma 3 15 6" xfId="16546"/>
    <cellStyle name="Comma 3 15 6 2" xfId="36429"/>
    <cellStyle name="Comma 3 15 7" xfId="1687"/>
    <cellStyle name="Comma 3 15 7 2" xfId="24124"/>
    <cellStyle name="Comma 3 16" xfId="476"/>
    <cellStyle name="Comma 3 16 2" xfId="4860"/>
    <cellStyle name="Comma 3 16 2 2" xfId="6485"/>
    <cellStyle name="Comma 3 16 2 2 2" xfId="9571"/>
    <cellStyle name="Comma 3 16 2 2 2 2" xfId="15764"/>
    <cellStyle name="Comma 3 16 2 2 2 2 2" xfId="35647"/>
    <cellStyle name="Comma 3 16 2 2 2 3" xfId="21916"/>
    <cellStyle name="Comma 3 16 2 2 2 3 2" xfId="41799"/>
    <cellStyle name="Comma 3 16 2 2 2 4" xfId="29494"/>
    <cellStyle name="Comma 3 16 2 2 3" xfId="12698"/>
    <cellStyle name="Comma 3 16 2 2 3 2" xfId="32581"/>
    <cellStyle name="Comma 3 16 2 2 4" xfId="18850"/>
    <cellStyle name="Comma 3 16 2 2 4 2" xfId="38733"/>
    <cellStyle name="Comma 3 16 2 2 5" xfId="26428"/>
    <cellStyle name="Comma 3 16 2 3" xfId="8036"/>
    <cellStyle name="Comma 3 16 2 3 2" xfId="14230"/>
    <cellStyle name="Comma 3 16 2 3 2 2" xfId="34113"/>
    <cellStyle name="Comma 3 16 2 3 3" xfId="20382"/>
    <cellStyle name="Comma 3 16 2 3 3 2" xfId="40265"/>
    <cellStyle name="Comma 3 16 2 3 4" xfId="27960"/>
    <cellStyle name="Comma 3 16 2 4" xfId="11164"/>
    <cellStyle name="Comma 3 16 2 4 2" xfId="31047"/>
    <cellStyle name="Comma 3 16 2 5" xfId="17316"/>
    <cellStyle name="Comma 3 16 2 5 2" xfId="37199"/>
    <cellStyle name="Comma 3 16 2 6" xfId="24894"/>
    <cellStyle name="Comma 3 16 3" xfId="5699"/>
    <cellStyle name="Comma 3 16 3 2" xfId="8802"/>
    <cellStyle name="Comma 3 16 3 2 2" xfId="14995"/>
    <cellStyle name="Comma 3 16 3 2 2 2" xfId="34878"/>
    <cellStyle name="Comma 3 16 3 2 3" xfId="21147"/>
    <cellStyle name="Comma 3 16 3 2 3 2" xfId="41030"/>
    <cellStyle name="Comma 3 16 3 2 4" xfId="28725"/>
    <cellStyle name="Comma 3 16 3 3" xfId="11929"/>
    <cellStyle name="Comma 3 16 3 3 2" xfId="31812"/>
    <cellStyle name="Comma 3 16 3 4" xfId="18081"/>
    <cellStyle name="Comma 3 16 3 4 2" xfId="37964"/>
    <cellStyle name="Comma 3 16 3 5" xfId="25659"/>
    <cellStyle name="Comma 3 16 4" xfId="7267"/>
    <cellStyle name="Comma 3 16 4 2" xfId="13461"/>
    <cellStyle name="Comma 3 16 4 2 2" xfId="33344"/>
    <cellStyle name="Comma 3 16 4 3" xfId="19613"/>
    <cellStyle name="Comma 3 16 4 3 2" xfId="39496"/>
    <cellStyle name="Comma 3 16 4 4" xfId="27191"/>
    <cellStyle name="Comma 3 16 5" xfId="10395"/>
    <cellStyle name="Comma 3 16 5 2" xfId="30278"/>
    <cellStyle name="Comma 3 16 6" xfId="16547"/>
    <cellStyle name="Comma 3 16 6 2" xfId="36430"/>
    <cellStyle name="Comma 3 16 7" xfId="1688"/>
    <cellStyle name="Comma 3 16 7 2" xfId="24125"/>
    <cellStyle name="Comma 3 17" xfId="490"/>
    <cellStyle name="Comma 3 17 2" xfId="4861"/>
    <cellStyle name="Comma 3 17 2 2" xfId="6486"/>
    <cellStyle name="Comma 3 17 2 2 2" xfId="9572"/>
    <cellStyle name="Comma 3 17 2 2 2 2" xfId="15765"/>
    <cellStyle name="Comma 3 17 2 2 2 2 2" xfId="35648"/>
    <cellStyle name="Comma 3 17 2 2 2 3" xfId="21917"/>
    <cellStyle name="Comma 3 17 2 2 2 3 2" xfId="41800"/>
    <cellStyle name="Comma 3 17 2 2 2 4" xfId="29495"/>
    <cellStyle name="Comma 3 17 2 2 3" xfId="12699"/>
    <cellStyle name="Comma 3 17 2 2 3 2" xfId="32582"/>
    <cellStyle name="Comma 3 17 2 2 4" xfId="18851"/>
    <cellStyle name="Comma 3 17 2 2 4 2" xfId="38734"/>
    <cellStyle name="Comma 3 17 2 2 5" xfId="26429"/>
    <cellStyle name="Comma 3 17 2 3" xfId="8037"/>
    <cellStyle name="Comma 3 17 2 3 2" xfId="14231"/>
    <cellStyle name="Comma 3 17 2 3 2 2" xfId="34114"/>
    <cellStyle name="Comma 3 17 2 3 3" xfId="20383"/>
    <cellStyle name="Comma 3 17 2 3 3 2" xfId="40266"/>
    <cellStyle name="Comma 3 17 2 3 4" xfId="27961"/>
    <cellStyle name="Comma 3 17 2 4" xfId="11165"/>
    <cellStyle name="Comma 3 17 2 4 2" xfId="31048"/>
    <cellStyle name="Comma 3 17 2 5" xfId="17317"/>
    <cellStyle name="Comma 3 17 2 5 2" xfId="37200"/>
    <cellStyle name="Comma 3 17 2 6" xfId="24895"/>
    <cellStyle name="Comma 3 17 3" xfId="5700"/>
    <cellStyle name="Comma 3 17 3 2" xfId="8803"/>
    <cellStyle name="Comma 3 17 3 2 2" xfId="14996"/>
    <cellStyle name="Comma 3 17 3 2 2 2" xfId="34879"/>
    <cellStyle name="Comma 3 17 3 2 3" xfId="21148"/>
    <cellStyle name="Comma 3 17 3 2 3 2" xfId="41031"/>
    <cellStyle name="Comma 3 17 3 2 4" xfId="28726"/>
    <cellStyle name="Comma 3 17 3 3" xfId="11930"/>
    <cellStyle name="Comma 3 17 3 3 2" xfId="31813"/>
    <cellStyle name="Comma 3 17 3 4" xfId="18082"/>
    <cellStyle name="Comma 3 17 3 4 2" xfId="37965"/>
    <cellStyle name="Comma 3 17 3 5" xfId="25660"/>
    <cellStyle name="Comma 3 17 4" xfId="7268"/>
    <cellStyle name="Comma 3 17 4 2" xfId="13462"/>
    <cellStyle name="Comma 3 17 4 2 2" xfId="33345"/>
    <cellStyle name="Comma 3 17 4 3" xfId="19614"/>
    <cellStyle name="Comma 3 17 4 3 2" xfId="39497"/>
    <cellStyle name="Comma 3 17 4 4" xfId="27192"/>
    <cellStyle name="Comma 3 17 5" xfId="10396"/>
    <cellStyle name="Comma 3 17 5 2" xfId="30279"/>
    <cellStyle name="Comma 3 17 6" xfId="16548"/>
    <cellStyle name="Comma 3 17 6 2" xfId="36431"/>
    <cellStyle name="Comma 3 17 7" xfId="1689"/>
    <cellStyle name="Comma 3 17 7 2" xfId="24126"/>
    <cellStyle name="Comma 3 18" xfId="532"/>
    <cellStyle name="Comma 3 18 2" xfId="4862"/>
    <cellStyle name="Comma 3 18 2 2" xfId="6487"/>
    <cellStyle name="Comma 3 18 2 2 2" xfId="9573"/>
    <cellStyle name="Comma 3 18 2 2 2 2" xfId="15766"/>
    <cellStyle name="Comma 3 18 2 2 2 2 2" xfId="35649"/>
    <cellStyle name="Comma 3 18 2 2 2 3" xfId="21918"/>
    <cellStyle name="Comma 3 18 2 2 2 3 2" xfId="41801"/>
    <cellStyle name="Comma 3 18 2 2 2 4" xfId="29496"/>
    <cellStyle name="Comma 3 18 2 2 3" xfId="12700"/>
    <cellStyle name="Comma 3 18 2 2 3 2" xfId="32583"/>
    <cellStyle name="Comma 3 18 2 2 4" xfId="18852"/>
    <cellStyle name="Comma 3 18 2 2 4 2" xfId="38735"/>
    <cellStyle name="Comma 3 18 2 2 5" xfId="26430"/>
    <cellStyle name="Comma 3 18 2 3" xfId="8038"/>
    <cellStyle name="Comma 3 18 2 3 2" xfId="14232"/>
    <cellStyle name="Comma 3 18 2 3 2 2" xfId="34115"/>
    <cellStyle name="Comma 3 18 2 3 3" xfId="20384"/>
    <cellStyle name="Comma 3 18 2 3 3 2" xfId="40267"/>
    <cellStyle name="Comma 3 18 2 3 4" xfId="27962"/>
    <cellStyle name="Comma 3 18 2 4" xfId="11166"/>
    <cellStyle name="Comma 3 18 2 4 2" xfId="31049"/>
    <cellStyle name="Comma 3 18 2 5" xfId="17318"/>
    <cellStyle name="Comma 3 18 2 5 2" xfId="37201"/>
    <cellStyle name="Comma 3 18 2 6" xfId="24896"/>
    <cellStyle name="Comma 3 18 3" xfId="5701"/>
    <cellStyle name="Comma 3 18 3 2" xfId="8804"/>
    <cellStyle name="Comma 3 18 3 2 2" xfId="14997"/>
    <cellStyle name="Comma 3 18 3 2 2 2" xfId="34880"/>
    <cellStyle name="Comma 3 18 3 2 3" xfId="21149"/>
    <cellStyle name="Comma 3 18 3 2 3 2" xfId="41032"/>
    <cellStyle name="Comma 3 18 3 2 4" xfId="28727"/>
    <cellStyle name="Comma 3 18 3 3" xfId="11931"/>
    <cellStyle name="Comma 3 18 3 3 2" xfId="31814"/>
    <cellStyle name="Comma 3 18 3 4" xfId="18083"/>
    <cellStyle name="Comma 3 18 3 4 2" xfId="37966"/>
    <cellStyle name="Comma 3 18 3 5" xfId="25661"/>
    <cellStyle name="Comma 3 18 4" xfId="7269"/>
    <cellStyle name="Comma 3 18 4 2" xfId="13463"/>
    <cellStyle name="Comma 3 18 4 2 2" xfId="33346"/>
    <cellStyle name="Comma 3 18 4 3" xfId="19615"/>
    <cellStyle name="Comma 3 18 4 3 2" xfId="39498"/>
    <cellStyle name="Comma 3 18 4 4" xfId="27193"/>
    <cellStyle name="Comma 3 18 5" xfId="10397"/>
    <cellStyle name="Comma 3 18 5 2" xfId="30280"/>
    <cellStyle name="Comma 3 18 6" xfId="16549"/>
    <cellStyle name="Comma 3 18 6 2" xfId="36432"/>
    <cellStyle name="Comma 3 18 7" xfId="1690"/>
    <cellStyle name="Comma 3 18 7 2" xfId="24127"/>
    <cellStyle name="Comma 3 19" xfId="559"/>
    <cellStyle name="Comma 3 19 2" xfId="4863"/>
    <cellStyle name="Comma 3 19 2 2" xfId="6488"/>
    <cellStyle name="Comma 3 19 2 2 2" xfId="9574"/>
    <cellStyle name="Comma 3 19 2 2 2 2" xfId="15767"/>
    <cellStyle name="Comma 3 19 2 2 2 2 2" xfId="35650"/>
    <cellStyle name="Comma 3 19 2 2 2 3" xfId="21919"/>
    <cellStyle name="Comma 3 19 2 2 2 3 2" xfId="41802"/>
    <cellStyle name="Comma 3 19 2 2 2 4" xfId="29497"/>
    <cellStyle name="Comma 3 19 2 2 3" xfId="12701"/>
    <cellStyle name="Comma 3 19 2 2 3 2" xfId="32584"/>
    <cellStyle name="Comma 3 19 2 2 4" xfId="18853"/>
    <cellStyle name="Comma 3 19 2 2 4 2" xfId="38736"/>
    <cellStyle name="Comma 3 19 2 2 5" xfId="26431"/>
    <cellStyle name="Comma 3 19 2 3" xfId="8039"/>
    <cellStyle name="Comma 3 19 2 3 2" xfId="14233"/>
    <cellStyle name="Comma 3 19 2 3 2 2" xfId="34116"/>
    <cellStyle name="Comma 3 19 2 3 3" xfId="20385"/>
    <cellStyle name="Comma 3 19 2 3 3 2" xfId="40268"/>
    <cellStyle name="Comma 3 19 2 3 4" xfId="27963"/>
    <cellStyle name="Comma 3 19 2 4" xfId="11167"/>
    <cellStyle name="Comma 3 19 2 4 2" xfId="31050"/>
    <cellStyle name="Comma 3 19 2 5" xfId="17319"/>
    <cellStyle name="Comma 3 19 2 5 2" xfId="37202"/>
    <cellStyle name="Comma 3 19 2 6" xfId="24897"/>
    <cellStyle name="Comma 3 19 3" xfId="5702"/>
    <cellStyle name="Comma 3 19 3 2" xfId="8805"/>
    <cellStyle name="Comma 3 19 3 2 2" xfId="14998"/>
    <cellStyle name="Comma 3 19 3 2 2 2" xfId="34881"/>
    <cellStyle name="Comma 3 19 3 2 3" xfId="21150"/>
    <cellStyle name="Comma 3 19 3 2 3 2" xfId="41033"/>
    <cellStyle name="Comma 3 19 3 2 4" xfId="28728"/>
    <cellStyle name="Comma 3 19 3 3" xfId="11932"/>
    <cellStyle name="Comma 3 19 3 3 2" xfId="31815"/>
    <cellStyle name="Comma 3 19 3 4" xfId="18084"/>
    <cellStyle name="Comma 3 19 3 4 2" xfId="37967"/>
    <cellStyle name="Comma 3 19 3 5" xfId="25662"/>
    <cellStyle name="Comma 3 19 4" xfId="7270"/>
    <cellStyle name="Comma 3 19 4 2" xfId="13464"/>
    <cellStyle name="Comma 3 19 4 2 2" xfId="33347"/>
    <cellStyle name="Comma 3 19 4 3" xfId="19616"/>
    <cellStyle name="Comma 3 19 4 3 2" xfId="39499"/>
    <cellStyle name="Comma 3 19 4 4" xfId="27194"/>
    <cellStyle name="Comma 3 19 5" xfId="10398"/>
    <cellStyle name="Comma 3 19 5 2" xfId="30281"/>
    <cellStyle name="Comma 3 19 6" xfId="16550"/>
    <cellStyle name="Comma 3 19 6 2" xfId="36433"/>
    <cellStyle name="Comma 3 19 7" xfId="1691"/>
    <cellStyle name="Comma 3 19 7 2" xfId="24128"/>
    <cellStyle name="Comma 3 2" xfId="55"/>
    <cellStyle name="Comma 3 2 2" xfId="250"/>
    <cellStyle name="Comma 3 2 2 2" xfId="4864"/>
    <cellStyle name="Comma 3 2 2 2 2" xfId="6489"/>
    <cellStyle name="Comma 3 2 2 2 2 2" xfId="9575"/>
    <cellStyle name="Comma 3 2 2 2 2 2 2" xfId="15768"/>
    <cellStyle name="Comma 3 2 2 2 2 2 2 2" xfId="35651"/>
    <cellStyle name="Comma 3 2 2 2 2 2 3" xfId="21920"/>
    <cellStyle name="Comma 3 2 2 2 2 2 3 2" xfId="41803"/>
    <cellStyle name="Comma 3 2 2 2 2 2 4" xfId="29498"/>
    <cellStyle name="Comma 3 2 2 2 2 3" xfId="12702"/>
    <cellStyle name="Comma 3 2 2 2 2 3 2" xfId="32585"/>
    <cellStyle name="Comma 3 2 2 2 2 4" xfId="18854"/>
    <cellStyle name="Comma 3 2 2 2 2 4 2" xfId="38737"/>
    <cellStyle name="Comma 3 2 2 2 2 5" xfId="26432"/>
    <cellStyle name="Comma 3 2 2 2 3" xfId="8040"/>
    <cellStyle name="Comma 3 2 2 2 3 2" xfId="14234"/>
    <cellStyle name="Comma 3 2 2 2 3 2 2" xfId="34117"/>
    <cellStyle name="Comma 3 2 2 2 3 3" xfId="20386"/>
    <cellStyle name="Comma 3 2 2 2 3 3 2" xfId="40269"/>
    <cellStyle name="Comma 3 2 2 2 3 4" xfId="27964"/>
    <cellStyle name="Comma 3 2 2 2 4" xfId="11168"/>
    <cellStyle name="Comma 3 2 2 2 4 2" xfId="31051"/>
    <cellStyle name="Comma 3 2 2 2 5" xfId="17320"/>
    <cellStyle name="Comma 3 2 2 2 5 2" xfId="37203"/>
    <cellStyle name="Comma 3 2 2 2 6" xfId="24898"/>
    <cellStyle name="Comma 3 2 2 3" xfId="5703"/>
    <cellStyle name="Comma 3 2 2 3 2" xfId="8806"/>
    <cellStyle name="Comma 3 2 2 3 2 2" xfId="14999"/>
    <cellStyle name="Comma 3 2 2 3 2 2 2" xfId="34882"/>
    <cellStyle name="Comma 3 2 2 3 2 3" xfId="21151"/>
    <cellStyle name="Comma 3 2 2 3 2 3 2" xfId="41034"/>
    <cellStyle name="Comma 3 2 2 3 2 4" xfId="28729"/>
    <cellStyle name="Comma 3 2 2 3 3" xfId="11933"/>
    <cellStyle name="Comma 3 2 2 3 3 2" xfId="31816"/>
    <cellStyle name="Comma 3 2 2 3 4" xfId="18085"/>
    <cellStyle name="Comma 3 2 2 3 4 2" xfId="37968"/>
    <cellStyle name="Comma 3 2 2 3 5" xfId="25663"/>
    <cellStyle name="Comma 3 2 2 4" xfId="7271"/>
    <cellStyle name="Comma 3 2 2 4 2" xfId="13465"/>
    <cellStyle name="Comma 3 2 2 4 2 2" xfId="33348"/>
    <cellStyle name="Comma 3 2 2 4 3" xfId="19617"/>
    <cellStyle name="Comma 3 2 2 4 3 2" xfId="39500"/>
    <cellStyle name="Comma 3 2 2 4 4" xfId="27195"/>
    <cellStyle name="Comma 3 2 2 5" xfId="10399"/>
    <cellStyle name="Comma 3 2 2 5 2" xfId="30282"/>
    <cellStyle name="Comma 3 2 2 6" xfId="16551"/>
    <cellStyle name="Comma 3 2 2 6 2" xfId="36434"/>
    <cellStyle name="Comma 3 2 2 7" xfId="1693"/>
    <cellStyle name="Comma 3 2 2 7 2" xfId="24129"/>
    <cellStyle name="Comma 3 2 3" xfId="1694"/>
    <cellStyle name="Comma 3 2 3 2" xfId="4865"/>
    <cellStyle name="Comma 3 2 3 2 2" xfId="6490"/>
    <cellStyle name="Comma 3 2 3 2 2 2" xfId="9576"/>
    <cellStyle name="Comma 3 2 3 2 2 2 2" xfId="15769"/>
    <cellStyle name="Comma 3 2 3 2 2 2 2 2" xfId="35652"/>
    <cellStyle name="Comma 3 2 3 2 2 2 3" xfId="21921"/>
    <cellStyle name="Comma 3 2 3 2 2 2 3 2" xfId="41804"/>
    <cellStyle name="Comma 3 2 3 2 2 2 4" xfId="29499"/>
    <cellStyle name="Comma 3 2 3 2 2 3" xfId="12703"/>
    <cellStyle name="Comma 3 2 3 2 2 3 2" xfId="32586"/>
    <cellStyle name="Comma 3 2 3 2 2 4" xfId="18855"/>
    <cellStyle name="Comma 3 2 3 2 2 4 2" xfId="38738"/>
    <cellStyle name="Comma 3 2 3 2 2 5" xfId="26433"/>
    <cellStyle name="Comma 3 2 3 2 3" xfId="8041"/>
    <cellStyle name="Comma 3 2 3 2 3 2" xfId="14235"/>
    <cellStyle name="Comma 3 2 3 2 3 2 2" xfId="34118"/>
    <cellStyle name="Comma 3 2 3 2 3 3" xfId="20387"/>
    <cellStyle name="Comma 3 2 3 2 3 3 2" xfId="40270"/>
    <cellStyle name="Comma 3 2 3 2 3 4" xfId="27965"/>
    <cellStyle name="Comma 3 2 3 2 4" xfId="11169"/>
    <cellStyle name="Comma 3 2 3 2 4 2" xfId="31052"/>
    <cellStyle name="Comma 3 2 3 2 5" xfId="17321"/>
    <cellStyle name="Comma 3 2 3 2 5 2" xfId="37204"/>
    <cellStyle name="Comma 3 2 3 2 6" xfId="24899"/>
    <cellStyle name="Comma 3 2 3 3" xfId="5704"/>
    <cellStyle name="Comma 3 2 3 3 2" xfId="8807"/>
    <cellStyle name="Comma 3 2 3 3 2 2" xfId="15000"/>
    <cellStyle name="Comma 3 2 3 3 2 2 2" xfId="34883"/>
    <cellStyle name="Comma 3 2 3 3 2 3" xfId="21152"/>
    <cellStyle name="Comma 3 2 3 3 2 3 2" xfId="41035"/>
    <cellStyle name="Comma 3 2 3 3 2 4" xfId="28730"/>
    <cellStyle name="Comma 3 2 3 3 3" xfId="11934"/>
    <cellStyle name="Comma 3 2 3 3 3 2" xfId="31817"/>
    <cellStyle name="Comma 3 2 3 3 4" xfId="18086"/>
    <cellStyle name="Comma 3 2 3 3 4 2" xfId="37969"/>
    <cellStyle name="Comma 3 2 3 3 5" xfId="25664"/>
    <cellStyle name="Comma 3 2 3 4" xfId="7272"/>
    <cellStyle name="Comma 3 2 3 4 2" xfId="13466"/>
    <cellStyle name="Comma 3 2 3 4 2 2" xfId="33349"/>
    <cellStyle name="Comma 3 2 3 4 3" xfId="19618"/>
    <cellStyle name="Comma 3 2 3 4 3 2" xfId="39501"/>
    <cellStyle name="Comma 3 2 3 4 4" xfId="27196"/>
    <cellStyle name="Comma 3 2 3 5" xfId="10400"/>
    <cellStyle name="Comma 3 2 3 5 2" xfId="30283"/>
    <cellStyle name="Comma 3 2 3 6" xfId="16552"/>
    <cellStyle name="Comma 3 2 3 6 2" xfId="36435"/>
    <cellStyle name="Comma 3 2 3 7" xfId="24130"/>
    <cellStyle name="Comma 3 2 4" xfId="1695"/>
    <cellStyle name="Comma 3 2 4 2" xfId="4866"/>
    <cellStyle name="Comma 3 2 4 2 2" xfId="6491"/>
    <cellStyle name="Comma 3 2 4 2 2 2" xfId="9577"/>
    <cellStyle name="Comma 3 2 4 2 2 2 2" xfId="15770"/>
    <cellStyle name="Comma 3 2 4 2 2 2 2 2" xfId="35653"/>
    <cellStyle name="Comma 3 2 4 2 2 2 3" xfId="21922"/>
    <cellStyle name="Comma 3 2 4 2 2 2 3 2" xfId="41805"/>
    <cellStyle name="Comma 3 2 4 2 2 2 4" xfId="29500"/>
    <cellStyle name="Comma 3 2 4 2 2 3" xfId="12704"/>
    <cellStyle name="Comma 3 2 4 2 2 3 2" xfId="32587"/>
    <cellStyle name="Comma 3 2 4 2 2 4" xfId="18856"/>
    <cellStyle name="Comma 3 2 4 2 2 4 2" xfId="38739"/>
    <cellStyle name="Comma 3 2 4 2 2 5" xfId="26434"/>
    <cellStyle name="Comma 3 2 4 2 3" xfId="8042"/>
    <cellStyle name="Comma 3 2 4 2 3 2" xfId="14236"/>
    <cellStyle name="Comma 3 2 4 2 3 2 2" xfId="34119"/>
    <cellStyle name="Comma 3 2 4 2 3 3" xfId="20388"/>
    <cellStyle name="Comma 3 2 4 2 3 3 2" xfId="40271"/>
    <cellStyle name="Comma 3 2 4 2 3 4" xfId="27966"/>
    <cellStyle name="Comma 3 2 4 2 4" xfId="11170"/>
    <cellStyle name="Comma 3 2 4 2 4 2" xfId="31053"/>
    <cellStyle name="Comma 3 2 4 2 5" xfId="17322"/>
    <cellStyle name="Comma 3 2 4 2 5 2" xfId="37205"/>
    <cellStyle name="Comma 3 2 4 2 6" xfId="24900"/>
    <cellStyle name="Comma 3 2 4 3" xfId="5705"/>
    <cellStyle name="Comma 3 2 4 3 2" xfId="8808"/>
    <cellStyle name="Comma 3 2 4 3 2 2" xfId="15001"/>
    <cellStyle name="Comma 3 2 4 3 2 2 2" xfId="34884"/>
    <cellStyle name="Comma 3 2 4 3 2 3" xfId="21153"/>
    <cellStyle name="Comma 3 2 4 3 2 3 2" xfId="41036"/>
    <cellStyle name="Comma 3 2 4 3 2 4" xfId="28731"/>
    <cellStyle name="Comma 3 2 4 3 3" xfId="11935"/>
    <cellStyle name="Comma 3 2 4 3 3 2" xfId="31818"/>
    <cellStyle name="Comma 3 2 4 3 4" xfId="18087"/>
    <cellStyle name="Comma 3 2 4 3 4 2" xfId="37970"/>
    <cellStyle name="Comma 3 2 4 3 5" xfId="25665"/>
    <cellStyle name="Comma 3 2 4 4" xfId="7273"/>
    <cellStyle name="Comma 3 2 4 4 2" xfId="13467"/>
    <cellStyle name="Comma 3 2 4 4 2 2" xfId="33350"/>
    <cellStyle name="Comma 3 2 4 4 3" xfId="19619"/>
    <cellStyle name="Comma 3 2 4 4 3 2" xfId="39502"/>
    <cellStyle name="Comma 3 2 4 4 4" xfId="27197"/>
    <cellStyle name="Comma 3 2 4 5" xfId="10401"/>
    <cellStyle name="Comma 3 2 4 5 2" xfId="30284"/>
    <cellStyle name="Comma 3 2 4 6" xfId="16553"/>
    <cellStyle name="Comma 3 2 4 6 2" xfId="36436"/>
    <cellStyle name="Comma 3 2 4 7" xfId="24131"/>
    <cellStyle name="Comma 3 2 5" xfId="1696"/>
    <cellStyle name="Comma 3 2 5 2" xfId="4867"/>
    <cellStyle name="Comma 3 2 5 2 2" xfId="6492"/>
    <cellStyle name="Comma 3 2 5 2 2 2" xfId="9578"/>
    <cellStyle name="Comma 3 2 5 2 2 2 2" xfId="15771"/>
    <cellStyle name="Comma 3 2 5 2 2 2 2 2" xfId="35654"/>
    <cellStyle name="Comma 3 2 5 2 2 2 3" xfId="21923"/>
    <cellStyle name="Comma 3 2 5 2 2 2 3 2" xfId="41806"/>
    <cellStyle name="Comma 3 2 5 2 2 2 4" xfId="29501"/>
    <cellStyle name="Comma 3 2 5 2 2 3" xfId="12705"/>
    <cellStyle name="Comma 3 2 5 2 2 3 2" xfId="32588"/>
    <cellStyle name="Comma 3 2 5 2 2 4" xfId="18857"/>
    <cellStyle name="Comma 3 2 5 2 2 4 2" xfId="38740"/>
    <cellStyle name="Comma 3 2 5 2 2 5" xfId="26435"/>
    <cellStyle name="Comma 3 2 5 2 3" xfId="8043"/>
    <cellStyle name="Comma 3 2 5 2 3 2" xfId="14237"/>
    <cellStyle name="Comma 3 2 5 2 3 2 2" xfId="34120"/>
    <cellStyle name="Comma 3 2 5 2 3 3" xfId="20389"/>
    <cellStyle name="Comma 3 2 5 2 3 3 2" xfId="40272"/>
    <cellStyle name="Comma 3 2 5 2 3 4" xfId="27967"/>
    <cellStyle name="Comma 3 2 5 2 4" xfId="11171"/>
    <cellStyle name="Comma 3 2 5 2 4 2" xfId="31054"/>
    <cellStyle name="Comma 3 2 5 2 5" xfId="17323"/>
    <cellStyle name="Comma 3 2 5 2 5 2" xfId="37206"/>
    <cellStyle name="Comma 3 2 5 2 6" xfId="24901"/>
    <cellStyle name="Comma 3 2 5 3" xfId="5706"/>
    <cellStyle name="Comma 3 2 5 3 2" xfId="8809"/>
    <cellStyle name="Comma 3 2 5 3 2 2" xfId="15002"/>
    <cellStyle name="Comma 3 2 5 3 2 2 2" xfId="34885"/>
    <cellStyle name="Comma 3 2 5 3 2 3" xfId="21154"/>
    <cellStyle name="Comma 3 2 5 3 2 3 2" xfId="41037"/>
    <cellStyle name="Comma 3 2 5 3 2 4" xfId="28732"/>
    <cellStyle name="Comma 3 2 5 3 3" xfId="11936"/>
    <cellStyle name="Comma 3 2 5 3 3 2" xfId="31819"/>
    <cellStyle name="Comma 3 2 5 3 4" xfId="18088"/>
    <cellStyle name="Comma 3 2 5 3 4 2" xfId="37971"/>
    <cellStyle name="Comma 3 2 5 3 5" xfId="25666"/>
    <cellStyle name="Comma 3 2 5 4" xfId="7274"/>
    <cellStyle name="Comma 3 2 5 4 2" xfId="13468"/>
    <cellStyle name="Comma 3 2 5 4 2 2" xfId="33351"/>
    <cellStyle name="Comma 3 2 5 4 3" xfId="19620"/>
    <cellStyle name="Comma 3 2 5 4 3 2" xfId="39503"/>
    <cellStyle name="Comma 3 2 5 4 4" xfId="27198"/>
    <cellStyle name="Comma 3 2 5 5" xfId="10402"/>
    <cellStyle name="Comma 3 2 5 5 2" xfId="30285"/>
    <cellStyle name="Comma 3 2 5 6" xfId="16554"/>
    <cellStyle name="Comma 3 2 5 6 2" xfId="36437"/>
    <cellStyle name="Comma 3 2 5 7" xfId="24132"/>
    <cellStyle name="Comma 3 2 6" xfId="1697"/>
    <cellStyle name="Comma 3 2 7" xfId="1698"/>
    <cellStyle name="Comma 3 2 7 2" xfId="1699"/>
    <cellStyle name="Comma 3 2 7 3" xfId="1700"/>
    <cellStyle name="Comma 3 2 7 4" xfId="1701"/>
    <cellStyle name="Comma 3 2 8" xfId="1692"/>
    <cellStyle name="Comma 3 20" xfId="586"/>
    <cellStyle name="Comma 3 20 2" xfId="4868"/>
    <cellStyle name="Comma 3 20 2 2" xfId="6493"/>
    <cellStyle name="Comma 3 20 2 2 2" xfId="9579"/>
    <cellStyle name="Comma 3 20 2 2 2 2" xfId="15772"/>
    <cellStyle name="Comma 3 20 2 2 2 2 2" xfId="35655"/>
    <cellStyle name="Comma 3 20 2 2 2 3" xfId="21924"/>
    <cellStyle name="Comma 3 20 2 2 2 3 2" xfId="41807"/>
    <cellStyle name="Comma 3 20 2 2 2 4" xfId="29502"/>
    <cellStyle name="Comma 3 20 2 2 3" xfId="12706"/>
    <cellStyle name="Comma 3 20 2 2 3 2" xfId="32589"/>
    <cellStyle name="Comma 3 20 2 2 4" xfId="18858"/>
    <cellStyle name="Comma 3 20 2 2 4 2" xfId="38741"/>
    <cellStyle name="Comma 3 20 2 2 5" xfId="26436"/>
    <cellStyle name="Comma 3 20 2 3" xfId="8044"/>
    <cellStyle name="Comma 3 20 2 3 2" xfId="14238"/>
    <cellStyle name="Comma 3 20 2 3 2 2" xfId="34121"/>
    <cellStyle name="Comma 3 20 2 3 3" xfId="20390"/>
    <cellStyle name="Comma 3 20 2 3 3 2" xfId="40273"/>
    <cellStyle name="Comma 3 20 2 3 4" xfId="27968"/>
    <cellStyle name="Comma 3 20 2 4" xfId="11172"/>
    <cellStyle name="Comma 3 20 2 4 2" xfId="31055"/>
    <cellStyle name="Comma 3 20 2 5" xfId="17324"/>
    <cellStyle name="Comma 3 20 2 5 2" xfId="37207"/>
    <cellStyle name="Comma 3 20 2 6" xfId="24902"/>
    <cellStyle name="Comma 3 20 3" xfId="5707"/>
    <cellStyle name="Comma 3 20 3 2" xfId="8810"/>
    <cellStyle name="Comma 3 20 3 2 2" xfId="15003"/>
    <cellStyle name="Comma 3 20 3 2 2 2" xfId="34886"/>
    <cellStyle name="Comma 3 20 3 2 3" xfId="21155"/>
    <cellStyle name="Comma 3 20 3 2 3 2" xfId="41038"/>
    <cellStyle name="Comma 3 20 3 2 4" xfId="28733"/>
    <cellStyle name="Comma 3 20 3 3" xfId="11937"/>
    <cellStyle name="Comma 3 20 3 3 2" xfId="31820"/>
    <cellStyle name="Comma 3 20 3 4" xfId="18089"/>
    <cellStyle name="Comma 3 20 3 4 2" xfId="37972"/>
    <cellStyle name="Comma 3 20 3 5" xfId="25667"/>
    <cellStyle name="Comma 3 20 4" xfId="7275"/>
    <cellStyle name="Comma 3 20 4 2" xfId="13469"/>
    <cellStyle name="Comma 3 20 4 2 2" xfId="33352"/>
    <cellStyle name="Comma 3 20 4 3" xfId="19621"/>
    <cellStyle name="Comma 3 20 4 3 2" xfId="39504"/>
    <cellStyle name="Comma 3 20 4 4" xfId="27199"/>
    <cellStyle name="Comma 3 20 5" xfId="10403"/>
    <cellStyle name="Comma 3 20 5 2" xfId="30286"/>
    <cellStyle name="Comma 3 20 6" xfId="16555"/>
    <cellStyle name="Comma 3 20 6 2" xfId="36438"/>
    <cellStyle name="Comma 3 20 7" xfId="1702"/>
    <cellStyle name="Comma 3 20 7 2" xfId="24133"/>
    <cellStyle name="Comma 3 21" xfId="608"/>
    <cellStyle name="Comma 3 21 2" xfId="4869"/>
    <cellStyle name="Comma 3 21 2 2" xfId="6494"/>
    <cellStyle name="Comma 3 21 2 2 2" xfId="9580"/>
    <cellStyle name="Comma 3 21 2 2 2 2" xfId="15773"/>
    <cellStyle name="Comma 3 21 2 2 2 2 2" xfId="35656"/>
    <cellStyle name="Comma 3 21 2 2 2 3" xfId="21925"/>
    <cellStyle name="Comma 3 21 2 2 2 3 2" xfId="41808"/>
    <cellStyle name="Comma 3 21 2 2 2 4" xfId="29503"/>
    <cellStyle name="Comma 3 21 2 2 3" xfId="12707"/>
    <cellStyle name="Comma 3 21 2 2 3 2" xfId="32590"/>
    <cellStyle name="Comma 3 21 2 2 4" xfId="18859"/>
    <cellStyle name="Comma 3 21 2 2 4 2" xfId="38742"/>
    <cellStyle name="Comma 3 21 2 2 5" xfId="26437"/>
    <cellStyle name="Comma 3 21 2 3" xfId="8045"/>
    <cellStyle name="Comma 3 21 2 3 2" xfId="14239"/>
    <cellStyle name="Comma 3 21 2 3 2 2" xfId="34122"/>
    <cellStyle name="Comma 3 21 2 3 3" xfId="20391"/>
    <cellStyle name="Comma 3 21 2 3 3 2" xfId="40274"/>
    <cellStyle name="Comma 3 21 2 3 4" xfId="27969"/>
    <cellStyle name="Comma 3 21 2 4" xfId="11173"/>
    <cellStyle name="Comma 3 21 2 4 2" xfId="31056"/>
    <cellStyle name="Comma 3 21 2 5" xfId="17325"/>
    <cellStyle name="Comma 3 21 2 5 2" xfId="37208"/>
    <cellStyle name="Comma 3 21 2 6" xfId="24903"/>
    <cellStyle name="Comma 3 21 3" xfId="5708"/>
    <cellStyle name="Comma 3 21 3 2" xfId="8811"/>
    <cellStyle name="Comma 3 21 3 2 2" xfId="15004"/>
    <cellStyle name="Comma 3 21 3 2 2 2" xfId="34887"/>
    <cellStyle name="Comma 3 21 3 2 3" xfId="21156"/>
    <cellStyle name="Comma 3 21 3 2 3 2" xfId="41039"/>
    <cellStyle name="Comma 3 21 3 2 4" xfId="28734"/>
    <cellStyle name="Comma 3 21 3 3" xfId="11938"/>
    <cellStyle name="Comma 3 21 3 3 2" xfId="31821"/>
    <cellStyle name="Comma 3 21 3 4" xfId="18090"/>
    <cellStyle name="Comma 3 21 3 4 2" xfId="37973"/>
    <cellStyle name="Comma 3 21 3 5" xfId="25668"/>
    <cellStyle name="Comma 3 21 4" xfId="7276"/>
    <cellStyle name="Comma 3 21 4 2" xfId="13470"/>
    <cellStyle name="Comma 3 21 4 2 2" xfId="33353"/>
    <cellStyle name="Comma 3 21 4 3" xfId="19622"/>
    <cellStyle name="Comma 3 21 4 3 2" xfId="39505"/>
    <cellStyle name="Comma 3 21 4 4" xfId="27200"/>
    <cellStyle name="Comma 3 21 5" xfId="10404"/>
    <cellStyle name="Comma 3 21 5 2" xfId="30287"/>
    <cellStyle name="Comma 3 21 6" xfId="16556"/>
    <cellStyle name="Comma 3 21 6 2" xfId="36439"/>
    <cellStyle name="Comma 3 21 7" xfId="1703"/>
    <cellStyle name="Comma 3 21 7 2" xfId="24134"/>
    <cellStyle name="Comma 3 22" xfId="639"/>
    <cellStyle name="Comma 3 22 2" xfId="1704"/>
    <cellStyle name="Comma 3 23" xfId="673"/>
    <cellStyle name="Comma 3 23 2" xfId="1705"/>
    <cellStyle name="Comma 3 24" xfId="697"/>
    <cellStyle name="Comma 3 25" xfId="729"/>
    <cellStyle name="Comma 3 26" xfId="755"/>
    <cellStyle name="Comma 3 27" xfId="781"/>
    <cellStyle name="Comma 3 28" xfId="805"/>
    <cellStyle name="Comma 3 29" xfId="850"/>
    <cellStyle name="Comma 3 3" xfId="213"/>
    <cellStyle name="Comma 3 3 10" xfId="16557"/>
    <cellStyle name="Comma 3 3 10 2" xfId="36440"/>
    <cellStyle name="Comma 3 3 11" xfId="1706"/>
    <cellStyle name="Comma 3 3 11 2" xfId="24135"/>
    <cellStyle name="Comma 3 3 2" xfId="275"/>
    <cellStyle name="Comma 3 3 2 2" xfId="4871"/>
    <cellStyle name="Comma 3 3 2 2 2" xfId="6496"/>
    <cellStyle name="Comma 3 3 2 2 2 2" xfId="9582"/>
    <cellStyle name="Comma 3 3 2 2 2 2 2" xfId="15775"/>
    <cellStyle name="Comma 3 3 2 2 2 2 2 2" xfId="35658"/>
    <cellStyle name="Comma 3 3 2 2 2 2 3" xfId="21927"/>
    <cellStyle name="Comma 3 3 2 2 2 2 3 2" xfId="41810"/>
    <cellStyle name="Comma 3 3 2 2 2 2 4" xfId="29505"/>
    <cellStyle name="Comma 3 3 2 2 2 3" xfId="12709"/>
    <cellStyle name="Comma 3 3 2 2 2 3 2" xfId="32592"/>
    <cellStyle name="Comma 3 3 2 2 2 4" xfId="18861"/>
    <cellStyle name="Comma 3 3 2 2 2 4 2" xfId="38744"/>
    <cellStyle name="Comma 3 3 2 2 2 5" xfId="26439"/>
    <cellStyle name="Comma 3 3 2 2 3" xfId="8047"/>
    <cellStyle name="Comma 3 3 2 2 3 2" xfId="14241"/>
    <cellStyle name="Comma 3 3 2 2 3 2 2" xfId="34124"/>
    <cellStyle name="Comma 3 3 2 2 3 3" xfId="20393"/>
    <cellStyle name="Comma 3 3 2 2 3 3 2" xfId="40276"/>
    <cellStyle name="Comma 3 3 2 2 3 4" xfId="27971"/>
    <cellStyle name="Comma 3 3 2 2 4" xfId="11175"/>
    <cellStyle name="Comma 3 3 2 2 4 2" xfId="31058"/>
    <cellStyle name="Comma 3 3 2 2 5" xfId="17327"/>
    <cellStyle name="Comma 3 3 2 2 5 2" xfId="37210"/>
    <cellStyle name="Comma 3 3 2 2 6" xfId="24905"/>
    <cellStyle name="Comma 3 3 2 3" xfId="5710"/>
    <cellStyle name="Comma 3 3 2 3 2" xfId="8813"/>
    <cellStyle name="Comma 3 3 2 3 2 2" xfId="15006"/>
    <cellStyle name="Comma 3 3 2 3 2 2 2" xfId="34889"/>
    <cellStyle name="Comma 3 3 2 3 2 3" xfId="21158"/>
    <cellStyle name="Comma 3 3 2 3 2 3 2" xfId="41041"/>
    <cellStyle name="Comma 3 3 2 3 2 4" xfId="28736"/>
    <cellStyle name="Comma 3 3 2 3 3" xfId="11940"/>
    <cellStyle name="Comma 3 3 2 3 3 2" xfId="31823"/>
    <cellStyle name="Comma 3 3 2 3 4" xfId="18092"/>
    <cellStyle name="Comma 3 3 2 3 4 2" xfId="37975"/>
    <cellStyle name="Comma 3 3 2 3 5" xfId="25670"/>
    <cellStyle name="Comma 3 3 2 4" xfId="7278"/>
    <cellStyle name="Comma 3 3 2 4 2" xfId="13472"/>
    <cellStyle name="Comma 3 3 2 4 2 2" xfId="33355"/>
    <cellStyle name="Comma 3 3 2 4 3" xfId="19624"/>
    <cellStyle name="Comma 3 3 2 4 3 2" xfId="39507"/>
    <cellStyle name="Comma 3 3 2 4 4" xfId="27202"/>
    <cellStyle name="Comma 3 3 2 5" xfId="10406"/>
    <cellStyle name="Comma 3 3 2 5 2" xfId="30289"/>
    <cellStyle name="Comma 3 3 2 6" xfId="16558"/>
    <cellStyle name="Comma 3 3 2 6 2" xfId="36441"/>
    <cellStyle name="Comma 3 3 2 7" xfId="1707"/>
    <cellStyle name="Comma 3 3 2 7 2" xfId="24136"/>
    <cellStyle name="Comma 3 3 3" xfId="1708"/>
    <cellStyle name="Comma 3 3 3 2" xfId="4872"/>
    <cellStyle name="Comma 3 3 3 2 2" xfId="6497"/>
    <cellStyle name="Comma 3 3 3 2 2 2" xfId="9583"/>
    <cellStyle name="Comma 3 3 3 2 2 2 2" xfId="15776"/>
    <cellStyle name="Comma 3 3 3 2 2 2 2 2" xfId="35659"/>
    <cellStyle name="Comma 3 3 3 2 2 2 3" xfId="21928"/>
    <cellStyle name="Comma 3 3 3 2 2 2 3 2" xfId="41811"/>
    <cellStyle name="Comma 3 3 3 2 2 2 4" xfId="29506"/>
    <cellStyle name="Comma 3 3 3 2 2 3" xfId="12710"/>
    <cellStyle name="Comma 3 3 3 2 2 3 2" xfId="32593"/>
    <cellStyle name="Comma 3 3 3 2 2 4" xfId="18862"/>
    <cellStyle name="Comma 3 3 3 2 2 4 2" xfId="38745"/>
    <cellStyle name="Comma 3 3 3 2 2 5" xfId="26440"/>
    <cellStyle name="Comma 3 3 3 2 3" xfId="8048"/>
    <cellStyle name="Comma 3 3 3 2 3 2" xfId="14242"/>
    <cellStyle name="Comma 3 3 3 2 3 2 2" xfId="34125"/>
    <cellStyle name="Comma 3 3 3 2 3 3" xfId="20394"/>
    <cellStyle name="Comma 3 3 3 2 3 3 2" xfId="40277"/>
    <cellStyle name="Comma 3 3 3 2 3 4" xfId="27972"/>
    <cellStyle name="Comma 3 3 3 2 4" xfId="11176"/>
    <cellStyle name="Comma 3 3 3 2 4 2" xfId="31059"/>
    <cellStyle name="Comma 3 3 3 2 5" xfId="17328"/>
    <cellStyle name="Comma 3 3 3 2 5 2" xfId="37211"/>
    <cellStyle name="Comma 3 3 3 2 6" xfId="24906"/>
    <cellStyle name="Comma 3 3 3 3" xfId="5711"/>
    <cellStyle name="Comma 3 3 3 3 2" xfId="8814"/>
    <cellStyle name="Comma 3 3 3 3 2 2" xfId="15007"/>
    <cellStyle name="Comma 3 3 3 3 2 2 2" xfId="34890"/>
    <cellStyle name="Comma 3 3 3 3 2 3" xfId="21159"/>
    <cellStyle name="Comma 3 3 3 3 2 3 2" xfId="41042"/>
    <cellStyle name="Comma 3 3 3 3 2 4" xfId="28737"/>
    <cellStyle name="Comma 3 3 3 3 3" xfId="11941"/>
    <cellStyle name="Comma 3 3 3 3 3 2" xfId="31824"/>
    <cellStyle name="Comma 3 3 3 3 4" xfId="18093"/>
    <cellStyle name="Comma 3 3 3 3 4 2" xfId="37976"/>
    <cellStyle name="Comma 3 3 3 3 5" xfId="25671"/>
    <cellStyle name="Comma 3 3 3 4" xfId="7279"/>
    <cellStyle name="Comma 3 3 3 4 2" xfId="13473"/>
    <cellStyle name="Comma 3 3 3 4 2 2" xfId="33356"/>
    <cellStyle name="Comma 3 3 3 4 3" xfId="19625"/>
    <cellStyle name="Comma 3 3 3 4 3 2" xfId="39508"/>
    <cellStyle name="Comma 3 3 3 4 4" xfId="27203"/>
    <cellStyle name="Comma 3 3 3 5" xfId="10407"/>
    <cellStyle name="Comma 3 3 3 5 2" xfId="30290"/>
    <cellStyle name="Comma 3 3 3 6" xfId="16559"/>
    <cellStyle name="Comma 3 3 3 6 2" xfId="36442"/>
    <cellStyle name="Comma 3 3 3 7" xfId="24137"/>
    <cellStyle name="Comma 3 3 4" xfId="1709"/>
    <cellStyle name="Comma 3 3 4 2" xfId="4873"/>
    <cellStyle name="Comma 3 3 4 2 2" xfId="6498"/>
    <cellStyle name="Comma 3 3 4 2 2 2" xfId="9584"/>
    <cellStyle name="Comma 3 3 4 2 2 2 2" xfId="15777"/>
    <cellStyle name="Comma 3 3 4 2 2 2 2 2" xfId="35660"/>
    <cellStyle name="Comma 3 3 4 2 2 2 3" xfId="21929"/>
    <cellStyle name="Comma 3 3 4 2 2 2 3 2" xfId="41812"/>
    <cellStyle name="Comma 3 3 4 2 2 2 4" xfId="29507"/>
    <cellStyle name="Comma 3 3 4 2 2 3" xfId="12711"/>
    <cellStyle name="Comma 3 3 4 2 2 3 2" xfId="32594"/>
    <cellStyle name="Comma 3 3 4 2 2 4" xfId="18863"/>
    <cellStyle name="Comma 3 3 4 2 2 4 2" xfId="38746"/>
    <cellStyle name="Comma 3 3 4 2 2 5" xfId="26441"/>
    <cellStyle name="Comma 3 3 4 2 3" xfId="8049"/>
    <cellStyle name="Comma 3 3 4 2 3 2" xfId="14243"/>
    <cellStyle name="Comma 3 3 4 2 3 2 2" xfId="34126"/>
    <cellStyle name="Comma 3 3 4 2 3 3" xfId="20395"/>
    <cellStyle name="Comma 3 3 4 2 3 3 2" xfId="40278"/>
    <cellStyle name="Comma 3 3 4 2 3 4" xfId="27973"/>
    <cellStyle name="Comma 3 3 4 2 4" xfId="11177"/>
    <cellStyle name="Comma 3 3 4 2 4 2" xfId="31060"/>
    <cellStyle name="Comma 3 3 4 2 5" xfId="17329"/>
    <cellStyle name="Comma 3 3 4 2 5 2" xfId="37212"/>
    <cellStyle name="Comma 3 3 4 2 6" xfId="24907"/>
    <cellStyle name="Comma 3 3 4 3" xfId="5712"/>
    <cellStyle name="Comma 3 3 4 3 2" xfId="8815"/>
    <cellStyle name="Comma 3 3 4 3 2 2" xfId="15008"/>
    <cellStyle name="Comma 3 3 4 3 2 2 2" xfId="34891"/>
    <cellStyle name="Comma 3 3 4 3 2 3" xfId="21160"/>
    <cellStyle name="Comma 3 3 4 3 2 3 2" xfId="41043"/>
    <cellStyle name="Comma 3 3 4 3 2 4" xfId="28738"/>
    <cellStyle name="Comma 3 3 4 3 3" xfId="11942"/>
    <cellStyle name="Comma 3 3 4 3 3 2" xfId="31825"/>
    <cellStyle name="Comma 3 3 4 3 4" xfId="18094"/>
    <cellStyle name="Comma 3 3 4 3 4 2" xfId="37977"/>
    <cellStyle name="Comma 3 3 4 3 5" xfId="25672"/>
    <cellStyle name="Comma 3 3 4 4" xfId="7280"/>
    <cellStyle name="Comma 3 3 4 4 2" xfId="13474"/>
    <cellStyle name="Comma 3 3 4 4 2 2" xfId="33357"/>
    <cellStyle name="Comma 3 3 4 4 3" xfId="19626"/>
    <cellStyle name="Comma 3 3 4 4 3 2" xfId="39509"/>
    <cellStyle name="Comma 3 3 4 4 4" xfId="27204"/>
    <cellStyle name="Comma 3 3 4 5" xfId="10408"/>
    <cellStyle name="Comma 3 3 4 5 2" xfId="30291"/>
    <cellStyle name="Comma 3 3 4 6" xfId="16560"/>
    <cellStyle name="Comma 3 3 4 6 2" xfId="36443"/>
    <cellStyle name="Comma 3 3 4 7" xfId="24138"/>
    <cellStyle name="Comma 3 3 5" xfId="1710"/>
    <cellStyle name="Comma 3 3 5 2" xfId="4874"/>
    <cellStyle name="Comma 3 3 5 2 2" xfId="6499"/>
    <cellStyle name="Comma 3 3 5 2 2 2" xfId="9585"/>
    <cellStyle name="Comma 3 3 5 2 2 2 2" xfId="15778"/>
    <cellStyle name="Comma 3 3 5 2 2 2 2 2" xfId="35661"/>
    <cellStyle name="Comma 3 3 5 2 2 2 3" xfId="21930"/>
    <cellStyle name="Comma 3 3 5 2 2 2 3 2" xfId="41813"/>
    <cellStyle name="Comma 3 3 5 2 2 2 4" xfId="29508"/>
    <cellStyle name="Comma 3 3 5 2 2 3" xfId="12712"/>
    <cellStyle name="Comma 3 3 5 2 2 3 2" xfId="32595"/>
    <cellStyle name="Comma 3 3 5 2 2 4" xfId="18864"/>
    <cellStyle name="Comma 3 3 5 2 2 4 2" xfId="38747"/>
    <cellStyle name="Comma 3 3 5 2 2 5" xfId="26442"/>
    <cellStyle name="Comma 3 3 5 2 3" xfId="8050"/>
    <cellStyle name="Comma 3 3 5 2 3 2" xfId="14244"/>
    <cellStyle name="Comma 3 3 5 2 3 2 2" xfId="34127"/>
    <cellStyle name="Comma 3 3 5 2 3 3" xfId="20396"/>
    <cellStyle name="Comma 3 3 5 2 3 3 2" xfId="40279"/>
    <cellStyle name="Comma 3 3 5 2 3 4" xfId="27974"/>
    <cellStyle name="Comma 3 3 5 2 4" xfId="11178"/>
    <cellStyle name="Comma 3 3 5 2 4 2" xfId="31061"/>
    <cellStyle name="Comma 3 3 5 2 5" xfId="17330"/>
    <cellStyle name="Comma 3 3 5 2 5 2" xfId="37213"/>
    <cellStyle name="Comma 3 3 5 2 6" xfId="24908"/>
    <cellStyle name="Comma 3 3 5 3" xfId="5713"/>
    <cellStyle name="Comma 3 3 5 3 2" xfId="8816"/>
    <cellStyle name="Comma 3 3 5 3 2 2" xfId="15009"/>
    <cellStyle name="Comma 3 3 5 3 2 2 2" xfId="34892"/>
    <cellStyle name="Comma 3 3 5 3 2 3" xfId="21161"/>
    <cellStyle name="Comma 3 3 5 3 2 3 2" xfId="41044"/>
    <cellStyle name="Comma 3 3 5 3 2 4" xfId="28739"/>
    <cellStyle name="Comma 3 3 5 3 3" xfId="11943"/>
    <cellStyle name="Comma 3 3 5 3 3 2" xfId="31826"/>
    <cellStyle name="Comma 3 3 5 3 4" xfId="18095"/>
    <cellStyle name="Comma 3 3 5 3 4 2" xfId="37978"/>
    <cellStyle name="Comma 3 3 5 3 5" xfId="25673"/>
    <cellStyle name="Comma 3 3 5 4" xfId="7281"/>
    <cellStyle name="Comma 3 3 5 4 2" xfId="13475"/>
    <cellStyle name="Comma 3 3 5 4 2 2" xfId="33358"/>
    <cellStyle name="Comma 3 3 5 4 3" xfId="19627"/>
    <cellStyle name="Comma 3 3 5 4 3 2" xfId="39510"/>
    <cellStyle name="Comma 3 3 5 4 4" xfId="27205"/>
    <cellStyle name="Comma 3 3 5 5" xfId="10409"/>
    <cellStyle name="Comma 3 3 5 5 2" xfId="30292"/>
    <cellStyle name="Comma 3 3 5 6" xfId="16561"/>
    <cellStyle name="Comma 3 3 5 6 2" xfId="36444"/>
    <cellStyle name="Comma 3 3 5 7" xfId="24139"/>
    <cellStyle name="Comma 3 3 6" xfId="4870"/>
    <cellStyle name="Comma 3 3 6 2" xfId="6495"/>
    <cellStyle name="Comma 3 3 6 2 2" xfId="9581"/>
    <cellStyle name="Comma 3 3 6 2 2 2" xfId="15774"/>
    <cellStyle name="Comma 3 3 6 2 2 2 2" xfId="35657"/>
    <cellStyle name="Comma 3 3 6 2 2 3" xfId="21926"/>
    <cellStyle name="Comma 3 3 6 2 2 3 2" xfId="41809"/>
    <cellStyle name="Comma 3 3 6 2 2 4" xfId="29504"/>
    <cellStyle name="Comma 3 3 6 2 3" xfId="12708"/>
    <cellStyle name="Comma 3 3 6 2 3 2" xfId="32591"/>
    <cellStyle name="Comma 3 3 6 2 4" xfId="18860"/>
    <cellStyle name="Comma 3 3 6 2 4 2" xfId="38743"/>
    <cellStyle name="Comma 3 3 6 2 5" xfId="26438"/>
    <cellStyle name="Comma 3 3 6 3" xfId="8046"/>
    <cellStyle name="Comma 3 3 6 3 2" xfId="14240"/>
    <cellStyle name="Comma 3 3 6 3 2 2" xfId="34123"/>
    <cellStyle name="Comma 3 3 6 3 3" xfId="20392"/>
    <cellStyle name="Comma 3 3 6 3 3 2" xfId="40275"/>
    <cellStyle name="Comma 3 3 6 3 4" xfId="27970"/>
    <cellStyle name="Comma 3 3 6 4" xfId="11174"/>
    <cellStyle name="Comma 3 3 6 4 2" xfId="31057"/>
    <cellStyle name="Comma 3 3 6 5" xfId="17326"/>
    <cellStyle name="Comma 3 3 6 5 2" xfId="37209"/>
    <cellStyle name="Comma 3 3 6 6" xfId="24904"/>
    <cellStyle name="Comma 3 3 7" xfId="5709"/>
    <cellStyle name="Comma 3 3 7 2" xfId="8812"/>
    <cellStyle name="Comma 3 3 7 2 2" xfId="15005"/>
    <cellStyle name="Comma 3 3 7 2 2 2" xfId="34888"/>
    <cellStyle name="Comma 3 3 7 2 3" xfId="21157"/>
    <cellStyle name="Comma 3 3 7 2 3 2" xfId="41040"/>
    <cellStyle name="Comma 3 3 7 2 4" xfId="28735"/>
    <cellStyle name="Comma 3 3 7 3" xfId="11939"/>
    <cellStyle name="Comma 3 3 7 3 2" xfId="31822"/>
    <cellStyle name="Comma 3 3 7 4" xfId="18091"/>
    <cellStyle name="Comma 3 3 7 4 2" xfId="37974"/>
    <cellStyle name="Comma 3 3 7 5" xfId="25669"/>
    <cellStyle name="Comma 3 3 8" xfId="7277"/>
    <cellStyle name="Comma 3 3 8 2" xfId="13471"/>
    <cellStyle name="Comma 3 3 8 2 2" xfId="33354"/>
    <cellStyle name="Comma 3 3 8 3" xfId="19623"/>
    <cellStyle name="Comma 3 3 8 3 2" xfId="39506"/>
    <cellStyle name="Comma 3 3 8 4" xfId="27201"/>
    <cellStyle name="Comma 3 3 9" xfId="10405"/>
    <cellStyle name="Comma 3 3 9 2" xfId="30288"/>
    <cellStyle name="Comma 3 30" xfId="853"/>
    <cellStyle name="Comma 3 30 2" xfId="23696"/>
    <cellStyle name="Comma 3 31" xfId="22816"/>
    <cellStyle name="Comma 3 31 2" xfId="42690"/>
    <cellStyle name="Comma 3 32" xfId="195"/>
    <cellStyle name="Comma 3 32 2" xfId="23405"/>
    <cellStyle name="Comma 3 33" xfId="23140"/>
    <cellStyle name="Comma 3 4" xfId="282"/>
    <cellStyle name="Comma 3 4 2" xfId="1712"/>
    <cellStyle name="Comma 3 4 2 2" xfId="4876"/>
    <cellStyle name="Comma 3 4 2 2 2" xfId="6501"/>
    <cellStyle name="Comma 3 4 2 2 2 2" xfId="9587"/>
    <cellStyle name="Comma 3 4 2 2 2 2 2" xfId="15780"/>
    <cellStyle name="Comma 3 4 2 2 2 2 2 2" xfId="35663"/>
    <cellStyle name="Comma 3 4 2 2 2 2 3" xfId="21932"/>
    <cellStyle name="Comma 3 4 2 2 2 2 3 2" xfId="41815"/>
    <cellStyle name="Comma 3 4 2 2 2 2 4" xfId="29510"/>
    <cellStyle name="Comma 3 4 2 2 2 3" xfId="12714"/>
    <cellStyle name="Comma 3 4 2 2 2 3 2" xfId="32597"/>
    <cellStyle name="Comma 3 4 2 2 2 4" xfId="18866"/>
    <cellStyle name="Comma 3 4 2 2 2 4 2" xfId="38749"/>
    <cellStyle name="Comma 3 4 2 2 2 5" xfId="26444"/>
    <cellStyle name="Comma 3 4 2 2 3" xfId="8052"/>
    <cellStyle name="Comma 3 4 2 2 3 2" xfId="14246"/>
    <cellStyle name="Comma 3 4 2 2 3 2 2" xfId="34129"/>
    <cellStyle name="Comma 3 4 2 2 3 3" xfId="20398"/>
    <cellStyle name="Comma 3 4 2 2 3 3 2" xfId="40281"/>
    <cellStyle name="Comma 3 4 2 2 3 4" xfId="27976"/>
    <cellStyle name="Comma 3 4 2 2 4" xfId="11180"/>
    <cellStyle name="Comma 3 4 2 2 4 2" xfId="31063"/>
    <cellStyle name="Comma 3 4 2 2 5" xfId="17332"/>
    <cellStyle name="Comma 3 4 2 2 5 2" xfId="37215"/>
    <cellStyle name="Comma 3 4 2 2 6" xfId="24910"/>
    <cellStyle name="Comma 3 4 2 3" xfId="5715"/>
    <cellStyle name="Comma 3 4 2 3 2" xfId="8818"/>
    <cellStyle name="Comma 3 4 2 3 2 2" xfId="15011"/>
    <cellStyle name="Comma 3 4 2 3 2 2 2" xfId="34894"/>
    <cellStyle name="Comma 3 4 2 3 2 3" xfId="21163"/>
    <cellStyle name="Comma 3 4 2 3 2 3 2" xfId="41046"/>
    <cellStyle name="Comma 3 4 2 3 2 4" xfId="28741"/>
    <cellStyle name="Comma 3 4 2 3 3" xfId="11945"/>
    <cellStyle name="Comma 3 4 2 3 3 2" xfId="31828"/>
    <cellStyle name="Comma 3 4 2 3 4" xfId="18097"/>
    <cellStyle name="Comma 3 4 2 3 4 2" xfId="37980"/>
    <cellStyle name="Comma 3 4 2 3 5" xfId="25675"/>
    <cellStyle name="Comma 3 4 2 4" xfId="7283"/>
    <cellStyle name="Comma 3 4 2 4 2" xfId="13477"/>
    <cellStyle name="Comma 3 4 2 4 2 2" xfId="33360"/>
    <cellStyle name="Comma 3 4 2 4 3" xfId="19629"/>
    <cellStyle name="Comma 3 4 2 4 3 2" xfId="39512"/>
    <cellStyle name="Comma 3 4 2 4 4" xfId="27207"/>
    <cellStyle name="Comma 3 4 2 5" xfId="10411"/>
    <cellStyle name="Comma 3 4 2 5 2" xfId="30294"/>
    <cellStyle name="Comma 3 4 2 6" xfId="16563"/>
    <cellStyle name="Comma 3 4 2 6 2" xfId="36446"/>
    <cellStyle name="Comma 3 4 2 7" xfId="24141"/>
    <cellStyle name="Comma 3 4 3" xfId="4875"/>
    <cellStyle name="Comma 3 4 3 2" xfId="6500"/>
    <cellStyle name="Comma 3 4 3 2 2" xfId="9586"/>
    <cellStyle name="Comma 3 4 3 2 2 2" xfId="15779"/>
    <cellStyle name="Comma 3 4 3 2 2 2 2" xfId="35662"/>
    <cellStyle name="Comma 3 4 3 2 2 3" xfId="21931"/>
    <cellStyle name="Comma 3 4 3 2 2 3 2" xfId="41814"/>
    <cellStyle name="Comma 3 4 3 2 2 4" xfId="29509"/>
    <cellStyle name="Comma 3 4 3 2 3" xfId="12713"/>
    <cellStyle name="Comma 3 4 3 2 3 2" xfId="32596"/>
    <cellStyle name="Comma 3 4 3 2 4" xfId="18865"/>
    <cellStyle name="Comma 3 4 3 2 4 2" xfId="38748"/>
    <cellStyle name="Comma 3 4 3 2 5" xfId="26443"/>
    <cellStyle name="Comma 3 4 3 3" xfId="8051"/>
    <cellStyle name="Comma 3 4 3 3 2" xfId="14245"/>
    <cellStyle name="Comma 3 4 3 3 2 2" xfId="34128"/>
    <cellStyle name="Comma 3 4 3 3 3" xfId="20397"/>
    <cellStyle name="Comma 3 4 3 3 3 2" xfId="40280"/>
    <cellStyle name="Comma 3 4 3 3 4" xfId="27975"/>
    <cellStyle name="Comma 3 4 3 4" xfId="11179"/>
    <cellStyle name="Comma 3 4 3 4 2" xfId="31062"/>
    <cellStyle name="Comma 3 4 3 5" xfId="17331"/>
    <cellStyle name="Comma 3 4 3 5 2" xfId="37214"/>
    <cellStyle name="Comma 3 4 3 6" xfId="24909"/>
    <cellStyle name="Comma 3 4 4" xfId="5714"/>
    <cellStyle name="Comma 3 4 4 2" xfId="8817"/>
    <cellStyle name="Comma 3 4 4 2 2" xfId="15010"/>
    <cellStyle name="Comma 3 4 4 2 2 2" xfId="34893"/>
    <cellStyle name="Comma 3 4 4 2 3" xfId="21162"/>
    <cellStyle name="Comma 3 4 4 2 3 2" xfId="41045"/>
    <cellStyle name="Comma 3 4 4 2 4" xfId="28740"/>
    <cellStyle name="Comma 3 4 4 3" xfId="11944"/>
    <cellStyle name="Comma 3 4 4 3 2" xfId="31827"/>
    <cellStyle name="Comma 3 4 4 4" xfId="18096"/>
    <cellStyle name="Comma 3 4 4 4 2" xfId="37979"/>
    <cellStyle name="Comma 3 4 4 5" xfId="25674"/>
    <cellStyle name="Comma 3 4 5" xfId="7282"/>
    <cellStyle name="Comma 3 4 5 2" xfId="13476"/>
    <cellStyle name="Comma 3 4 5 2 2" xfId="33359"/>
    <cellStyle name="Comma 3 4 5 3" xfId="19628"/>
    <cellStyle name="Comma 3 4 5 3 2" xfId="39511"/>
    <cellStyle name="Comma 3 4 5 4" xfId="27206"/>
    <cellStyle name="Comma 3 4 6" xfId="10410"/>
    <cellStyle name="Comma 3 4 6 2" xfId="30293"/>
    <cellStyle name="Comma 3 4 7" xfId="16562"/>
    <cellStyle name="Comma 3 4 7 2" xfId="36445"/>
    <cellStyle name="Comma 3 4 8" xfId="1711"/>
    <cellStyle name="Comma 3 4 8 2" xfId="24140"/>
    <cellStyle name="Comma 3 5" xfId="295"/>
    <cellStyle name="Comma 3 5 2" xfId="1714"/>
    <cellStyle name="Comma 3 5 2 2" xfId="4878"/>
    <cellStyle name="Comma 3 5 2 2 2" xfId="6503"/>
    <cellStyle name="Comma 3 5 2 2 2 2" xfId="9589"/>
    <cellStyle name="Comma 3 5 2 2 2 2 2" xfId="15782"/>
    <cellStyle name="Comma 3 5 2 2 2 2 2 2" xfId="35665"/>
    <cellStyle name="Comma 3 5 2 2 2 2 3" xfId="21934"/>
    <cellStyle name="Comma 3 5 2 2 2 2 3 2" xfId="41817"/>
    <cellStyle name="Comma 3 5 2 2 2 2 4" xfId="29512"/>
    <cellStyle name="Comma 3 5 2 2 2 3" xfId="12716"/>
    <cellStyle name="Comma 3 5 2 2 2 3 2" xfId="32599"/>
    <cellStyle name="Comma 3 5 2 2 2 4" xfId="18868"/>
    <cellStyle name="Comma 3 5 2 2 2 4 2" xfId="38751"/>
    <cellStyle name="Comma 3 5 2 2 2 5" xfId="26446"/>
    <cellStyle name="Comma 3 5 2 2 3" xfId="8054"/>
    <cellStyle name="Comma 3 5 2 2 3 2" xfId="14248"/>
    <cellStyle name="Comma 3 5 2 2 3 2 2" xfId="34131"/>
    <cellStyle name="Comma 3 5 2 2 3 3" xfId="20400"/>
    <cellStyle name="Comma 3 5 2 2 3 3 2" xfId="40283"/>
    <cellStyle name="Comma 3 5 2 2 3 4" xfId="27978"/>
    <cellStyle name="Comma 3 5 2 2 4" xfId="11182"/>
    <cellStyle name="Comma 3 5 2 2 4 2" xfId="31065"/>
    <cellStyle name="Comma 3 5 2 2 5" xfId="17334"/>
    <cellStyle name="Comma 3 5 2 2 5 2" xfId="37217"/>
    <cellStyle name="Comma 3 5 2 2 6" xfId="24912"/>
    <cellStyle name="Comma 3 5 2 3" xfId="5717"/>
    <cellStyle name="Comma 3 5 2 3 2" xfId="8820"/>
    <cellStyle name="Comma 3 5 2 3 2 2" xfId="15013"/>
    <cellStyle name="Comma 3 5 2 3 2 2 2" xfId="34896"/>
    <cellStyle name="Comma 3 5 2 3 2 3" xfId="21165"/>
    <cellStyle name="Comma 3 5 2 3 2 3 2" xfId="41048"/>
    <cellStyle name="Comma 3 5 2 3 2 4" xfId="28743"/>
    <cellStyle name="Comma 3 5 2 3 3" xfId="11947"/>
    <cellStyle name="Comma 3 5 2 3 3 2" xfId="31830"/>
    <cellStyle name="Comma 3 5 2 3 4" xfId="18099"/>
    <cellStyle name="Comma 3 5 2 3 4 2" xfId="37982"/>
    <cellStyle name="Comma 3 5 2 3 5" xfId="25677"/>
    <cellStyle name="Comma 3 5 2 4" xfId="7285"/>
    <cellStyle name="Comma 3 5 2 4 2" xfId="13479"/>
    <cellStyle name="Comma 3 5 2 4 2 2" xfId="33362"/>
    <cellStyle name="Comma 3 5 2 4 3" xfId="19631"/>
    <cellStyle name="Comma 3 5 2 4 3 2" xfId="39514"/>
    <cellStyle name="Comma 3 5 2 4 4" xfId="27209"/>
    <cellStyle name="Comma 3 5 2 5" xfId="10413"/>
    <cellStyle name="Comma 3 5 2 5 2" xfId="30296"/>
    <cellStyle name="Comma 3 5 2 6" xfId="16565"/>
    <cellStyle name="Comma 3 5 2 6 2" xfId="36448"/>
    <cellStyle name="Comma 3 5 2 7" xfId="24143"/>
    <cellStyle name="Comma 3 5 3" xfId="4877"/>
    <cellStyle name="Comma 3 5 3 2" xfId="6502"/>
    <cellStyle name="Comma 3 5 3 2 2" xfId="9588"/>
    <cellStyle name="Comma 3 5 3 2 2 2" xfId="15781"/>
    <cellStyle name="Comma 3 5 3 2 2 2 2" xfId="35664"/>
    <cellStyle name="Comma 3 5 3 2 2 3" xfId="21933"/>
    <cellStyle name="Comma 3 5 3 2 2 3 2" xfId="41816"/>
    <cellStyle name="Comma 3 5 3 2 2 4" xfId="29511"/>
    <cellStyle name="Comma 3 5 3 2 3" xfId="12715"/>
    <cellStyle name="Comma 3 5 3 2 3 2" xfId="32598"/>
    <cellStyle name="Comma 3 5 3 2 4" xfId="18867"/>
    <cellStyle name="Comma 3 5 3 2 4 2" xfId="38750"/>
    <cellStyle name="Comma 3 5 3 2 5" xfId="26445"/>
    <cellStyle name="Comma 3 5 3 3" xfId="8053"/>
    <cellStyle name="Comma 3 5 3 3 2" xfId="14247"/>
    <cellStyle name="Comma 3 5 3 3 2 2" xfId="34130"/>
    <cellStyle name="Comma 3 5 3 3 3" xfId="20399"/>
    <cellStyle name="Comma 3 5 3 3 3 2" xfId="40282"/>
    <cellStyle name="Comma 3 5 3 3 4" xfId="27977"/>
    <cellStyle name="Comma 3 5 3 4" xfId="11181"/>
    <cellStyle name="Comma 3 5 3 4 2" xfId="31064"/>
    <cellStyle name="Comma 3 5 3 5" xfId="17333"/>
    <cellStyle name="Comma 3 5 3 5 2" xfId="37216"/>
    <cellStyle name="Comma 3 5 3 6" xfId="24911"/>
    <cellStyle name="Comma 3 5 4" xfId="5716"/>
    <cellStyle name="Comma 3 5 4 2" xfId="8819"/>
    <cellStyle name="Comma 3 5 4 2 2" xfId="15012"/>
    <cellStyle name="Comma 3 5 4 2 2 2" xfId="34895"/>
    <cellStyle name="Comma 3 5 4 2 3" xfId="21164"/>
    <cellStyle name="Comma 3 5 4 2 3 2" xfId="41047"/>
    <cellStyle name="Comma 3 5 4 2 4" xfId="28742"/>
    <cellStyle name="Comma 3 5 4 3" xfId="11946"/>
    <cellStyle name="Comma 3 5 4 3 2" xfId="31829"/>
    <cellStyle name="Comma 3 5 4 4" xfId="18098"/>
    <cellStyle name="Comma 3 5 4 4 2" xfId="37981"/>
    <cellStyle name="Comma 3 5 4 5" xfId="25676"/>
    <cellStyle name="Comma 3 5 5" xfId="7284"/>
    <cellStyle name="Comma 3 5 5 2" xfId="13478"/>
    <cellStyle name="Comma 3 5 5 2 2" xfId="33361"/>
    <cellStyle name="Comma 3 5 5 3" xfId="19630"/>
    <cellStyle name="Comma 3 5 5 3 2" xfId="39513"/>
    <cellStyle name="Comma 3 5 5 4" xfId="27208"/>
    <cellStyle name="Comma 3 5 6" xfId="10412"/>
    <cellStyle name="Comma 3 5 6 2" xfId="30295"/>
    <cellStyle name="Comma 3 5 7" xfId="16564"/>
    <cellStyle name="Comma 3 5 7 2" xfId="36447"/>
    <cellStyle name="Comma 3 5 8" xfId="1713"/>
    <cellStyle name="Comma 3 5 8 2" xfId="24142"/>
    <cellStyle name="Comma 3 6" xfId="303"/>
    <cellStyle name="Comma 3 6 2" xfId="1716"/>
    <cellStyle name="Comma 3 6 2 2" xfId="4880"/>
    <cellStyle name="Comma 3 6 2 2 2" xfId="6505"/>
    <cellStyle name="Comma 3 6 2 2 2 2" xfId="9591"/>
    <cellStyle name="Comma 3 6 2 2 2 2 2" xfId="15784"/>
    <cellStyle name="Comma 3 6 2 2 2 2 2 2" xfId="35667"/>
    <cellStyle name="Comma 3 6 2 2 2 2 3" xfId="21936"/>
    <cellStyle name="Comma 3 6 2 2 2 2 3 2" xfId="41819"/>
    <cellStyle name="Comma 3 6 2 2 2 2 4" xfId="29514"/>
    <cellStyle name="Comma 3 6 2 2 2 3" xfId="12718"/>
    <cellStyle name="Comma 3 6 2 2 2 3 2" xfId="32601"/>
    <cellStyle name="Comma 3 6 2 2 2 4" xfId="18870"/>
    <cellStyle name="Comma 3 6 2 2 2 4 2" xfId="38753"/>
    <cellStyle name="Comma 3 6 2 2 2 5" xfId="26448"/>
    <cellStyle name="Comma 3 6 2 2 3" xfId="8056"/>
    <cellStyle name="Comma 3 6 2 2 3 2" xfId="14250"/>
    <cellStyle name="Comma 3 6 2 2 3 2 2" xfId="34133"/>
    <cellStyle name="Comma 3 6 2 2 3 3" xfId="20402"/>
    <cellStyle name="Comma 3 6 2 2 3 3 2" xfId="40285"/>
    <cellStyle name="Comma 3 6 2 2 3 4" xfId="27980"/>
    <cellStyle name="Comma 3 6 2 2 4" xfId="11184"/>
    <cellStyle name="Comma 3 6 2 2 4 2" xfId="31067"/>
    <cellStyle name="Comma 3 6 2 2 5" xfId="17336"/>
    <cellStyle name="Comma 3 6 2 2 5 2" xfId="37219"/>
    <cellStyle name="Comma 3 6 2 2 6" xfId="24914"/>
    <cellStyle name="Comma 3 6 2 3" xfId="5719"/>
    <cellStyle name="Comma 3 6 2 3 2" xfId="8822"/>
    <cellStyle name="Comma 3 6 2 3 2 2" xfId="15015"/>
    <cellStyle name="Comma 3 6 2 3 2 2 2" xfId="34898"/>
    <cellStyle name="Comma 3 6 2 3 2 3" xfId="21167"/>
    <cellStyle name="Comma 3 6 2 3 2 3 2" xfId="41050"/>
    <cellStyle name="Comma 3 6 2 3 2 4" xfId="28745"/>
    <cellStyle name="Comma 3 6 2 3 3" xfId="11949"/>
    <cellStyle name="Comma 3 6 2 3 3 2" xfId="31832"/>
    <cellStyle name="Comma 3 6 2 3 4" xfId="18101"/>
    <cellStyle name="Comma 3 6 2 3 4 2" xfId="37984"/>
    <cellStyle name="Comma 3 6 2 3 5" xfId="25679"/>
    <cellStyle name="Comma 3 6 2 4" xfId="7287"/>
    <cellStyle name="Comma 3 6 2 4 2" xfId="13481"/>
    <cellStyle name="Comma 3 6 2 4 2 2" xfId="33364"/>
    <cellStyle name="Comma 3 6 2 4 3" xfId="19633"/>
    <cellStyle name="Comma 3 6 2 4 3 2" xfId="39516"/>
    <cellStyle name="Comma 3 6 2 4 4" xfId="27211"/>
    <cellStyle name="Comma 3 6 2 5" xfId="10415"/>
    <cellStyle name="Comma 3 6 2 5 2" xfId="30298"/>
    <cellStyle name="Comma 3 6 2 6" xfId="16567"/>
    <cellStyle name="Comma 3 6 2 6 2" xfId="36450"/>
    <cellStyle name="Comma 3 6 2 7" xfId="24145"/>
    <cellStyle name="Comma 3 6 3" xfId="4879"/>
    <cellStyle name="Comma 3 6 3 2" xfId="6504"/>
    <cellStyle name="Comma 3 6 3 2 2" xfId="9590"/>
    <cellStyle name="Comma 3 6 3 2 2 2" xfId="15783"/>
    <cellStyle name="Comma 3 6 3 2 2 2 2" xfId="35666"/>
    <cellStyle name="Comma 3 6 3 2 2 3" xfId="21935"/>
    <cellStyle name="Comma 3 6 3 2 2 3 2" xfId="41818"/>
    <cellStyle name="Comma 3 6 3 2 2 4" xfId="29513"/>
    <cellStyle name="Comma 3 6 3 2 3" xfId="12717"/>
    <cellStyle name="Comma 3 6 3 2 3 2" xfId="32600"/>
    <cellStyle name="Comma 3 6 3 2 4" xfId="18869"/>
    <cellStyle name="Comma 3 6 3 2 4 2" xfId="38752"/>
    <cellStyle name="Comma 3 6 3 2 5" xfId="26447"/>
    <cellStyle name="Comma 3 6 3 3" xfId="8055"/>
    <cellStyle name="Comma 3 6 3 3 2" xfId="14249"/>
    <cellStyle name="Comma 3 6 3 3 2 2" xfId="34132"/>
    <cellStyle name="Comma 3 6 3 3 3" xfId="20401"/>
    <cellStyle name="Comma 3 6 3 3 3 2" xfId="40284"/>
    <cellStyle name="Comma 3 6 3 3 4" xfId="27979"/>
    <cellStyle name="Comma 3 6 3 4" xfId="11183"/>
    <cellStyle name="Comma 3 6 3 4 2" xfId="31066"/>
    <cellStyle name="Comma 3 6 3 5" xfId="17335"/>
    <cellStyle name="Comma 3 6 3 5 2" xfId="37218"/>
    <cellStyle name="Comma 3 6 3 6" xfId="24913"/>
    <cellStyle name="Comma 3 6 4" xfId="5718"/>
    <cellStyle name="Comma 3 6 4 2" xfId="8821"/>
    <cellStyle name="Comma 3 6 4 2 2" xfId="15014"/>
    <cellStyle name="Comma 3 6 4 2 2 2" xfId="34897"/>
    <cellStyle name="Comma 3 6 4 2 3" xfId="21166"/>
    <cellStyle name="Comma 3 6 4 2 3 2" xfId="41049"/>
    <cellStyle name="Comma 3 6 4 2 4" xfId="28744"/>
    <cellStyle name="Comma 3 6 4 3" xfId="11948"/>
    <cellStyle name="Comma 3 6 4 3 2" xfId="31831"/>
    <cellStyle name="Comma 3 6 4 4" xfId="18100"/>
    <cellStyle name="Comma 3 6 4 4 2" xfId="37983"/>
    <cellStyle name="Comma 3 6 4 5" xfId="25678"/>
    <cellStyle name="Comma 3 6 5" xfId="7286"/>
    <cellStyle name="Comma 3 6 5 2" xfId="13480"/>
    <cellStyle name="Comma 3 6 5 2 2" xfId="33363"/>
    <cellStyle name="Comma 3 6 5 3" xfId="19632"/>
    <cellStyle name="Comma 3 6 5 3 2" xfId="39515"/>
    <cellStyle name="Comma 3 6 5 4" xfId="27210"/>
    <cellStyle name="Comma 3 6 6" xfId="10414"/>
    <cellStyle name="Comma 3 6 6 2" xfId="30297"/>
    <cellStyle name="Comma 3 6 7" xfId="16566"/>
    <cellStyle name="Comma 3 6 7 2" xfId="36449"/>
    <cellStyle name="Comma 3 6 8" xfId="1715"/>
    <cellStyle name="Comma 3 6 8 2" xfId="24144"/>
    <cellStyle name="Comma 3 7" xfId="338"/>
    <cellStyle name="Comma 3 7 2" xfId="4881"/>
    <cellStyle name="Comma 3 7 2 2" xfId="6506"/>
    <cellStyle name="Comma 3 7 2 2 2" xfId="9592"/>
    <cellStyle name="Comma 3 7 2 2 2 2" xfId="15785"/>
    <cellStyle name="Comma 3 7 2 2 2 2 2" xfId="35668"/>
    <cellStyle name="Comma 3 7 2 2 2 3" xfId="21937"/>
    <cellStyle name="Comma 3 7 2 2 2 3 2" xfId="41820"/>
    <cellStyle name="Comma 3 7 2 2 2 4" xfId="29515"/>
    <cellStyle name="Comma 3 7 2 2 3" xfId="12719"/>
    <cellStyle name="Comma 3 7 2 2 3 2" xfId="32602"/>
    <cellStyle name="Comma 3 7 2 2 4" xfId="18871"/>
    <cellStyle name="Comma 3 7 2 2 4 2" xfId="38754"/>
    <cellStyle name="Comma 3 7 2 2 5" xfId="26449"/>
    <cellStyle name="Comma 3 7 2 3" xfId="8057"/>
    <cellStyle name="Comma 3 7 2 3 2" xfId="14251"/>
    <cellStyle name="Comma 3 7 2 3 2 2" xfId="34134"/>
    <cellStyle name="Comma 3 7 2 3 3" xfId="20403"/>
    <cellStyle name="Comma 3 7 2 3 3 2" xfId="40286"/>
    <cellStyle name="Comma 3 7 2 3 4" xfId="27981"/>
    <cellStyle name="Comma 3 7 2 4" xfId="11185"/>
    <cellStyle name="Comma 3 7 2 4 2" xfId="31068"/>
    <cellStyle name="Comma 3 7 2 5" xfId="17337"/>
    <cellStyle name="Comma 3 7 2 5 2" xfId="37220"/>
    <cellStyle name="Comma 3 7 2 6" xfId="24915"/>
    <cellStyle name="Comma 3 7 3" xfId="5720"/>
    <cellStyle name="Comma 3 7 3 2" xfId="8823"/>
    <cellStyle name="Comma 3 7 3 2 2" xfId="15016"/>
    <cellStyle name="Comma 3 7 3 2 2 2" xfId="34899"/>
    <cellStyle name="Comma 3 7 3 2 3" xfId="21168"/>
    <cellStyle name="Comma 3 7 3 2 3 2" xfId="41051"/>
    <cellStyle name="Comma 3 7 3 2 4" xfId="28746"/>
    <cellStyle name="Comma 3 7 3 3" xfId="11950"/>
    <cellStyle name="Comma 3 7 3 3 2" xfId="31833"/>
    <cellStyle name="Comma 3 7 3 4" xfId="18102"/>
    <cellStyle name="Comma 3 7 3 4 2" xfId="37985"/>
    <cellStyle name="Comma 3 7 3 5" xfId="25680"/>
    <cellStyle name="Comma 3 7 4" xfId="7288"/>
    <cellStyle name="Comma 3 7 4 2" xfId="13482"/>
    <cellStyle name="Comma 3 7 4 2 2" xfId="33365"/>
    <cellStyle name="Comma 3 7 4 3" xfId="19634"/>
    <cellStyle name="Comma 3 7 4 3 2" xfId="39517"/>
    <cellStyle name="Comma 3 7 4 4" xfId="27212"/>
    <cellStyle name="Comma 3 7 5" xfId="10416"/>
    <cellStyle name="Comma 3 7 5 2" xfId="30299"/>
    <cellStyle name="Comma 3 7 6" xfId="16568"/>
    <cellStyle name="Comma 3 7 6 2" xfId="36451"/>
    <cellStyle name="Comma 3 7 7" xfId="1717"/>
    <cellStyle name="Comma 3 7 7 2" xfId="24146"/>
    <cellStyle name="Comma 3 8" xfId="357"/>
    <cellStyle name="Comma 3 8 2" xfId="4882"/>
    <cellStyle name="Comma 3 8 2 2" xfId="6507"/>
    <cellStyle name="Comma 3 8 2 2 2" xfId="9593"/>
    <cellStyle name="Comma 3 8 2 2 2 2" xfId="15786"/>
    <cellStyle name="Comma 3 8 2 2 2 2 2" xfId="35669"/>
    <cellStyle name="Comma 3 8 2 2 2 3" xfId="21938"/>
    <cellStyle name="Comma 3 8 2 2 2 3 2" xfId="41821"/>
    <cellStyle name="Comma 3 8 2 2 2 4" xfId="29516"/>
    <cellStyle name="Comma 3 8 2 2 3" xfId="12720"/>
    <cellStyle name="Comma 3 8 2 2 3 2" xfId="32603"/>
    <cellStyle name="Comma 3 8 2 2 4" xfId="18872"/>
    <cellStyle name="Comma 3 8 2 2 4 2" xfId="38755"/>
    <cellStyle name="Comma 3 8 2 2 5" xfId="26450"/>
    <cellStyle name="Comma 3 8 2 3" xfId="8058"/>
    <cellStyle name="Comma 3 8 2 3 2" xfId="14252"/>
    <cellStyle name="Comma 3 8 2 3 2 2" xfId="34135"/>
    <cellStyle name="Comma 3 8 2 3 3" xfId="20404"/>
    <cellStyle name="Comma 3 8 2 3 3 2" xfId="40287"/>
    <cellStyle name="Comma 3 8 2 3 4" xfId="27982"/>
    <cellStyle name="Comma 3 8 2 4" xfId="11186"/>
    <cellStyle name="Comma 3 8 2 4 2" xfId="31069"/>
    <cellStyle name="Comma 3 8 2 5" xfId="17338"/>
    <cellStyle name="Comma 3 8 2 5 2" xfId="37221"/>
    <cellStyle name="Comma 3 8 2 6" xfId="24916"/>
    <cellStyle name="Comma 3 8 3" xfId="5721"/>
    <cellStyle name="Comma 3 8 3 2" xfId="8824"/>
    <cellStyle name="Comma 3 8 3 2 2" xfId="15017"/>
    <cellStyle name="Comma 3 8 3 2 2 2" xfId="34900"/>
    <cellStyle name="Comma 3 8 3 2 3" xfId="21169"/>
    <cellStyle name="Comma 3 8 3 2 3 2" xfId="41052"/>
    <cellStyle name="Comma 3 8 3 2 4" xfId="28747"/>
    <cellStyle name="Comma 3 8 3 3" xfId="11951"/>
    <cellStyle name="Comma 3 8 3 3 2" xfId="31834"/>
    <cellStyle name="Comma 3 8 3 4" xfId="18103"/>
    <cellStyle name="Comma 3 8 3 4 2" xfId="37986"/>
    <cellStyle name="Comma 3 8 3 5" xfId="25681"/>
    <cellStyle name="Comma 3 8 4" xfId="7289"/>
    <cellStyle name="Comma 3 8 4 2" xfId="13483"/>
    <cellStyle name="Comma 3 8 4 2 2" xfId="33366"/>
    <cellStyle name="Comma 3 8 4 3" xfId="19635"/>
    <cellStyle name="Comma 3 8 4 3 2" xfId="39518"/>
    <cellStyle name="Comma 3 8 4 4" xfId="27213"/>
    <cellStyle name="Comma 3 8 5" xfId="10417"/>
    <cellStyle name="Comma 3 8 5 2" xfId="30300"/>
    <cellStyle name="Comma 3 8 6" xfId="16569"/>
    <cellStyle name="Comma 3 8 6 2" xfId="36452"/>
    <cellStyle name="Comma 3 8 7" xfId="1718"/>
    <cellStyle name="Comma 3 8 7 2" xfId="24147"/>
    <cellStyle name="Comma 3 9" xfId="372"/>
    <cellStyle name="Comma 3 9 2" xfId="4883"/>
    <cellStyle name="Comma 3 9 2 2" xfId="6508"/>
    <cellStyle name="Comma 3 9 2 2 2" xfId="9594"/>
    <cellStyle name="Comma 3 9 2 2 2 2" xfId="15787"/>
    <cellStyle name="Comma 3 9 2 2 2 2 2" xfId="35670"/>
    <cellStyle name="Comma 3 9 2 2 2 3" xfId="21939"/>
    <cellStyle name="Comma 3 9 2 2 2 3 2" xfId="41822"/>
    <cellStyle name="Comma 3 9 2 2 2 4" xfId="29517"/>
    <cellStyle name="Comma 3 9 2 2 3" xfId="12721"/>
    <cellStyle name="Comma 3 9 2 2 3 2" xfId="32604"/>
    <cellStyle name="Comma 3 9 2 2 4" xfId="18873"/>
    <cellStyle name="Comma 3 9 2 2 4 2" xfId="38756"/>
    <cellStyle name="Comma 3 9 2 2 5" xfId="26451"/>
    <cellStyle name="Comma 3 9 2 3" xfId="8059"/>
    <cellStyle name="Comma 3 9 2 3 2" xfId="14253"/>
    <cellStyle name="Comma 3 9 2 3 2 2" xfId="34136"/>
    <cellStyle name="Comma 3 9 2 3 3" xfId="20405"/>
    <cellStyle name="Comma 3 9 2 3 3 2" xfId="40288"/>
    <cellStyle name="Comma 3 9 2 3 4" xfId="27983"/>
    <cellStyle name="Comma 3 9 2 4" xfId="11187"/>
    <cellStyle name="Comma 3 9 2 4 2" xfId="31070"/>
    <cellStyle name="Comma 3 9 2 5" xfId="17339"/>
    <cellStyle name="Comma 3 9 2 5 2" xfId="37222"/>
    <cellStyle name="Comma 3 9 2 6" xfId="24917"/>
    <cellStyle name="Comma 3 9 3" xfId="5722"/>
    <cellStyle name="Comma 3 9 3 2" xfId="8825"/>
    <cellStyle name="Comma 3 9 3 2 2" xfId="15018"/>
    <cellStyle name="Comma 3 9 3 2 2 2" xfId="34901"/>
    <cellStyle name="Comma 3 9 3 2 3" xfId="21170"/>
    <cellStyle name="Comma 3 9 3 2 3 2" xfId="41053"/>
    <cellStyle name="Comma 3 9 3 2 4" xfId="28748"/>
    <cellStyle name="Comma 3 9 3 3" xfId="11952"/>
    <cellStyle name="Comma 3 9 3 3 2" xfId="31835"/>
    <cellStyle name="Comma 3 9 3 4" xfId="18104"/>
    <cellStyle name="Comma 3 9 3 4 2" xfId="37987"/>
    <cellStyle name="Comma 3 9 3 5" xfId="25682"/>
    <cellStyle name="Comma 3 9 4" xfId="7290"/>
    <cellStyle name="Comma 3 9 4 2" xfId="13484"/>
    <cellStyle name="Comma 3 9 4 2 2" xfId="33367"/>
    <cellStyle name="Comma 3 9 4 3" xfId="19636"/>
    <cellStyle name="Comma 3 9 4 3 2" xfId="39519"/>
    <cellStyle name="Comma 3 9 4 4" xfId="27214"/>
    <cellStyle name="Comma 3 9 5" xfId="10418"/>
    <cellStyle name="Comma 3 9 5 2" xfId="30301"/>
    <cellStyle name="Comma 3 9 6" xfId="16570"/>
    <cellStyle name="Comma 3 9 6 2" xfId="36453"/>
    <cellStyle name="Comma 3 9 7" xfId="1719"/>
    <cellStyle name="Comma 3 9 7 2" xfId="24148"/>
    <cellStyle name="Comma 30" xfId="1720"/>
    <cellStyle name="Comma 31" xfId="1721"/>
    <cellStyle name="Comma 32" xfId="1722"/>
    <cellStyle name="Comma 33" xfId="1723"/>
    <cellStyle name="Comma 34" xfId="1724"/>
    <cellStyle name="Comma 35" xfId="1725"/>
    <cellStyle name="Comma 36" xfId="1726"/>
    <cellStyle name="Comma 37" xfId="1727"/>
    <cellStyle name="Comma 38" xfId="1728"/>
    <cellStyle name="Comma 39" xfId="1729"/>
    <cellStyle name="Comma 4" xfId="6"/>
    <cellStyle name="Comma 4 10" xfId="374"/>
    <cellStyle name="Comma 4 11" xfId="390"/>
    <cellStyle name="Comma 4 12" xfId="404"/>
    <cellStyle name="Comma 4 13" xfId="416"/>
    <cellStyle name="Comma 4 14" xfId="435"/>
    <cellStyle name="Comma 4 15" xfId="462"/>
    <cellStyle name="Comma 4 16" xfId="466"/>
    <cellStyle name="Comma 4 17" xfId="509"/>
    <cellStyle name="Comma 4 18" xfId="524"/>
    <cellStyle name="Comma 4 19" xfId="551"/>
    <cellStyle name="Comma 4 2" xfId="7"/>
    <cellStyle name="Comma 4 2 2" xfId="86"/>
    <cellStyle name="Comma 4 2 2 2" xfId="1732"/>
    <cellStyle name="Comma 4 2 2 3" xfId="1733"/>
    <cellStyle name="Comma 4 2 2 4" xfId="1731"/>
    <cellStyle name="Comma 4 2 3" xfId="10245"/>
    <cellStyle name="Comma 4 2 3 2" xfId="16417"/>
    <cellStyle name="Comma 4 2 3 2 2" xfId="36300"/>
    <cellStyle name="Comma 4 2 3 3" xfId="22569"/>
    <cellStyle name="Comma 4 2 3 3 2" xfId="42452"/>
    <cellStyle name="Comma 4 2 3 4" xfId="30147"/>
    <cellStyle name="Comma 4 2 4" xfId="1730"/>
    <cellStyle name="Comma 4 2 5" xfId="253"/>
    <cellStyle name="Comma 4 2 6" xfId="23142"/>
    <cellStyle name="Comma 4 2 6 2" xfId="42996"/>
    <cellStyle name="Comma 4 20" xfId="579"/>
    <cellStyle name="Comma 4 21" xfId="575"/>
    <cellStyle name="Comma 4 22" xfId="661"/>
    <cellStyle name="Comma 4 23" xfId="668"/>
    <cellStyle name="Comma 4 24" xfId="689"/>
    <cellStyle name="Comma 4 25" xfId="721"/>
    <cellStyle name="Comma 4 26" xfId="748"/>
    <cellStyle name="Comma 4 27" xfId="774"/>
    <cellStyle name="Comma 4 28" xfId="798"/>
    <cellStyle name="Comma 4 29" xfId="872"/>
    <cellStyle name="Comma 4 29 2" xfId="23715"/>
    <cellStyle name="Comma 4 3" xfId="85"/>
    <cellStyle name="Comma 4 3 2" xfId="274"/>
    <cellStyle name="Comma 4 3 3" xfId="23143"/>
    <cellStyle name="Comma 4 3 3 2" xfId="42997"/>
    <cellStyle name="Comma 4 30" xfId="1167"/>
    <cellStyle name="Comma 4 31" xfId="22835"/>
    <cellStyle name="Comma 4 31 2" xfId="42709"/>
    <cellStyle name="Comma 4 32" xfId="217"/>
    <cellStyle name="Comma 4 32 2" xfId="23412"/>
    <cellStyle name="Comma 4 33" xfId="23141"/>
    <cellStyle name="Comma 4 33 2" xfId="42995"/>
    <cellStyle name="Comma 4 4" xfId="292"/>
    <cellStyle name="Comma 4 4 2" xfId="1734"/>
    <cellStyle name="Comma 4 5" xfId="294"/>
    <cellStyle name="Comma 4 5 2" xfId="4645"/>
    <cellStyle name="Comma 4 6" xfId="326"/>
    <cellStyle name="Comma 4 7" xfId="323"/>
    <cellStyle name="Comma 4 7 2" xfId="16408"/>
    <cellStyle name="Comma 4 7 2 2" xfId="36291"/>
    <cellStyle name="Comma 4 7 3" xfId="22560"/>
    <cellStyle name="Comma 4 7 3 2" xfId="42443"/>
    <cellStyle name="Comma 4 7 4" xfId="10225"/>
    <cellStyle name="Comma 4 7 4 2" xfId="30138"/>
    <cellStyle name="Comma 4 8" xfId="340"/>
    <cellStyle name="Comma 4 8 2" xfId="1216"/>
    <cellStyle name="Comma 4 9" xfId="359"/>
    <cellStyle name="Comma 40" xfId="1735"/>
    <cellStyle name="Comma 41" xfId="1736"/>
    <cellStyle name="Comma 42" xfId="1737"/>
    <cellStyle name="Comma 43" xfId="1738"/>
    <cellStyle name="Comma 43 10" xfId="1739"/>
    <cellStyle name="Comma 43 10 2" xfId="1740"/>
    <cellStyle name="Comma 43 11" xfId="1741"/>
    <cellStyle name="Comma 43 11 2" xfId="1742"/>
    <cellStyle name="Comma 43 12" xfId="1743"/>
    <cellStyle name="Comma 43 2" xfId="1744"/>
    <cellStyle name="Comma 43 2 2" xfId="1745"/>
    <cellStyle name="Comma 43 2 2 2" xfId="1746"/>
    <cellStyle name="Comma 43 2 2 2 2" xfId="1747"/>
    <cellStyle name="Comma 43 2 2 3" xfId="1748"/>
    <cellStyle name="Comma 43 2 3" xfId="1749"/>
    <cellStyle name="Comma 43 2 3 2" xfId="1750"/>
    <cellStyle name="Comma 43 2 4" xfId="1751"/>
    <cellStyle name="Comma 43 2 4 2" xfId="1752"/>
    <cellStyle name="Comma 43 2 5" xfId="1753"/>
    <cellStyle name="Comma 43 3" xfId="1754"/>
    <cellStyle name="Comma 43 3 2" xfId="1755"/>
    <cellStyle name="Comma 43 3 2 2" xfId="1756"/>
    <cellStyle name="Comma 43 3 2 2 2" xfId="1757"/>
    <cellStyle name="Comma 43 3 2 3" xfId="1758"/>
    <cellStyle name="Comma 43 3 3" xfId="1759"/>
    <cellStyle name="Comma 43 3 3 2" xfId="1760"/>
    <cellStyle name="Comma 43 3 4" xfId="1761"/>
    <cellStyle name="Comma 43 3 4 2" xfId="1762"/>
    <cellStyle name="Comma 43 3 5" xfId="1763"/>
    <cellStyle name="Comma 43 4" xfId="1764"/>
    <cellStyle name="Comma 43 4 2" xfId="1765"/>
    <cellStyle name="Comma 43 4 2 2" xfId="1766"/>
    <cellStyle name="Comma 43 4 2 2 2" xfId="1767"/>
    <cellStyle name="Comma 43 4 2 3" xfId="1768"/>
    <cellStyle name="Comma 43 4 3" xfId="1769"/>
    <cellStyle name="Comma 43 4 3 2" xfId="1770"/>
    <cellStyle name="Comma 43 4 4" xfId="1771"/>
    <cellStyle name="Comma 43 4 4 2" xfId="1772"/>
    <cellStyle name="Comma 43 4 5" xfId="1773"/>
    <cellStyle name="Comma 43 5" xfId="1774"/>
    <cellStyle name="Comma 43 5 2" xfId="1775"/>
    <cellStyle name="Comma 43 5 2 2" xfId="1776"/>
    <cellStyle name="Comma 43 5 2 2 2" xfId="1777"/>
    <cellStyle name="Comma 43 5 2 3" xfId="1778"/>
    <cellStyle name="Comma 43 5 3" xfId="1779"/>
    <cellStyle name="Comma 43 5 3 2" xfId="1780"/>
    <cellStyle name="Comma 43 5 4" xfId="1781"/>
    <cellStyle name="Comma 43 5 4 2" xfId="1782"/>
    <cellStyle name="Comma 43 5 5" xfId="1783"/>
    <cellStyle name="Comma 43 6" xfId="1784"/>
    <cellStyle name="Comma 43 6 2" xfId="1785"/>
    <cellStyle name="Comma 43 6 2 2" xfId="1786"/>
    <cellStyle name="Comma 43 6 2 2 2" xfId="1787"/>
    <cellStyle name="Comma 43 6 2 3" xfId="1788"/>
    <cellStyle name="Comma 43 6 3" xfId="1789"/>
    <cellStyle name="Comma 43 6 3 2" xfId="1790"/>
    <cellStyle name="Comma 43 6 4" xfId="1791"/>
    <cellStyle name="Comma 43 6 4 2" xfId="1792"/>
    <cellStyle name="Comma 43 6 5" xfId="1793"/>
    <cellStyle name="Comma 43 7" xfId="1794"/>
    <cellStyle name="Comma 43 7 2" xfId="1795"/>
    <cellStyle name="Comma 43 7 2 2" xfId="1796"/>
    <cellStyle name="Comma 43 7 2 2 2" xfId="1797"/>
    <cellStyle name="Comma 43 7 2 3" xfId="1798"/>
    <cellStyle name="Comma 43 7 3" xfId="1799"/>
    <cellStyle name="Comma 43 7 3 2" xfId="1800"/>
    <cellStyle name="Comma 43 7 4" xfId="1801"/>
    <cellStyle name="Comma 43 8" xfId="1802"/>
    <cellStyle name="Comma 43 8 2" xfId="1803"/>
    <cellStyle name="Comma 43 8 2 2" xfId="1804"/>
    <cellStyle name="Comma 43 8 2 2 2" xfId="1805"/>
    <cellStyle name="Comma 43 8 2 3" xfId="1806"/>
    <cellStyle name="Comma 43 8 3" xfId="1807"/>
    <cellStyle name="Comma 43 8 3 2" xfId="1808"/>
    <cellStyle name="Comma 43 8 4" xfId="1809"/>
    <cellStyle name="Comma 43 9" xfId="1810"/>
    <cellStyle name="Comma 43 9 2" xfId="1811"/>
    <cellStyle name="Comma 43 9 2 2" xfId="1812"/>
    <cellStyle name="Comma 43 9 3" xfId="1813"/>
    <cellStyle name="Comma 44" xfId="1814"/>
    <cellStyle name="Comma 44 10" xfId="1815"/>
    <cellStyle name="Comma 44 10 2" xfId="1816"/>
    <cellStyle name="Comma 44 11" xfId="1817"/>
    <cellStyle name="Comma 44 11 2" xfId="1818"/>
    <cellStyle name="Comma 44 12" xfId="1819"/>
    <cellStyle name="Comma 44 2" xfId="1820"/>
    <cellStyle name="Comma 44 2 2" xfId="1821"/>
    <cellStyle name="Comma 44 2 2 2" xfId="1822"/>
    <cellStyle name="Comma 44 2 2 2 2" xfId="1823"/>
    <cellStyle name="Comma 44 2 2 3" xfId="1824"/>
    <cellStyle name="Comma 44 2 3" xfId="1825"/>
    <cellStyle name="Comma 44 2 3 2" xfId="1826"/>
    <cellStyle name="Comma 44 2 4" xfId="1827"/>
    <cellStyle name="Comma 44 2 4 2" xfId="1828"/>
    <cellStyle name="Comma 44 2 5" xfId="1829"/>
    <cellStyle name="Comma 44 3" xfId="1830"/>
    <cellStyle name="Comma 44 3 2" xfId="1831"/>
    <cellStyle name="Comma 44 3 2 2" xfId="1832"/>
    <cellStyle name="Comma 44 3 2 2 2" xfId="1833"/>
    <cellStyle name="Comma 44 3 2 3" xfId="1834"/>
    <cellStyle name="Comma 44 3 3" xfId="1835"/>
    <cellStyle name="Comma 44 3 3 2" xfId="1836"/>
    <cellStyle name="Comma 44 3 4" xfId="1837"/>
    <cellStyle name="Comma 44 3 4 2" xfId="1838"/>
    <cellStyle name="Comma 44 3 5" xfId="1839"/>
    <cellStyle name="Comma 44 4" xfId="1840"/>
    <cellStyle name="Comma 44 4 2" xfId="1841"/>
    <cellStyle name="Comma 44 4 2 2" xfId="1842"/>
    <cellStyle name="Comma 44 4 2 2 2" xfId="1843"/>
    <cellStyle name="Comma 44 4 2 3" xfId="1844"/>
    <cellStyle name="Comma 44 4 3" xfId="1845"/>
    <cellStyle name="Comma 44 4 3 2" xfId="1846"/>
    <cellStyle name="Comma 44 4 4" xfId="1847"/>
    <cellStyle name="Comma 44 4 4 2" xfId="1848"/>
    <cellStyle name="Comma 44 4 5" xfId="1849"/>
    <cellStyle name="Comma 44 5" xfId="1850"/>
    <cellStyle name="Comma 44 5 2" xfId="1851"/>
    <cellStyle name="Comma 44 5 2 2" xfId="1852"/>
    <cellStyle name="Comma 44 5 2 2 2" xfId="1853"/>
    <cellStyle name="Comma 44 5 2 3" xfId="1854"/>
    <cellStyle name="Comma 44 5 3" xfId="1855"/>
    <cellStyle name="Comma 44 5 3 2" xfId="1856"/>
    <cellStyle name="Comma 44 5 4" xfId="1857"/>
    <cellStyle name="Comma 44 5 4 2" xfId="1858"/>
    <cellStyle name="Comma 44 5 5" xfId="1859"/>
    <cellStyle name="Comma 44 6" xfId="1860"/>
    <cellStyle name="Comma 44 6 2" xfId="1861"/>
    <cellStyle name="Comma 44 6 2 2" xfId="1862"/>
    <cellStyle name="Comma 44 6 2 2 2" xfId="1863"/>
    <cellStyle name="Comma 44 6 2 3" xfId="1864"/>
    <cellStyle name="Comma 44 6 3" xfId="1865"/>
    <cellStyle name="Comma 44 6 3 2" xfId="1866"/>
    <cellStyle name="Comma 44 6 4" xfId="1867"/>
    <cellStyle name="Comma 44 6 4 2" xfId="1868"/>
    <cellStyle name="Comma 44 6 5" xfId="1869"/>
    <cellStyle name="Comma 44 7" xfId="1870"/>
    <cellStyle name="Comma 44 7 2" xfId="1871"/>
    <cellStyle name="Comma 44 7 2 2" xfId="1872"/>
    <cellStyle name="Comma 44 7 2 2 2" xfId="1873"/>
    <cellStyle name="Comma 44 7 2 3" xfId="1874"/>
    <cellStyle name="Comma 44 7 3" xfId="1875"/>
    <cellStyle name="Comma 44 7 3 2" xfId="1876"/>
    <cellStyle name="Comma 44 7 4" xfId="1877"/>
    <cellStyle name="Comma 44 8" xfId="1878"/>
    <cellStyle name="Comma 44 8 2" xfId="1879"/>
    <cellStyle name="Comma 44 8 2 2" xfId="1880"/>
    <cellStyle name="Comma 44 8 2 2 2" xfId="1881"/>
    <cellStyle name="Comma 44 8 2 3" xfId="1882"/>
    <cellStyle name="Comma 44 8 3" xfId="1883"/>
    <cellStyle name="Comma 44 8 3 2" xfId="1884"/>
    <cellStyle name="Comma 44 8 4" xfId="1885"/>
    <cellStyle name="Comma 44 9" xfId="1886"/>
    <cellStyle name="Comma 44 9 2" xfId="1887"/>
    <cellStyle name="Comma 44 9 2 2" xfId="1888"/>
    <cellStyle name="Comma 44 9 3" xfId="1889"/>
    <cellStyle name="Comma 45" xfId="1890"/>
    <cellStyle name="Comma 45 10" xfId="1891"/>
    <cellStyle name="Comma 45 10 2" xfId="1892"/>
    <cellStyle name="Comma 45 11" xfId="1893"/>
    <cellStyle name="Comma 45 11 2" xfId="1894"/>
    <cellStyle name="Comma 45 12" xfId="1895"/>
    <cellStyle name="Comma 45 2" xfId="1896"/>
    <cellStyle name="Comma 45 2 2" xfId="1897"/>
    <cellStyle name="Comma 45 2 2 2" xfId="1898"/>
    <cellStyle name="Comma 45 2 2 2 2" xfId="1899"/>
    <cellStyle name="Comma 45 2 2 3" xfId="1900"/>
    <cellStyle name="Comma 45 2 3" xfId="1901"/>
    <cellStyle name="Comma 45 2 3 2" xfId="1902"/>
    <cellStyle name="Comma 45 2 4" xfId="1903"/>
    <cellStyle name="Comma 45 2 4 2" xfId="1904"/>
    <cellStyle name="Comma 45 2 5" xfId="1905"/>
    <cellStyle name="Comma 45 3" xfId="1906"/>
    <cellStyle name="Comma 45 3 2" xfId="1907"/>
    <cellStyle name="Comma 45 3 2 2" xfId="1908"/>
    <cellStyle name="Comma 45 3 2 2 2" xfId="1909"/>
    <cellStyle name="Comma 45 3 2 3" xfId="1910"/>
    <cellStyle name="Comma 45 3 3" xfId="1911"/>
    <cellStyle name="Comma 45 3 3 2" xfId="1912"/>
    <cellStyle name="Comma 45 3 4" xfId="1913"/>
    <cellStyle name="Comma 45 3 4 2" xfId="1914"/>
    <cellStyle name="Comma 45 3 5" xfId="1915"/>
    <cellStyle name="Comma 45 4" xfId="1916"/>
    <cellStyle name="Comma 45 4 2" xfId="1917"/>
    <cellStyle name="Comma 45 4 2 2" xfId="1918"/>
    <cellStyle name="Comma 45 4 2 2 2" xfId="1919"/>
    <cellStyle name="Comma 45 4 2 3" xfId="1920"/>
    <cellStyle name="Comma 45 4 3" xfId="1921"/>
    <cellStyle name="Comma 45 4 3 2" xfId="1922"/>
    <cellStyle name="Comma 45 4 4" xfId="1923"/>
    <cellStyle name="Comma 45 4 4 2" xfId="1924"/>
    <cellStyle name="Comma 45 4 5" xfId="1925"/>
    <cellStyle name="Comma 45 5" xfId="1926"/>
    <cellStyle name="Comma 45 5 2" xfId="1927"/>
    <cellStyle name="Comma 45 5 2 2" xfId="1928"/>
    <cellStyle name="Comma 45 5 2 2 2" xfId="1929"/>
    <cellStyle name="Comma 45 5 2 3" xfId="1930"/>
    <cellStyle name="Comma 45 5 3" xfId="1931"/>
    <cellStyle name="Comma 45 5 3 2" xfId="1932"/>
    <cellStyle name="Comma 45 5 4" xfId="1933"/>
    <cellStyle name="Comma 45 5 4 2" xfId="1934"/>
    <cellStyle name="Comma 45 5 5" xfId="1935"/>
    <cellStyle name="Comma 45 6" xfId="1936"/>
    <cellStyle name="Comma 45 6 2" xfId="1937"/>
    <cellStyle name="Comma 45 6 2 2" xfId="1938"/>
    <cellStyle name="Comma 45 6 2 2 2" xfId="1939"/>
    <cellStyle name="Comma 45 6 2 3" xfId="1940"/>
    <cellStyle name="Comma 45 6 3" xfId="1941"/>
    <cellStyle name="Comma 45 6 3 2" xfId="1942"/>
    <cellStyle name="Comma 45 6 4" xfId="1943"/>
    <cellStyle name="Comma 45 6 4 2" xfId="1944"/>
    <cellStyle name="Comma 45 6 5" xfId="1945"/>
    <cellStyle name="Comma 45 7" xfId="1946"/>
    <cellStyle name="Comma 45 7 2" xfId="1947"/>
    <cellStyle name="Comma 45 7 2 2" xfId="1948"/>
    <cellStyle name="Comma 45 7 2 2 2" xfId="1949"/>
    <cellStyle name="Comma 45 7 2 3" xfId="1950"/>
    <cellStyle name="Comma 45 7 3" xfId="1951"/>
    <cellStyle name="Comma 45 7 3 2" xfId="1952"/>
    <cellStyle name="Comma 45 7 4" xfId="1953"/>
    <cellStyle name="Comma 45 8" xfId="1954"/>
    <cellStyle name="Comma 45 8 2" xfId="1955"/>
    <cellStyle name="Comma 45 8 2 2" xfId="1956"/>
    <cellStyle name="Comma 45 8 2 2 2" xfId="1957"/>
    <cellStyle name="Comma 45 8 2 3" xfId="1958"/>
    <cellStyle name="Comma 45 8 3" xfId="1959"/>
    <cellStyle name="Comma 45 8 3 2" xfId="1960"/>
    <cellStyle name="Comma 45 8 4" xfId="1961"/>
    <cellStyle name="Comma 45 9" xfId="1962"/>
    <cellStyle name="Comma 45 9 2" xfId="1963"/>
    <cellStyle name="Comma 45 9 2 2" xfId="1964"/>
    <cellStyle name="Comma 45 9 3" xfId="1965"/>
    <cellStyle name="Comma 46" xfId="1966"/>
    <cellStyle name="Comma 46 10" xfId="1967"/>
    <cellStyle name="Comma 46 10 2" xfId="1968"/>
    <cellStyle name="Comma 46 11" xfId="1969"/>
    <cellStyle name="Comma 46 11 2" xfId="1970"/>
    <cellStyle name="Comma 46 12" xfId="1971"/>
    <cellStyle name="Comma 46 2" xfId="1972"/>
    <cellStyle name="Comma 46 2 2" xfId="1973"/>
    <cellStyle name="Comma 46 2 2 2" xfId="1974"/>
    <cellStyle name="Comma 46 2 2 2 2" xfId="1975"/>
    <cellStyle name="Comma 46 2 2 3" xfId="1976"/>
    <cellStyle name="Comma 46 2 3" xfId="1977"/>
    <cellStyle name="Comma 46 2 3 2" xfId="1978"/>
    <cellStyle name="Comma 46 2 4" xfId="1979"/>
    <cellStyle name="Comma 46 2 4 2" xfId="1980"/>
    <cellStyle name="Comma 46 2 5" xfId="1981"/>
    <cellStyle name="Comma 46 3" xfId="1982"/>
    <cellStyle name="Comma 46 3 2" xfId="1983"/>
    <cellStyle name="Comma 46 3 2 2" xfId="1984"/>
    <cellStyle name="Comma 46 3 2 2 2" xfId="1985"/>
    <cellStyle name="Comma 46 3 2 3" xfId="1986"/>
    <cellStyle name="Comma 46 3 3" xfId="1987"/>
    <cellStyle name="Comma 46 3 3 2" xfId="1988"/>
    <cellStyle name="Comma 46 3 4" xfId="1989"/>
    <cellStyle name="Comma 46 3 4 2" xfId="1990"/>
    <cellStyle name="Comma 46 3 5" xfId="1991"/>
    <cellStyle name="Comma 46 4" xfId="1992"/>
    <cellStyle name="Comma 46 4 2" xfId="1993"/>
    <cellStyle name="Comma 46 4 2 2" xfId="1994"/>
    <cellStyle name="Comma 46 4 2 2 2" xfId="1995"/>
    <cellStyle name="Comma 46 4 2 3" xfId="1996"/>
    <cellStyle name="Comma 46 4 3" xfId="1997"/>
    <cellStyle name="Comma 46 4 3 2" xfId="1998"/>
    <cellStyle name="Comma 46 4 4" xfId="1999"/>
    <cellStyle name="Comma 46 4 4 2" xfId="2000"/>
    <cellStyle name="Comma 46 4 5" xfId="2001"/>
    <cellStyle name="Comma 46 5" xfId="2002"/>
    <cellStyle name="Comma 46 5 2" xfId="2003"/>
    <cellStyle name="Comma 46 5 2 2" xfId="2004"/>
    <cellStyle name="Comma 46 5 2 2 2" xfId="2005"/>
    <cellStyle name="Comma 46 5 2 3" xfId="2006"/>
    <cellStyle name="Comma 46 5 3" xfId="2007"/>
    <cellStyle name="Comma 46 5 3 2" xfId="2008"/>
    <cellStyle name="Comma 46 5 4" xfId="2009"/>
    <cellStyle name="Comma 46 5 4 2" xfId="2010"/>
    <cellStyle name="Comma 46 5 5" xfId="2011"/>
    <cellStyle name="Comma 46 6" xfId="2012"/>
    <cellStyle name="Comma 46 6 2" xfId="2013"/>
    <cellStyle name="Comma 46 6 2 2" xfId="2014"/>
    <cellStyle name="Comma 46 6 2 2 2" xfId="2015"/>
    <cellStyle name="Comma 46 6 2 3" xfId="2016"/>
    <cellStyle name="Comma 46 6 3" xfId="2017"/>
    <cellStyle name="Comma 46 6 3 2" xfId="2018"/>
    <cellStyle name="Comma 46 6 4" xfId="2019"/>
    <cellStyle name="Comma 46 6 4 2" xfId="2020"/>
    <cellStyle name="Comma 46 6 5" xfId="2021"/>
    <cellStyle name="Comma 46 7" xfId="2022"/>
    <cellStyle name="Comma 46 7 2" xfId="2023"/>
    <cellStyle name="Comma 46 7 2 2" xfId="2024"/>
    <cellStyle name="Comma 46 7 2 2 2" xfId="2025"/>
    <cellStyle name="Comma 46 7 2 3" xfId="2026"/>
    <cellStyle name="Comma 46 7 3" xfId="2027"/>
    <cellStyle name="Comma 46 7 3 2" xfId="2028"/>
    <cellStyle name="Comma 46 7 4" xfId="2029"/>
    <cellStyle name="Comma 46 8" xfId="2030"/>
    <cellStyle name="Comma 46 8 2" xfId="2031"/>
    <cellStyle name="Comma 46 8 2 2" xfId="2032"/>
    <cellStyle name="Comma 46 8 2 2 2" xfId="2033"/>
    <cellStyle name="Comma 46 8 2 3" xfId="2034"/>
    <cellStyle name="Comma 46 8 3" xfId="2035"/>
    <cellStyle name="Comma 46 8 3 2" xfId="2036"/>
    <cellStyle name="Comma 46 8 4" xfId="2037"/>
    <cellStyle name="Comma 46 9" xfId="2038"/>
    <cellStyle name="Comma 46 9 2" xfId="2039"/>
    <cellStyle name="Comma 46 9 2 2" xfId="2040"/>
    <cellStyle name="Comma 46 9 3" xfId="2041"/>
    <cellStyle name="Comma 47" xfId="2042"/>
    <cellStyle name="Comma 47 10" xfId="2043"/>
    <cellStyle name="Comma 47 10 2" xfId="2044"/>
    <cellStyle name="Comma 47 11" xfId="2045"/>
    <cellStyle name="Comma 47 11 2" xfId="2046"/>
    <cellStyle name="Comma 47 12" xfId="2047"/>
    <cellStyle name="Comma 47 2" xfId="2048"/>
    <cellStyle name="Comma 47 2 2" xfId="2049"/>
    <cellStyle name="Comma 47 2 2 2" xfId="2050"/>
    <cellStyle name="Comma 47 2 2 2 2" xfId="2051"/>
    <cellStyle name="Comma 47 2 2 3" xfId="2052"/>
    <cellStyle name="Comma 47 2 3" xfId="2053"/>
    <cellStyle name="Comma 47 2 3 2" xfId="2054"/>
    <cellStyle name="Comma 47 2 4" xfId="2055"/>
    <cellStyle name="Comma 47 2 4 2" xfId="2056"/>
    <cellStyle name="Comma 47 2 5" xfId="2057"/>
    <cellStyle name="Comma 47 3" xfId="2058"/>
    <cellStyle name="Comma 47 3 2" xfId="2059"/>
    <cellStyle name="Comma 47 3 2 2" xfId="2060"/>
    <cellStyle name="Comma 47 3 2 2 2" xfId="2061"/>
    <cellStyle name="Comma 47 3 2 3" xfId="2062"/>
    <cellStyle name="Comma 47 3 3" xfId="2063"/>
    <cellStyle name="Comma 47 3 3 2" xfId="2064"/>
    <cellStyle name="Comma 47 3 4" xfId="2065"/>
    <cellStyle name="Comma 47 3 4 2" xfId="2066"/>
    <cellStyle name="Comma 47 3 5" xfId="2067"/>
    <cellStyle name="Comma 47 4" xfId="2068"/>
    <cellStyle name="Comma 47 4 2" xfId="2069"/>
    <cellStyle name="Comma 47 4 2 2" xfId="2070"/>
    <cellStyle name="Comma 47 4 2 2 2" xfId="2071"/>
    <cellStyle name="Comma 47 4 2 3" xfId="2072"/>
    <cellStyle name="Comma 47 4 3" xfId="2073"/>
    <cellStyle name="Comma 47 4 3 2" xfId="2074"/>
    <cellStyle name="Comma 47 4 4" xfId="2075"/>
    <cellStyle name="Comma 47 4 4 2" xfId="2076"/>
    <cellStyle name="Comma 47 4 5" xfId="2077"/>
    <cellStyle name="Comma 47 5" xfId="2078"/>
    <cellStyle name="Comma 47 5 2" xfId="2079"/>
    <cellStyle name="Comma 47 5 2 2" xfId="2080"/>
    <cellStyle name="Comma 47 5 2 2 2" xfId="2081"/>
    <cellStyle name="Comma 47 5 2 3" xfId="2082"/>
    <cellStyle name="Comma 47 5 3" xfId="2083"/>
    <cellStyle name="Comma 47 5 3 2" xfId="2084"/>
    <cellStyle name="Comma 47 5 4" xfId="2085"/>
    <cellStyle name="Comma 47 5 4 2" xfId="2086"/>
    <cellStyle name="Comma 47 5 5" xfId="2087"/>
    <cellStyle name="Comma 47 6" xfId="2088"/>
    <cellStyle name="Comma 47 6 2" xfId="2089"/>
    <cellStyle name="Comma 47 6 2 2" xfId="2090"/>
    <cellStyle name="Comma 47 6 2 2 2" xfId="2091"/>
    <cellStyle name="Comma 47 6 2 3" xfId="2092"/>
    <cellStyle name="Comma 47 6 3" xfId="2093"/>
    <cellStyle name="Comma 47 6 3 2" xfId="2094"/>
    <cellStyle name="Comma 47 6 4" xfId="2095"/>
    <cellStyle name="Comma 47 6 4 2" xfId="2096"/>
    <cellStyle name="Comma 47 6 5" xfId="2097"/>
    <cellStyle name="Comma 47 7" xfId="2098"/>
    <cellStyle name="Comma 47 7 2" xfId="2099"/>
    <cellStyle name="Comma 47 7 2 2" xfId="2100"/>
    <cellStyle name="Comma 47 7 2 2 2" xfId="2101"/>
    <cellStyle name="Comma 47 7 2 3" xfId="2102"/>
    <cellStyle name="Comma 47 7 3" xfId="2103"/>
    <cellStyle name="Comma 47 7 3 2" xfId="2104"/>
    <cellStyle name="Comma 47 7 4" xfId="2105"/>
    <cellStyle name="Comma 47 8" xfId="2106"/>
    <cellStyle name="Comma 47 8 2" xfId="2107"/>
    <cellStyle name="Comma 47 8 2 2" xfId="2108"/>
    <cellStyle name="Comma 47 8 2 2 2" xfId="2109"/>
    <cellStyle name="Comma 47 8 2 3" xfId="2110"/>
    <cellStyle name="Comma 47 8 3" xfId="2111"/>
    <cellStyle name="Comma 47 8 3 2" xfId="2112"/>
    <cellStyle name="Comma 47 8 4" xfId="2113"/>
    <cellStyle name="Comma 47 9" xfId="2114"/>
    <cellStyle name="Comma 47 9 2" xfId="2115"/>
    <cellStyle name="Comma 47 9 2 2" xfId="2116"/>
    <cellStyle name="Comma 47 9 3" xfId="2117"/>
    <cellStyle name="Comma 48" xfId="2118"/>
    <cellStyle name="Comma 48 10" xfId="2119"/>
    <cellStyle name="Comma 48 10 2" xfId="2120"/>
    <cellStyle name="Comma 48 11" xfId="2121"/>
    <cellStyle name="Comma 48 11 2" xfId="2122"/>
    <cellStyle name="Comma 48 12" xfId="2123"/>
    <cellStyle name="Comma 48 2" xfId="2124"/>
    <cellStyle name="Comma 48 2 2" xfId="2125"/>
    <cellStyle name="Comma 48 2 2 2" xfId="2126"/>
    <cellStyle name="Comma 48 2 2 2 2" xfId="2127"/>
    <cellStyle name="Comma 48 2 2 3" xfId="2128"/>
    <cellStyle name="Comma 48 2 3" xfId="2129"/>
    <cellStyle name="Comma 48 2 3 2" xfId="2130"/>
    <cellStyle name="Comma 48 2 4" xfId="2131"/>
    <cellStyle name="Comma 48 2 4 2" xfId="2132"/>
    <cellStyle name="Comma 48 2 5" xfId="2133"/>
    <cellStyle name="Comma 48 3" xfId="2134"/>
    <cellStyle name="Comma 48 3 2" xfId="2135"/>
    <cellStyle name="Comma 48 3 2 2" xfId="2136"/>
    <cellStyle name="Comma 48 3 2 2 2" xfId="2137"/>
    <cellStyle name="Comma 48 3 2 3" xfId="2138"/>
    <cellStyle name="Comma 48 3 3" xfId="2139"/>
    <cellStyle name="Comma 48 3 3 2" xfId="2140"/>
    <cellStyle name="Comma 48 3 4" xfId="2141"/>
    <cellStyle name="Comma 48 3 4 2" xfId="2142"/>
    <cellStyle name="Comma 48 3 5" xfId="2143"/>
    <cellStyle name="Comma 48 4" xfId="2144"/>
    <cellStyle name="Comma 48 4 2" xfId="2145"/>
    <cellStyle name="Comma 48 4 2 2" xfId="2146"/>
    <cellStyle name="Comma 48 4 2 2 2" xfId="2147"/>
    <cellStyle name="Comma 48 4 2 3" xfId="2148"/>
    <cellStyle name="Comma 48 4 3" xfId="2149"/>
    <cellStyle name="Comma 48 4 3 2" xfId="2150"/>
    <cellStyle name="Comma 48 4 4" xfId="2151"/>
    <cellStyle name="Comma 48 4 4 2" xfId="2152"/>
    <cellStyle name="Comma 48 4 5" xfId="2153"/>
    <cellStyle name="Comma 48 5" xfId="2154"/>
    <cellStyle name="Comma 48 5 2" xfId="2155"/>
    <cellStyle name="Comma 48 5 2 2" xfId="2156"/>
    <cellStyle name="Comma 48 5 2 2 2" xfId="2157"/>
    <cellStyle name="Comma 48 5 2 3" xfId="2158"/>
    <cellStyle name="Comma 48 5 3" xfId="2159"/>
    <cellStyle name="Comma 48 5 3 2" xfId="2160"/>
    <cellStyle name="Comma 48 5 4" xfId="2161"/>
    <cellStyle name="Comma 48 5 4 2" xfId="2162"/>
    <cellStyle name="Comma 48 5 5" xfId="2163"/>
    <cellStyle name="Comma 48 6" xfId="2164"/>
    <cellStyle name="Comma 48 6 2" xfId="2165"/>
    <cellStyle name="Comma 48 6 2 2" xfId="2166"/>
    <cellStyle name="Comma 48 6 2 2 2" xfId="2167"/>
    <cellStyle name="Comma 48 6 2 3" xfId="2168"/>
    <cellStyle name="Comma 48 6 3" xfId="2169"/>
    <cellStyle name="Comma 48 6 3 2" xfId="2170"/>
    <cellStyle name="Comma 48 6 4" xfId="2171"/>
    <cellStyle name="Comma 48 6 4 2" xfId="2172"/>
    <cellStyle name="Comma 48 6 5" xfId="2173"/>
    <cellStyle name="Comma 48 7" xfId="2174"/>
    <cellStyle name="Comma 48 7 2" xfId="2175"/>
    <cellStyle name="Comma 48 7 2 2" xfId="2176"/>
    <cellStyle name="Comma 48 7 2 2 2" xfId="2177"/>
    <cellStyle name="Comma 48 7 2 3" xfId="2178"/>
    <cellStyle name="Comma 48 7 3" xfId="2179"/>
    <cellStyle name="Comma 48 7 3 2" xfId="2180"/>
    <cellStyle name="Comma 48 7 4" xfId="2181"/>
    <cellStyle name="Comma 48 8" xfId="2182"/>
    <cellStyle name="Comma 48 8 2" xfId="2183"/>
    <cellStyle name="Comma 48 8 2 2" xfId="2184"/>
    <cellStyle name="Comma 48 8 2 2 2" xfId="2185"/>
    <cellStyle name="Comma 48 8 2 3" xfId="2186"/>
    <cellStyle name="Comma 48 8 3" xfId="2187"/>
    <cellStyle name="Comma 48 8 3 2" xfId="2188"/>
    <cellStyle name="Comma 48 8 4" xfId="2189"/>
    <cellStyle name="Comma 48 9" xfId="2190"/>
    <cellStyle name="Comma 48 9 2" xfId="2191"/>
    <cellStyle name="Comma 48 9 2 2" xfId="2192"/>
    <cellStyle name="Comma 48 9 3" xfId="2193"/>
    <cellStyle name="Comma 49" xfId="2194"/>
    <cellStyle name="Comma 49 10" xfId="2195"/>
    <cellStyle name="Comma 49 10 2" xfId="2196"/>
    <cellStyle name="Comma 49 11" xfId="2197"/>
    <cellStyle name="Comma 49 11 2" xfId="2198"/>
    <cellStyle name="Comma 49 12" xfId="2199"/>
    <cellStyle name="Comma 49 2" xfId="2200"/>
    <cellStyle name="Comma 49 2 2" xfId="2201"/>
    <cellStyle name="Comma 49 2 2 2" xfId="2202"/>
    <cellStyle name="Comma 49 2 2 2 2" xfId="2203"/>
    <cellStyle name="Comma 49 2 2 3" xfId="2204"/>
    <cellStyle name="Comma 49 2 3" xfId="2205"/>
    <cellStyle name="Comma 49 2 3 2" xfId="2206"/>
    <cellStyle name="Comma 49 2 4" xfId="2207"/>
    <cellStyle name="Comma 49 2 4 2" xfId="2208"/>
    <cellStyle name="Comma 49 2 5" xfId="2209"/>
    <cellStyle name="Comma 49 3" xfId="2210"/>
    <cellStyle name="Comma 49 3 2" xfId="2211"/>
    <cellStyle name="Comma 49 3 2 2" xfId="2212"/>
    <cellStyle name="Comma 49 3 2 2 2" xfId="2213"/>
    <cellStyle name="Comma 49 3 2 3" xfId="2214"/>
    <cellStyle name="Comma 49 3 3" xfId="2215"/>
    <cellStyle name="Comma 49 3 3 2" xfId="2216"/>
    <cellStyle name="Comma 49 3 4" xfId="2217"/>
    <cellStyle name="Comma 49 3 4 2" xfId="2218"/>
    <cellStyle name="Comma 49 3 5" xfId="2219"/>
    <cellStyle name="Comma 49 4" xfId="2220"/>
    <cellStyle name="Comma 49 4 2" xfId="2221"/>
    <cellStyle name="Comma 49 4 2 2" xfId="2222"/>
    <cellStyle name="Comma 49 4 2 2 2" xfId="2223"/>
    <cellStyle name="Comma 49 4 2 3" xfId="2224"/>
    <cellStyle name="Comma 49 4 3" xfId="2225"/>
    <cellStyle name="Comma 49 4 3 2" xfId="2226"/>
    <cellStyle name="Comma 49 4 4" xfId="2227"/>
    <cellStyle name="Comma 49 4 4 2" xfId="2228"/>
    <cellStyle name="Comma 49 4 5" xfId="2229"/>
    <cellStyle name="Comma 49 5" xfId="2230"/>
    <cellStyle name="Comma 49 5 2" xfId="2231"/>
    <cellStyle name="Comma 49 5 2 2" xfId="2232"/>
    <cellStyle name="Comma 49 5 2 2 2" xfId="2233"/>
    <cellStyle name="Comma 49 5 2 3" xfId="2234"/>
    <cellStyle name="Comma 49 5 3" xfId="2235"/>
    <cellStyle name="Comma 49 5 3 2" xfId="2236"/>
    <cellStyle name="Comma 49 5 4" xfId="2237"/>
    <cellStyle name="Comma 49 5 4 2" xfId="2238"/>
    <cellStyle name="Comma 49 5 5" xfId="2239"/>
    <cellStyle name="Comma 49 6" xfId="2240"/>
    <cellStyle name="Comma 49 6 2" xfId="2241"/>
    <cellStyle name="Comma 49 6 2 2" xfId="2242"/>
    <cellStyle name="Comma 49 6 2 2 2" xfId="2243"/>
    <cellStyle name="Comma 49 6 2 3" xfId="2244"/>
    <cellStyle name="Comma 49 6 3" xfId="2245"/>
    <cellStyle name="Comma 49 6 3 2" xfId="2246"/>
    <cellStyle name="Comma 49 6 4" xfId="2247"/>
    <cellStyle name="Comma 49 6 4 2" xfId="2248"/>
    <cellStyle name="Comma 49 6 5" xfId="2249"/>
    <cellStyle name="Comma 49 7" xfId="2250"/>
    <cellStyle name="Comma 49 7 2" xfId="2251"/>
    <cellStyle name="Comma 49 7 2 2" xfId="2252"/>
    <cellStyle name="Comma 49 7 2 2 2" xfId="2253"/>
    <cellStyle name="Comma 49 7 2 3" xfId="2254"/>
    <cellStyle name="Comma 49 7 3" xfId="2255"/>
    <cellStyle name="Comma 49 7 3 2" xfId="2256"/>
    <cellStyle name="Comma 49 7 4" xfId="2257"/>
    <cellStyle name="Comma 49 8" xfId="2258"/>
    <cellStyle name="Comma 49 8 2" xfId="2259"/>
    <cellStyle name="Comma 49 8 2 2" xfId="2260"/>
    <cellStyle name="Comma 49 8 2 2 2" xfId="2261"/>
    <cellStyle name="Comma 49 8 2 3" xfId="2262"/>
    <cellStyle name="Comma 49 8 3" xfId="2263"/>
    <cellStyle name="Comma 49 8 3 2" xfId="2264"/>
    <cellStyle name="Comma 49 8 4" xfId="2265"/>
    <cellStyle name="Comma 49 9" xfId="2266"/>
    <cellStyle name="Comma 49 9 2" xfId="2267"/>
    <cellStyle name="Comma 49 9 2 2" xfId="2268"/>
    <cellStyle name="Comma 49 9 3" xfId="2269"/>
    <cellStyle name="Comma 5" xfId="8"/>
    <cellStyle name="Comma 5 10" xfId="422"/>
    <cellStyle name="Comma 5 10 2" xfId="918"/>
    <cellStyle name="Comma 5 10 2 2" xfId="14879"/>
    <cellStyle name="Comma 5 10 2 2 2" xfId="34762"/>
    <cellStyle name="Comma 5 10 2 3" xfId="21031"/>
    <cellStyle name="Comma 5 10 2 3 2" xfId="40914"/>
    <cellStyle name="Comma 5 10 2 4" xfId="8686"/>
    <cellStyle name="Comma 5 10 2 4 2" xfId="28609"/>
    <cellStyle name="Comma 5 10 2 5" xfId="23761"/>
    <cellStyle name="Comma 5 10 3" xfId="11813"/>
    <cellStyle name="Comma 5 10 3 2" xfId="31696"/>
    <cellStyle name="Comma 5 10 4" xfId="17965"/>
    <cellStyle name="Comma 5 10 4 2" xfId="37848"/>
    <cellStyle name="Comma 5 10 5" xfId="5582"/>
    <cellStyle name="Comma 5 10 5 2" xfId="25543"/>
    <cellStyle name="Comma 5 10 6" xfId="22881"/>
    <cellStyle name="Comma 5 10 6 2" xfId="42755"/>
    <cellStyle name="Comma 5 10 7" xfId="23458"/>
    <cellStyle name="Comma 5 11" xfId="433"/>
    <cellStyle name="Comma 5 11 2" xfId="921"/>
    <cellStyle name="Comma 5 11 2 2" xfId="13345"/>
    <cellStyle name="Comma 5 11 2 2 2" xfId="33228"/>
    <cellStyle name="Comma 5 11 2 3" xfId="23764"/>
    <cellStyle name="Comma 5 11 3" xfId="19497"/>
    <cellStyle name="Comma 5 11 3 2" xfId="39380"/>
    <cellStyle name="Comma 5 11 4" xfId="7151"/>
    <cellStyle name="Comma 5 11 4 2" xfId="27075"/>
    <cellStyle name="Comma 5 11 5" xfId="22884"/>
    <cellStyle name="Comma 5 11 5 2" xfId="42758"/>
    <cellStyle name="Comma 5 11 6" xfId="23461"/>
    <cellStyle name="Comma 5 12" xfId="441"/>
    <cellStyle name="Comma 5 12 2" xfId="924"/>
    <cellStyle name="Comma 5 12 2 2" xfId="23767"/>
    <cellStyle name="Comma 5 12 3" xfId="10279"/>
    <cellStyle name="Comma 5 12 3 2" xfId="30162"/>
    <cellStyle name="Comma 5 12 4" xfId="22887"/>
    <cellStyle name="Comma 5 12 4 2" xfId="42761"/>
    <cellStyle name="Comma 5 12 5" xfId="23464"/>
    <cellStyle name="Comma 5 13" xfId="444"/>
    <cellStyle name="Comma 5 13 2" xfId="927"/>
    <cellStyle name="Comma 5 13 2 2" xfId="23770"/>
    <cellStyle name="Comma 5 13 3" xfId="16431"/>
    <cellStyle name="Comma 5 13 3 2" xfId="36314"/>
    <cellStyle name="Comma 5 13 4" xfId="22890"/>
    <cellStyle name="Comma 5 13 4 2" xfId="42764"/>
    <cellStyle name="Comma 5 13 5" xfId="23467"/>
    <cellStyle name="Comma 5 14" xfId="447"/>
    <cellStyle name="Comma 5 14 2" xfId="930"/>
    <cellStyle name="Comma 5 14 2 2" xfId="23773"/>
    <cellStyle name="Comma 5 14 3" xfId="1280"/>
    <cellStyle name="Comma 5 14 3 2" xfId="24009"/>
    <cellStyle name="Comma 5 14 4" xfId="22893"/>
    <cellStyle name="Comma 5 14 4 2" xfId="42767"/>
    <cellStyle name="Comma 5 14 5" xfId="23470"/>
    <cellStyle name="Comma 5 15" xfId="512"/>
    <cellStyle name="Comma 5 15 2" xfId="946"/>
    <cellStyle name="Comma 5 15 2 2" xfId="23789"/>
    <cellStyle name="Comma 5 15 3" xfId="22765"/>
    <cellStyle name="Comma 5 15 3 2" xfId="42639"/>
    <cellStyle name="Comma 5 15 4" xfId="22909"/>
    <cellStyle name="Comma 5 15 4 2" xfId="42783"/>
    <cellStyle name="Comma 5 15 5" xfId="23486"/>
    <cellStyle name="Comma 5 16" xfId="542"/>
    <cellStyle name="Comma 5 16 2" xfId="962"/>
    <cellStyle name="Comma 5 16 2 2" xfId="23805"/>
    <cellStyle name="Comma 5 16 3" xfId="22702"/>
    <cellStyle name="Comma 5 16 3 2" xfId="42576"/>
    <cellStyle name="Comma 5 16 4" xfId="22925"/>
    <cellStyle name="Comma 5 16 4 2" xfId="42799"/>
    <cellStyle name="Comma 5 16 5" xfId="23502"/>
    <cellStyle name="Comma 5 17" xfId="569"/>
    <cellStyle name="Comma 5 17 2" xfId="978"/>
    <cellStyle name="Comma 5 17 2 2" xfId="23821"/>
    <cellStyle name="Comma 5 17 3" xfId="22620"/>
    <cellStyle name="Comma 5 17 3 2" xfId="42494"/>
    <cellStyle name="Comma 5 17 4" xfId="22941"/>
    <cellStyle name="Comma 5 17 4 2" xfId="42815"/>
    <cellStyle name="Comma 5 17 5" xfId="23518"/>
    <cellStyle name="Comma 5 18" xfId="595"/>
    <cellStyle name="Comma 5 18 2" xfId="994"/>
    <cellStyle name="Comma 5 18 2 2" xfId="23837"/>
    <cellStyle name="Comma 5 18 3" xfId="22810"/>
    <cellStyle name="Comma 5 18 3 2" xfId="42684"/>
    <cellStyle name="Comma 5 18 4" xfId="22957"/>
    <cellStyle name="Comma 5 18 4 2" xfId="42831"/>
    <cellStyle name="Comma 5 18 5" xfId="23534"/>
    <cellStyle name="Comma 5 19" xfId="621"/>
    <cellStyle name="Comma 5 19 2" xfId="1010"/>
    <cellStyle name="Comma 5 19 2 2" xfId="23853"/>
    <cellStyle name="Comma 5 19 3" xfId="22671"/>
    <cellStyle name="Comma 5 19 3 2" xfId="42545"/>
    <cellStyle name="Comma 5 19 4" xfId="22973"/>
    <cellStyle name="Comma 5 19 4 2" xfId="42847"/>
    <cellStyle name="Comma 5 19 5" xfId="23550"/>
    <cellStyle name="Comma 5 2" xfId="87"/>
    <cellStyle name="Comma 5 2 10" xfId="16437"/>
    <cellStyle name="Comma 5 2 10 2" xfId="36320"/>
    <cellStyle name="Comma 5 2 11" xfId="1295"/>
    <cellStyle name="Comma 5 2 11 2" xfId="24015"/>
    <cellStyle name="Comma 5 2 12" xfId="22857"/>
    <cellStyle name="Comma 5 2 12 2" xfId="42731"/>
    <cellStyle name="Comma 5 2 13" xfId="298"/>
    <cellStyle name="Comma 5 2 13 2" xfId="23434"/>
    <cellStyle name="Comma 5 2 2" xfId="894"/>
    <cellStyle name="Comma 5 2 2 10" xfId="23737"/>
    <cellStyle name="Comma 5 2 2 2" xfId="4725"/>
    <cellStyle name="Comma 5 2 2 2 2" xfId="5501"/>
    <cellStyle name="Comma 5 2 2 2 2 2" xfId="7126"/>
    <cellStyle name="Comma 5 2 2 2 2 2 2" xfId="10212"/>
    <cellStyle name="Comma 5 2 2 2 2 2 2 2" xfId="16405"/>
    <cellStyle name="Comma 5 2 2 2 2 2 2 2 2" xfId="36288"/>
    <cellStyle name="Comma 5 2 2 2 2 2 2 3" xfId="22557"/>
    <cellStyle name="Comma 5 2 2 2 2 2 2 3 2" xfId="42440"/>
    <cellStyle name="Comma 5 2 2 2 2 2 2 4" xfId="30135"/>
    <cellStyle name="Comma 5 2 2 2 2 2 3" xfId="13339"/>
    <cellStyle name="Comma 5 2 2 2 2 2 3 2" xfId="33222"/>
    <cellStyle name="Comma 5 2 2 2 2 2 4" xfId="19491"/>
    <cellStyle name="Comma 5 2 2 2 2 2 4 2" xfId="39374"/>
    <cellStyle name="Comma 5 2 2 2 2 2 5" xfId="27069"/>
    <cellStyle name="Comma 5 2 2 2 2 3" xfId="8677"/>
    <cellStyle name="Comma 5 2 2 2 2 3 2" xfId="14871"/>
    <cellStyle name="Comma 5 2 2 2 2 3 2 2" xfId="34754"/>
    <cellStyle name="Comma 5 2 2 2 2 3 3" xfId="21023"/>
    <cellStyle name="Comma 5 2 2 2 2 3 3 2" xfId="40906"/>
    <cellStyle name="Comma 5 2 2 2 2 3 4" xfId="28601"/>
    <cellStyle name="Comma 5 2 2 2 2 4" xfId="11805"/>
    <cellStyle name="Comma 5 2 2 2 2 4 2" xfId="31688"/>
    <cellStyle name="Comma 5 2 2 2 2 5" xfId="17957"/>
    <cellStyle name="Comma 5 2 2 2 2 5 2" xfId="37840"/>
    <cellStyle name="Comma 5 2 2 2 2 6" xfId="25535"/>
    <cellStyle name="Comma 5 2 2 2 3" xfId="6357"/>
    <cellStyle name="Comma 5 2 2 2 3 2" xfId="9443"/>
    <cellStyle name="Comma 5 2 2 2 3 2 2" xfId="15636"/>
    <cellStyle name="Comma 5 2 2 2 3 2 2 2" xfId="35519"/>
    <cellStyle name="Comma 5 2 2 2 3 2 3" xfId="21788"/>
    <cellStyle name="Comma 5 2 2 2 3 2 3 2" xfId="41671"/>
    <cellStyle name="Comma 5 2 2 2 3 2 4" xfId="29366"/>
    <cellStyle name="Comma 5 2 2 2 3 3" xfId="12570"/>
    <cellStyle name="Comma 5 2 2 2 3 3 2" xfId="32453"/>
    <cellStyle name="Comma 5 2 2 2 3 4" xfId="18722"/>
    <cellStyle name="Comma 5 2 2 2 3 4 2" xfId="38605"/>
    <cellStyle name="Comma 5 2 2 2 3 5" xfId="26300"/>
    <cellStyle name="Comma 5 2 2 2 4" xfId="7908"/>
    <cellStyle name="Comma 5 2 2 2 4 2" xfId="14102"/>
    <cellStyle name="Comma 5 2 2 2 4 2 2" xfId="33985"/>
    <cellStyle name="Comma 5 2 2 2 4 3" xfId="20254"/>
    <cellStyle name="Comma 5 2 2 2 4 3 2" xfId="40137"/>
    <cellStyle name="Comma 5 2 2 2 4 4" xfId="27832"/>
    <cellStyle name="Comma 5 2 2 2 5" xfId="11036"/>
    <cellStyle name="Comma 5 2 2 2 5 2" xfId="30919"/>
    <cellStyle name="Comma 5 2 2 2 6" xfId="17188"/>
    <cellStyle name="Comma 5 2 2 2 6 2" xfId="37071"/>
    <cellStyle name="Comma 5 2 2 2 7" xfId="24766"/>
    <cellStyle name="Comma 5 2 2 3" xfId="2272"/>
    <cellStyle name="Comma 5 2 2 4" xfId="4761"/>
    <cellStyle name="Comma 5 2 2 4 2" xfId="6386"/>
    <cellStyle name="Comma 5 2 2 4 2 2" xfId="9472"/>
    <cellStyle name="Comma 5 2 2 4 2 2 2" xfId="15665"/>
    <cellStyle name="Comma 5 2 2 4 2 2 2 2" xfId="35548"/>
    <cellStyle name="Comma 5 2 2 4 2 2 3" xfId="21817"/>
    <cellStyle name="Comma 5 2 2 4 2 2 3 2" xfId="41700"/>
    <cellStyle name="Comma 5 2 2 4 2 2 4" xfId="29395"/>
    <cellStyle name="Comma 5 2 2 4 2 3" xfId="12599"/>
    <cellStyle name="Comma 5 2 2 4 2 3 2" xfId="32482"/>
    <cellStyle name="Comma 5 2 2 4 2 4" xfId="18751"/>
    <cellStyle name="Comma 5 2 2 4 2 4 2" xfId="38634"/>
    <cellStyle name="Comma 5 2 2 4 2 5" xfId="26329"/>
    <cellStyle name="Comma 5 2 2 4 3" xfId="7937"/>
    <cellStyle name="Comma 5 2 2 4 3 2" xfId="14131"/>
    <cellStyle name="Comma 5 2 2 4 3 2 2" xfId="34014"/>
    <cellStyle name="Comma 5 2 2 4 3 3" xfId="20283"/>
    <cellStyle name="Comma 5 2 2 4 3 3 2" xfId="40166"/>
    <cellStyle name="Comma 5 2 2 4 3 4" xfId="27861"/>
    <cellStyle name="Comma 5 2 2 4 4" xfId="11065"/>
    <cellStyle name="Comma 5 2 2 4 4 2" xfId="30948"/>
    <cellStyle name="Comma 5 2 2 4 5" xfId="17217"/>
    <cellStyle name="Comma 5 2 2 4 5 2" xfId="37100"/>
    <cellStyle name="Comma 5 2 2 4 6" xfId="24795"/>
    <cellStyle name="Comma 5 2 2 5" xfId="5600"/>
    <cellStyle name="Comma 5 2 2 5 2" xfId="8703"/>
    <cellStyle name="Comma 5 2 2 5 2 2" xfId="14896"/>
    <cellStyle name="Comma 5 2 2 5 2 2 2" xfId="34779"/>
    <cellStyle name="Comma 5 2 2 5 2 3" xfId="21048"/>
    <cellStyle name="Comma 5 2 2 5 2 3 2" xfId="40931"/>
    <cellStyle name="Comma 5 2 2 5 2 4" xfId="28626"/>
    <cellStyle name="Comma 5 2 2 5 3" xfId="11830"/>
    <cellStyle name="Comma 5 2 2 5 3 2" xfId="31713"/>
    <cellStyle name="Comma 5 2 2 5 4" xfId="17982"/>
    <cellStyle name="Comma 5 2 2 5 4 2" xfId="37865"/>
    <cellStyle name="Comma 5 2 2 5 5" xfId="25560"/>
    <cellStyle name="Comma 5 2 2 6" xfId="7168"/>
    <cellStyle name="Comma 5 2 2 6 2" xfId="13362"/>
    <cellStyle name="Comma 5 2 2 6 2 2" xfId="33245"/>
    <cellStyle name="Comma 5 2 2 6 3" xfId="19514"/>
    <cellStyle name="Comma 5 2 2 6 3 2" xfId="39397"/>
    <cellStyle name="Comma 5 2 2 6 4" xfId="27092"/>
    <cellStyle name="Comma 5 2 2 7" xfId="10296"/>
    <cellStyle name="Comma 5 2 2 7 2" xfId="30179"/>
    <cellStyle name="Comma 5 2 2 8" xfId="16448"/>
    <cellStyle name="Comma 5 2 2 8 2" xfId="36331"/>
    <cellStyle name="Comma 5 2 2 9" xfId="1314"/>
    <cellStyle name="Comma 5 2 2 9 2" xfId="24026"/>
    <cellStyle name="Comma 5 2 3" xfId="2273"/>
    <cellStyle name="Comma 5 2 4" xfId="4708"/>
    <cellStyle name="Comma 5 2 4 2" xfId="5492"/>
    <cellStyle name="Comma 5 2 4 2 2" xfId="7117"/>
    <cellStyle name="Comma 5 2 4 2 2 2" xfId="10203"/>
    <cellStyle name="Comma 5 2 4 2 2 2 2" xfId="16396"/>
    <cellStyle name="Comma 5 2 4 2 2 2 2 2" xfId="36279"/>
    <cellStyle name="Comma 5 2 4 2 2 2 3" xfId="22548"/>
    <cellStyle name="Comma 5 2 4 2 2 2 3 2" xfId="42431"/>
    <cellStyle name="Comma 5 2 4 2 2 2 4" xfId="30126"/>
    <cellStyle name="Comma 5 2 4 2 2 3" xfId="13330"/>
    <cellStyle name="Comma 5 2 4 2 2 3 2" xfId="33213"/>
    <cellStyle name="Comma 5 2 4 2 2 4" xfId="19482"/>
    <cellStyle name="Comma 5 2 4 2 2 4 2" xfId="39365"/>
    <cellStyle name="Comma 5 2 4 2 2 5" xfId="27060"/>
    <cellStyle name="Comma 5 2 4 2 3" xfId="8668"/>
    <cellStyle name="Comma 5 2 4 2 3 2" xfId="14862"/>
    <cellStyle name="Comma 5 2 4 2 3 2 2" xfId="34745"/>
    <cellStyle name="Comma 5 2 4 2 3 3" xfId="21014"/>
    <cellStyle name="Comma 5 2 4 2 3 3 2" xfId="40897"/>
    <cellStyle name="Comma 5 2 4 2 3 4" xfId="28592"/>
    <cellStyle name="Comma 5 2 4 2 4" xfId="11796"/>
    <cellStyle name="Comma 5 2 4 2 4 2" xfId="31679"/>
    <cellStyle name="Comma 5 2 4 2 5" xfId="17948"/>
    <cellStyle name="Comma 5 2 4 2 5 2" xfId="37831"/>
    <cellStyle name="Comma 5 2 4 2 6" xfId="25526"/>
    <cellStyle name="Comma 5 2 4 3" xfId="6348"/>
    <cellStyle name="Comma 5 2 4 3 2" xfId="9434"/>
    <cellStyle name="Comma 5 2 4 3 2 2" xfId="15627"/>
    <cellStyle name="Comma 5 2 4 3 2 2 2" xfId="35510"/>
    <cellStyle name="Comma 5 2 4 3 2 3" xfId="21779"/>
    <cellStyle name="Comma 5 2 4 3 2 3 2" xfId="41662"/>
    <cellStyle name="Comma 5 2 4 3 2 4" xfId="29357"/>
    <cellStyle name="Comma 5 2 4 3 3" xfId="12561"/>
    <cellStyle name="Comma 5 2 4 3 3 2" xfId="32444"/>
    <cellStyle name="Comma 5 2 4 3 4" xfId="18713"/>
    <cellStyle name="Comma 5 2 4 3 4 2" xfId="38596"/>
    <cellStyle name="Comma 5 2 4 3 5" xfId="26291"/>
    <cellStyle name="Comma 5 2 4 4" xfId="7899"/>
    <cellStyle name="Comma 5 2 4 4 2" xfId="14093"/>
    <cellStyle name="Comma 5 2 4 4 2 2" xfId="33976"/>
    <cellStyle name="Comma 5 2 4 4 3" xfId="20245"/>
    <cellStyle name="Comma 5 2 4 4 3 2" xfId="40128"/>
    <cellStyle name="Comma 5 2 4 4 4" xfId="27823"/>
    <cellStyle name="Comma 5 2 4 5" xfId="11027"/>
    <cellStyle name="Comma 5 2 4 5 2" xfId="30910"/>
    <cellStyle name="Comma 5 2 4 6" xfId="17179"/>
    <cellStyle name="Comma 5 2 4 6 2" xfId="37062"/>
    <cellStyle name="Comma 5 2 4 7" xfId="24757"/>
    <cellStyle name="Comma 5 2 5" xfId="2271"/>
    <cellStyle name="Comma 5 2 6" xfId="4750"/>
    <cellStyle name="Comma 5 2 6 2" xfId="6375"/>
    <cellStyle name="Comma 5 2 6 2 2" xfId="9461"/>
    <cellStyle name="Comma 5 2 6 2 2 2" xfId="15654"/>
    <cellStyle name="Comma 5 2 6 2 2 2 2" xfId="35537"/>
    <cellStyle name="Comma 5 2 6 2 2 3" xfId="21806"/>
    <cellStyle name="Comma 5 2 6 2 2 3 2" xfId="41689"/>
    <cellStyle name="Comma 5 2 6 2 2 4" xfId="29384"/>
    <cellStyle name="Comma 5 2 6 2 3" xfId="12588"/>
    <cellStyle name="Comma 5 2 6 2 3 2" xfId="32471"/>
    <cellStyle name="Comma 5 2 6 2 4" xfId="18740"/>
    <cellStyle name="Comma 5 2 6 2 4 2" xfId="38623"/>
    <cellStyle name="Comma 5 2 6 2 5" xfId="26318"/>
    <cellStyle name="Comma 5 2 6 3" xfId="7926"/>
    <cellStyle name="Comma 5 2 6 3 2" xfId="14120"/>
    <cellStyle name="Comma 5 2 6 3 2 2" xfId="34003"/>
    <cellStyle name="Comma 5 2 6 3 3" xfId="20272"/>
    <cellStyle name="Comma 5 2 6 3 3 2" xfId="40155"/>
    <cellStyle name="Comma 5 2 6 3 4" xfId="27850"/>
    <cellStyle name="Comma 5 2 6 4" xfId="11054"/>
    <cellStyle name="Comma 5 2 6 4 2" xfId="30937"/>
    <cellStyle name="Comma 5 2 6 5" xfId="17206"/>
    <cellStyle name="Comma 5 2 6 5 2" xfId="37089"/>
    <cellStyle name="Comma 5 2 6 6" xfId="24784"/>
    <cellStyle name="Comma 5 2 7" xfId="5588"/>
    <cellStyle name="Comma 5 2 7 2" xfId="8692"/>
    <cellStyle name="Comma 5 2 7 2 2" xfId="14885"/>
    <cellStyle name="Comma 5 2 7 2 2 2" xfId="34768"/>
    <cellStyle name="Comma 5 2 7 2 3" xfId="21037"/>
    <cellStyle name="Comma 5 2 7 2 3 2" xfId="40920"/>
    <cellStyle name="Comma 5 2 7 2 4" xfId="28615"/>
    <cellStyle name="Comma 5 2 7 3" xfId="11819"/>
    <cellStyle name="Comma 5 2 7 3 2" xfId="31702"/>
    <cellStyle name="Comma 5 2 7 4" xfId="17971"/>
    <cellStyle name="Comma 5 2 7 4 2" xfId="37854"/>
    <cellStyle name="Comma 5 2 7 5" xfId="25549"/>
    <cellStyle name="Comma 5 2 8" xfId="7157"/>
    <cellStyle name="Comma 5 2 8 2" xfId="13351"/>
    <cellStyle name="Comma 5 2 8 2 2" xfId="33234"/>
    <cellStyle name="Comma 5 2 8 3" xfId="19503"/>
    <cellStyle name="Comma 5 2 8 3 2" xfId="39386"/>
    <cellStyle name="Comma 5 2 8 4" xfId="27081"/>
    <cellStyle name="Comma 5 2 9" xfId="10285"/>
    <cellStyle name="Comma 5 2 9 2" xfId="30168"/>
    <cellStyle name="Comma 5 20" xfId="645"/>
    <cellStyle name="Comma 5 20 2" xfId="1026"/>
    <cellStyle name="Comma 5 20 2 2" xfId="23869"/>
    <cellStyle name="Comma 5 20 3" xfId="22782"/>
    <cellStyle name="Comma 5 20 3 2" xfId="42656"/>
    <cellStyle name="Comma 5 20 4" xfId="22989"/>
    <cellStyle name="Comma 5 20 4 2" xfId="42863"/>
    <cellStyle name="Comma 5 20 5" xfId="23566"/>
    <cellStyle name="Comma 5 21" xfId="671"/>
    <cellStyle name="Comma 5 21 2" xfId="1042"/>
    <cellStyle name="Comma 5 21 2 2" xfId="23885"/>
    <cellStyle name="Comma 5 21 3" xfId="22767"/>
    <cellStyle name="Comma 5 21 3 2" xfId="42641"/>
    <cellStyle name="Comma 5 21 4" xfId="23005"/>
    <cellStyle name="Comma 5 21 4 2" xfId="42879"/>
    <cellStyle name="Comma 5 21 5" xfId="23582"/>
    <cellStyle name="Comma 5 22" xfId="711"/>
    <cellStyle name="Comma 5 22 2" xfId="1058"/>
    <cellStyle name="Comma 5 22 2 2" xfId="23901"/>
    <cellStyle name="Comma 5 22 3" xfId="22733"/>
    <cellStyle name="Comma 5 22 3 2" xfId="42607"/>
    <cellStyle name="Comma 5 22 4" xfId="23021"/>
    <cellStyle name="Comma 5 22 4 2" xfId="42895"/>
    <cellStyle name="Comma 5 22 5" xfId="23598"/>
    <cellStyle name="Comma 5 23" xfId="739"/>
    <cellStyle name="Comma 5 23 2" xfId="1074"/>
    <cellStyle name="Comma 5 23 2 2" xfId="23917"/>
    <cellStyle name="Comma 5 23 3" xfId="22734"/>
    <cellStyle name="Comma 5 23 3 2" xfId="42608"/>
    <cellStyle name="Comma 5 23 4" xfId="23037"/>
    <cellStyle name="Comma 5 23 4 2" xfId="42911"/>
    <cellStyle name="Comma 5 23 5" xfId="23614"/>
    <cellStyle name="Comma 5 24" xfId="765"/>
    <cellStyle name="Comma 5 24 2" xfId="1090"/>
    <cellStyle name="Comma 5 24 2 2" xfId="23933"/>
    <cellStyle name="Comma 5 24 3" xfId="22681"/>
    <cellStyle name="Comma 5 24 3 2" xfId="42555"/>
    <cellStyle name="Comma 5 24 4" xfId="23053"/>
    <cellStyle name="Comma 5 24 4 2" xfId="42927"/>
    <cellStyle name="Comma 5 24 5" xfId="23630"/>
    <cellStyle name="Comma 5 25" xfId="790"/>
    <cellStyle name="Comma 5 25 2" xfId="1106"/>
    <cellStyle name="Comma 5 25 2 2" xfId="23949"/>
    <cellStyle name="Comma 5 25 3" xfId="22706"/>
    <cellStyle name="Comma 5 25 3 2" xfId="42580"/>
    <cellStyle name="Comma 5 25 4" xfId="23069"/>
    <cellStyle name="Comma 5 25 4 2" xfId="42943"/>
    <cellStyle name="Comma 5 25 5" xfId="23646"/>
    <cellStyle name="Comma 5 26" xfId="814"/>
    <cellStyle name="Comma 5 26 2" xfId="1122"/>
    <cellStyle name="Comma 5 26 2 2" xfId="23965"/>
    <cellStyle name="Comma 5 26 3" xfId="22794"/>
    <cellStyle name="Comma 5 26 3 2" xfId="42668"/>
    <cellStyle name="Comma 5 26 4" xfId="23085"/>
    <cellStyle name="Comma 5 26 4 2" xfId="42959"/>
    <cellStyle name="Comma 5 26 5" xfId="23662"/>
    <cellStyle name="Comma 5 27" xfId="830"/>
    <cellStyle name="Comma 5 27 2" xfId="1138"/>
    <cellStyle name="Comma 5 27 2 2" xfId="23981"/>
    <cellStyle name="Comma 5 27 3" xfId="22698"/>
    <cellStyle name="Comma 5 27 3 2" xfId="42572"/>
    <cellStyle name="Comma 5 27 4" xfId="23101"/>
    <cellStyle name="Comma 5 27 4 2" xfId="42975"/>
    <cellStyle name="Comma 5 27 5" xfId="23678"/>
    <cellStyle name="Comma 5 28" xfId="846"/>
    <cellStyle name="Comma 5 28 2" xfId="1154"/>
    <cellStyle name="Comma 5 28 2 2" xfId="23997"/>
    <cellStyle name="Comma 5 28 3" xfId="22633"/>
    <cellStyle name="Comma 5 28 3 2" xfId="42507"/>
    <cellStyle name="Comma 5 28 4" xfId="23117"/>
    <cellStyle name="Comma 5 28 4 2" xfId="42991"/>
    <cellStyle name="Comma 5 28 5" xfId="23694"/>
    <cellStyle name="Comma 5 29" xfId="873"/>
    <cellStyle name="Comma 5 29 2" xfId="23716"/>
    <cellStyle name="Comma 5 3" xfId="321"/>
    <cellStyle name="Comma 5 3 10" xfId="22860"/>
    <cellStyle name="Comma 5 3 10 2" xfId="42734"/>
    <cellStyle name="Comma 5 3 11" xfId="23437"/>
    <cellStyle name="Comma 5 3 2" xfId="897"/>
    <cellStyle name="Comma 5 3 2 2" xfId="5496"/>
    <cellStyle name="Comma 5 3 2 2 2" xfId="7121"/>
    <cellStyle name="Comma 5 3 2 2 2 2" xfId="10207"/>
    <cellStyle name="Comma 5 3 2 2 2 2 2" xfId="16400"/>
    <cellStyle name="Comma 5 3 2 2 2 2 2 2" xfId="36283"/>
    <cellStyle name="Comma 5 3 2 2 2 2 3" xfId="22552"/>
    <cellStyle name="Comma 5 3 2 2 2 2 3 2" xfId="42435"/>
    <cellStyle name="Comma 5 3 2 2 2 2 4" xfId="30130"/>
    <cellStyle name="Comma 5 3 2 2 2 3" xfId="13334"/>
    <cellStyle name="Comma 5 3 2 2 2 3 2" xfId="33217"/>
    <cellStyle name="Comma 5 3 2 2 2 4" xfId="19486"/>
    <cellStyle name="Comma 5 3 2 2 2 4 2" xfId="39369"/>
    <cellStyle name="Comma 5 3 2 2 2 5" xfId="27064"/>
    <cellStyle name="Comma 5 3 2 2 3" xfId="8672"/>
    <cellStyle name="Comma 5 3 2 2 3 2" xfId="14866"/>
    <cellStyle name="Comma 5 3 2 2 3 2 2" xfId="34749"/>
    <cellStyle name="Comma 5 3 2 2 3 3" xfId="21018"/>
    <cellStyle name="Comma 5 3 2 2 3 3 2" xfId="40901"/>
    <cellStyle name="Comma 5 3 2 2 3 4" xfId="28596"/>
    <cellStyle name="Comma 5 3 2 2 4" xfId="11800"/>
    <cellStyle name="Comma 5 3 2 2 4 2" xfId="31683"/>
    <cellStyle name="Comma 5 3 2 2 5" xfId="17952"/>
    <cellStyle name="Comma 5 3 2 2 5 2" xfId="37835"/>
    <cellStyle name="Comma 5 3 2 2 6" xfId="25530"/>
    <cellStyle name="Comma 5 3 2 3" xfId="6352"/>
    <cellStyle name="Comma 5 3 2 3 2" xfId="9438"/>
    <cellStyle name="Comma 5 3 2 3 2 2" xfId="15631"/>
    <cellStyle name="Comma 5 3 2 3 2 2 2" xfId="35514"/>
    <cellStyle name="Comma 5 3 2 3 2 3" xfId="21783"/>
    <cellStyle name="Comma 5 3 2 3 2 3 2" xfId="41666"/>
    <cellStyle name="Comma 5 3 2 3 2 4" xfId="29361"/>
    <cellStyle name="Comma 5 3 2 3 3" xfId="12565"/>
    <cellStyle name="Comma 5 3 2 3 3 2" xfId="32448"/>
    <cellStyle name="Comma 5 3 2 3 4" xfId="18717"/>
    <cellStyle name="Comma 5 3 2 3 4 2" xfId="38600"/>
    <cellStyle name="Comma 5 3 2 3 5" xfId="26295"/>
    <cellStyle name="Comma 5 3 2 4" xfId="7903"/>
    <cellStyle name="Comma 5 3 2 4 2" xfId="14097"/>
    <cellStyle name="Comma 5 3 2 4 2 2" xfId="33980"/>
    <cellStyle name="Comma 5 3 2 4 3" xfId="20249"/>
    <cellStyle name="Comma 5 3 2 4 3 2" xfId="40132"/>
    <cellStyle name="Comma 5 3 2 4 4" xfId="27827"/>
    <cellStyle name="Comma 5 3 2 5" xfId="11031"/>
    <cellStyle name="Comma 5 3 2 5 2" xfId="30914"/>
    <cellStyle name="Comma 5 3 2 6" xfId="17183"/>
    <cellStyle name="Comma 5 3 2 6 2" xfId="37066"/>
    <cellStyle name="Comma 5 3 2 7" xfId="4720"/>
    <cellStyle name="Comma 5 3 2 7 2" xfId="24761"/>
    <cellStyle name="Comma 5 3 2 8" xfId="23740"/>
    <cellStyle name="Comma 5 3 3" xfId="2274"/>
    <cellStyle name="Comma 5 3 4" xfId="4755"/>
    <cellStyle name="Comma 5 3 4 2" xfId="6380"/>
    <cellStyle name="Comma 5 3 4 2 2" xfId="9466"/>
    <cellStyle name="Comma 5 3 4 2 2 2" xfId="15659"/>
    <cellStyle name="Comma 5 3 4 2 2 2 2" xfId="35542"/>
    <cellStyle name="Comma 5 3 4 2 2 3" xfId="21811"/>
    <cellStyle name="Comma 5 3 4 2 2 3 2" xfId="41694"/>
    <cellStyle name="Comma 5 3 4 2 2 4" xfId="29389"/>
    <cellStyle name="Comma 5 3 4 2 3" xfId="12593"/>
    <cellStyle name="Comma 5 3 4 2 3 2" xfId="32476"/>
    <cellStyle name="Comma 5 3 4 2 4" xfId="18745"/>
    <cellStyle name="Comma 5 3 4 2 4 2" xfId="38628"/>
    <cellStyle name="Comma 5 3 4 2 5" xfId="26323"/>
    <cellStyle name="Comma 5 3 4 3" xfId="7931"/>
    <cellStyle name="Comma 5 3 4 3 2" xfId="14125"/>
    <cellStyle name="Comma 5 3 4 3 2 2" xfId="34008"/>
    <cellStyle name="Comma 5 3 4 3 3" xfId="20277"/>
    <cellStyle name="Comma 5 3 4 3 3 2" xfId="40160"/>
    <cellStyle name="Comma 5 3 4 3 4" xfId="27855"/>
    <cellStyle name="Comma 5 3 4 4" xfId="11059"/>
    <cellStyle name="Comma 5 3 4 4 2" xfId="30942"/>
    <cellStyle name="Comma 5 3 4 5" xfId="17211"/>
    <cellStyle name="Comma 5 3 4 5 2" xfId="37094"/>
    <cellStyle name="Comma 5 3 4 6" xfId="24789"/>
    <cellStyle name="Comma 5 3 5" xfId="5594"/>
    <cellStyle name="Comma 5 3 5 2" xfId="8697"/>
    <cellStyle name="Comma 5 3 5 2 2" xfId="14890"/>
    <cellStyle name="Comma 5 3 5 2 2 2" xfId="34773"/>
    <cellStyle name="Comma 5 3 5 2 3" xfId="21042"/>
    <cellStyle name="Comma 5 3 5 2 3 2" xfId="40925"/>
    <cellStyle name="Comma 5 3 5 2 4" xfId="28620"/>
    <cellStyle name="Comma 5 3 5 3" xfId="11824"/>
    <cellStyle name="Comma 5 3 5 3 2" xfId="31707"/>
    <cellStyle name="Comma 5 3 5 4" xfId="17976"/>
    <cellStyle name="Comma 5 3 5 4 2" xfId="37859"/>
    <cellStyle name="Comma 5 3 5 5" xfId="25554"/>
    <cellStyle name="Comma 5 3 6" xfId="7162"/>
    <cellStyle name="Comma 5 3 6 2" xfId="13356"/>
    <cellStyle name="Comma 5 3 6 2 2" xfId="33239"/>
    <cellStyle name="Comma 5 3 6 3" xfId="19508"/>
    <cellStyle name="Comma 5 3 6 3 2" xfId="39391"/>
    <cellStyle name="Comma 5 3 6 4" xfId="27086"/>
    <cellStyle name="Comma 5 3 7" xfId="10290"/>
    <cellStyle name="Comma 5 3 7 2" xfId="30173"/>
    <cellStyle name="Comma 5 3 8" xfId="16442"/>
    <cellStyle name="Comma 5 3 8 2" xfId="36325"/>
    <cellStyle name="Comma 5 3 9" xfId="1308"/>
    <cellStyle name="Comma 5 3 9 2" xfId="24020"/>
    <cellStyle name="Comma 5 30" xfId="1168"/>
    <cellStyle name="Comma 5 31" xfId="22836"/>
    <cellStyle name="Comma 5 31 2" xfId="42710"/>
    <cellStyle name="Comma 5 32" xfId="219"/>
    <cellStyle name="Comma 5 32 2" xfId="23413"/>
    <cellStyle name="Comma 5 4" xfId="336"/>
    <cellStyle name="Comma 5 4 2" xfId="900"/>
    <cellStyle name="Comma 5 4 2 2" xfId="23743"/>
    <cellStyle name="Comma 5 4 3" xfId="2275"/>
    <cellStyle name="Comma 5 4 4" xfId="22608"/>
    <cellStyle name="Comma 5 4 4 2" xfId="42482"/>
    <cellStyle name="Comma 5 4 5" xfId="22863"/>
    <cellStyle name="Comma 5 4 5 2" xfId="42737"/>
    <cellStyle name="Comma 5 4 6" xfId="23440"/>
    <cellStyle name="Comma 5 5" xfId="350"/>
    <cellStyle name="Comma 5 5 2" xfId="903"/>
    <cellStyle name="Comma 5 5 2 2" xfId="2277"/>
    <cellStyle name="Comma 5 5 2 3" xfId="23746"/>
    <cellStyle name="Comma 5 5 3" xfId="2278"/>
    <cellStyle name="Comma 5 5 4" xfId="2276"/>
    <cellStyle name="Comma 5 5 5" xfId="22653"/>
    <cellStyle name="Comma 5 5 5 2" xfId="42527"/>
    <cellStyle name="Comma 5 5 6" xfId="22866"/>
    <cellStyle name="Comma 5 5 6 2" xfId="42740"/>
    <cellStyle name="Comma 5 5 7" xfId="23443"/>
    <cellStyle name="Comma 5 6" xfId="366"/>
    <cellStyle name="Comma 5 6 2" xfId="906"/>
    <cellStyle name="Comma 5 6 2 2" xfId="23749"/>
    <cellStyle name="Comma 5 6 3" xfId="2279"/>
    <cellStyle name="Comma 5 6 4" xfId="22811"/>
    <cellStyle name="Comma 5 6 4 2" xfId="42685"/>
    <cellStyle name="Comma 5 6 5" xfId="22869"/>
    <cellStyle name="Comma 5 6 5 2" xfId="42743"/>
    <cellStyle name="Comma 5 6 6" xfId="23446"/>
    <cellStyle name="Comma 5 7" xfId="381"/>
    <cellStyle name="Comma 5 7 2" xfId="909"/>
    <cellStyle name="Comma 5 7 2 2" xfId="7113"/>
    <cellStyle name="Comma 5 7 2 2 2" xfId="10199"/>
    <cellStyle name="Comma 5 7 2 2 2 2" xfId="16392"/>
    <cellStyle name="Comma 5 7 2 2 2 2 2" xfId="36275"/>
    <cellStyle name="Comma 5 7 2 2 2 3" xfId="22544"/>
    <cellStyle name="Comma 5 7 2 2 2 3 2" xfId="42427"/>
    <cellStyle name="Comma 5 7 2 2 2 4" xfId="30122"/>
    <cellStyle name="Comma 5 7 2 2 3" xfId="13326"/>
    <cellStyle name="Comma 5 7 2 2 3 2" xfId="33209"/>
    <cellStyle name="Comma 5 7 2 2 4" xfId="19478"/>
    <cellStyle name="Comma 5 7 2 2 4 2" xfId="39361"/>
    <cellStyle name="Comma 5 7 2 2 5" xfId="27056"/>
    <cellStyle name="Comma 5 7 2 3" xfId="8664"/>
    <cellStyle name="Comma 5 7 2 3 2" xfId="14858"/>
    <cellStyle name="Comma 5 7 2 3 2 2" xfId="34741"/>
    <cellStyle name="Comma 5 7 2 3 3" xfId="21010"/>
    <cellStyle name="Comma 5 7 2 3 3 2" xfId="40893"/>
    <cellStyle name="Comma 5 7 2 3 4" xfId="28588"/>
    <cellStyle name="Comma 5 7 2 4" xfId="11792"/>
    <cellStyle name="Comma 5 7 2 4 2" xfId="31675"/>
    <cellStyle name="Comma 5 7 2 5" xfId="17944"/>
    <cellStyle name="Comma 5 7 2 5 2" xfId="37827"/>
    <cellStyle name="Comma 5 7 2 6" xfId="5488"/>
    <cellStyle name="Comma 5 7 2 6 2" xfId="25522"/>
    <cellStyle name="Comma 5 7 2 7" xfId="23752"/>
    <cellStyle name="Comma 5 7 3" xfId="6344"/>
    <cellStyle name="Comma 5 7 3 2" xfId="9430"/>
    <cellStyle name="Comma 5 7 3 2 2" xfId="15623"/>
    <cellStyle name="Comma 5 7 3 2 2 2" xfId="35506"/>
    <cellStyle name="Comma 5 7 3 2 3" xfId="21775"/>
    <cellStyle name="Comma 5 7 3 2 3 2" xfId="41658"/>
    <cellStyle name="Comma 5 7 3 2 4" xfId="29353"/>
    <cellStyle name="Comma 5 7 3 3" xfId="12557"/>
    <cellStyle name="Comma 5 7 3 3 2" xfId="32440"/>
    <cellStyle name="Comma 5 7 3 4" xfId="18709"/>
    <cellStyle name="Comma 5 7 3 4 2" xfId="38592"/>
    <cellStyle name="Comma 5 7 3 5" xfId="26287"/>
    <cellStyle name="Comma 5 7 4" xfId="7895"/>
    <cellStyle name="Comma 5 7 4 2" xfId="14089"/>
    <cellStyle name="Comma 5 7 4 2 2" xfId="33972"/>
    <cellStyle name="Comma 5 7 4 3" xfId="20241"/>
    <cellStyle name="Comma 5 7 4 3 2" xfId="40124"/>
    <cellStyle name="Comma 5 7 4 4" xfId="27819"/>
    <cellStyle name="Comma 5 7 5" xfId="11023"/>
    <cellStyle name="Comma 5 7 5 2" xfId="30906"/>
    <cellStyle name="Comma 5 7 6" xfId="17175"/>
    <cellStyle name="Comma 5 7 6 2" xfId="37058"/>
    <cellStyle name="Comma 5 7 7" xfId="4700"/>
    <cellStyle name="Comma 5 7 7 2" xfId="24753"/>
    <cellStyle name="Comma 5 7 8" xfId="22872"/>
    <cellStyle name="Comma 5 7 8 2" xfId="42746"/>
    <cellStyle name="Comma 5 7 9" xfId="23449"/>
    <cellStyle name="Comma 5 8" xfId="397"/>
    <cellStyle name="Comma 5 8 2" xfId="912"/>
    <cellStyle name="Comma 5 8 2 2" xfId="23755"/>
    <cellStyle name="Comma 5 8 3" xfId="2270"/>
    <cellStyle name="Comma 5 8 4" xfId="22715"/>
    <cellStyle name="Comma 5 8 4 2" xfId="42589"/>
    <cellStyle name="Comma 5 8 5" xfId="22875"/>
    <cellStyle name="Comma 5 8 5 2" xfId="42749"/>
    <cellStyle name="Comma 5 8 6" xfId="23452"/>
    <cellStyle name="Comma 5 9" xfId="410"/>
    <cellStyle name="Comma 5 9 2" xfId="915"/>
    <cellStyle name="Comma 5 9 2 2" xfId="9455"/>
    <cellStyle name="Comma 5 9 2 2 2" xfId="15648"/>
    <cellStyle name="Comma 5 9 2 2 2 2" xfId="35531"/>
    <cellStyle name="Comma 5 9 2 2 3" xfId="21800"/>
    <cellStyle name="Comma 5 9 2 2 3 2" xfId="41683"/>
    <cellStyle name="Comma 5 9 2 2 4" xfId="29378"/>
    <cellStyle name="Comma 5 9 2 3" xfId="12582"/>
    <cellStyle name="Comma 5 9 2 3 2" xfId="32465"/>
    <cellStyle name="Comma 5 9 2 4" xfId="18734"/>
    <cellStyle name="Comma 5 9 2 4 2" xfId="38617"/>
    <cellStyle name="Comma 5 9 2 5" xfId="6369"/>
    <cellStyle name="Comma 5 9 2 5 2" xfId="26312"/>
    <cellStyle name="Comma 5 9 2 6" xfId="23758"/>
    <cellStyle name="Comma 5 9 3" xfId="7920"/>
    <cellStyle name="Comma 5 9 3 2" xfId="14114"/>
    <cellStyle name="Comma 5 9 3 2 2" xfId="33997"/>
    <cellStyle name="Comma 5 9 3 3" xfId="20266"/>
    <cellStyle name="Comma 5 9 3 3 2" xfId="40149"/>
    <cellStyle name="Comma 5 9 3 4" xfId="27844"/>
    <cellStyle name="Comma 5 9 4" xfId="11048"/>
    <cellStyle name="Comma 5 9 4 2" xfId="30931"/>
    <cellStyle name="Comma 5 9 5" xfId="17200"/>
    <cellStyle name="Comma 5 9 5 2" xfId="37083"/>
    <cellStyle name="Comma 5 9 6" xfId="4744"/>
    <cellStyle name="Comma 5 9 6 2" xfId="24778"/>
    <cellStyle name="Comma 5 9 7" xfId="22878"/>
    <cellStyle name="Comma 5 9 7 2" xfId="42752"/>
    <cellStyle name="Comma 5 9 8" xfId="23455"/>
    <cellStyle name="Comma 50" xfId="2280"/>
    <cellStyle name="Comma 50 10" xfId="2281"/>
    <cellStyle name="Comma 50 10 2" xfId="2282"/>
    <cellStyle name="Comma 50 11" xfId="2283"/>
    <cellStyle name="Comma 50 11 2" xfId="2284"/>
    <cellStyle name="Comma 50 12" xfId="2285"/>
    <cellStyle name="Comma 50 2" xfId="2286"/>
    <cellStyle name="Comma 50 2 2" xfId="2287"/>
    <cellStyle name="Comma 50 2 2 2" xfId="2288"/>
    <cellStyle name="Comma 50 2 2 2 2" xfId="2289"/>
    <cellStyle name="Comma 50 2 2 3" xfId="2290"/>
    <cellStyle name="Comma 50 2 3" xfId="2291"/>
    <cellStyle name="Comma 50 2 3 2" xfId="2292"/>
    <cellStyle name="Comma 50 2 4" xfId="2293"/>
    <cellStyle name="Comma 50 2 4 2" xfId="2294"/>
    <cellStyle name="Comma 50 2 5" xfId="2295"/>
    <cellStyle name="Comma 50 3" xfId="2296"/>
    <cellStyle name="Comma 50 3 2" xfId="2297"/>
    <cellStyle name="Comma 50 3 2 2" xfId="2298"/>
    <cellStyle name="Comma 50 3 2 2 2" xfId="2299"/>
    <cellStyle name="Comma 50 3 2 3" xfId="2300"/>
    <cellStyle name="Comma 50 3 3" xfId="2301"/>
    <cellStyle name="Comma 50 3 3 2" xfId="2302"/>
    <cellStyle name="Comma 50 3 4" xfId="2303"/>
    <cellStyle name="Comma 50 3 4 2" xfId="2304"/>
    <cellStyle name="Comma 50 3 5" xfId="2305"/>
    <cellStyle name="Comma 50 4" xfId="2306"/>
    <cellStyle name="Comma 50 4 2" xfId="2307"/>
    <cellStyle name="Comma 50 4 2 2" xfId="2308"/>
    <cellStyle name="Comma 50 4 2 2 2" xfId="2309"/>
    <cellStyle name="Comma 50 4 2 3" xfId="2310"/>
    <cellStyle name="Comma 50 4 3" xfId="2311"/>
    <cellStyle name="Comma 50 4 3 2" xfId="2312"/>
    <cellStyle name="Comma 50 4 4" xfId="2313"/>
    <cellStyle name="Comma 50 4 4 2" xfId="2314"/>
    <cellStyle name="Comma 50 4 5" xfId="2315"/>
    <cellStyle name="Comma 50 5" xfId="2316"/>
    <cellStyle name="Comma 50 5 2" xfId="2317"/>
    <cellStyle name="Comma 50 5 2 2" xfId="2318"/>
    <cellStyle name="Comma 50 5 2 2 2" xfId="2319"/>
    <cellStyle name="Comma 50 5 2 3" xfId="2320"/>
    <cellStyle name="Comma 50 5 3" xfId="2321"/>
    <cellStyle name="Comma 50 5 3 2" xfId="2322"/>
    <cellStyle name="Comma 50 5 4" xfId="2323"/>
    <cellStyle name="Comma 50 5 4 2" xfId="2324"/>
    <cellStyle name="Comma 50 5 5" xfId="2325"/>
    <cellStyle name="Comma 50 6" xfId="2326"/>
    <cellStyle name="Comma 50 6 2" xfId="2327"/>
    <cellStyle name="Comma 50 6 2 2" xfId="2328"/>
    <cellStyle name="Comma 50 6 2 2 2" xfId="2329"/>
    <cellStyle name="Comma 50 6 2 3" xfId="2330"/>
    <cellStyle name="Comma 50 6 3" xfId="2331"/>
    <cellStyle name="Comma 50 6 3 2" xfId="2332"/>
    <cellStyle name="Comma 50 6 4" xfId="2333"/>
    <cellStyle name="Comma 50 6 4 2" xfId="2334"/>
    <cellStyle name="Comma 50 6 5" xfId="2335"/>
    <cellStyle name="Comma 50 7" xfId="2336"/>
    <cellStyle name="Comma 50 7 2" xfId="2337"/>
    <cellStyle name="Comma 50 7 2 2" xfId="2338"/>
    <cellStyle name="Comma 50 7 2 2 2" xfId="2339"/>
    <cellStyle name="Comma 50 7 2 3" xfId="2340"/>
    <cellStyle name="Comma 50 7 3" xfId="2341"/>
    <cellStyle name="Comma 50 7 3 2" xfId="2342"/>
    <cellStyle name="Comma 50 7 4" xfId="2343"/>
    <cellStyle name="Comma 50 8" xfId="2344"/>
    <cellStyle name="Comma 50 8 2" xfId="2345"/>
    <cellStyle name="Comma 50 8 2 2" xfId="2346"/>
    <cellStyle name="Comma 50 8 2 2 2" xfId="2347"/>
    <cellStyle name="Comma 50 8 2 3" xfId="2348"/>
    <cellStyle name="Comma 50 8 3" xfId="2349"/>
    <cellStyle name="Comma 50 8 3 2" xfId="2350"/>
    <cellStyle name="Comma 50 8 4" xfId="2351"/>
    <cellStyle name="Comma 50 9" xfId="2352"/>
    <cellStyle name="Comma 50 9 2" xfId="2353"/>
    <cellStyle name="Comma 50 9 2 2" xfId="2354"/>
    <cellStyle name="Comma 50 9 3" xfId="2355"/>
    <cellStyle name="Comma 51" xfId="2356"/>
    <cellStyle name="Comma 51 10" xfId="2357"/>
    <cellStyle name="Comma 51 10 2" xfId="2358"/>
    <cellStyle name="Comma 51 11" xfId="2359"/>
    <cellStyle name="Comma 51 11 2" xfId="2360"/>
    <cellStyle name="Comma 51 12" xfId="2361"/>
    <cellStyle name="Comma 51 2" xfId="2362"/>
    <cellStyle name="Comma 51 2 2" xfId="2363"/>
    <cellStyle name="Comma 51 2 2 2" xfId="2364"/>
    <cellStyle name="Comma 51 2 2 2 2" xfId="2365"/>
    <cellStyle name="Comma 51 2 2 3" xfId="2366"/>
    <cellStyle name="Comma 51 2 3" xfId="2367"/>
    <cellStyle name="Comma 51 2 3 2" xfId="2368"/>
    <cellStyle name="Comma 51 2 4" xfId="2369"/>
    <cellStyle name="Comma 51 2 4 2" xfId="2370"/>
    <cellStyle name="Comma 51 2 5" xfId="2371"/>
    <cellStyle name="Comma 51 3" xfId="2372"/>
    <cellStyle name="Comma 51 3 2" xfId="2373"/>
    <cellStyle name="Comma 51 3 2 2" xfId="2374"/>
    <cellStyle name="Comma 51 3 2 2 2" xfId="2375"/>
    <cellStyle name="Comma 51 3 2 3" xfId="2376"/>
    <cellStyle name="Comma 51 3 3" xfId="2377"/>
    <cellStyle name="Comma 51 3 3 2" xfId="2378"/>
    <cellStyle name="Comma 51 3 4" xfId="2379"/>
    <cellStyle name="Comma 51 3 4 2" xfId="2380"/>
    <cellStyle name="Comma 51 3 5" xfId="2381"/>
    <cellStyle name="Comma 51 4" xfId="2382"/>
    <cellStyle name="Comma 51 4 2" xfId="2383"/>
    <cellStyle name="Comma 51 4 2 2" xfId="2384"/>
    <cellStyle name="Comma 51 4 2 2 2" xfId="2385"/>
    <cellStyle name="Comma 51 4 2 3" xfId="2386"/>
    <cellStyle name="Comma 51 4 3" xfId="2387"/>
    <cellStyle name="Comma 51 4 3 2" xfId="2388"/>
    <cellStyle name="Comma 51 4 4" xfId="2389"/>
    <cellStyle name="Comma 51 4 4 2" xfId="2390"/>
    <cellStyle name="Comma 51 4 5" xfId="2391"/>
    <cellStyle name="Comma 51 5" xfId="2392"/>
    <cellStyle name="Comma 51 5 2" xfId="2393"/>
    <cellStyle name="Comma 51 5 2 2" xfId="2394"/>
    <cellStyle name="Comma 51 5 2 2 2" xfId="2395"/>
    <cellStyle name="Comma 51 5 2 3" xfId="2396"/>
    <cellStyle name="Comma 51 5 3" xfId="2397"/>
    <cellStyle name="Comma 51 5 3 2" xfId="2398"/>
    <cellStyle name="Comma 51 5 4" xfId="2399"/>
    <cellStyle name="Comma 51 5 4 2" xfId="2400"/>
    <cellStyle name="Comma 51 5 5" xfId="2401"/>
    <cellStyle name="Comma 51 6" xfId="2402"/>
    <cellStyle name="Comma 51 6 2" xfId="2403"/>
    <cellStyle name="Comma 51 6 2 2" xfId="2404"/>
    <cellStyle name="Comma 51 6 2 2 2" xfId="2405"/>
    <cellStyle name="Comma 51 6 2 3" xfId="2406"/>
    <cellStyle name="Comma 51 6 3" xfId="2407"/>
    <cellStyle name="Comma 51 6 3 2" xfId="2408"/>
    <cellStyle name="Comma 51 6 4" xfId="2409"/>
    <cellStyle name="Comma 51 6 4 2" xfId="2410"/>
    <cellStyle name="Comma 51 6 5" xfId="2411"/>
    <cellStyle name="Comma 51 7" xfId="2412"/>
    <cellStyle name="Comma 51 7 2" xfId="2413"/>
    <cellStyle name="Comma 51 7 2 2" xfId="2414"/>
    <cellStyle name="Comma 51 7 2 2 2" xfId="2415"/>
    <cellStyle name="Comma 51 7 2 3" xfId="2416"/>
    <cellStyle name="Comma 51 7 3" xfId="2417"/>
    <cellStyle name="Comma 51 7 3 2" xfId="2418"/>
    <cellStyle name="Comma 51 7 4" xfId="2419"/>
    <cellStyle name="Comma 51 8" xfId="2420"/>
    <cellStyle name="Comma 51 8 2" xfId="2421"/>
    <cellStyle name="Comma 51 8 2 2" xfId="2422"/>
    <cellStyle name="Comma 51 8 2 2 2" xfId="2423"/>
    <cellStyle name="Comma 51 8 2 3" xfId="2424"/>
    <cellStyle name="Comma 51 8 3" xfId="2425"/>
    <cellStyle name="Comma 51 8 3 2" xfId="2426"/>
    <cellStyle name="Comma 51 8 4" xfId="2427"/>
    <cellStyle name="Comma 51 9" xfId="2428"/>
    <cellStyle name="Comma 51 9 2" xfId="2429"/>
    <cellStyle name="Comma 51 9 2 2" xfId="2430"/>
    <cellStyle name="Comma 51 9 3" xfId="2431"/>
    <cellStyle name="Comma 52" xfId="2432"/>
    <cellStyle name="Comma 52 10" xfId="2433"/>
    <cellStyle name="Comma 52 10 2" xfId="2434"/>
    <cellStyle name="Comma 52 11" xfId="2435"/>
    <cellStyle name="Comma 52 11 2" xfId="2436"/>
    <cellStyle name="Comma 52 12" xfId="2437"/>
    <cellStyle name="Comma 52 2" xfId="2438"/>
    <cellStyle name="Comma 52 2 2" xfId="2439"/>
    <cellStyle name="Comma 52 2 2 2" xfId="2440"/>
    <cellStyle name="Comma 52 2 2 2 2" xfId="2441"/>
    <cellStyle name="Comma 52 2 2 3" xfId="2442"/>
    <cellStyle name="Comma 52 2 3" xfId="2443"/>
    <cellStyle name="Comma 52 2 3 2" xfId="2444"/>
    <cellStyle name="Comma 52 2 4" xfId="2445"/>
    <cellStyle name="Comma 52 2 4 2" xfId="2446"/>
    <cellStyle name="Comma 52 2 5" xfId="2447"/>
    <cellStyle name="Comma 52 3" xfId="2448"/>
    <cellStyle name="Comma 52 3 2" xfId="2449"/>
    <cellStyle name="Comma 52 3 2 2" xfId="2450"/>
    <cellStyle name="Comma 52 3 2 2 2" xfId="2451"/>
    <cellStyle name="Comma 52 3 2 3" xfId="2452"/>
    <cellStyle name="Comma 52 3 3" xfId="2453"/>
    <cellStyle name="Comma 52 3 3 2" xfId="2454"/>
    <cellStyle name="Comma 52 3 4" xfId="2455"/>
    <cellStyle name="Comma 52 3 4 2" xfId="2456"/>
    <cellStyle name="Comma 52 3 5" xfId="2457"/>
    <cellStyle name="Comma 52 4" xfId="2458"/>
    <cellStyle name="Comma 52 4 2" xfId="2459"/>
    <cellStyle name="Comma 52 4 2 2" xfId="2460"/>
    <cellStyle name="Comma 52 4 2 2 2" xfId="2461"/>
    <cellStyle name="Comma 52 4 2 3" xfId="2462"/>
    <cellStyle name="Comma 52 4 3" xfId="2463"/>
    <cellStyle name="Comma 52 4 3 2" xfId="2464"/>
    <cellStyle name="Comma 52 4 4" xfId="2465"/>
    <cellStyle name="Comma 52 4 4 2" xfId="2466"/>
    <cellStyle name="Comma 52 4 5" xfId="2467"/>
    <cellStyle name="Comma 52 5" xfId="2468"/>
    <cellStyle name="Comma 52 5 2" xfId="2469"/>
    <cellStyle name="Comma 52 5 2 2" xfId="2470"/>
    <cellStyle name="Comma 52 5 2 2 2" xfId="2471"/>
    <cellStyle name="Comma 52 5 2 3" xfId="2472"/>
    <cellStyle name="Comma 52 5 3" xfId="2473"/>
    <cellStyle name="Comma 52 5 3 2" xfId="2474"/>
    <cellStyle name="Comma 52 5 4" xfId="2475"/>
    <cellStyle name="Comma 52 5 4 2" xfId="2476"/>
    <cellStyle name="Comma 52 5 5" xfId="2477"/>
    <cellStyle name="Comma 52 6" xfId="2478"/>
    <cellStyle name="Comma 52 6 2" xfId="2479"/>
    <cellStyle name="Comma 52 6 2 2" xfId="2480"/>
    <cellStyle name="Comma 52 6 2 2 2" xfId="2481"/>
    <cellStyle name="Comma 52 6 2 3" xfId="2482"/>
    <cellStyle name="Comma 52 6 3" xfId="2483"/>
    <cellStyle name="Comma 52 6 3 2" xfId="2484"/>
    <cellStyle name="Comma 52 6 4" xfId="2485"/>
    <cellStyle name="Comma 52 6 4 2" xfId="2486"/>
    <cellStyle name="Comma 52 6 5" xfId="2487"/>
    <cellStyle name="Comma 52 7" xfId="2488"/>
    <cellStyle name="Comma 52 7 2" xfId="2489"/>
    <cellStyle name="Comma 52 7 2 2" xfId="2490"/>
    <cellStyle name="Comma 52 7 2 2 2" xfId="2491"/>
    <cellStyle name="Comma 52 7 2 3" xfId="2492"/>
    <cellStyle name="Comma 52 7 3" xfId="2493"/>
    <cellStyle name="Comma 52 7 3 2" xfId="2494"/>
    <cellStyle name="Comma 52 7 4" xfId="2495"/>
    <cellStyle name="Comma 52 8" xfId="2496"/>
    <cellStyle name="Comma 52 8 2" xfId="2497"/>
    <cellStyle name="Comma 52 8 2 2" xfId="2498"/>
    <cellStyle name="Comma 52 8 2 2 2" xfId="2499"/>
    <cellStyle name="Comma 52 8 2 3" xfId="2500"/>
    <cellStyle name="Comma 52 8 3" xfId="2501"/>
    <cellStyle name="Comma 52 8 3 2" xfId="2502"/>
    <cellStyle name="Comma 52 8 4" xfId="2503"/>
    <cellStyle name="Comma 52 9" xfId="2504"/>
    <cellStyle name="Comma 52 9 2" xfId="2505"/>
    <cellStyle name="Comma 52 9 2 2" xfId="2506"/>
    <cellStyle name="Comma 52 9 3" xfId="2507"/>
    <cellStyle name="Comma 53" xfId="2508"/>
    <cellStyle name="Comma 53 10" xfId="2509"/>
    <cellStyle name="Comma 53 10 2" xfId="2510"/>
    <cellStyle name="Comma 53 11" xfId="2511"/>
    <cellStyle name="Comma 53 11 2" xfId="2512"/>
    <cellStyle name="Comma 53 12" xfId="2513"/>
    <cellStyle name="Comma 53 2" xfId="2514"/>
    <cellStyle name="Comma 53 2 2" xfId="2515"/>
    <cellStyle name="Comma 53 2 2 2" xfId="2516"/>
    <cellStyle name="Comma 53 2 2 2 2" xfId="2517"/>
    <cellStyle name="Comma 53 2 2 3" xfId="2518"/>
    <cellStyle name="Comma 53 2 3" xfId="2519"/>
    <cellStyle name="Comma 53 2 3 2" xfId="2520"/>
    <cellStyle name="Comma 53 2 4" xfId="2521"/>
    <cellStyle name="Comma 53 2 4 2" xfId="2522"/>
    <cellStyle name="Comma 53 2 5" xfId="2523"/>
    <cellStyle name="Comma 53 3" xfId="2524"/>
    <cellStyle name="Comma 53 3 2" xfId="2525"/>
    <cellStyle name="Comma 53 3 2 2" xfId="2526"/>
    <cellStyle name="Comma 53 3 2 2 2" xfId="2527"/>
    <cellStyle name="Comma 53 3 2 3" xfId="2528"/>
    <cellStyle name="Comma 53 3 3" xfId="2529"/>
    <cellStyle name="Comma 53 3 3 2" xfId="2530"/>
    <cellStyle name="Comma 53 3 4" xfId="2531"/>
    <cellStyle name="Comma 53 3 4 2" xfId="2532"/>
    <cellStyle name="Comma 53 3 5" xfId="2533"/>
    <cellStyle name="Comma 53 4" xfId="2534"/>
    <cellStyle name="Comma 53 4 2" xfId="2535"/>
    <cellStyle name="Comma 53 4 2 2" xfId="2536"/>
    <cellStyle name="Comma 53 4 2 2 2" xfId="2537"/>
    <cellStyle name="Comma 53 4 2 3" xfId="2538"/>
    <cellStyle name="Comma 53 4 3" xfId="2539"/>
    <cellStyle name="Comma 53 4 3 2" xfId="2540"/>
    <cellStyle name="Comma 53 4 4" xfId="2541"/>
    <cellStyle name="Comma 53 4 4 2" xfId="2542"/>
    <cellStyle name="Comma 53 4 5" xfId="2543"/>
    <cellStyle name="Comma 53 5" xfId="2544"/>
    <cellStyle name="Comma 53 5 2" xfId="2545"/>
    <cellStyle name="Comma 53 5 2 2" xfId="2546"/>
    <cellStyle name="Comma 53 5 2 2 2" xfId="2547"/>
    <cellStyle name="Comma 53 5 2 3" xfId="2548"/>
    <cellStyle name="Comma 53 5 3" xfId="2549"/>
    <cellStyle name="Comma 53 5 3 2" xfId="2550"/>
    <cellStyle name="Comma 53 5 4" xfId="2551"/>
    <cellStyle name="Comma 53 5 4 2" xfId="2552"/>
    <cellStyle name="Comma 53 5 5" xfId="2553"/>
    <cellStyle name="Comma 53 6" xfId="2554"/>
    <cellStyle name="Comma 53 6 2" xfId="2555"/>
    <cellStyle name="Comma 53 6 2 2" xfId="2556"/>
    <cellStyle name="Comma 53 6 2 2 2" xfId="2557"/>
    <cellStyle name="Comma 53 6 2 3" xfId="2558"/>
    <cellStyle name="Comma 53 6 3" xfId="2559"/>
    <cellStyle name="Comma 53 6 3 2" xfId="2560"/>
    <cellStyle name="Comma 53 6 4" xfId="2561"/>
    <cellStyle name="Comma 53 6 4 2" xfId="2562"/>
    <cellStyle name="Comma 53 6 5" xfId="2563"/>
    <cellStyle name="Comma 53 7" xfId="2564"/>
    <cellStyle name="Comma 53 7 2" xfId="2565"/>
    <cellStyle name="Comma 53 7 2 2" xfId="2566"/>
    <cellStyle name="Comma 53 7 2 2 2" xfId="2567"/>
    <cellStyle name="Comma 53 7 2 3" xfId="2568"/>
    <cellStyle name="Comma 53 7 3" xfId="2569"/>
    <cellStyle name="Comma 53 7 3 2" xfId="2570"/>
    <cellStyle name="Comma 53 7 4" xfId="2571"/>
    <cellStyle name="Comma 53 8" xfId="2572"/>
    <cellStyle name="Comma 53 8 2" xfId="2573"/>
    <cellStyle name="Comma 53 8 2 2" xfId="2574"/>
    <cellStyle name="Comma 53 8 2 2 2" xfId="2575"/>
    <cellStyle name="Comma 53 8 2 3" xfId="2576"/>
    <cellStyle name="Comma 53 8 3" xfId="2577"/>
    <cellStyle name="Comma 53 8 3 2" xfId="2578"/>
    <cellStyle name="Comma 53 8 4" xfId="2579"/>
    <cellStyle name="Comma 53 9" xfId="2580"/>
    <cellStyle name="Comma 53 9 2" xfId="2581"/>
    <cellStyle name="Comma 53 9 2 2" xfId="2582"/>
    <cellStyle name="Comma 53 9 3" xfId="2583"/>
    <cellStyle name="Comma 54" xfId="2584"/>
    <cellStyle name="Comma 54 10" xfId="2585"/>
    <cellStyle name="Comma 54 10 2" xfId="2586"/>
    <cellStyle name="Comma 54 11" xfId="2587"/>
    <cellStyle name="Comma 54 11 2" xfId="2588"/>
    <cellStyle name="Comma 54 12" xfId="2589"/>
    <cellStyle name="Comma 54 2" xfId="2590"/>
    <cellStyle name="Comma 54 2 2" xfId="2591"/>
    <cellStyle name="Comma 54 2 2 2" xfId="2592"/>
    <cellStyle name="Comma 54 2 2 2 2" xfId="2593"/>
    <cellStyle name="Comma 54 2 2 3" xfId="2594"/>
    <cellStyle name="Comma 54 2 3" xfId="2595"/>
    <cellStyle name="Comma 54 2 3 2" xfId="2596"/>
    <cellStyle name="Comma 54 2 4" xfId="2597"/>
    <cellStyle name="Comma 54 2 4 2" xfId="2598"/>
    <cellStyle name="Comma 54 2 5" xfId="2599"/>
    <cellStyle name="Comma 54 3" xfId="2600"/>
    <cellStyle name="Comma 54 3 2" xfId="2601"/>
    <cellStyle name="Comma 54 3 2 2" xfId="2602"/>
    <cellStyle name="Comma 54 3 2 2 2" xfId="2603"/>
    <cellStyle name="Comma 54 3 2 3" xfId="2604"/>
    <cellStyle name="Comma 54 3 3" xfId="2605"/>
    <cellStyle name="Comma 54 3 3 2" xfId="2606"/>
    <cellStyle name="Comma 54 3 4" xfId="2607"/>
    <cellStyle name="Comma 54 3 4 2" xfId="2608"/>
    <cellStyle name="Comma 54 3 5" xfId="2609"/>
    <cellStyle name="Comma 54 4" xfId="2610"/>
    <cellStyle name="Comma 54 4 2" xfId="2611"/>
    <cellStyle name="Comma 54 4 2 2" xfId="2612"/>
    <cellStyle name="Comma 54 4 2 2 2" xfId="2613"/>
    <cellStyle name="Comma 54 4 2 3" xfId="2614"/>
    <cellStyle name="Comma 54 4 3" xfId="2615"/>
    <cellStyle name="Comma 54 4 3 2" xfId="2616"/>
    <cellStyle name="Comma 54 4 4" xfId="2617"/>
    <cellStyle name="Comma 54 4 4 2" xfId="2618"/>
    <cellStyle name="Comma 54 4 5" xfId="2619"/>
    <cellStyle name="Comma 54 5" xfId="2620"/>
    <cellStyle name="Comma 54 5 2" xfId="2621"/>
    <cellStyle name="Comma 54 5 2 2" xfId="2622"/>
    <cellStyle name="Comma 54 5 2 2 2" xfId="2623"/>
    <cellStyle name="Comma 54 5 2 3" xfId="2624"/>
    <cellStyle name="Comma 54 5 3" xfId="2625"/>
    <cellStyle name="Comma 54 5 3 2" xfId="2626"/>
    <cellStyle name="Comma 54 5 4" xfId="2627"/>
    <cellStyle name="Comma 54 5 4 2" xfId="2628"/>
    <cellStyle name="Comma 54 5 5" xfId="2629"/>
    <cellStyle name="Comma 54 6" xfId="2630"/>
    <cellStyle name="Comma 54 6 2" xfId="2631"/>
    <cellStyle name="Comma 54 6 2 2" xfId="2632"/>
    <cellStyle name="Comma 54 6 2 2 2" xfId="2633"/>
    <cellStyle name="Comma 54 6 2 3" xfId="2634"/>
    <cellStyle name="Comma 54 6 3" xfId="2635"/>
    <cellStyle name="Comma 54 6 3 2" xfId="2636"/>
    <cellStyle name="Comma 54 6 4" xfId="2637"/>
    <cellStyle name="Comma 54 6 4 2" xfId="2638"/>
    <cellStyle name="Comma 54 6 5" xfId="2639"/>
    <cellStyle name="Comma 54 7" xfId="2640"/>
    <cellStyle name="Comma 54 7 2" xfId="2641"/>
    <cellStyle name="Comma 54 7 2 2" xfId="2642"/>
    <cellStyle name="Comma 54 7 2 2 2" xfId="2643"/>
    <cellStyle name="Comma 54 7 2 3" xfId="2644"/>
    <cellStyle name="Comma 54 7 3" xfId="2645"/>
    <cellStyle name="Comma 54 7 3 2" xfId="2646"/>
    <cellStyle name="Comma 54 7 4" xfId="2647"/>
    <cellStyle name="Comma 54 8" xfId="2648"/>
    <cellStyle name="Comma 54 8 2" xfId="2649"/>
    <cellStyle name="Comma 54 8 2 2" xfId="2650"/>
    <cellStyle name="Comma 54 8 2 2 2" xfId="2651"/>
    <cellStyle name="Comma 54 8 2 3" xfId="2652"/>
    <cellStyle name="Comma 54 8 3" xfId="2653"/>
    <cellStyle name="Comma 54 8 3 2" xfId="2654"/>
    <cellStyle name="Comma 54 8 4" xfId="2655"/>
    <cellStyle name="Comma 54 9" xfId="2656"/>
    <cellStyle name="Comma 54 9 2" xfId="2657"/>
    <cellStyle name="Comma 54 9 2 2" xfId="2658"/>
    <cellStyle name="Comma 54 9 3" xfId="2659"/>
    <cellStyle name="Comma 55" xfId="2660"/>
    <cellStyle name="Comma 55 10" xfId="2661"/>
    <cellStyle name="Comma 55 10 2" xfId="2662"/>
    <cellStyle name="Comma 55 11" xfId="2663"/>
    <cellStyle name="Comma 55 11 2" xfId="2664"/>
    <cellStyle name="Comma 55 12" xfId="2665"/>
    <cellStyle name="Comma 55 2" xfId="2666"/>
    <cellStyle name="Comma 55 2 2" xfId="2667"/>
    <cellStyle name="Comma 55 2 2 2" xfId="2668"/>
    <cellStyle name="Comma 55 2 2 2 2" xfId="2669"/>
    <cellStyle name="Comma 55 2 2 3" xfId="2670"/>
    <cellStyle name="Comma 55 2 3" xfId="2671"/>
    <cellStyle name="Comma 55 2 3 2" xfId="2672"/>
    <cellStyle name="Comma 55 2 4" xfId="2673"/>
    <cellStyle name="Comma 55 2 4 2" xfId="2674"/>
    <cellStyle name="Comma 55 2 5" xfId="2675"/>
    <cellStyle name="Comma 55 3" xfId="2676"/>
    <cellStyle name="Comma 55 3 2" xfId="2677"/>
    <cellStyle name="Comma 55 3 2 2" xfId="2678"/>
    <cellStyle name="Comma 55 3 2 2 2" xfId="2679"/>
    <cellStyle name="Comma 55 3 2 3" xfId="2680"/>
    <cellStyle name="Comma 55 3 3" xfId="2681"/>
    <cellStyle name="Comma 55 3 3 2" xfId="2682"/>
    <cellStyle name="Comma 55 3 4" xfId="2683"/>
    <cellStyle name="Comma 55 3 4 2" xfId="2684"/>
    <cellStyle name="Comma 55 3 5" xfId="2685"/>
    <cellStyle name="Comma 55 4" xfId="2686"/>
    <cellStyle name="Comma 55 4 2" xfId="2687"/>
    <cellStyle name="Comma 55 4 2 2" xfId="2688"/>
    <cellStyle name="Comma 55 4 2 2 2" xfId="2689"/>
    <cellStyle name="Comma 55 4 2 3" xfId="2690"/>
    <cellStyle name="Comma 55 4 3" xfId="2691"/>
    <cellStyle name="Comma 55 4 3 2" xfId="2692"/>
    <cellStyle name="Comma 55 4 4" xfId="2693"/>
    <cellStyle name="Comma 55 4 4 2" xfId="2694"/>
    <cellStyle name="Comma 55 4 5" xfId="2695"/>
    <cellStyle name="Comma 55 5" xfId="2696"/>
    <cellStyle name="Comma 55 5 2" xfId="2697"/>
    <cellStyle name="Comma 55 5 2 2" xfId="2698"/>
    <cellStyle name="Comma 55 5 2 2 2" xfId="2699"/>
    <cellStyle name="Comma 55 5 2 3" xfId="2700"/>
    <cellStyle name="Comma 55 5 3" xfId="2701"/>
    <cellStyle name="Comma 55 5 3 2" xfId="2702"/>
    <cellStyle name="Comma 55 5 4" xfId="2703"/>
    <cellStyle name="Comma 55 5 4 2" xfId="2704"/>
    <cellStyle name="Comma 55 5 5" xfId="2705"/>
    <cellStyle name="Comma 55 6" xfId="2706"/>
    <cellStyle name="Comma 55 6 2" xfId="2707"/>
    <cellStyle name="Comma 55 6 2 2" xfId="2708"/>
    <cellStyle name="Comma 55 6 2 2 2" xfId="2709"/>
    <cellStyle name="Comma 55 6 2 3" xfId="2710"/>
    <cellStyle name="Comma 55 6 3" xfId="2711"/>
    <cellStyle name="Comma 55 6 3 2" xfId="2712"/>
    <cellStyle name="Comma 55 6 4" xfId="2713"/>
    <cellStyle name="Comma 55 6 4 2" xfId="2714"/>
    <cellStyle name="Comma 55 6 5" xfId="2715"/>
    <cellStyle name="Comma 55 7" xfId="2716"/>
    <cellStyle name="Comma 55 7 2" xfId="2717"/>
    <cellStyle name="Comma 55 7 2 2" xfId="2718"/>
    <cellStyle name="Comma 55 7 2 2 2" xfId="2719"/>
    <cellStyle name="Comma 55 7 2 3" xfId="2720"/>
    <cellStyle name="Comma 55 7 3" xfId="2721"/>
    <cellStyle name="Comma 55 7 3 2" xfId="2722"/>
    <cellStyle name="Comma 55 7 4" xfId="2723"/>
    <cellStyle name="Comma 55 8" xfId="2724"/>
    <cellStyle name="Comma 55 8 2" xfId="2725"/>
    <cellStyle name="Comma 55 8 2 2" xfId="2726"/>
    <cellStyle name="Comma 55 8 2 2 2" xfId="2727"/>
    <cellStyle name="Comma 55 8 2 3" xfId="2728"/>
    <cellStyle name="Comma 55 8 3" xfId="2729"/>
    <cellStyle name="Comma 55 8 3 2" xfId="2730"/>
    <cellStyle name="Comma 55 8 4" xfId="2731"/>
    <cellStyle name="Comma 55 9" xfId="2732"/>
    <cellStyle name="Comma 55 9 2" xfId="2733"/>
    <cellStyle name="Comma 55 9 2 2" xfId="2734"/>
    <cellStyle name="Comma 55 9 3" xfId="2735"/>
    <cellStyle name="Comma 56" xfId="2736"/>
    <cellStyle name="Comma 56 10" xfId="2737"/>
    <cellStyle name="Comma 56 10 2" xfId="2738"/>
    <cellStyle name="Comma 56 11" xfId="2739"/>
    <cellStyle name="Comma 56 11 2" xfId="2740"/>
    <cellStyle name="Comma 56 12" xfId="2741"/>
    <cellStyle name="Comma 56 2" xfId="2742"/>
    <cellStyle name="Comma 56 2 2" xfId="2743"/>
    <cellStyle name="Comma 56 2 2 2" xfId="2744"/>
    <cellStyle name="Comma 56 2 2 2 2" xfId="2745"/>
    <cellStyle name="Comma 56 2 2 3" xfId="2746"/>
    <cellStyle name="Comma 56 2 3" xfId="2747"/>
    <cellStyle name="Comma 56 2 3 2" xfId="2748"/>
    <cellStyle name="Comma 56 2 4" xfId="2749"/>
    <cellStyle name="Comma 56 2 4 2" xfId="2750"/>
    <cellStyle name="Comma 56 2 5" xfId="2751"/>
    <cellStyle name="Comma 56 3" xfId="2752"/>
    <cellStyle name="Comma 56 3 2" xfId="2753"/>
    <cellStyle name="Comma 56 3 2 2" xfId="2754"/>
    <cellStyle name="Comma 56 3 2 2 2" xfId="2755"/>
    <cellStyle name="Comma 56 3 2 3" xfId="2756"/>
    <cellStyle name="Comma 56 3 3" xfId="2757"/>
    <cellStyle name="Comma 56 3 3 2" xfId="2758"/>
    <cellStyle name="Comma 56 3 4" xfId="2759"/>
    <cellStyle name="Comma 56 3 4 2" xfId="2760"/>
    <cellStyle name="Comma 56 3 5" xfId="2761"/>
    <cellStyle name="Comma 56 4" xfId="2762"/>
    <cellStyle name="Comma 56 4 2" xfId="2763"/>
    <cellStyle name="Comma 56 4 2 2" xfId="2764"/>
    <cellStyle name="Comma 56 4 2 2 2" xfId="2765"/>
    <cellStyle name="Comma 56 4 2 3" xfId="2766"/>
    <cellStyle name="Comma 56 4 3" xfId="2767"/>
    <cellStyle name="Comma 56 4 3 2" xfId="2768"/>
    <cellStyle name="Comma 56 4 4" xfId="2769"/>
    <cellStyle name="Comma 56 4 4 2" xfId="2770"/>
    <cellStyle name="Comma 56 4 5" xfId="2771"/>
    <cellStyle name="Comma 56 5" xfId="2772"/>
    <cellStyle name="Comma 56 5 2" xfId="2773"/>
    <cellStyle name="Comma 56 5 2 2" xfId="2774"/>
    <cellStyle name="Comma 56 5 2 2 2" xfId="2775"/>
    <cellStyle name="Comma 56 5 2 3" xfId="2776"/>
    <cellStyle name="Comma 56 5 3" xfId="2777"/>
    <cellStyle name="Comma 56 5 3 2" xfId="2778"/>
    <cellStyle name="Comma 56 5 4" xfId="2779"/>
    <cellStyle name="Comma 56 5 4 2" xfId="2780"/>
    <cellStyle name="Comma 56 5 5" xfId="2781"/>
    <cellStyle name="Comma 56 6" xfId="2782"/>
    <cellStyle name="Comma 56 6 2" xfId="2783"/>
    <cellStyle name="Comma 56 6 2 2" xfId="2784"/>
    <cellStyle name="Comma 56 6 2 2 2" xfId="2785"/>
    <cellStyle name="Comma 56 6 2 3" xfId="2786"/>
    <cellStyle name="Comma 56 6 3" xfId="2787"/>
    <cellStyle name="Comma 56 6 3 2" xfId="2788"/>
    <cellStyle name="Comma 56 6 4" xfId="2789"/>
    <cellStyle name="Comma 56 6 4 2" xfId="2790"/>
    <cellStyle name="Comma 56 6 5" xfId="2791"/>
    <cellStyle name="Comma 56 7" xfId="2792"/>
    <cellStyle name="Comma 56 7 2" xfId="2793"/>
    <cellStyle name="Comma 56 7 2 2" xfId="2794"/>
    <cellStyle name="Comma 56 7 2 2 2" xfId="2795"/>
    <cellStyle name="Comma 56 7 2 3" xfId="2796"/>
    <cellStyle name="Comma 56 7 3" xfId="2797"/>
    <cellStyle name="Comma 56 7 3 2" xfId="2798"/>
    <cellStyle name="Comma 56 7 4" xfId="2799"/>
    <cellStyle name="Comma 56 8" xfId="2800"/>
    <cellStyle name="Comma 56 8 2" xfId="2801"/>
    <cellStyle name="Comma 56 8 2 2" xfId="2802"/>
    <cellStyle name="Comma 56 8 2 2 2" xfId="2803"/>
    <cellStyle name="Comma 56 8 2 3" xfId="2804"/>
    <cellStyle name="Comma 56 8 3" xfId="2805"/>
    <cellStyle name="Comma 56 8 3 2" xfId="2806"/>
    <cellStyle name="Comma 56 8 4" xfId="2807"/>
    <cellStyle name="Comma 56 9" xfId="2808"/>
    <cellStyle name="Comma 56 9 2" xfId="2809"/>
    <cellStyle name="Comma 56 9 2 2" xfId="2810"/>
    <cellStyle name="Comma 56 9 3" xfId="2811"/>
    <cellStyle name="Comma 57" xfId="2812"/>
    <cellStyle name="Comma 57 10" xfId="2813"/>
    <cellStyle name="Comma 57 10 2" xfId="2814"/>
    <cellStyle name="Comma 57 11" xfId="2815"/>
    <cellStyle name="Comma 57 11 2" xfId="2816"/>
    <cellStyle name="Comma 57 12" xfId="2817"/>
    <cellStyle name="Comma 57 2" xfId="2818"/>
    <cellStyle name="Comma 57 2 2" xfId="2819"/>
    <cellStyle name="Comma 57 2 2 2" xfId="2820"/>
    <cellStyle name="Comma 57 2 2 2 2" xfId="2821"/>
    <cellStyle name="Comma 57 2 2 3" xfId="2822"/>
    <cellStyle name="Comma 57 2 3" xfId="2823"/>
    <cellStyle name="Comma 57 2 3 2" xfId="2824"/>
    <cellStyle name="Comma 57 2 4" xfId="2825"/>
    <cellStyle name="Comma 57 2 4 2" xfId="2826"/>
    <cellStyle name="Comma 57 2 5" xfId="2827"/>
    <cellStyle name="Comma 57 3" xfId="2828"/>
    <cellStyle name="Comma 57 3 2" xfId="2829"/>
    <cellStyle name="Comma 57 3 2 2" xfId="2830"/>
    <cellStyle name="Comma 57 3 2 2 2" xfId="2831"/>
    <cellStyle name="Comma 57 3 2 3" xfId="2832"/>
    <cellStyle name="Comma 57 3 3" xfId="2833"/>
    <cellStyle name="Comma 57 3 3 2" xfId="2834"/>
    <cellStyle name="Comma 57 3 4" xfId="2835"/>
    <cellStyle name="Comma 57 3 4 2" xfId="2836"/>
    <cellStyle name="Comma 57 3 5" xfId="2837"/>
    <cellStyle name="Comma 57 4" xfId="2838"/>
    <cellStyle name="Comma 57 4 2" xfId="2839"/>
    <cellStyle name="Comma 57 4 2 2" xfId="2840"/>
    <cellStyle name="Comma 57 4 2 2 2" xfId="2841"/>
    <cellStyle name="Comma 57 4 2 3" xfId="2842"/>
    <cellStyle name="Comma 57 4 3" xfId="2843"/>
    <cellStyle name="Comma 57 4 3 2" xfId="2844"/>
    <cellStyle name="Comma 57 4 4" xfId="2845"/>
    <cellStyle name="Comma 57 4 4 2" xfId="2846"/>
    <cellStyle name="Comma 57 4 5" xfId="2847"/>
    <cellStyle name="Comma 57 5" xfId="2848"/>
    <cellStyle name="Comma 57 5 2" xfId="2849"/>
    <cellStyle name="Comma 57 5 2 2" xfId="2850"/>
    <cellStyle name="Comma 57 5 2 2 2" xfId="2851"/>
    <cellStyle name="Comma 57 5 2 3" xfId="2852"/>
    <cellStyle name="Comma 57 5 3" xfId="2853"/>
    <cellStyle name="Comma 57 5 3 2" xfId="2854"/>
    <cellStyle name="Comma 57 5 4" xfId="2855"/>
    <cellStyle name="Comma 57 5 4 2" xfId="2856"/>
    <cellStyle name="Comma 57 5 5" xfId="2857"/>
    <cellStyle name="Comma 57 6" xfId="2858"/>
    <cellStyle name="Comma 57 6 2" xfId="2859"/>
    <cellStyle name="Comma 57 6 2 2" xfId="2860"/>
    <cellStyle name="Comma 57 6 2 2 2" xfId="2861"/>
    <cellStyle name="Comma 57 6 2 3" xfId="2862"/>
    <cellStyle name="Comma 57 6 3" xfId="2863"/>
    <cellStyle name="Comma 57 6 3 2" xfId="2864"/>
    <cellStyle name="Comma 57 6 4" xfId="2865"/>
    <cellStyle name="Comma 57 6 4 2" xfId="2866"/>
    <cellStyle name="Comma 57 6 5" xfId="2867"/>
    <cellStyle name="Comma 57 7" xfId="2868"/>
    <cellStyle name="Comma 57 7 2" xfId="2869"/>
    <cellStyle name="Comma 57 7 2 2" xfId="2870"/>
    <cellStyle name="Comma 57 7 2 2 2" xfId="2871"/>
    <cellStyle name="Comma 57 7 2 3" xfId="2872"/>
    <cellStyle name="Comma 57 7 3" xfId="2873"/>
    <cellStyle name="Comma 57 7 3 2" xfId="2874"/>
    <cellStyle name="Comma 57 7 4" xfId="2875"/>
    <cellStyle name="Comma 57 8" xfId="2876"/>
    <cellStyle name="Comma 57 8 2" xfId="2877"/>
    <cellStyle name="Comma 57 8 2 2" xfId="2878"/>
    <cellStyle name="Comma 57 8 2 2 2" xfId="2879"/>
    <cellStyle name="Comma 57 8 2 3" xfId="2880"/>
    <cellStyle name="Comma 57 8 3" xfId="2881"/>
    <cellStyle name="Comma 57 8 3 2" xfId="2882"/>
    <cellStyle name="Comma 57 8 4" xfId="2883"/>
    <cellStyle name="Comma 57 9" xfId="2884"/>
    <cellStyle name="Comma 57 9 2" xfId="2885"/>
    <cellStyle name="Comma 57 9 2 2" xfId="2886"/>
    <cellStyle name="Comma 57 9 3" xfId="2887"/>
    <cellStyle name="Comma 58" xfId="2888"/>
    <cellStyle name="Comma 58 10" xfId="2889"/>
    <cellStyle name="Comma 58 10 2" xfId="2890"/>
    <cellStyle name="Comma 58 11" xfId="2891"/>
    <cellStyle name="Comma 58 11 2" xfId="2892"/>
    <cellStyle name="Comma 58 12" xfId="2893"/>
    <cellStyle name="Comma 58 2" xfId="2894"/>
    <cellStyle name="Comma 58 2 2" xfId="2895"/>
    <cellStyle name="Comma 58 2 2 2" xfId="2896"/>
    <cellStyle name="Comma 58 2 2 2 2" xfId="2897"/>
    <cellStyle name="Comma 58 2 2 3" xfId="2898"/>
    <cellStyle name="Comma 58 2 3" xfId="2899"/>
    <cellStyle name="Comma 58 2 3 2" xfId="2900"/>
    <cellStyle name="Comma 58 2 4" xfId="2901"/>
    <cellStyle name="Comma 58 2 4 2" xfId="2902"/>
    <cellStyle name="Comma 58 2 5" xfId="2903"/>
    <cellStyle name="Comma 58 3" xfId="2904"/>
    <cellStyle name="Comma 58 3 2" xfId="2905"/>
    <cellStyle name="Comma 58 3 2 2" xfId="2906"/>
    <cellStyle name="Comma 58 3 2 2 2" xfId="2907"/>
    <cellStyle name="Comma 58 3 2 3" xfId="2908"/>
    <cellStyle name="Comma 58 3 3" xfId="2909"/>
    <cellStyle name="Comma 58 3 3 2" xfId="2910"/>
    <cellStyle name="Comma 58 3 4" xfId="2911"/>
    <cellStyle name="Comma 58 3 4 2" xfId="2912"/>
    <cellStyle name="Comma 58 3 5" xfId="2913"/>
    <cellStyle name="Comma 58 4" xfId="2914"/>
    <cellStyle name="Comma 58 4 2" xfId="2915"/>
    <cellStyle name="Comma 58 4 2 2" xfId="2916"/>
    <cellStyle name="Comma 58 4 2 2 2" xfId="2917"/>
    <cellStyle name="Comma 58 4 2 3" xfId="2918"/>
    <cellStyle name="Comma 58 4 3" xfId="2919"/>
    <cellStyle name="Comma 58 4 3 2" xfId="2920"/>
    <cellStyle name="Comma 58 4 4" xfId="2921"/>
    <cellStyle name="Comma 58 4 4 2" xfId="2922"/>
    <cellStyle name="Comma 58 4 5" xfId="2923"/>
    <cellStyle name="Comma 58 5" xfId="2924"/>
    <cellStyle name="Comma 58 5 2" xfId="2925"/>
    <cellStyle name="Comma 58 5 2 2" xfId="2926"/>
    <cellStyle name="Comma 58 5 2 2 2" xfId="2927"/>
    <cellStyle name="Comma 58 5 2 3" xfId="2928"/>
    <cellStyle name="Comma 58 5 3" xfId="2929"/>
    <cellStyle name="Comma 58 5 3 2" xfId="2930"/>
    <cellStyle name="Comma 58 5 4" xfId="2931"/>
    <cellStyle name="Comma 58 5 4 2" xfId="2932"/>
    <cellStyle name="Comma 58 5 5" xfId="2933"/>
    <cellStyle name="Comma 58 6" xfId="2934"/>
    <cellStyle name="Comma 58 6 2" xfId="2935"/>
    <cellStyle name="Comma 58 6 2 2" xfId="2936"/>
    <cellStyle name="Comma 58 6 2 2 2" xfId="2937"/>
    <cellStyle name="Comma 58 6 2 3" xfId="2938"/>
    <cellStyle name="Comma 58 6 3" xfId="2939"/>
    <cellStyle name="Comma 58 6 3 2" xfId="2940"/>
    <cellStyle name="Comma 58 6 4" xfId="2941"/>
    <cellStyle name="Comma 58 6 4 2" xfId="2942"/>
    <cellStyle name="Comma 58 6 5" xfId="2943"/>
    <cellStyle name="Comma 58 7" xfId="2944"/>
    <cellStyle name="Comma 58 7 2" xfId="2945"/>
    <cellStyle name="Comma 58 7 2 2" xfId="2946"/>
    <cellStyle name="Comma 58 7 2 2 2" xfId="2947"/>
    <cellStyle name="Comma 58 7 2 3" xfId="2948"/>
    <cellStyle name="Comma 58 7 3" xfId="2949"/>
    <cellStyle name="Comma 58 7 3 2" xfId="2950"/>
    <cellStyle name="Comma 58 7 4" xfId="2951"/>
    <cellStyle name="Comma 58 8" xfId="2952"/>
    <cellStyle name="Comma 58 8 2" xfId="2953"/>
    <cellStyle name="Comma 58 8 2 2" xfId="2954"/>
    <cellStyle name="Comma 58 8 2 2 2" xfId="2955"/>
    <cellStyle name="Comma 58 8 2 3" xfId="2956"/>
    <cellStyle name="Comma 58 8 3" xfId="2957"/>
    <cellStyle name="Comma 58 8 3 2" xfId="2958"/>
    <cellStyle name="Comma 58 8 4" xfId="2959"/>
    <cellStyle name="Comma 58 9" xfId="2960"/>
    <cellStyle name="Comma 58 9 2" xfId="2961"/>
    <cellStyle name="Comma 58 9 2 2" xfId="2962"/>
    <cellStyle name="Comma 58 9 3" xfId="2963"/>
    <cellStyle name="Comma 59" xfId="2964"/>
    <cellStyle name="Comma 6" xfId="9"/>
    <cellStyle name="Comma 6 10" xfId="10265"/>
    <cellStyle name="Comma 6 10 2" xfId="16427"/>
    <cellStyle name="Comma 6 10 2 2" xfId="36310"/>
    <cellStyle name="Comma 6 10 3" xfId="22579"/>
    <cellStyle name="Comma 6 10 3 2" xfId="42462"/>
    <cellStyle name="Comma 6 10 4" xfId="30157"/>
    <cellStyle name="Comma 6 11" xfId="10281"/>
    <cellStyle name="Comma 6 11 2" xfId="30164"/>
    <cellStyle name="Comma 6 12" xfId="16433"/>
    <cellStyle name="Comma 6 12 2" xfId="36316"/>
    <cellStyle name="Comma 6 13" xfId="1283"/>
    <cellStyle name="Comma 6 13 2" xfId="24011"/>
    <cellStyle name="Comma 6 14" xfId="1172"/>
    <cellStyle name="Comma 6 15" xfId="22837"/>
    <cellStyle name="Comma 6 15 2" xfId="42711"/>
    <cellStyle name="Comma 6 16" xfId="223"/>
    <cellStyle name="Comma 6 16 2" xfId="23414"/>
    <cellStyle name="Comma 6 2" xfId="83"/>
    <cellStyle name="Comma 6 2 10" xfId="16439"/>
    <cellStyle name="Comma 6 2 10 2" xfId="36322"/>
    <cellStyle name="Comma 6 2 11" xfId="1297"/>
    <cellStyle name="Comma 6 2 11 2" xfId="24017"/>
    <cellStyle name="Comma 6 2 12" xfId="874"/>
    <cellStyle name="Comma 6 2 12 2" xfId="23717"/>
    <cellStyle name="Comma 6 2 2" xfId="1316"/>
    <cellStyle name="Comma 6 2 2 2" xfId="4727"/>
    <cellStyle name="Comma 6 2 2 2 2" xfId="5503"/>
    <cellStyle name="Comma 6 2 2 2 2 2" xfId="7128"/>
    <cellStyle name="Comma 6 2 2 2 2 2 2" xfId="10214"/>
    <cellStyle name="Comma 6 2 2 2 2 2 2 2" xfId="16407"/>
    <cellStyle name="Comma 6 2 2 2 2 2 2 2 2" xfId="36290"/>
    <cellStyle name="Comma 6 2 2 2 2 2 2 3" xfId="22559"/>
    <cellStyle name="Comma 6 2 2 2 2 2 2 3 2" xfId="42442"/>
    <cellStyle name="Comma 6 2 2 2 2 2 2 4" xfId="30137"/>
    <cellStyle name="Comma 6 2 2 2 2 2 3" xfId="13341"/>
    <cellStyle name="Comma 6 2 2 2 2 2 3 2" xfId="33224"/>
    <cellStyle name="Comma 6 2 2 2 2 2 4" xfId="19493"/>
    <cellStyle name="Comma 6 2 2 2 2 2 4 2" xfId="39376"/>
    <cellStyle name="Comma 6 2 2 2 2 2 5" xfId="27071"/>
    <cellStyle name="Comma 6 2 2 2 2 3" xfId="8679"/>
    <cellStyle name="Comma 6 2 2 2 2 3 2" xfId="14873"/>
    <cellStyle name="Comma 6 2 2 2 2 3 2 2" xfId="34756"/>
    <cellStyle name="Comma 6 2 2 2 2 3 3" xfId="21025"/>
    <cellStyle name="Comma 6 2 2 2 2 3 3 2" xfId="40908"/>
    <cellStyle name="Comma 6 2 2 2 2 3 4" xfId="28603"/>
    <cellStyle name="Comma 6 2 2 2 2 4" xfId="11807"/>
    <cellStyle name="Comma 6 2 2 2 2 4 2" xfId="31690"/>
    <cellStyle name="Comma 6 2 2 2 2 5" xfId="17959"/>
    <cellStyle name="Comma 6 2 2 2 2 5 2" xfId="37842"/>
    <cellStyle name="Comma 6 2 2 2 2 6" xfId="25537"/>
    <cellStyle name="Comma 6 2 2 2 3" xfId="6359"/>
    <cellStyle name="Comma 6 2 2 2 3 2" xfId="9445"/>
    <cellStyle name="Comma 6 2 2 2 3 2 2" xfId="15638"/>
    <cellStyle name="Comma 6 2 2 2 3 2 2 2" xfId="35521"/>
    <cellStyle name="Comma 6 2 2 2 3 2 3" xfId="21790"/>
    <cellStyle name="Comma 6 2 2 2 3 2 3 2" xfId="41673"/>
    <cellStyle name="Comma 6 2 2 2 3 2 4" xfId="29368"/>
    <cellStyle name="Comma 6 2 2 2 3 3" xfId="12572"/>
    <cellStyle name="Comma 6 2 2 2 3 3 2" xfId="32455"/>
    <cellStyle name="Comma 6 2 2 2 3 4" xfId="18724"/>
    <cellStyle name="Comma 6 2 2 2 3 4 2" xfId="38607"/>
    <cellStyle name="Comma 6 2 2 2 3 5" xfId="26302"/>
    <cellStyle name="Comma 6 2 2 2 4" xfId="7910"/>
    <cellStyle name="Comma 6 2 2 2 4 2" xfId="14104"/>
    <cellStyle name="Comma 6 2 2 2 4 2 2" xfId="33987"/>
    <cellStyle name="Comma 6 2 2 2 4 3" xfId="20256"/>
    <cellStyle name="Comma 6 2 2 2 4 3 2" xfId="40139"/>
    <cellStyle name="Comma 6 2 2 2 4 4" xfId="27834"/>
    <cellStyle name="Comma 6 2 2 2 5" xfId="11038"/>
    <cellStyle name="Comma 6 2 2 2 5 2" xfId="30921"/>
    <cellStyle name="Comma 6 2 2 2 6" xfId="17190"/>
    <cellStyle name="Comma 6 2 2 2 6 2" xfId="37073"/>
    <cellStyle name="Comma 6 2 2 2 7" xfId="24768"/>
    <cellStyle name="Comma 6 2 2 3" xfId="4763"/>
    <cellStyle name="Comma 6 2 2 3 2" xfId="6388"/>
    <cellStyle name="Comma 6 2 2 3 2 2" xfId="9474"/>
    <cellStyle name="Comma 6 2 2 3 2 2 2" xfId="15667"/>
    <cellStyle name="Comma 6 2 2 3 2 2 2 2" xfId="35550"/>
    <cellStyle name="Comma 6 2 2 3 2 2 3" xfId="21819"/>
    <cellStyle name="Comma 6 2 2 3 2 2 3 2" xfId="41702"/>
    <cellStyle name="Comma 6 2 2 3 2 2 4" xfId="29397"/>
    <cellStyle name="Comma 6 2 2 3 2 3" xfId="12601"/>
    <cellStyle name="Comma 6 2 2 3 2 3 2" xfId="32484"/>
    <cellStyle name="Comma 6 2 2 3 2 4" xfId="18753"/>
    <cellStyle name="Comma 6 2 2 3 2 4 2" xfId="38636"/>
    <cellStyle name="Comma 6 2 2 3 2 5" xfId="26331"/>
    <cellStyle name="Comma 6 2 2 3 3" xfId="7939"/>
    <cellStyle name="Comma 6 2 2 3 3 2" xfId="14133"/>
    <cellStyle name="Comma 6 2 2 3 3 2 2" xfId="34016"/>
    <cellStyle name="Comma 6 2 2 3 3 3" xfId="20285"/>
    <cellStyle name="Comma 6 2 2 3 3 3 2" xfId="40168"/>
    <cellStyle name="Comma 6 2 2 3 3 4" xfId="27863"/>
    <cellStyle name="Comma 6 2 2 3 4" xfId="11067"/>
    <cellStyle name="Comma 6 2 2 3 4 2" xfId="30950"/>
    <cellStyle name="Comma 6 2 2 3 5" xfId="17219"/>
    <cellStyle name="Comma 6 2 2 3 5 2" xfId="37102"/>
    <cellStyle name="Comma 6 2 2 3 6" xfId="24797"/>
    <cellStyle name="Comma 6 2 2 4" xfId="5602"/>
    <cellStyle name="Comma 6 2 2 4 2" xfId="8705"/>
    <cellStyle name="Comma 6 2 2 4 2 2" xfId="14898"/>
    <cellStyle name="Comma 6 2 2 4 2 2 2" xfId="34781"/>
    <cellStyle name="Comma 6 2 2 4 2 3" xfId="21050"/>
    <cellStyle name="Comma 6 2 2 4 2 3 2" xfId="40933"/>
    <cellStyle name="Comma 6 2 2 4 2 4" xfId="28628"/>
    <cellStyle name="Comma 6 2 2 4 3" xfId="11832"/>
    <cellStyle name="Comma 6 2 2 4 3 2" xfId="31715"/>
    <cellStyle name="Comma 6 2 2 4 4" xfId="17984"/>
    <cellStyle name="Comma 6 2 2 4 4 2" xfId="37867"/>
    <cellStyle name="Comma 6 2 2 4 5" xfId="25562"/>
    <cellStyle name="Comma 6 2 2 5" xfId="7170"/>
    <cellStyle name="Comma 6 2 2 5 2" xfId="13364"/>
    <cellStyle name="Comma 6 2 2 5 2 2" xfId="33247"/>
    <cellStyle name="Comma 6 2 2 5 3" xfId="19516"/>
    <cellStyle name="Comma 6 2 2 5 3 2" xfId="39399"/>
    <cellStyle name="Comma 6 2 2 5 4" xfId="27094"/>
    <cellStyle name="Comma 6 2 2 6" xfId="10298"/>
    <cellStyle name="Comma 6 2 2 6 2" xfId="30181"/>
    <cellStyle name="Comma 6 2 2 7" xfId="16450"/>
    <cellStyle name="Comma 6 2 2 7 2" xfId="36333"/>
    <cellStyle name="Comma 6 2 2 8" xfId="24028"/>
    <cellStyle name="Comma 6 2 3" xfId="4710"/>
    <cellStyle name="Comma 6 2 3 2" xfId="5494"/>
    <cellStyle name="Comma 6 2 3 2 2" xfId="7119"/>
    <cellStyle name="Comma 6 2 3 2 2 2" xfId="10205"/>
    <cellStyle name="Comma 6 2 3 2 2 2 2" xfId="16398"/>
    <cellStyle name="Comma 6 2 3 2 2 2 2 2" xfId="36281"/>
    <cellStyle name="Comma 6 2 3 2 2 2 3" xfId="22550"/>
    <cellStyle name="Comma 6 2 3 2 2 2 3 2" xfId="42433"/>
    <cellStyle name="Comma 6 2 3 2 2 2 4" xfId="30128"/>
    <cellStyle name="Comma 6 2 3 2 2 3" xfId="13332"/>
    <cellStyle name="Comma 6 2 3 2 2 3 2" xfId="33215"/>
    <cellStyle name="Comma 6 2 3 2 2 4" xfId="19484"/>
    <cellStyle name="Comma 6 2 3 2 2 4 2" xfId="39367"/>
    <cellStyle name="Comma 6 2 3 2 2 5" xfId="27062"/>
    <cellStyle name="Comma 6 2 3 2 3" xfId="8670"/>
    <cellStyle name="Comma 6 2 3 2 3 2" xfId="14864"/>
    <cellStyle name="Comma 6 2 3 2 3 2 2" xfId="34747"/>
    <cellStyle name="Comma 6 2 3 2 3 3" xfId="21016"/>
    <cellStyle name="Comma 6 2 3 2 3 3 2" xfId="40899"/>
    <cellStyle name="Comma 6 2 3 2 3 4" xfId="28594"/>
    <cellStyle name="Comma 6 2 3 2 4" xfId="11798"/>
    <cellStyle name="Comma 6 2 3 2 4 2" xfId="31681"/>
    <cellStyle name="Comma 6 2 3 2 5" xfId="17950"/>
    <cellStyle name="Comma 6 2 3 2 5 2" xfId="37833"/>
    <cellStyle name="Comma 6 2 3 2 6" xfId="25528"/>
    <cellStyle name="Comma 6 2 3 3" xfId="6350"/>
    <cellStyle name="Comma 6 2 3 3 2" xfId="9436"/>
    <cellStyle name="Comma 6 2 3 3 2 2" xfId="15629"/>
    <cellStyle name="Comma 6 2 3 3 2 2 2" xfId="35512"/>
    <cellStyle name="Comma 6 2 3 3 2 3" xfId="21781"/>
    <cellStyle name="Comma 6 2 3 3 2 3 2" xfId="41664"/>
    <cellStyle name="Comma 6 2 3 3 2 4" xfId="29359"/>
    <cellStyle name="Comma 6 2 3 3 3" xfId="12563"/>
    <cellStyle name="Comma 6 2 3 3 3 2" xfId="32446"/>
    <cellStyle name="Comma 6 2 3 3 4" xfId="18715"/>
    <cellStyle name="Comma 6 2 3 3 4 2" xfId="38598"/>
    <cellStyle name="Comma 6 2 3 3 5" xfId="26293"/>
    <cellStyle name="Comma 6 2 3 4" xfId="7901"/>
    <cellStyle name="Comma 6 2 3 4 2" xfId="14095"/>
    <cellStyle name="Comma 6 2 3 4 2 2" xfId="33978"/>
    <cellStyle name="Comma 6 2 3 4 3" xfId="20247"/>
    <cellStyle name="Comma 6 2 3 4 3 2" xfId="40130"/>
    <cellStyle name="Comma 6 2 3 4 4" xfId="27825"/>
    <cellStyle name="Comma 6 2 3 5" xfId="11029"/>
    <cellStyle name="Comma 6 2 3 5 2" xfId="30912"/>
    <cellStyle name="Comma 6 2 3 6" xfId="17181"/>
    <cellStyle name="Comma 6 2 3 6 2" xfId="37064"/>
    <cellStyle name="Comma 6 2 3 7" xfId="24759"/>
    <cellStyle name="Comma 6 2 4" xfId="2966"/>
    <cellStyle name="Comma 6 2 5" xfId="4752"/>
    <cellStyle name="Comma 6 2 5 2" xfId="6377"/>
    <cellStyle name="Comma 6 2 5 2 2" xfId="9463"/>
    <cellStyle name="Comma 6 2 5 2 2 2" xfId="15656"/>
    <cellStyle name="Comma 6 2 5 2 2 2 2" xfId="35539"/>
    <cellStyle name="Comma 6 2 5 2 2 3" xfId="21808"/>
    <cellStyle name="Comma 6 2 5 2 2 3 2" xfId="41691"/>
    <cellStyle name="Comma 6 2 5 2 2 4" xfId="29386"/>
    <cellStyle name="Comma 6 2 5 2 3" xfId="12590"/>
    <cellStyle name="Comma 6 2 5 2 3 2" xfId="32473"/>
    <cellStyle name="Comma 6 2 5 2 4" xfId="18742"/>
    <cellStyle name="Comma 6 2 5 2 4 2" xfId="38625"/>
    <cellStyle name="Comma 6 2 5 2 5" xfId="26320"/>
    <cellStyle name="Comma 6 2 5 3" xfId="7928"/>
    <cellStyle name="Comma 6 2 5 3 2" xfId="14122"/>
    <cellStyle name="Comma 6 2 5 3 2 2" xfId="34005"/>
    <cellStyle name="Comma 6 2 5 3 3" xfId="20274"/>
    <cellStyle name="Comma 6 2 5 3 3 2" xfId="40157"/>
    <cellStyle name="Comma 6 2 5 3 4" xfId="27852"/>
    <cellStyle name="Comma 6 2 5 4" xfId="11056"/>
    <cellStyle name="Comma 6 2 5 4 2" xfId="30939"/>
    <cellStyle name="Comma 6 2 5 5" xfId="17208"/>
    <cellStyle name="Comma 6 2 5 5 2" xfId="37091"/>
    <cellStyle name="Comma 6 2 5 6" xfId="24786"/>
    <cellStyle name="Comma 6 2 6" xfId="5590"/>
    <cellStyle name="Comma 6 2 6 2" xfId="8694"/>
    <cellStyle name="Comma 6 2 6 2 2" xfId="14887"/>
    <cellStyle name="Comma 6 2 6 2 2 2" xfId="34770"/>
    <cellStyle name="Comma 6 2 6 2 3" xfId="21039"/>
    <cellStyle name="Comma 6 2 6 2 3 2" xfId="40922"/>
    <cellStyle name="Comma 6 2 6 2 4" xfId="28617"/>
    <cellStyle name="Comma 6 2 6 3" xfId="11821"/>
    <cellStyle name="Comma 6 2 6 3 2" xfId="31704"/>
    <cellStyle name="Comma 6 2 6 4" xfId="17973"/>
    <cellStyle name="Comma 6 2 6 4 2" xfId="37856"/>
    <cellStyle name="Comma 6 2 6 5" xfId="25551"/>
    <cellStyle name="Comma 6 2 7" xfId="7159"/>
    <cellStyle name="Comma 6 2 7 2" xfId="13353"/>
    <cellStyle name="Comma 6 2 7 2 2" xfId="33236"/>
    <cellStyle name="Comma 6 2 7 3" xfId="19505"/>
    <cellStyle name="Comma 6 2 7 3 2" xfId="39388"/>
    <cellStyle name="Comma 6 2 7 4" xfId="27083"/>
    <cellStyle name="Comma 6 2 8" xfId="10268"/>
    <cellStyle name="Comma 6 2 8 2" xfId="16428"/>
    <cellStyle name="Comma 6 2 8 2 2" xfId="36311"/>
    <cellStyle name="Comma 6 2 8 3" xfId="22580"/>
    <cellStyle name="Comma 6 2 8 3 2" xfId="42463"/>
    <cellStyle name="Comma 6 2 8 4" xfId="30158"/>
    <cellStyle name="Comma 6 2 9" xfId="10287"/>
    <cellStyle name="Comma 6 2 9 2" xfId="30170"/>
    <cellStyle name="Comma 6 3" xfId="1310"/>
    <cellStyle name="Comma 6 3 10" xfId="16444"/>
    <cellStyle name="Comma 6 3 10 2" xfId="36327"/>
    <cellStyle name="Comma 6 3 11" xfId="24022"/>
    <cellStyle name="Comma 6 3 2" xfId="2968"/>
    <cellStyle name="Comma 6 3 3" xfId="2969"/>
    <cellStyle name="Comma 6 3 4" xfId="4722"/>
    <cellStyle name="Comma 6 3 4 2" xfId="5498"/>
    <cellStyle name="Comma 6 3 4 2 2" xfId="7123"/>
    <cellStyle name="Comma 6 3 4 2 2 2" xfId="10209"/>
    <cellStyle name="Comma 6 3 4 2 2 2 2" xfId="16402"/>
    <cellStyle name="Comma 6 3 4 2 2 2 2 2" xfId="36285"/>
    <cellStyle name="Comma 6 3 4 2 2 2 3" xfId="22554"/>
    <cellStyle name="Comma 6 3 4 2 2 2 3 2" xfId="42437"/>
    <cellStyle name="Comma 6 3 4 2 2 2 4" xfId="30132"/>
    <cellStyle name="Comma 6 3 4 2 2 3" xfId="13336"/>
    <cellStyle name="Comma 6 3 4 2 2 3 2" xfId="33219"/>
    <cellStyle name="Comma 6 3 4 2 2 4" xfId="19488"/>
    <cellStyle name="Comma 6 3 4 2 2 4 2" xfId="39371"/>
    <cellStyle name="Comma 6 3 4 2 2 5" xfId="27066"/>
    <cellStyle name="Comma 6 3 4 2 3" xfId="8674"/>
    <cellStyle name="Comma 6 3 4 2 3 2" xfId="14868"/>
    <cellStyle name="Comma 6 3 4 2 3 2 2" xfId="34751"/>
    <cellStyle name="Comma 6 3 4 2 3 3" xfId="21020"/>
    <cellStyle name="Comma 6 3 4 2 3 3 2" xfId="40903"/>
    <cellStyle name="Comma 6 3 4 2 3 4" xfId="28598"/>
    <cellStyle name="Comma 6 3 4 2 4" xfId="11802"/>
    <cellStyle name="Comma 6 3 4 2 4 2" xfId="31685"/>
    <cellStyle name="Comma 6 3 4 2 5" xfId="17954"/>
    <cellStyle name="Comma 6 3 4 2 5 2" xfId="37837"/>
    <cellStyle name="Comma 6 3 4 2 6" xfId="25532"/>
    <cellStyle name="Comma 6 3 4 3" xfId="6354"/>
    <cellStyle name="Comma 6 3 4 3 2" xfId="9440"/>
    <cellStyle name="Comma 6 3 4 3 2 2" xfId="15633"/>
    <cellStyle name="Comma 6 3 4 3 2 2 2" xfId="35516"/>
    <cellStyle name="Comma 6 3 4 3 2 3" xfId="21785"/>
    <cellStyle name="Comma 6 3 4 3 2 3 2" xfId="41668"/>
    <cellStyle name="Comma 6 3 4 3 2 4" xfId="29363"/>
    <cellStyle name="Comma 6 3 4 3 3" xfId="12567"/>
    <cellStyle name="Comma 6 3 4 3 3 2" xfId="32450"/>
    <cellStyle name="Comma 6 3 4 3 4" xfId="18719"/>
    <cellStyle name="Comma 6 3 4 3 4 2" xfId="38602"/>
    <cellStyle name="Comma 6 3 4 3 5" xfId="26297"/>
    <cellStyle name="Comma 6 3 4 4" xfId="7905"/>
    <cellStyle name="Comma 6 3 4 4 2" xfId="14099"/>
    <cellStyle name="Comma 6 3 4 4 2 2" xfId="33982"/>
    <cellStyle name="Comma 6 3 4 4 3" xfId="20251"/>
    <cellStyle name="Comma 6 3 4 4 3 2" xfId="40134"/>
    <cellStyle name="Comma 6 3 4 4 4" xfId="27829"/>
    <cellStyle name="Comma 6 3 4 5" xfId="11033"/>
    <cellStyle name="Comma 6 3 4 5 2" xfId="30916"/>
    <cellStyle name="Comma 6 3 4 6" xfId="17185"/>
    <cellStyle name="Comma 6 3 4 6 2" xfId="37068"/>
    <cellStyle name="Comma 6 3 4 7" xfId="24763"/>
    <cellStyle name="Comma 6 3 5" xfId="2967"/>
    <cellStyle name="Comma 6 3 6" xfId="4757"/>
    <cellStyle name="Comma 6 3 6 2" xfId="6382"/>
    <cellStyle name="Comma 6 3 6 2 2" xfId="9468"/>
    <cellStyle name="Comma 6 3 6 2 2 2" xfId="15661"/>
    <cellStyle name="Comma 6 3 6 2 2 2 2" xfId="35544"/>
    <cellStyle name="Comma 6 3 6 2 2 3" xfId="21813"/>
    <cellStyle name="Comma 6 3 6 2 2 3 2" xfId="41696"/>
    <cellStyle name="Comma 6 3 6 2 2 4" xfId="29391"/>
    <cellStyle name="Comma 6 3 6 2 3" xfId="12595"/>
    <cellStyle name="Comma 6 3 6 2 3 2" xfId="32478"/>
    <cellStyle name="Comma 6 3 6 2 4" xfId="18747"/>
    <cellStyle name="Comma 6 3 6 2 4 2" xfId="38630"/>
    <cellStyle name="Comma 6 3 6 2 5" xfId="26325"/>
    <cellStyle name="Comma 6 3 6 3" xfId="7933"/>
    <cellStyle name="Comma 6 3 6 3 2" xfId="14127"/>
    <cellStyle name="Comma 6 3 6 3 2 2" xfId="34010"/>
    <cellStyle name="Comma 6 3 6 3 3" xfId="20279"/>
    <cellStyle name="Comma 6 3 6 3 3 2" xfId="40162"/>
    <cellStyle name="Comma 6 3 6 3 4" xfId="27857"/>
    <cellStyle name="Comma 6 3 6 4" xfId="11061"/>
    <cellStyle name="Comma 6 3 6 4 2" xfId="30944"/>
    <cellStyle name="Comma 6 3 6 5" xfId="17213"/>
    <cellStyle name="Comma 6 3 6 5 2" xfId="37096"/>
    <cellStyle name="Comma 6 3 6 6" xfId="24791"/>
    <cellStyle name="Comma 6 3 7" xfId="5596"/>
    <cellStyle name="Comma 6 3 7 2" xfId="8699"/>
    <cellStyle name="Comma 6 3 7 2 2" xfId="14892"/>
    <cellStyle name="Comma 6 3 7 2 2 2" xfId="34775"/>
    <cellStyle name="Comma 6 3 7 2 3" xfId="21044"/>
    <cellStyle name="Comma 6 3 7 2 3 2" xfId="40927"/>
    <cellStyle name="Comma 6 3 7 2 4" xfId="28622"/>
    <cellStyle name="Comma 6 3 7 3" xfId="11826"/>
    <cellStyle name="Comma 6 3 7 3 2" xfId="31709"/>
    <cellStyle name="Comma 6 3 7 4" xfId="17978"/>
    <cellStyle name="Comma 6 3 7 4 2" xfId="37861"/>
    <cellStyle name="Comma 6 3 7 5" xfId="25556"/>
    <cellStyle name="Comma 6 3 8" xfId="7164"/>
    <cellStyle name="Comma 6 3 8 2" xfId="13358"/>
    <cellStyle name="Comma 6 3 8 2 2" xfId="33241"/>
    <cellStyle name="Comma 6 3 8 3" xfId="19510"/>
    <cellStyle name="Comma 6 3 8 3 2" xfId="39393"/>
    <cellStyle name="Comma 6 3 8 4" xfId="27088"/>
    <cellStyle name="Comma 6 3 9" xfId="10292"/>
    <cellStyle name="Comma 6 3 9 2" xfId="30175"/>
    <cellStyle name="Comma 6 4" xfId="2970"/>
    <cellStyle name="Comma 6 5" xfId="4702"/>
    <cellStyle name="Comma 6 5 2" xfId="5490"/>
    <cellStyle name="Comma 6 5 2 2" xfId="7115"/>
    <cellStyle name="Comma 6 5 2 2 2" xfId="10201"/>
    <cellStyle name="Comma 6 5 2 2 2 2" xfId="16394"/>
    <cellStyle name="Comma 6 5 2 2 2 2 2" xfId="36277"/>
    <cellStyle name="Comma 6 5 2 2 2 3" xfId="22546"/>
    <cellStyle name="Comma 6 5 2 2 2 3 2" xfId="42429"/>
    <cellStyle name="Comma 6 5 2 2 2 4" xfId="30124"/>
    <cellStyle name="Comma 6 5 2 2 3" xfId="13328"/>
    <cellStyle name="Comma 6 5 2 2 3 2" xfId="33211"/>
    <cellStyle name="Comma 6 5 2 2 4" xfId="19480"/>
    <cellStyle name="Comma 6 5 2 2 4 2" xfId="39363"/>
    <cellStyle name="Comma 6 5 2 2 5" xfId="27058"/>
    <cellStyle name="Comma 6 5 2 3" xfId="8666"/>
    <cellStyle name="Comma 6 5 2 3 2" xfId="14860"/>
    <cellStyle name="Comma 6 5 2 3 2 2" xfId="34743"/>
    <cellStyle name="Comma 6 5 2 3 3" xfId="21012"/>
    <cellStyle name="Comma 6 5 2 3 3 2" xfId="40895"/>
    <cellStyle name="Comma 6 5 2 3 4" xfId="28590"/>
    <cellStyle name="Comma 6 5 2 4" xfId="11794"/>
    <cellStyle name="Comma 6 5 2 4 2" xfId="31677"/>
    <cellStyle name="Comma 6 5 2 5" xfId="17946"/>
    <cellStyle name="Comma 6 5 2 5 2" xfId="37829"/>
    <cellStyle name="Comma 6 5 2 6" xfId="25524"/>
    <cellStyle name="Comma 6 5 3" xfId="6346"/>
    <cellStyle name="Comma 6 5 3 2" xfId="9432"/>
    <cellStyle name="Comma 6 5 3 2 2" xfId="15625"/>
    <cellStyle name="Comma 6 5 3 2 2 2" xfId="35508"/>
    <cellStyle name="Comma 6 5 3 2 3" xfId="21777"/>
    <cellStyle name="Comma 6 5 3 2 3 2" xfId="41660"/>
    <cellStyle name="Comma 6 5 3 2 4" xfId="29355"/>
    <cellStyle name="Comma 6 5 3 3" xfId="12559"/>
    <cellStyle name="Comma 6 5 3 3 2" xfId="32442"/>
    <cellStyle name="Comma 6 5 3 4" xfId="18711"/>
    <cellStyle name="Comma 6 5 3 4 2" xfId="38594"/>
    <cellStyle name="Comma 6 5 3 5" xfId="26289"/>
    <cellStyle name="Comma 6 5 4" xfId="7897"/>
    <cellStyle name="Comma 6 5 4 2" xfId="14091"/>
    <cellStyle name="Comma 6 5 4 2 2" xfId="33974"/>
    <cellStyle name="Comma 6 5 4 3" xfId="20243"/>
    <cellStyle name="Comma 6 5 4 3 2" xfId="40126"/>
    <cellStyle name="Comma 6 5 4 4" xfId="27821"/>
    <cellStyle name="Comma 6 5 5" xfId="11025"/>
    <cellStyle name="Comma 6 5 5 2" xfId="30908"/>
    <cellStyle name="Comma 6 5 6" xfId="17177"/>
    <cellStyle name="Comma 6 5 6 2" xfId="37060"/>
    <cellStyle name="Comma 6 5 7" xfId="24755"/>
    <cellStyle name="Comma 6 6" xfId="2965"/>
    <cellStyle name="Comma 6 7" xfId="4746"/>
    <cellStyle name="Comma 6 7 2" xfId="6371"/>
    <cellStyle name="Comma 6 7 2 2" xfId="9457"/>
    <cellStyle name="Comma 6 7 2 2 2" xfId="15650"/>
    <cellStyle name="Comma 6 7 2 2 2 2" xfId="35533"/>
    <cellStyle name="Comma 6 7 2 2 3" xfId="21802"/>
    <cellStyle name="Comma 6 7 2 2 3 2" xfId="41685"/>
    <cellStyle name="Comma 6 7 2 2 4" xfId="29380"/>
    <cellStyle name="Comma 6 7 2 3" xfId="12584"/>
    <cellStyle name="Comma 6 7 2 3 2" xfId="32467"/>
    <cellStyle name="Comma 6 7 2 4" xfId="18736"/>
    <cellStyle name="Comma 6 7 2 4 2" xfId="38619"/>
    <cellStyle name="Comma 6 7 2 5" xfId="26314"/>
    <cellStyle name="Comma 6 7 3" xfId="7922"/>
    <cellStyle name="Comma 6 7 3 2" xfId="14116"/>
    <cellStyle name="Comma 6 7 3 2 2" xfId="33999"/>
    <cellStyle name="Comma 6 7 3 3" xfId="20268"/>
    <cellStyle name="Comma 6 7 3 3 2" xfId="40151"/>
    <cellStyle name="Comma 6 7 3 4" xfId="27846"/>
    <cellStyle name="Comma 6 7 4" xfId="11050"/>
    <cellStyle name="Comma 6 7 4 2" xfId="30933"/>
    <cellStyle name="Comma 6 7 5" xfId="17202"/>
    <cellStyle name="Comma 6 7 5 2" xfId="37085"/>
    <cellStyle name="Comma 6 7 6" xfId="24780"/>
    <cellStyle name="Comma 6 8" xfId="5584"/>
    <cellStyle name="Comma 6 8 2" xfId="8688"/>
    <cellStyle name="Comma 6 8 2 2" xfId="14881"/>
    <cellStyle name="Comma 6 8 2 2 2" xfId="34764"/>
    <cellStyle name="Comma 6 8 2 3" xfId="21033"/>
    <cellStyle name="Comma 6 8 2 3 2" xfId="40916"/>
    <cellStyle name="Comma 6 8 2 4" xfId="28611"/>
    <cellStyle name="Comma 6 8 3" xfId="11815"/>
    <cellStyle name="Comma 6 8 3 2" xfId="31698"/>
    <cellStyle name="Comma 6 8 4" xfId="17967"/>
    <cellStyle name="Comma 6 8 4 2" xfId="37850"/>
    <cellStyle name="Comma 6 8 5" xfId="25545"/>
    <cellStyle name="Comma 6 9" xfId="7153"/>
    <cellStyle name="Comma 6 9 2" xfId="13347"/>
    <cellStyle name="Comma 6 9 2 2" xfId="33230"/>
    <cellStyle name="Comma 6 9 3" xfId="19499"/>
    <cellStyle name="Comma 6 9 3 2" xfId="39382"/>
    <cellStyle name="Comma 6 9 4" xfId="27077"/>
    <cellStyle name="Comma 60" xfId="2971"/>
    <cellStyle name="Comma 61" xfId="2972"/>
    <cellStyle name="Comma 62" xfId="2973"/>
    <cellStyle name="Comma 63" xfId="2974"/>
    <cellStyle name="Comma 64" xfId="2975"/>
    <cellStyle name="Comma 65" xfId="2976"/>
    <cellStyle name="Comma 66" xfId="2977"/>
    <cellStyle name="Comma 67" xfId="2978"/>
    <cellStyle name="Comma 68" xfId="2979"/>
    <cellStyle name="Comma 69" xfId="2980"/>
    <cellStyle name="Comma 7" xfId="53"/>
    <cellStyle name="Comma 7 10" xfId="22838"/>
    <cellStyle name="Comma 7 10 2" xfId="42712"/>
    <cellStyle name="Comma 7 11" xfId="224"/>
    <cellStyle name="Comma 7 11 2" xfId="23415"/>
    <cellStyle name="Comma 7 12" xfId="23339"/>
    <cellStyle name="Comma 7 2" xfId="104"/>
    <cellStyle name="Comma 7 2 2" xfId="147"/>
    <cellStyle name="Comma 7 2 2 2" xfId="2982"/>
    <cellStyle name="Comma 7 2 2 3" xfId="23390"/>
    <cellStyle name="Comma 7 2 3" xfId="875"/>
    <cellStyle name="Comma 7 2 3 2" xfId="23718"/>
    <cellStyle name="Comma 7 2 4" xfId="23352"/>
    <cellStyle name="Comma 7 3" xfId="132"/>
    <cellStyle name="Comma 7 3 2" xfId="2984"/>
    <cellStyle name="Comma 7 3 3" xfId="2985"/>
    <cellStyle name="Comma 7 3 4" xfId="2983"/>
    <cellStyle name="Comma 7 3 5" xfId="23377"/>
    <cellStyle name="Comma 7 4" xfId="117"/>
    <cellStyle name="Comma 7 4 2" xfId="2986"/>
    <cellStyle name="Comma 7 4 3" xfId="23365"/>
    <cellStyle name="Comma 7 5" xfId="4706"/>
    <cellStyle name="Comma 7 6" xfId="2981"/>
    <cellStyle name="Comma 7 7" xfId="1290"/>
    <cellStyle name="Comma 7 8" xfId="1171"/>
    <cellStyle name="Comma 7 9" xfId="22736"/>
    <cellStyle name="Comma 7 9 2" xfId="42610"/>
    <cellStyle name="Comma 70" xfId="2987"/>
    <cellStyle name="Comma 71" xfId="2988"/>
    <cellStyle name="Comma 72" xfId="2989"/>
    <cellStyle name="Comma 73" xfId="2990"/>
    <cellStyle name="Comma 74" xfId="2991"/>
    <cellStyle name="Comma 75" xfId="2992"/>
    <cellStyle name="Comma 76" xfId="2993"/>
    <cellStyle name="Comma 77" xfId="2994"/>
    <cellStyle name="Comma 78" xfId="2995"/>
    <cellStyle name="Comma 79" xfId="2996"/>
    <cellStyle name="Comma 8" xfId="84"/>
    <cellStyle name="Comma 8 2" xfId="876"/>
    <cellStyle name="Comma 8 2 2" xfId="2999"/>
    <cellStyle name="Comma 8 2 3" xfId="3000"/>
    <cellStyle name="Comma 8 2 4" xfId="2998"/>
    <cellStyle name="Comma 8 2 5" xfId="23719"/>
    <cellStyle name="Comma 8 3" xfId="4713"/>
    <cellStyle name="Comma 8 4" xfId="2997"/>
    <cellStyle name="Comma 8 5" xfId="1300"/>
    <cellStyle name="Comma 8 6" xfId="1173"/>
    <cellStyle name="Comma 8 7" xfId="22655"/>
    <cellStyle name="Comma 8 7 2" xfId="42529"/>
    <cellStyle name="Comma 8 8" xfId="22839"/>
    <cellStyle name="Comma 8 8 2" xfId="42713"/>
    <cellStyle name="Comma 8 9" xfId="225"/>
    <cellStyle name="Comma 8 9 2" xfId="23416"/>
    <cellStyle name="Comma 80" xfId="3001"/>
    <cellStyle name="Comma 81" xfId="3002"/>
    <cellStyle name="Comma 82" xfId="3003"/>
    <cellStyle name="Comma 83" xfId="3004"/>
    <cellStyle name="Comma 84" xfId="3005"/>
    <cellStyle name="Comma 85" xfId="3006"/>
    <cellStyle name="Comma 86" xfId="3007"/>
    <cellStyle name="Comma 87" xfId="3008"/>
    <cellStyle name="Comma 88" xfId="3009"/>
    <cellStyle name="Comma 89" xfId="3010"/>
    <cellStyle name="Comma 9" xfId="120"/>
    <cellStyle name="Comma 9 10" xfId="227"/>
    <cellStyle name="Comma 9 10 2" xfId="23418"/>
    <cellStyle name="Comma 9 2" xfId="878"/>
    <cellStyle name="Comma 9 2 2" xfId="3013"/>
    <cellStyle name="Comma 9 2 3" xfId="3014"/>
    <cellStyle name="Comma 9 2 4" xfId="3012"/>
    <cellStyle name="Comma 9 2 5" xfId="23721"/>
    <cellStyle name="Comma 9 3" xfId="3015"/>
    <cellStyle name="Comma 9 4" xfId="4717"/>
    <cellStyle name="Comma 9 5" xfId="3011"/>
    <cellStyle name="Comma 9 6" xfId="1304"/>
    <cellStyle name="Comma 9 7" xfId="1174"/>
    <cellStyle name="Comma 9 8" xfId="22742"/>
    <cellStyle name="Comma 9 8 2" xfId="42616"/>
    <cellStyle name="Comma 9 9" xfId="22841"/>
    <cellStyle name="Comma 9 9 2" xfId="42715"/>
    <cellStyle name="Comma 90" xfId="3016"/>
    <cellStyle name="Comma 91" xfId="3017"/>
    <cellStyle name="Comma 92" xfId="3018"/>
    <cellStyle name="Comma 93" xfId="3019"/>
    <cellStyle name="Comma 94" xfId="3020"/>
    <cellStyle name="Comma 95" xfId="3021"/>
    <cellStyle name="Comma 96" xfId="3022"/>
    <cellStyle name="Comma 97" xfId="3023"/>
    <cellStyle name="Comma 98" xfId="3024"/>
    <cellStyle name="Comma 99" xfId="3025"/>
    <cellStyle name="Comma(+Credit)" xfId="3026"/>
    <cellStyle name="Comma0" xfId="255"/>
    <cellStyle name="Comma0 2" xfId="10226"/>
    <cellStyle name="Company Name" xfId="3027"/>
    <cellStyle name="Company Name 2" xfId="3028"/>
    <cellStyle name="Company Name 3" xfId="3029"/>
    <cellStyle name="Currency" xfId="10" builtinId="4"/>
    <cellStyle name="Currency [0] 2" xfId="1191"/>
    <cellStyle name="Currency [0] 2 2" xfId="4628"/>
    <cellStyle name="Currency [0] 2 3" xfId="1324"/>
    <cellStyle name="Currency [0] 3" xfId="1217"/>
    <cellStyle name="Currency [0] 4" xfId="1292"/>
    <cellStyle name="Currency [0] 5" xfId="4627"/>
    <cellStyle name="Currency [0] 6" xfId="4733"/>
    <cellStyle name="Currency [0] 7" xfId="7148"/>
    <cellStyle name="Currency [0] 8" xfId="10276"/>
    <cellStyle name="Currency [0] 9" xfId="1185"/>
    <cellStyle name="Currency 0.0" xfId="3030"/>
    <cellStyle name="Currency 0.00" xfId="3031"/>
    <cellStyle name="Currency 0.000" xfId="3032"/>
    <cellStyle name="Currency 10" xfId="1303"/>
    <cellStyle name="Currency 10 10" xfId="23144"/>
    <cellStyle name="Currency 10 2" xfId="3034"/>
    <cellStyle name="Currency 10 2 2" xfId="23145"/>
    <cellStyle name="Currency 10 3" xfId="3035"/>
    <cellStyle name="Currency 10 3 2" xfId="23146"/>
    <cellStyle name="Currency 10 4" xfId="3036"/>
    <cellStyle name="Currency 10 4 2" xfId="23147"/>
    <cellStyle name="Currency 10 5" xfId="3037"/>
    <cellStyle name="Currency 10 5 2" xfId="23148"/>
    <cellStyle name="Currency 10 6" xfId="3038"/>
    <cellStyle name="Currency 10 6 2" xfId="3039"/>
    <cellStyle name="Currency 10 6 3" xfId="3040"/>
    <cellStyle name="Currency 10 7" xfId="3041"/>
    <cellStyle name="Currency 10 8" xfId="4716"/>
    <cellStyle name="Currency 10 9" xfId="3033"/>
    <cellStyle name="Currency 100" xfId="3042"/>
    <cellStyle name="Currency 101" xfId="3043"/>
    <cellStyle name="Currency 102" xfId="3044"/>
    <cellStyle name="Currency 103" xfId="3045"/>
    <cellStyle name="Currency 104" xfId="3046"/>
    <cellStyle name="Currency 105" xfId="3047"/>
    <cellStyle name="Currency 106" xfId="3048"/>
    <cellStyle name="Currency 107" xfId="3049"/>
    <cellStyle name="Currency 108" xfId="3050"/>
    <cellStyle name="Currency 109" xfId="3051"/>
    <cellStyle name="Currency 11" xfId="3052"/>
    <cellStyle name="Currency 11 2" xfId="3053"/>
    <cellStyle name="Currency 11 2 2" xfId="23150"/>
    <cellStyle name="Currency 11 3" xfId="3054"/>
    <cellStyle name="Currency 11 3 2" xfId="23151"/>
    <cellStyle name="Currency 11 4" xfId="23152"/>
    <cellStyle name="Currency 11 5" xfId="23153"/>
    <cellStyle name="Currency 11 6" xfId="23149"/>
    <cellStyle name="Currency 110" xfId="3055"/>
    <cellStyle name="Currency 111" xfId="3056"/>
    <cellStyle name="Currency 112" xfId="3057"/>
    <cellStyle name="Currency 113" xfId="3058"/>
    <cellStyle name="Currency 114" xfId="3059"/>
    <cellStyle name="Currency 115" xfId="3060"/>
    <cellStyle name="Currency 116" xfId="3061"/>
    <cellStyle name="Currency 117" xfId="3062"/>
    <cellStyle name="Currency 118" xfId="3063"/>
    <cellStyle name="Currency 118 2" xfId="3064"/>
    <cellStyle name="Currency 118 2 2" xfId="3065"/>
    <cellStyle name="Currency 118 2 2 2" xfId="3066"/>
    <cellStyle name="Currency 118 2 3" xfId="3067"/>
    <cellStyle name="Currency 118 3" xfId="3068"/>
    <cellStyle name="Currency 118 3 2" xfId="3069"/>
    <cellStyle name="Currency 118 4" xfId="3070"/>
    <cellStyle name="Currency 118 4 2" xfId="3071"/>
    <cellStyle name="Currency 118 5" xfId="3072"/>
    <cellStyle name="Currency 119" xfId="3073"/>
    <cellStyle name="Currency 119 2" xfId="3074"/>
    <cellStyle name="Currency 119 2 2" xfId="3075"/>
    <cellStyle name="Currency 119 2 2 2" xfId="3076"/>
    <cellStyle name="Currency 119 2 3" xfId="3077"/>
    <cellStyle name="Currency 119 3" xfId="3078"/>
    <cellStyle name="Currency 119 3 2" xfId="3079"/>
    <cellStyle name="Currency 119 4" xfId="3080"/>
    <cellStyle name="Currency 119 4 2" xfId="3081"/>
    <cellStyle name="Currency 119 5" xfId="3082"/>
    <cellStyle name="Currency 12" xfId="3083"/>
    <cellStyle name="Currency 12 2" xfId="3084"/>
    <cellStyle name="Currency 12 2 2" xfId="23155"/>
    <cellStyle name="Currency 12 3" xfId="3085"/>
    <cellStyle name="Currency 12 3 2" xfId="23156"/>
    <cellStyle name="Currency 12 4" xfId="23157"/>
    <cellStyle name="Currency 12 5" xfId="23154"/>
    <cellStyle name="Currency 120" xfId="3086"/>
    <cellStyle name="Currency 120 2" xfId="4884"/>
    <cellStyle name="Currency 120 2 2" xfId="6509"/>
    <cellStyle name="Currency 120 2 2 2" xfId="9595"/>
    <cellStyle name="Currency 120 2 2 2 2" xfId="15788"/>
    <cellStyle name="Currency 120 2 2 2 2 2" xfId="35671"/>
    <cellStyle name="Currency 120 2 2 2 3" xfId="21940"/>
    <cellStyle name="Currency 120 2 2 2 3 2" xfId="41823"/>
    <cellStyle name="Currency 120 2 2 2 4" xfId="29518"/>
    <cellStyle name="Currency 120 2 2 3" xfId="12722"/>
    <cellStyle name="Currency 120 2 2 3 2" xfId="32605"/>
    <cellStyle name="Currency 120 2 2 4" xfId="18874"/>
    <cellStyle name="Currency 120 2 2 4 2" xfId="38757"/>
    <cellStyle name="Currency 120 2 2 5" xfId="26452"/>
    <cellStyle name="Currency 120 2 3" xfId="8060"/>
    <cellStyle name="Currency 120 2 3 2" xfId="14254"/>
    <cellStyle name="Currency 120 2 3 2 2" xfId="34137"/>
    <cellStyle name="Currency 120 2 3 3" xfId="20406"/>
    <cellStyle name="Currency 120 2 3 3 2" xfId="40289"/>
    <cellStyle name="Currency 120 2 3 4" xfId="27984"/>
    <cellStyle name="Currency 120 2 4" xfId="11188"/>
    <cellStyle name="Currency 120 2 4 2" xfId="31071"/>
    <cellStyle name="Currency 120 2 5" xfId="17340"/>
    <cellStyle name="Currency 120 2 5 2" xfId="37223"/>
    <cellStyle name="Currency 120 2 6" xfId="24918"/>
    <cellStyle name="Currency 120 3" xfId="5725"/>
    <cellStyle name="Currency 120 3 2" xfId="8826"/>
    <cellStyle name="Currency 120 3 2 2" xfId="15019"/>
    <cellStyle name="Currency 120 3 2 2 2" xfId="34902"/>
    <cellStyle name="Currency 120 3 2 3" xfId="21171"/>
    <cellStyle name="Currency 120 3 2 3 2" xfId="41054"/>
    <cellStyle name="Currency 120 3 2 4" xfId="28749"/>
    <cellStyle name="Currency 120 3 3" xfId="11953"/>
    <cellStyle name="Currency 120 3 3 2" xfId="31836"/>
    <cellStyle name="Currency 120 3 4" xfId="18105"/>
    <cellStyle name="Currency 120 3 4 2" xfId="37988"/>
    <cellStyle name="Currency 120 3 5" xfId="25683"/>
    <cellStyle name="Currency 120 4" xfId="7291"/>
    <cellStyle name="Currency 120 4 2" xfId="13485"/>
    <cellStyle name="Currency 120 4 2 2" xfId="33368"/>
    <cellStyle name="Currency 120 4 3" xfId="19637"/>
    <cellStyle name="Currency 120 4 3 2" xfId="39520"/>
    <cellStyle name="Currency 120 4 4" xfId="27215"/>
    <cellStyle name="Currency 120 5" xfId="10419"/>
    <cellStyle name="Currency 120 5 2" xfId="30302"/>
    <cellStyle name="Currency 120 6" xfId="16571"/>
    <cellStyle name="Currency 120 6 2" xfId="36454"/>
    <cellStyle name="Currency 120 7" xfId="24149"/>
    <cellStyle name="Currency 121" xfId="3087"/>
    <cellStyle name="Currency 121 2" xfId="4885"/>
    <cellStyle name="Currency 121 2 2" xfId="6510"/>
    <cellStyle name="Currency 121 2 2 2" xfId="9596"/>
    <cellStyle name="Currency 121 2 2 2 2" xfId="15789"/>
    <cellStyle name="Currency 121 2 2 2 2 2" xfId="35672"/>
    <cellStyle name="Currency 121 2 2 2 3" xfId="21941"/>
    <cellStyle name="Currency 121 2 2 2 3 2" xfId="41824"/>
    <cellStyle name="Currency 121 2 2 2 4" xfId="29519"/>
    <cellStyle name="Currency 121 2 2 3" xfId="12723"/>
    <cellStyle name="Currency 121 2 2 3 2" xfId="32606"/>
    <cellStyle name="Currency 121 2 2 4" xfId="18875"/>
    <cellStyle name="Currency 121 2 2 4 2" xfId="38758"/>
    <cellStyle name="Currency 121 2 2 5" xfId="26453"/>
    <cellStyle name="Currency 121 2 3" xfId="8061"/>
    <cellStyle name="Currency 121 2 3 2" xfId="14255"/>
    <cellStyle name="Currency 121 2 3 2 2" xfId="34138"/>
    <cellStyle name="Currency 121 2 3 3" xfId="20407"/>
    <cellStyle name="Currency 121 2 3 3 2" xfId="40290"/>
    <cellStyle name="Currency 121 2 3 4" xfId="27985"/>
    <cellStyle name="Currency 121 2 4" xfId="11189"/>
    <cellStyle name="Currency 121 2 4 2" xfId="31072"/>
    <cellStyle name="Currency 121 2 5" xfId="17341"/>
    <cellStyle name="Currency 121 2 5 2" xfId="37224"/>
    <cellStyle name="Currency 121 2 6" xfId="24919"/>
    <cellStyle name="Currency 121 3" xfId="5726"/>
    <cellStyle name="Currency 121 3 2" xfId="8827"/>
    <cellStyle name="Currency 121 3 2 2" xfId="15020"/>
    <cellStyle name="Currency 121 3 2 2 2" xfId="34903"/>
    <cellStyle name="Currency 121 3 2 3" xfId="21172"/>
    <cellStyle name="Currency 121 3 2 3 2" xfId="41055"/>
    <cellStyle name="Currency 121 3 2 4" xfId="28750"/>
    <cellStyle name="Currency 121 3 3" xfId="11954"/>
    <cellStyle name="Currency 121 3 3 2" xfId="31837"/>
    <cellStyle name="Currency 121 3 4" xfId="18106"/>
    <cellStyle name="Currency 121 3 4 2" xfId="37989"/>
    <cellStyle name="Currency 121 3 5" xfId="25684"/>
    <cellStyle name="Currency 121 4" xfId="7292"/>
    <cellStyle name="Currency 121 4 2" xfId="13486"/>
    <cellStyle name="Currency 121 4 2 2" xfId="33369"/>
    <cellStyle name="Currency 121 4 3" xfId="19638"/>
    <cellStyle name="Currency 121 4 3 2" xfId="39521"/>
    <cellStyle name="Currency 121 4 4" xfId="27216"/>
    <cellStyle name="Currency 121 5" xfId="10420"/>
    <cellStyle name="Currency 121 5 2" xfId="30303"/>
    <cellStyle name="Currency 121 6" xfId="16572"/>
    <cellStyle name="Currency 121 6 2" xfId="36455"/>
    <cellStyle name="Currency 121 7" xfId="24150"/>
    <cellStyle name="Currency 122" xfId="3088"/>
    <cellStyle name="Currency 122 2" xfId="4886"/>
    <cellStyle name="Currency 122 2 2" xfId="6511"/>
    <cellStyle name="Currency 122 2 2 2" xfId="9597"/>
    <cellStyle name="Currency 122 2 2 2 2" xfId="15790"/>
    <cellStyle name="Currency 122 2 2 2 2 2" xfId="35673"/>
    <cellStyle name="Currency 122 2 2 2 3" xfId="21942"/>
    <cellStyle name="Currency 122 2 2 2 3 2" xfId="41825"/>
    <cellStyle name="Currency 122 2 2 2 4" xfId="29520"/>
    <cellStyle name="Currency 122 2 2 3" xfId="12724"/>
    <cellStyle name="Currency 122 2 2 3 2" xfId="32607"/>
    <cellStyle name="Currency 122 2 2 4" xfId="18876"/>
    <cellStyle name="Currency 122 2 2 4 2" xfId="38759"/>
    <cellStyle name="Currency 122 2 2 5" xfId="26454"/>
    <cellStyle name="Currency 122 2 3" xfId="8062"/>
    <cellStyle name="Currency 122 2 3 2" xfId="14256"/>
    <cellStyle name="Currency 122 2 3 2 2" xfId="34139"/>
    <cellStyle name="Currency 122 2 3 3" xfId="20408"/>
    <cellStyle name="Currency 122 2 3 3 2" xfId="40291"/>
    <cellStyle name="Currency 122 2 3 4" xfId="27986"/>
    <cellStyle name="Currency 122 2 4" xfId="11190"/>
    <cellStyle name="Currency 122 2 4 2" xfId="31073"/>
    <cellStyle name="Currency 122 2 5" xfId="17342"/>
    <cellStyle name="Currency 122 2 5 2" xfId="37225"/>
    <cellStyle name="Currency 122 2 6" xfId="24920"/>
    <cellStyle name="Currency 122 3" xfId="5727"/>
    <cellStyle name="Currency 122 3 2" xfId="8828"/>
    <cellStyle name="Currency 122 3 2 2" xfId="15021"/>
    <cellStyle name="Currency 122 3 2 2 2" xfId="34904"/>
    <cellStyle name="Currency 122 3 2 3" xfId="21173"/>
    <cellStyle name="Currency 122 3 2 3 2" xfId="41056"/>
    <cellStyle name="Currency 122 3 2 4" xfId="28751"/>
    <cellStyle name="Currency 122 3 3" xfId="11955"/>
    <cellStyle name="Currency 122 3 3 2" xfId="31838"/>
    <cellStyle name="Currency 122 3 4" xfId="18107"/>
    <cellStyle name="Currency 122 3 4 2" xfId="37990"/>
    <cellStyle name="Currency 122 3 5" xfId="25685"/>
    <cellStyle name="Currency 122 4" xfId="7293"/>
    <cellStyle name="Currency 122 4 2" xfId="13487"/>
    <cellStyle name="Currency 122 4 2 2" xfId="33370"/>
    <cellStyle name="Currency 122 4 3" xfId="19639"/>
    <cellStyle name="Currency 122 4 3 2" xfId="39522"/>
    <cellStyle name="Currency 122 4 4" xfId="27217"/>
    <cellStyle name="Currency 122 5" xfId="10421"/>
    <cellStyle name="Currency 122 5 2" xfId="30304"/>
    <cellStyle name="Currency 122 6" xfId="16573"/>
    <cellStyle name="Currency 122 6 2" xfId="36456"/>
    <cellStyle name="Currency 122 7" xfId="24151"/>
    <cellStyle name="Currency 123" xfId="3089"/>
    <cellStyle name="Currency 123 2" xfId="4887"/>
    <cellStyle name="Currency 123 2 2" xfId="6512"/>
    <cellStyle name="Currency 123 2 2 2" xfId="9598"/>
    <cellStyle name="Currency 123 2 2 2 2" xfId="15791"/>
    <cellStyle name="Currency 123 2 2 2 2 2" xfId="35674"/>
    <cellStyle name="Currency 123 2 2 2 3" xfId="21943"/>
    <cellStyle name="Currency 123 2 2 2 3 2" xfId="41826"/>
    <cellStyle name="Currency 123 2 2 2 4" xfId="29521"/>
    <cellStyle name="Currency 123 2 2 3" xfId="12725"/>
    <cellStyle name="Currency 123 2 2 3 2" xfId="32608"/>
    <cellStyle name="Currency 123 2 2 4" xfId="18877"/>
    <cellStyle name="Currency 123 2 2 4 2" xfId="38760"/>
    <cellStyle name="Currency 123 2 2 5" xfId="26455"/>
    <cellStyle name="Currency 123 2 3" xfId="8063"/>
    <cellStyle name="Currency 123 2 3 2" xfId="14257"/>
    <cellStyle name="Currency 123 2 3 2 2" xfId="34140"/>
    <cellStyle name="Currency 123 2 3 3" xfId="20409"/>
    <cellStyle name="Currency 123 2 3 3 2" xfId="40292"/>
    <cellStyle name="Currency 123 2 3 4" xfId="27987"/>
    <cellStyle name="Currency 123 2 4" xfId="11191"/>
    <cellStyle name="Currency 123 2 4 2" xfId="31074"/>
    <cellStyle name="Currency 123 2 5" xfId="17343"/>
    <cellStyle name="Currency 123 2 5 2" xfId="37226"/>
    <cellStyle name="Currency 123 2 6" xfId="24921"/>
    <cellStyle name="Currency 123 3" xfId="5728"/>
    <cellStyle name="Currency 123 3 2" xfId="8829"/>
    <cellStyle name="Currency 123 3 2 2" xfId="15022"/>
    <cellStyle name="Currency 123 3 2 2 2" xfId="34905"/>
    <cellStyle name="Currency 123 3 2 3" xfId="21174"/>
    <cellStyle name="Currency 123 3 2 3 2" xfId="41057"/>
    <cellStyle name="Currency 123 3 2 4" xfId="28752"/>
    <cellStyle name="Currency 123 3 3" xfId="11956"/>
    <cellStyle name="Currency 123 3 3 2" xfId="31839"/>
    <cellStyle name="Currency 123 3 4" xfId="18108"/>
    <cellStyle name="Currency 123 3 4 2" xfId="37991"/>
    <cellStyle name="Currency 123 3 5" xfId="25686"/>
    <cellStyle name="Currency 123 4" xfId="7294"/>
    <cellStyle name="Currency 123 4 2" xfId="13488"/>
    <cellStyle name="Currency 123 4 2 2" xfId="33371"/>
    <cellStyle name="Currency 123 4 3" xfId="19640"/>
    <cellStyle name="Currency 123 4 3 2" xfId="39523"/>
    <cellStyle name="Currency 123 4 4" xfId="27218"/>
    <cellStyle name="Currency 123 5" xfId="10422"/>
    <cellStyle name="Currency 123 5 2" xfId="30305"/>
    <cellStyle name="Currency 123 6" xfId="16574"/>
    <cellStyle name="Currency 123 6 2" xfId="36457"/>
    <cellStyle name="Currency 123 7" xfId="24152"/>
    <cellStyle name="Currency 124" xfId="3090"/>
    <cellStyle name="Currency 124 2" xfId="4888"/>
    <cellStyle name="Currency 124 2 2" xfId="6513"/>
    <cellStyle name="Currency 124 2 2 2" xfId="9599"/>
    <cellStyle name="Currency 124 2 2 2 2" xfId="15792"/>
    <cellStyle name="Currency 124 2 2 2 2 2" xfId="35675"/>
    <cellStyle name="Currency 124 2 2 2 3" xfId="21944"/>
    <cellStyle name="Currency 124 2 2 2 3 2" xfId="41827"/>
    <cellStyle name="Currency 124 2 2 2 4" xfId="29522"/>
    <cellStyle name="Currency 124 2 2 3" xfId="12726"/>
    <cellStyle name="Currency 124 2 2 3 2" xfId="32609"/>
    <cellStyle name="Currency 124 2 2 4" xfId="18878"/>
    <cellStyle name="Currency 124 2 2 4 2" xfId="38761"/>
    <cellStyle name="Currency 124 2 2 5" xfId="26456"/>
    <cellStyle name="Currency 124 2 3" xfId="8064"/>
    <cellStyle name="Currency 124 2 3 2" xfId="14258"/>
    <cellStyle name="Currency 124 2 3 2 2" xfId="34141"/>
    <cellStyle name="Currency 124 2 3 3" xfId="20410"/>
    <cellStyle name="Currency 124 2 3 3 2" xfId="40293"/>
    <cellStyle name="Currency 124 2 3 4" xfId="27988"/>
    <cellStyle name="Currency 124 2 4" xfId="11192"/>
    <cellStyle name="Currency 124 2 4 2" xfId="31075"/>
    <cellStyle name="Currency 124 2 5" xfId="17344"/>
    <cellStyle name="Currency 124 2 5 2" xfId="37227"/>
    <cellStyle name="Currency 124 2 6" xfId="24922"/>
    <cellStyle name="Currency 124 3" xfId="5729"/>
    <cellStyle name="Currency 124 3 2" xfId="8830"/>
    <cellStyle name="Currency 124 3 2 2" xfId="15023"/>
    <cellStyle name="Currency 124 3 2 2 2" xfId="34906"/>
    <cellStyle name="Currency 124 3 2 3" xfId="21175"/>
    <cellStyle name="Currency 124 3 2 3 2" xfId="41058"/>
    <cellStyle name="Currency 124 3 2 4" xfId="28753"/>
    <cellStyle name="Currency 124 3 3" xfId="11957"/>
    <cellStyle name="Currency 124 3 3 2" xfId="31840"/>
    <cellStyle name="Currency 124 3 4" xfId="18109"/>
    <cellStyle name="Currency 124 3 4 2" xfId="37992"/>
    <cellStyle name="Currency 124 3 5" xfId="25687"/>
    <cellStyle name="Currency 124 4" xfId="7295"/>
    <cellStyle name="Currency 124 4 2" xfId="13489"/>
    <cellStyle name="Currency 124 4 2 2" xfId="33372"/>
    <cellStyle name="Currency 124 4 3" xfId="19641"/>
    <cellStyle name="Currency 124 4 3 2" xfId="39524"/>
    <cellStyle name="Currency 124 4 4" xfId="27219"/>
    <cellStyle name="Currency 124 5" xfId="10423"/>
    <cellStyle name="Currency 124 5 2" xfId="30306"/>
    <cellStyle name="Currency 124 6" xfId="16575"/>
    <cellStyle name="Currency 124 6 2" xfId="36458"/>
    <cellStyle name="Currency 124 7" xfId="24153"/>
    <cellStyle name="Currency 125" xfId="3091"/>
    <cellStyle name="Currency 125 2" xfId="4889"/>
    <cellStyle name="Currency 125 2 2" xfId="6514"/>
    <cellStyle name="Currency 125 2 2 2" xfId="9600"/>
    <cellStyle name="Currency 125 2 2 2 2" xfId="15793"/>
    <cellStyle name="Currency 125 2 2 2 2 2" xfId="35676"/>
    <cellStyle name="Currency 125 2 2 2 3" xfId="21945"/>
    <cellStyle name="Currency 125 2 2 2 3 2" xfId="41828"/>
    <cellStyle name="Currency 125 2 2 2 4" xfId="29523"/>
    <cellStyle name="Currency 125 2 2 3" xfId="12727"/>
    <cellStyle name="Currency 125 2 2 3 2" xfId="32610"/>
    <cellStyle name="Currency 125 2 2 4" xfId="18879"/>
    <cellStyle name="Currency 125 2 2 4 2" xfId="38762"/>
    <cellStyle name="Currency 125 2 2 5" xfId="26457"/>
    <cellStyle name="Currency 125 2 3" xfId="8065"/>
    <cellStyle name="Currency 125 2 3 2" xfId="14259"/>
    <cellStyle name="Currency 125 2 3 2 2" xfId="34142"/>
    <cellStyle name="Currency 125 2 3 3" xfId="20411"/>
    <cellStyle name="Currency 125 2 3 3 2" xfId="40294"/>
    <cellStyle name="Currency 125 2 3 4" xfId="27989"/>
    <cellStyle name="Currency 125 2 4" xfId="11193"/>
    <cellStyle name="Currency 125 2 4 2" xfId="31076"/>
    <cellStyle name="Currency 125 2 5" xfId="17345"/>
    <cellStyle name="Currency 125 2 5 2" xfId="37228"/>
    <cellStyle name="Currency 125 2 6" xfId="24923"/>
    <cellStyle name="Currency 125 3" xfId="5730"/>
    <cellStyle name="Currency 125 3 2" xfId="8831"/>
    <cellStyle name="Currency 125 3 2 2" xfId="15024"/>
    <cellStyle name="Currency 125 3 2 2 2" xfId="34907"/>
    <cellStyle name="Currency 125 3 2 3" xfId="21176"/>
    <cellStyle name="Currency 125 3 2 3 2" xfId="41059"/>
    <cellStyle name="Currency 125 3 2 4" xfId="28754"/>
    <cellStyle name="Currency 125 3 3" xfId="11958"/>
    <cellStyle name="Currency 125 3 3 2" xfId="31841"/>
    <cellStyle name="Currency 125 3 4" xfId="18110"/>
    <cellStyle name="Currency 125 3 4 2" xfId="37993"/>
    <cellStyle name="Currency 125 3 5" xfId="25688"/>
    <cellStyle name="Currency 125 4" xfId="7296"/>
    <cellStyle name="Currency 125 4 2" xfId="13490"/>
    <cellStyle name="Currency 125 4 2 2" xfId="33373"/>
    <cellStyle name="Currency 125 4 3" xfId="19642"/>
    <cellStyle name="Currency 125 4 3 2" xfId="39525"/>
    <cellStyle name="Currency 125 4 4" xfId="27220"/>
    <cellStyle name="Currency 125 5" xfId="10424"/>
    <cellStyle name="Currency 125 5 2" xfId="30307"/>
    <cellStyle name="Currency 125 6" xfId="16576"/>
    <cellStyle name="Currency 125 6 2" xfId="36459"/>
    <cellStyle name="Currency 125 7" xfId="24154"/>
    <cellStyle name="Currency 126" xfId="3092"/>
    <cellStyle name="Currency 126 2" xfId="4890"/>
    <cellStyle name="Currency 126 2 2" xfId="6515"/>
    <cellStyle name="Currency 126 2 2 2" xfId="9601"/>
    <cellStyle name="Currency 126 2 2 2 2" xfId="15794"/>
    <cellStyle name="Currency 126 2 2 2 2 2" xfId="35677"/>
    <cellStyle name="Currency 126 2 2 2 3" xfId="21946"/>
    <cellStyle name="Currency 126 2 2 2 3 2" xfId="41829"/>
    <cellStyle name="Currency 126 2 2 2 4" xfId="29524"/>
    <cellStyle name="Currency 126 2 2 3" xfId="12728"/>
    <cellStyle name="Currency 126 2 2 3 2" xfId="32611"/>
    <cellStyle name="Currency 126 2 2 4" xfId="18880"/>
    <cellStyle name="Currency 126 2 2 4 2" xfId="38763"/>
    <cellStyle name="Currency 126 2 2 5" xfId="26458"/>
    <cellStyle name="Currency 126 2 3" xfId="8066"/>
    <cellStyle name="Currency 126 2 3 2" xfId="14260"/>
    <cellStyle name="Currency 126 2 3 2 2" xfId="34143"/>
    <cellStyle name="Currency 126 2 3 3" xfId="20412"/>
    <cellStyle name="Currency 126 2 3 3 2" xfId="40295"/>
    <cellStyle name="Currency 126 2 3 4" xfId="27990"/>
    <cellStyle name="Currency 126 2 4" xfId="11194"/>
    <cellStyle name="Currency 126 2 4 2" xfId="31077"/>
    <cellStyle name="Currency 126 2 5" xfId="17346"/>
    <cellStyle name="Currency 126 2 5 2" xfId="37229"/>
    <cellStyle name="Currency 126 2 6" xfId="24924"/>
    <cellStyle name="Currency 126 3" xfId="5731"/>
    <cellStyle name="Currency 126 3 2" xfId="8832"/>
    <cellStyle name="Currency 126 3 2 2" xfId="15025"/>
    <cellStyle name="Currency 126 3 2 2 2" xfId="34908"/>
    <cellStyle name="Currency 126 3 2 3" xfId="21177"/>
    <cellStyle name="Currency 126 3 2 3 2" xfId="41060"/>
    <cellStyle name="Currency 126 3 2 4" xfId="28755"/>
    <cellStyle name="Currency 126 3 3" xfId="11959"/>
    <cellStyle name="Currency 126 3 3 2" xfId="31842"/>
    <cellStyle name="Currency 126 3 4" xfId="18111"/>
    <cellStyle name="Currency 126 3 4 2" xfId="37994"/>
    <cellStyle name="Currency 126 3 5" xfId="25689"/>
    <cellStyle name="Currency 126 4" xfId="7297"/>
    <cellStyle name="Currency 126 4 2" xfId="13491"/>
    <cellStyle name="Currency 126 4 2 2" xfId="33374"/>
    <cellStyle name="Currency 126 4 3" xfId="19643"/>
    <cellStyle name="Currency 126 4 3 2" xfId="39526"/>
    <cellStyle name="Currency 126 4 4" xfId="27221"/>
    <cellStyle name="Currency 126 5" xfId="10425"/>
    <cellStyle name="Currency 126 5 2" xfId="30308"/>
    <cellStyle name="Currency 126 6" xfId="16577"/>
    <cellStyle name="Currency 126 6 2" xfId="36460"/>
    <cellStyle name="Currency 126 7" xfId="24155"/>
    <cellStyle name="Currency 127" xfId="3093"/>
    <cellStyle name="Currency 127 2" xfId="4891"/>
    <cellStyle name="Currency 127 2 2" xfId="6516"/>
    <cellStyle name="Currency 127 2 2 2" xfId="9602"/>
    <cellStyle name="Currency 127 2 2 2 2" xfId="15795"/>
    <cellStyle name="Currency 127 2 2 2 2 2" xfId="35678"/>
    <cellStyle name="Currency 127 2 2 2 3" xfId="21947"/>
    <cellStyle name="Currency 127 2 2 2 3 2" xfId="41830"/>
    <cellStyle name="Currency 127 2 2 2 4" xfId="29525"/>
    <cellStyle name="Currency 127 2 2 3" xfId="12729"/>
    <cellStyle name="Currency 127 2 2 3 2" xfId="32612"/>
    <cellStyle name="Currency 127 2 2 4" xfId="18881"/>
    <cellStyle name="Currency 127 2 2 4 2" xfId="38764"/>
    <cellStyle name="Currency 127 2 2 5" xfId="26459"/>
    <cellStyle name="Currency 127 2 3" xfId="8067"/>
    <cellStyle name="Currency 127 2 3 2" xfId="14261"/>
    <cellStyle name="Currency 127 2 3 2 2" xfId="34144"/>
    <cellStyle name="Currency 127 2 3 3" xfId="20413"/>
    <cellStyle name="Currency 127 2 3 3 2" xfId="40296"/>
    <cellStyle name="Currency 127 2 3 4" xfId="27991"/>
    <cellStyle name="Currency 127 2 4" xfId="11195"/>
    <cellStyle name="Currency 127 2 4 2" xfId="31078"/>
    <cellStyle name="Currency 127 2 5" xfId="17347"/>
    <cellStyle name="Currency 127 2 5 2" xfId="37230"/>
    <cellStyle name="Currency 127 2 6" xfId="24925"/>
    <cellStyle name="Currency 127 3" xfId="5732"/>
    <cellStyle name="Currency 127 3 2" xfId="8833"/>
    <cellStyle name="Currency 127 3 2 2" xfId="15026"/>
    <cellStyle name="Currency 127 3 2 2 2" xfId="34909"/>
    <cellStyle name="Currency 127 3 2 3" xfId="21178"/>
    <cellStyle name="Currency 127 3 2 3 2" xfId="41061"/>
    <cellStyle name="Currency 127 3 2 4" xfId="28756"/>
    <cellStyle name="Currency 127 3 3" xfId="11960"/>
    <cellStyle name="Currency 127 3 3 2" xfId="31843"/>
    <cellStyle name="Currency 127 3 4" xfId="18112"/>
    <cellStyle name="Currency 127 3 4 2" xfId="37995"/>
    <cellStyle name="Currency 127 3 5" xfId="25690"/>
    <cellStyle name="Currency 127 4" xfId="7298"/>
    <cellStyle name="Currency 127 4 2" xfId="13492"/>
    <cellStyle name="Currency 127 4 2 2" xfId="33375"/>
    <cellStyle name="Currency 127 4 3" xfId="19644"/>
    <cellStyle name="Currency 127 4 3 2" xfId="39527"/>
    <cellStyle name="Currency 127 4 4" xfId="27222"/>
    <cellStyle name="Currency 127 5" xfId="10426"/>
    <cellStyle name="Currency 127 5 2" xfId="30309"/>
    <cellStyle name="Currency 127 6" xfId="16578"/>
    <cellStyle name="Currency 127 6 2" xfId="36461"/>
    <cellStyle name="Currency 127 7" xfId="24156"/>
    <cellStyle name="Currency 128" xfId="3094"/>
    <cellStyle name="Currency 128 2" xfId="4892"/>
    <cellStyle name="Currency 128 2 2" xfId="6517"/>
    <cellStyle name="Currency 128 2 2 2" xfId="9603"/>
    <cellStyle name="Currency 128 2 2 2 2" xfId="15796"/>
    <cellStyle name="Currency 128 2 2 2 2 2" xfId="35679"/>
    <cellStyle name="Currency 128 2 2 2 3" xfId="21948"/>
    <cellStyle name="Currency 128 2 2 2 3 2" xfId="41831"/>
    <cellStyle name="Currency 128 2 2 2 4" xfId="29526"/>
    <cellStyle name="Currency 128 2 2 3" xfId="12730"/>
    <cellStyle name="Currency 128 2 2 3 2" xfId="32613"/>
    <cellStyle name="Currency 128 2 2 4" xfId="18882"/>
    <cellStyle name="Currency 128 2 2 4 2" xfId="38765"/>
    <cellStyle name="Currency 128 2 2 5" xfId="26460"/>
    <cellStyle name="Currency 128 2 3" xfId="8068"/>
    <cellStyle name="Currency 128 2 3 2" xfId="14262"/>
    <cellStyle name="Currency 128 2 3 2 2" xfId="34145"/>
    <cellStyle name="Currency 128 2 3 3" xfId="20414"/>
    <cellStyle name="Currency 128 2 3 3 2" xfId="40297"/>
    <cellStyle name="Currency 128 2 3 4" xfId="27992"/>
    <cellStyle name="Currency 128 2 4" xfId="11196"/>
    <cellStyle name="Currency 128 2 4 2" xfId="31079"/>
    <cellStyle name="Currency 128 2 5" xfId="17348"/>
    <cellStyle name="Currency 128 2 5 2" xfId="37231"/>
    <cellStyle name="Currency 128 2 6" xfId="24926"/>
    <cellStyle name="Currency 128 3" xfId="5733"/>
    <cellStyle name="Currency 128 3 2" xfId="8834"/>
    <cellStyle name="Currency 128 3 2 2" xfId="15027"/>
    <cellStyle name="Currency 128 3 2 2 2" xfId="34910"/>
    <cellStyle name="Currency 128 3 2 3" xfId="21179"/>
    <cellStyle name="Currency 128 3 2 3 2" xfId="41062"/>
    <cellStyle name="Currency 128 3 2 4" xfId="28757"/>
    <cellStyle name="Currency 128 3 3" xfId="11961"/>
    <cellStyle name="Currency 128 3 3 2" xfId="31844"/>
    <cellStyle name="Currency 128 3 4" xfId="18113"/>
    <cellStyle name="Currency 128 3 4 2" xfId="37996"/>
    <cellStyle name="Currency 128 3 5" xfId="25691"/>
    <cellStyle name="Currency 128 4" xfId="7299"/>
    <cellStyle name="Currency 128 4 2" xfId="13493"/>
    <cellStyle name="Currency 128 4 2 2" xfId="33376"/>
    <cellStyle name="Currency 128 4 3" xfId="19645"/>
    <cellStyle name="Currency 128 4 3 2" xfId="39528"/>
    <cellStyle name="Currency 128 4 4" xfId="27223"/>
    <cellStyle name="Currency 128 5" xfId="10427"/>
    <cellStyle name="Currency 128 5 2" xfId="30310"/>
    <cellStyle name="Currency 128 6" xfId="16579"/>
    <cellStyle name="Currency 128 6 2" xfId="36462"/>
    <cellStyle name="Currency 128 7" xfId="24157"/>
    <cellStyle name="Currency 129" xfId="3095"/>
    <cellStyle name="Currency 129 2" xfId="4893"/>
    <cellStyle name="Currency 129 2 2" xfId="6518"/>
    <cellStyle name="Currency 129 2 2 2" xfId="9604"/>
    <cellStyle name="Currency 129 2 2 2 2" xfId="15797"/>
    <cellStyle name="Currency 129 2 2 2 2 2" xfId="35680"/>
    <cellStyle name="Currency 129 2 2 2 3" xfId="21949"/>
    <cellStyle name="Currency 129 2 2 2 3 2" xfId="41832"/>
    <cellStyle name="Currency 129 2 2 2 4" xfId="29527"/>
    <cellStyle name="Currency 129 2 2 3" xfId="12731"/>
    <cellStyle name="Currency 129 2 2 3 2" xfId="32614"/>
    <cellStyle name="Currency 129 2 2 4" xfId="18883"/>
    <cellStyle name="Currency 129 2 2 4 2" xfId="38766"/>
    <cellStyle name="Currency 129 2 2 5" xfId="26461"/>
    <cellStyle name="Currency 129 2 3" xfId="8069"/>
    <cellStyle name="Currency 129 2 3 2" xfId="14263"/>
    <cellStyle name="Currency 129 2 3 2 2" xfId="34146"/>
    <cellStyle name="Currency 129 2 3 3" xfId="20415"/>
    <cellStyle name="Currency 129 2 3 3 2" xfId="40298"/>
    <cellStyle name="Currency 129 2 3 4" xfId="27993"/>
    <cellStyle name="Currency 129 2 4" xfId="11197"/>
    <cellStyle name="Currency 129 2 4 2" xfId="31080"/>
    <cellStyle name="Currency 129 2 5" xfId="17349"/>
    <cellStyle name="Currency 129 2 5 2" xfId="37232"/>
    <cellStyle name="Currency 129 2 6" xfId="24927"/>
    <cellStyle name="Currency 129 3" xfId="5734"/>
    <cellStyle name="Currency 129 3 2" xfId="8835"/>
    <cellStyle name="Currency 129 3 2 2" xfId="15028"/>
    <cellStyle name="Currency 129 3 2 2 2" xfId="34911"/>
    <cellStyle name="Currency 129 3 2 3" xfId="21180"/>
    <cellStyle name="Currency 129 3 2 3 2" xfId="41063"/>
    <cellStyle name="Currency 129 3 2 4" xfId="28758"/>
    <cellStyle name="Currency 129 3 3" xfId="11962"/>
    <cellStyle name="Currency 129 3 3 2" xfId="31845"/>
    <cellStyle name="Currency 129 3 4" xfId="18114"/>
    <cellStyle name="Currency 129 3 4 2" xfId="37997"/>
    <cellStyle name="Currency 129 3 5" xfId="25692"/>
    <cellStyle name="Currency 129 4" xfId="7300"/>
    <cellStyle name="Currency 129 4 2" xfId="13494"/>
    <cellStyle name="Currency 129 4 2 2" xfId="33377"/>
    <cellStyle name="Currency 129 4 3" xfId="19646"/>
    <cellStyle name="Currency 129 4 3 2" xfId="39529"/>
    <cellStyle name="Currency 129 4 4" xfId="27224"/>
    <cellStyle name="Currency 129 5" xfId="10428"/>
    <cellStyle name="Currency 129 5 2" xfId="30311"/>
    <cellStyle name="Currency 129 6" xfId="16580"/>
    <cellStyle name="Currency 129 6 2" xfId="36463"/>
    <cellStyle name="Currency 129 7" xfId="24158"/>
    <cellStyle name="Currency 13" xfId="3096"/>
    <cellStyle name="Currency 13 2" xfId="3097"/>
    <cellStyle name="Currency 13 2 2" xfId="23159"/>
    <cellStyle name="Currency 13 3" xfId="3098"/>
    <cellStyle name="Currency 13 3 2" xfId="23160"/>
    <cellStyle name="Currency 13 4" xfId="23161"/>
    <cellStyle name="Currency 13 5" xfId="23158"/>
    <cellStyle name="Currency 130" xfId="3099"/>
    <cellStyle name="Currency 130 2" xfId="4894"/>
    <cellStyle name="Currency 130 2 2" xfId="6519"/>
    <cellStyle name="Currency 130 2 2 2" xfId="9605"/>
    <cellStyle name="Currency 130 2 2 2 2" xfId="15798"/>
    <cellStyle name="Currency 130 2 2 2 2 2" xfId="35681"/>
    <cellStyle name="Currency 130 2 2 2 3" xfId="21950"/>
    <cellStyle name="Currency 130 2 2 2 3 2" xfId="41833"/>
    <cellStyle name="Currency 130 2 2 2 4" xfId="29528"/>
    <cellStyle name="Currency 130 2 2 3" xfId="12732"/>
    <cellStyle name="Currency 130 2 2 3 2" xfId="32615"/>
    <cellStyle name="Currency 130 2 2 4" xfId="18884"/>
    <cellStyle name="Currency 130 2 2 4 2" xfId="38767"/>
    <cellStyle name="Currency 130 2 2 5" xfId="26462"/>
    <cellStyle name="Currency 130 2 3" xfId="8070"/>
    <cellStyle name="Currency 130 2 3 2" xfId="14264"/>
    <cellStyle name="Currency 130 2 3 2 2" xfId="34147"/>
    <cellStyle name="Currency 130 2 3 3" xfId="20416"/>
    <cellStyle name="Currency 130 2 3 3 2" xfId="40299"/>
    <cellStyle name="Currency 130 2 3 4" xfId="27994"/>
    <cellStyle name="Currency 130 2 4" xfId="11198"/>
    <cellStyle name="Currency 130 2 4 2" xfId="31081"/>
    <cellStyle name="Currency 130 2 5" xfId="17350"/>
    <cellStyle name="Currency 130 2 5 2" xfId="37233"/>
    <cellStyle name="Currency 130 2 6" xfId="24928"/>
    <cellStyle name="Currency 130 3" xfId="5735"/>
    <cellStyle name="Currency 130 3 2" xfId="8836"/>
    <cellStyle name="Currency 130 3 2 2" xfId="15029"/>
    <cellStyle name="Currency 130 3 2 2 2" xfId="34912"/>
    <cellStyle name="Currency 130 3 2 3" xfId="21181"/>
    <cellStyle name="Currency 130 3 2 3 2" xfId="41064"/>
    <cellStyle name="Currency 130 3 2 4" xfId="28759"/>
    <cellStyle name="Currency 130 3 3" xfId="11963"/>
    <cellStyle name="Currency 130 3 3 2" xfId="31846"/>
    <cellStyle name="Currency 130 3 4" xfId="18115"/>
    <cellStyle name="Currency 130 3 4 2" xfId="37998"/>
    <cellStyle name="Currency 130 3 5" xfId="25693"/>
    <cellStyle name="Currency 130 4" xfId="7301"/>
    <cellStyle name="Currency 130 4 2" xfId="13495"/>
    <cellStyle name="Currency 130 4 2 2" xfId="33378"/>
    <cellStyle name="Currency 130 4 3" xfId="19647"/>
    <cellStyle name="Currency 130 4 3 2" xfId="39530"/>
    <cellStyle name="Currency 130 4 4" xfId="27225"/>
    <cellStyle name="Currency 130 5" xfId="10429"/>
    <cellStyle name="Currency 130 5 2" xfId="30312"/>
    <cellStyle name="Currency 130 6" xfId="16581"/>
    <cellStyle name="Currency 130 6 2" xfId="36464"/>
    <cellStyle name="Currency 130 7" xfId="24159"/>
    <cellStyle name="Currency 131" xfId="3100"/>
    <cellStyle name="Currency 132" xfId="3101"/>
    <cellStyle name="Currency 133" xfId="3102"/>
    <cellStyle name="Currency 134" xfId="3103"/>
    <cellStyle name="Currency 135" xfId="3104"/>
    <cellStyle name="Currency 136" xfId="3105"/>
    <cellStyle name="Currency 137" xfId="3106"/>
    <cellStyle name="Currency 138" xfId="3107"/>
    <cellStyle name="Currency 139" xfId="3108"/>
    <cellStyle name="Currency 14" xfId="3109"/>
    <cellStyle name="Currency 14 2" xfId="3110"/>
    <cellStyle name="Currency 14 3" xfId="3111"/>
    <cellStyle name="Currency 14 4" xfId="23162"/>
    <cellStyle name="Currency 140" xfId="3112"/>
    <cellStyle name="Currency 141" xfId="3113"/>
    <cellStyle name="Currency 142" xfId="3114"/>
    <cellStyle name="Currency 143" xfId="3115"/>
    <cellStyle name="Currency 144" xfId="3116"/>
    <cellStyle name="Currency 145" xfId="3117"/>
    <cellStyle name="Currency 146" xfId="3118"/>
    <cellStyle name="Currency 147" xfId="3119"/>
    <cellStyle name="Currency 148" xfId="3120"/>
    <cellStyle name="Currency 149" xfId="3121"/>
    <cellStyle name="Currency 15" xfId="3122"/>
    <cellStyle name="Currency 15 2" xfId="3123"/>
    <cellStyle name="Currency 15 3" xfId="3124"/>
    <cellStyle name="Currency 15 4" xfId="23163"/>
    <cellStyle name="Currency 15 4 2" xfId="42998"/>
    <cellStyle name="Currency 150" xfId="3125"/>
    <cellStyle name="Currency 151" xfId="3126"/>
    <cellStyle name="Currency 152" xfId="3127"/>
    <cellStyle name="Currency 153" xfId="3128"/>
    <cellStyle name="Currency 154" xfId="3129"/>
    <cellStyle name="Currency 155" xfId="3130"/>
    <cellStyle name="Currency 156" xfId="3131"/>
    <cellStyle name="Currency 157" xfId="3132"/>
    <cellStyle name="Currency 158" xfId="3133"/>
    <cellStyle name="Currency 159" xfId="3134"/>
    <cellStyle name="Currency 159 2" xfId="4895"/>
    <cellStyle name="Currency 159 2 2" xfId="6520"/>
    <cellStyle name="Currency 159 2 2 2" xfId="9606"/>
    <cellStyle name="Currency 159 2 2 2 2" xfId="15799"/>
    <cellStyle name="Currency 159 2 2 2 2 2" xfId="35682"/>
    <cellStyle name="Currency 159 2 2 2 3" xfId="21951"/>
    <cellStyle name="Currency 159 2 2 2 3 2" xfId="41834"/>
    <cellStyle name="Currency 159 2 2 2 4" xfId="29529"/>
    <cellStyle name="Currency 159 2 2 3" xfId="12733"/>
    <cellStyle name="Currency 159 2 2 3 2" xfId="32616"/>
    <cellStyle name="Currency 159 2 2 4" xfId="18885"/>
    <cellStyle name="Currency 159 2 2 4 2" xfId="38768"/>
    <cellStyle name="Currency 159 2 2 5" xfId="26463"/>
    <cellStyle name="Currency 159 2 3" xfId="8071"/>
    <cellStyle name="Currency 159 2 3 2" xfId="14265"/>
    <cellStyle name="Currency 159 2 3 2 2" xfId="34148"/>
    <cellStyle name="Currency 159 2 3 3" xfId="20417"/>
    <cellStyle name="Currency 159 2 3 3 2" xfId="40300"/>
    <cellStyle name="Currency 159 2 3 4" xfId="27995"/>
    <cellStyle name="Currency 159 2 4" xfId="11199"/>
    <cellStyle name="Currency 159 2 4 2" xfId="31082"/>
    <cellStyle name="Currency 159 2 5" xfId="17351"/>
    <cellStyle name="Currency 159 2 5 2" xfId="37234"/>
    <cellStyle name="Currency 159 2 6" xfId="24929"/>
    <cellStyle name="Currency 159 3" xfId="5736"/>
    <cellStyle name="Currency 159 3 2" xfId="8837"/>
    <cellStyle name="Currency 159 3 2 2" xfId="15030"/>
    <cellStyle name="Currency 159 3 2 2 2" xfId="34913"/>
    <cellStyle name="Currency 159 3 2 3" xfId="21182"/>
    <cellStyle name="Currency 159 3 2 3 2" xfId="41065"/>
    <cellStyle name="Currency 159 3 2 4" xfId="28760"/>
    <cellStyle name="Currency 159 3 3" xfId="11964"/>
    <cellStyle name="Currency 159 3 3 2" xfId="31847"/>
    <cellStyle name="Currency 159 3 4" xfId="18116"/>
    <cellStyle name="Currency 159 3 4 2" xfId="37999"/>
    <cellStyle name="Currency 159 3 5" xfId="25694"/>
    <cellStyle name="Currency 159 4" xfId="7302"/>
    <cellStyle name="Currency 159 4 2" xfId="13496"/>
    <cellStyle name="Currency 159 4 2 2" xfId="33379"/>
    <cellStyle name="Currency 159 4 3" xfId="19648"/>
    <cellStyle name="Currency 159 4 3 2" xfId="39531"/>
    <cellStyle name="Currency 159 4 4" xfId="27226"/>
    <cellStyle name="Currency 159 5" xfId="10430"/>
    <cellStyle name="Currency 159 5 2" xfId="30313"/>
    <cellStyle name="Currency 159 6" xfId="16582"/>
    <cellStyle name="Currency 159 6 2" xfId="36465"/>
    <cellStyle name="Currency 159 7" xfId="24160"/>
    <cellStyle name="Currency 16" xfId="3135"/>
    <cellStyle name="Currency 16 2" xfId="3136"/>
    <cellStyle name="Currency 16 3" xfId="3137"/>
    <cellStyle name="Currency 16 4" xfId="23164"/>
    <cellStyle name="Currency 16 4 2" xfId="42999"/>
    <cellStyle name="Currency 160" xfId="1323"/>
    <cellStyle name="Currency 161" xfId="4624"/>
    <cellStyle name="Currency 162" xfId="4731"/>
    <cellStyle name="Currency 162 2" xfId="4736"/>
    <cellStyle name="Currency 162 3" xfId="6363"/>
    <cellStyle name="Currency 162 3 2" xfId="9449"/>
    <cellStyle name="Currency 162 3 2 2" xfId="15642"/>
    <cellStyle name="Currency 162 3 2 2 2" xfId="35525"/>
    <cellStyle name="Currency 162 3 2 3" xfId="21794"/>
    <cellStyle name="Currency 162 3 2 3 2" xfId="41677"/>
    <cellStyle name="Currency 162 3 2 4" xfId="29372"/>
    <cellStyle name="Currency 162 3 3" xfId="12576"/>
    <cellStyle name="Currency 162 3 3 2" xfId="32459"/>
    <cellStyle name="Currency 162 3 4" xfId="18728"/>
    <cellStyle name="Currency 162 3 4 2" xfId="38611"/>
    <cellStyle name="Currency 162 3 5" xfId="26306"/>
    <cellStyle name="Currency 162 4" xfId="7914"/>
    <cellStyle name="Currency 162 4 2" xfId="14108"/>
    <cellStyle name="Currency 162 4 2 2" xfId="33991"/>
    <cellStyle name="Currency 162 4 3" xfId="20260"/>
    <cellStyle name="Currency 162 4 3 2" xfId="40143"/>
    <cellStyle name="Currency 162 4 4" xfId="27838"/>
    <cellStyle name="Currency 162 5" xfId="11042"/>
    <cellStyle name="Currency 162 5 2" xfId="30925"/>
    <cellStyle name="Currency 162 6" xfId="17194"/>
    <cellStyle name="Currency 162 6 2" xfId="37077"/>
    <cellStyle name="Currency 162 7" xfId="24772"/>
    <cellStyle name="Currency 163" xfId="5505"/>
    <cellStyle name="Currency 164" xfId="5573"/>
    <cellStyle name="Currency 165" xfId="5513"/>
    <cellStyle name="Currency 166" xfId="5564"/>
    <cellStyle name="Currency 167" xfId="5524"/>
    <cellStyle name="Currency 168" xfId="5510"/>
    <cellStyle name="Currency 169" xfId="5566"/>
    <cellStyle name="Currency 17" xfId="3138"/>
    <cellStyle name="Currency 17 2" xfId="3139"/>
    <cellStyle name="Currency 17 3" xfId="3140"/>
    <cellStyle name="Currency 170" xfId="5522"/>
    <cellStyle name="Currency 171" xfId="5562"/>
    <cellStyle name="Currency 172" xfId="5553"/>
    <cellStyle name="Currency 173" xfId="5527"/>
    <cellStyle name="Currency 174" xfId="5549"/>
    <cellStyle name="Currency 175" xfId="5534"/>
    <cellStyle name="Currency 176" xfId="5530"/>
    <cellStyle name="Currency 177" xfId="5546"/>
    <cellStyle name="Currency 178" xfId="5533"/>
    <cellStyle name="Currency 179" xfId="4740"/>
    <cellStyle name="Currency 179 2" xfId="6365"/>
    <cellStyle name="Currency 179 2 2" xfId="9451"/>
    <cellStyle name="Currency 179 2 2 2" xfId="15644"/>
    <cellStyle name="Currency 179 2 2 2 2" xfId="35527"/>
    <cellStyle name="Currency 179 2 2 3" xfId="21796"/>
    <cellStyle name="Currency 179 2 2 3 2" xfId="41679"/>
    <cellStyle name="Currency 179 2 2 4" xfId="29374"/>
    <cellStyle name="Currency 179 2 3" xfId="12578"/>
    <cellStyle name="Currency 179 2 3 2" xfId="32461"/>
    <cellStyle name="Currency 179 2 4" xfId="18730"/>
    <cellStyle name="Currency 179 2 4 2" xfId="38613"/>
    <cellStyle name="Currency 179 2 5" xfId="26308"/>
    <cellStyle name="Currency 179 3" xfId="7916"/>
    <cellStyle name="Currency 179 3 2" xfId="14110"/>
    <cellStyle name="Currency 179 3 2 2" xfId="33993"/>
    <cellStyle name="Currency 179 3 3" xfId="20262"/>
    <cellStyle name="Currency 179 3 3 2" xfId="40145"/>
    <cellStyle name="Currency 179 3 4" xfId="27840"/>
    <cellStyle name="Currency 179 4" xfId="11044"/>
    <cellStyle name="Currency 179 4 2" xfId="30927"/>
    <cellStyle name="Currency 179 5" xfId="17196"/>
    <cellStyle name="Currency 179 5 2" xfId="37079"/>
    <cellStyle name="Currency 179 6" xfId="24774"/>
    <cellStyle name="Currency 18" xfId="3141"/>
    <cellStyle name="Currency 18 2" xfId="3142"/>
    <cellStyle name="Currency 18 3" xfId="3143"/>
    <cellStyle name="Currency 180" xfId="7145"/>
    <cellStyle name="Currency 181" xfId="10216"/>
    <cellStyle name="Currency 182" xfId="10220"/>
    <cellStyle name="Currency 183" xfId="10273"/>
    <cellStyle name="Currency 184" xfId="1182"/>
    <cellStyle name="Currency 185" xfId="1190"/>
    <cellStyle name="Currency 186" xfId="22586"/>
    <cellStyle name="Currency 187" xfId="22581"/>
    <cellStyle name="Currency 188" xfId="22589"/>
    <cellStyle name="Currency 189" xfId="207"/>
    <cellStyle name="Currency 19" xfId="3144"/>
    <cellStyle name="Currency 19 2" xfId="3145"/>
    <cellStyle name="Currency 19 3" xfId="3146"/>
    <cellStyle name="Currency 190" xfId="23121"/>
    <cellStyle name="Currency 191" xfId="23123"/>
    <cellStyle name="Currency 192" xfId="23124"/>
    <cellStyle name="Currency 193" xfId="23125"/>
    <cellStyle name="Currency 194" xfId="23122"/>
    <cellStyle name="Currency 195" xfId="23119"/>
    <cellStyle name="Currency 196" xfId="23120"/>
    <cellStyle name="Currency 197" xfId="23126"/>
    <cellStyle name="Currency 198" xfId="23127"/>
    <cellStyle name="Currency 199" xfId="23128"/>
    <cellStyle name="Currency 2" xfId="11"/>
    <cellStyle name="Currency 2 10" xfId="333"/>
    <cellStyle name="Currency 2 10 2" xfId="4646"/>
    <cellStyle name="Currency 2 10 3" xfId="3148"/>
    <cellStyle name="Currency 2 11" xfId="327"/>
    <cellStyle name="Currency 2 11 2" xfId="4647"/>
    <cellStyle name="Currency 2 11 3" xfId="3149"/>
    <cellStyle name="Currency 2 12" xfId="353"/>
    <cellStyle name="Currency 2 12 2" xfId="4648"/>
    <cellStyle name="Currency 2 12 3" xfId="3150"/>
    <cellStyle name="Currency 2 13" xfId="368"/>
    <cellStyle name="Currency 2 13 2" xfId="4649"/>
    <cellStyle name="Currency 2 13 3" xfId="3151"/>
    <cellStyle name="Currency 2 14" xfId="383"/>
    <cellStyle name="Currency 2 14 2" xfId="4650"/>
    <cellStyle name="Currency 2 14 3" xfId="3152"/>
    <cellStyle name="Currency 2 15" xfId="399"/>
    <cellStyle name="Currency 2 15 2" xfId="4651"/>
    <cellStyle name="Currency 2 15 3" xfId="3153"/>
    <cellStyle name="Currency 2 16" xfId="437"/>
    <cellStyle name="Currency 2 16 2" xfId="4652"/>
    <cellStyle name="Currency 2 16 3" xfId="3154"/>
    <cellStyle name="Currency 2 17" xfId="458"/>
    <cellStyle name="Currency 2 17 2" xfId="4653"/>
    <cellStyle name="Currency 2 17 3" xfId="3155"/>
    <cellStyle name="Currency 2 18" xfId="472"/>
    <cellStyle name="Currency 2 18 2" xfId="4654"/>
    <cellStyle name="Currency 2 18 3" xfId="3156"/>
    <cellStyle name="Currency 2 19" xfId="486"/>
    <cellStyle name="Currency 2 19 2" xfId="4655"/>
    <cellStyle name="Currency 2 19 3" xfId="3157"/>
    <cellStyle name="Currency 2 2" xfId="12"/>
    <cellStyle name="Currency 2 2 10" xfId="3159"/>
    <cellStyle name="Currency 2 2 10 2" xfId="4898"/>
    <cellStyle name="Currency 2 2 10 2 2" xfId="6523"/>
    <cellStyle name="Currency 2 2 10 2 2 2" xfId="9609"/>
    <cellStyle name="Currency 2 2 10 2 2 2 2" xfId="15802"/>
    <cellStyle name="Currency 2 2 10 2 2 2 2 2" xfId="35685"/>
    <cellStyle name="Currency 2 2 10 2 2 2 3" xfId="21954"/>
    <cellStyle name="Currency 2 2 10 2 2 2 3 2" xfId="41837"/>
    <cellStyle name="Currency 2 2 10 2 2 2 4" xfId="29532"/>
    <cellStyle name="Currency 2 2 10 2 2 3" xfId="12736"/>
    <cellStyle name="Currency 2 2 10 2 2 3 2" xfId="32619"/>
    <cellStyle name="Currency 2 2 10 2 2 4" xfId="18888"/>
    <cellStyle name="Currency 2 2 10 2 2 4 2" xfId="38771"/>
    <cellStyle name="Currency 2 2 10 2 2 5" xfId="26466"/>
    <cellStyle name="Currency 2 2 10 2 3" xfId="8074"/>
    <cellStyle name="Currency 2 2 10 2 3 2" xfId="14268"/>
    <cellStyle name="Currency 2 2 10 2 3 2 2" xfId="34151"/>
    <cellStyle name="Currency 2 2 10 2 3 3" xfId="20420"/>
    <cellStyle name="Currency 2 2 10 2 3 3 2" xfId="40303"/>
    <cellStyle name="Currency 2 2 10 2 3 4" xfId="27998"/>
    <cellStyle name="Currency 2 2 10 2 4" xfId="11202"/>
    <cellStyle name="Currency 2 2 10 2 4 2" xfId="31085"/>
    <cellStyle name="Currency 2 2 10 2 5" xfId="17354"/>
    <cellStyle name="Currency 2 2 10 2 5 2" xfId="37237"/>
    <cellStyle name="Currency 2 2 10 2 6" xfId="24932"/>
    <cellStyle name="Currency 2 2 10 3" xfId="5739"/>
    <cellStyle name="Currency 2 2 10 3 2" xfId="8840"/>
    <cellStyle name="Currency 2 2 10 3 2 2" xfId="15033"/>
    <cellStyle name="Currency 2 2 10 3 2 2 2" xfId="34916"/>
    <cellStyle name="Currency 2 2 10 3 2 3" xfId="21185"/>
    <cellStyle name="Currency 2 2 10 3 2 3 2" xfId="41068"/>
    <cellStyle name="Currency 2 2 10 3 2 4" xfId="28763"/>
    <cellStyle name="Currency 2 2 10 3 3" xfId="11967"/>
    <cellStyle name="Currency 2 2 10 3 3 2" xfId="31850"/>
    <cellStyle name="Currency 2 2 10 3 4" xfId="18119"/>
    <cellStyle name="Currency 2 2 10 3 4 2" xfId="38002"/>
    <cellStyle name="Currency 2 2 10 3 5" xfId="25697"/>
    <cellStyle name="Currency 2 2 10 4" xfId="7305"/>
    <cellStyle name="Currency 2 2 10 4 2" xfId="13499"/>
    <cellStyle name="Currency 2 2 10 4 2 2" xfId="33382"/>
    <cellStyle name="Currency 2 2 10 4 3" xfId="19651"/>
    <cellStyle name="Currency 2 2 10 4 3 2" xfId="39534"/>
    <cellStyle name="Currency 2 2 10 4 4" xfId="27229"/>
    <cellStyle name="Currency 2 2 10 5" xfId="10433"/>
    <cellStyle name="Currency 2 2 10 5 2" xfId="30316"/>
    <cellStyle name="Currency 2 2 10 6" xfId="16585"/>
    <cellStyle name="Currency 2 2 10 6 2" xfId="36468"/>
    <cellStyle name="Currency 2 2 10 7" xfId="24163"/>
    <cellStyle name="Currency 2 2 11" xfId="3160"/>
    <cellStyle name="Currency 2 2 11 2" xfId="4899"/>
    <cellStyle name="Currency 2 2 11 2 2" xfId="6524"/>
    <cellStyle name="Currency 2 2 11 2 2 2" xfId="9610"/>
    <cellStyle name="Currency 2 2 11 2 2 2 2" xfId="15803"/>
    <cellStyle name="Currency 2 2 11 2 2 2 2 2" xfId="35686"/>
    <cellStyle name="Currency 2 2 11 2 2 2 3" xfId="21955"/>
    <cellStyle name="Currency 2 2 11 2 2 2 3 2" xfId="41838"/>
    <cellStyle name="Currency 2 2 11 2 2 2 4" xfId="29533"/>
    <cellStyle name="Currency 2 2 11 2 2 3" xfId="12737"/>
    <cellStyle name="Currency 2 2 11 2 2 3 2" xfId="32620"/>
    <cellStyle name="Currency 2 2 11 2 2 4" xfId="18889"/>
    <cellStyle name="Currency 2 2 11 2 2 4 2" xfId="38772"/>
    <cellStyle name="Currency 2 2 11 2 2 5" xfId="26467"/>
    <cellStyle name="Currency 2 2 11 2 3" xfId="8075"/>
    <cellStyle name="Currency 2 2 11 2 3 2" xfId="14269"/>
    <cellStyle name="Currency 2 2 11 2 3 2 2" xfId="34152"/>
    <cellStyle name="Currency 2 2 11 2 3 3" xfId="20421"/>
    <cellStyle name="Currency 2 2 11 2 3 3 2" xfId="40304"/>
    <cellStyle name="Currency 2 2 11 2 3 4" xfId="27999"/>
    <cellStyle name="Currency 2 2 11 2 4" xfId="11203"/>
    <cellStyle name="Currency 2 2 11 2 4 2" xfId="31086"/>
    <cellStyle name="Currency 2 2 11 2 5" xfId="17355"/>
    <cellStyle name="Currency 2 2 11 2 5 2" xfId="37238"/>
    <cellStyle name="Currency 2 2 11 2 6" xfId="24933"/>
    <cellStyle name="Currency 2 2 11 3" xfId="5740"/>
    <cellStyle name="Currency 2 2 11 3 2" xfId="8841"/>
    <cellStyle name="Currency 2 2 11 3 2 2" xfId="15034"/>
    <cellStyle name="Currency 2 2 11 3 2 2 2" xfId="34917"/>
    <cellStyle name="Currency 2 2 11 3 2 3" xfId="21186"/>
    <cellStyle name="Currency 2 2 11 3 2 3 2" xfId="41069"/>
    <cellStyle name="Currency 2 2 11 3 2 4" xfId="28764"/>
    <cellStyle name="Currency 2 2 11 3 3" xfId="11968"/>
    <cellStyle name="Currency 2 2 11 3 3 2" xfId="31851"/>
    <cellStyle name="Currency 2 2 11 3 4" xfId="18120"/>
    <cellStyle name="Currency 2 2 11 3 4 2" xfId="38003"/>
    <cellStyle name="Currency 2 2 11 3 5" xfId="25698"/>
    <cellStyle name="Currency 2 2 11 4" xfId="7306"/>
    <cellStyle name="Currency 2 2 11 4 2" xfId="13500"/>
    <cellStyle name="Currency 2 2 11 4 2 2" xfId="33383"/>
    <cellStyle name="Currency 2 2 11 4 3" xfId="19652"/>
    <cellStyle name="Currency 2 2 11 4 3 2" xfId="39535"/>
    <cellStyle name="Currency 2 2 11 4 4" xfId="27230"/>
    <cellStyle name="Currency 2 2 11 5" xfId="10434"/>
    <cellStyle name="Currency 2 2 11 5 2" xfId="30317"/>
    <cellStyle name="Currency 2 2 11 6" xfId="16586"/>
    <cellStyle name="Currency 2 2 11 6 2" xfId="36469"/>
    <cellStyle name="Currency 2 2 11 7" xfId="24164"/>
    <cellStyle name="Currency 2 2 12" xfId="3161"/>
    <cellStyle name="Currency 2 2 12 2" xfId="4900"/>
    <cellStyle name="Currency 2 2 12 2 2" xfId="6525"/>
    <cellStyle name="Currency 2 2 12 2 2 2" xfId="9611"/>
    <cellStyle name="Currency 2 2 12 2 2 2 2" xfId="15804"/>
    <cellStyle name="Currency 2 2 12 2 2 2 2 2" xfId="35687"/>
    <cellStyle name="Currency 2 2 12 2 2 2 3" xfId="21956"/>
    <cellStyle name="Currency 2 2 12 2 2 2 3 2" xfId="41839"/>
    <cellStyle name="Currency 2 2 12 2 2 2 4" xfId="29534"/>
    <cellStyle name="Currency 2 2 12 2 2 3" xfId="12738"/>
    <cellStyle name="Currency 2 2 12 2 2 3 2" xfId="32621"/>
    <cellStyle name="Currency 2 2 12 2 2 4" xfId="18890"/>
    <cellStyle name="Currency 2 2 12 2 2 4 2" xfId="38773"/>
    <cellStyle name="Currency 2 2 12 2 2 5" xfId="26468"/>
    <cellStyle name="Currency 2 2 12 2 3" xfId="8076"/>
    <cellStyle name="Currency 2 2 12 2 3 2" xfId="14270"/>
    <cellStyle name="Currency 2 2 12 2 3 2 2" xfId="34153"/>
    <cellStyle name="Currency 2 2 12 2 3 3" xfId="20422"/>
    <cellStyle name="Currency 2 2 12 2 3 3 2" xfId="40305"/>
    <cellStyle name="Currency 2 2 12 2 3 4" xfId="28000"/>
    <cellStyle name="Currency 2 2 12 2 4" xfId="11204"/>
    <cellStyle name="Currency 2 2 12 2 4 2" xfId="31087"/>
    <cellStyle name="Currency 2 2 12 2 5" xfId="17356"/>
    <cellStyle name="Currency 2 2 12 2 5 2" xfId="37239"/>
    <cellStyle name="Currency 2 2 12 2 6" xfId="24934"/>
    <cellStyle name="Currency 2 2 12 3" xfId="5741"/>
    <cellStyle name="Currency 2 2 12 3 2" xfId="8842"/>
    <cellStyle name="Currency 2 2 12 3 2 2" xfId="15035"/>
    <cellStyle name="Currency 2 2 12 3 2 2 2" xfId="34918"/>
    <cellStyle name="Currency 2 2 12 3 2 3" xfId="21187"/>
    <cellStyle name="Currency 2 2 12 3 2 3 2" xfId="41070"/>
    <cellStyle name="Currency 2 2 12 3 2 4" xfId="28765"/>
    <cellStyle name="Currency 2 2 12 3 3" xfId="11969"/>
    <cellStyle name="Currency 2 2 12 3 3 2" xfId="31852"/>
    <cellStyle name="Currency 2 2 12 3 4" xfId="18121"/>
    <cellStyle name="Currency 2 2 12 3 4 2" xfId="38004"/>
    <cellStyle name="Currency 2 2 12 3 5" xfId="25699"/>
    <cellStyle name="Currency 2 2 12 4" xfId="7307"/>
    <cellStyle name="Currency 2 2 12 4 2" xfId="13501"/>
    <cellStyle name="Currency 2 2 12 4 2 2" xfId="33384"/>
    <cellStyle name="Currency 2 2 12 4 3" xfId="19653"/>
    <cellStyle name="Currency 2 2 12 4 3 2" xfId="39536"/>
    <cellStyle name="Currency 2 2 12 4 4" xfId="27231"/>
    <cellStyle name="Currency 2 2 12 5" xfId="10435"/>
    <cellStyle name="Currency 2 2 12 5 2" xfId="30318"/>
    <cellStyle name="Currency 2 2 12 6" xfId="16587"/>
    <cellStyle name="Currency 2 2 12 6 2" xfId="36470"/>
    <cellStyle name="Currency 2 2 12 7" xfId="24165"/>
    <cellStyle name="Currency 2 2 13" xfId="3162"/>
    <cellStyle name="Currency 2 2 13 2" xfId="4901"/>
    <cellStyle name="Currency 2 2 13 2 2" xfId="6526"/>
    <cellStyle name="Currency 2 2 13 2 2 2" xfId="9612"/>
    <cellStyle name="Currency 2 2 13 2 2 2 2" xfId="15805"/>
    <cellStyle name="Currency 2 2 13 2 2 2 2 2" xfId="35688"/>
    <cellStyle name="Currency 2 2 13 2 2 2 3" xfId="21957"/>
    <cellStyle name="Currency 2 2 13 2 2 2 3 2" xfId="41840"/>
    <cellStyle name="Currency 2 2 13 2 2 2 4" xfId="29535"/>
    <cellStyle name="Currency 2 2 13 2 2 3" xfId="12739"/>
    <cellStyle name="Currency 2 2 13 2 2 3 2" xfId="32622"/>
    <cellStyle name="Currency 2 2 13 2 2 4" xfId="18891"/>
    <cellStyle name="Currency 2 2 13 2 2 4 2" xfId="38774"/>
    <cellStyle name="Currency 2 2 13 2 2 5" xfId="26469"/>
    <cellStyle name="Currency 2 2 13 2 3" xfId="8077"/>
    <cellStyle name="Currency 2 2 13 2 3 2" xfId="14271"/>
    <cellStyle name="Currency 2 2 13 2 3 2 2" xfId="34154"/>
    <cellStyle name="Currency 2 2 13 2 3 3" xfId="20423"/>
    <cellStyle name="Currency 2 2 13 2 3 3 2" xfId="40306"/>
    <cellStyle name="Currency 2 2 13 2 3 4" xfId="28001"/>
    <cellStyle name="Currency 2 2 13 2 4" xfId="11205"/>
    <cellStyle name="Currency 2 2 13 2 4 2" xfId="31088"/>
    <cellStyle name="Currency 2 2 13 2 5" xfId="17357"/>
    <cellStyle name="Currency 2 2 13 2 5 2" xfId="37240"/>
    <cellStyle name="Currency 2 2 13 2 6" xfId="24935"/>
    <cellStyle name="Currency 2 2 13 3" xfId="5742"/>
    <cellStyle name="Currency 2 2 13 3 2" xfId="8843"/>
    <cellStyle name="Currency 2 2 13 3 2 2" xfId="15036"/>
    <cellStyle name="Currency 2 2 13 3 2 2 2" xfId="34919"/>
    <cellStyle name="Currency 2 2 13 3 2 3" xfId="21188"/>
    <cellStyle name="Currency 2 2 13 3 2 3 2" xfId="41071"/>
    <cellStyle name="Currency 2 2 13 3 2 4" xfId="28766"/>
    <cellStyle name="Currency 2 2 13 3 3" xfId="11970"/>
    <cellStyle name="Currency 2 2 13 3 3 2" xfId="31853"/>
    <cellStyle name="Currency 2 2 13 3 4" xfId="18122"/>
    <cellStyle name="Currency 2 2 13 3 4 2" xfId="38005"/>
    <cellStyle name="Currency 2 2 13 3 5" xfId="25700"/>
    <cellStyle name="Currency 2 2 13 4" xfId="7308"/>
    <cellStyle name="Currency 2 2 13 4 2" xfId="13502"/>
    <cellStyle name="Currency 2 2 13 4 2 2" xfId="33385"/>
    <cellStyle name="Currency 2 2 13 4 3" xfId="19654"/>
    <cellStyle name="Currency 2 2 13 4 3 2" xfId="39537"/>
    <cellStyle name="Currency 2 2 13 4 4" xfId="27232"/>
    <cellStyle name="Currency 2 2 13 5" xfId="10436"/>
    <cellStyle name="Currency 2 2 13 5 2" xfId="30319"/>
    <cellStyle name="Currency 2 2 13 6" xfId="16588"/>
    <cellStyle name="Currency 2 2 13 6 2" xfId="36471"/>
    <cellStyle name="Currency 2 2 13 7" xfId="24166"/>
    <cellStyle name="Currency 2 2 14" xfId="3163"/>
    <cellStyle name="Currency 2 2 14 2" xfId="4902"/>
    <cellStyle name="Currency 2 2 14 2 2" xfId="6527"/>
    <cellStyle name="Currency 2 2 14 2 2 2" xfId="9613"/>
    <cellStyle name="Currency 2 2 14 2 2 2 2" xfId="15806"/>
    <cellStyle name="Currency 2 2 14 2 2 2 2 2" xfId="35689"/>
    <cellStyle name="Currency 2 2 14 2 2 2 3" xfId="21958"/>
    <cellStyle name="Currency 2 2 14 2 2 2 3 2" xfId="41841"/>
    <cellStyle name="Currency 2 2 14 2 2 2 4" xfId="29536"/>
    <cellStyle name="Currency 2 2 14 2 2 3" xfId="12740"/>
    <cellStyle name="Currency 2 2 14 2 2 3 2" xfId="32623"/>
    <cellStyle name="Currency 2 2 14 2 2 4" xfId="18892"/>
    <cellStyle name="Currency 2 2 14 2 2 4 2" xfId="38775"/>
    <cellStyle name="Currency 2 2 14 2 2 5" xfId="26470"/>
    <cellStyle name="Currency 2 2 14 2 3" xfId="8078"/>
    <cellStyle name="Currency 2 2 14 2 3 2" xfId="14272"/>
    <cellStyle name="Currency 2 2 14 2 3 2 2" xfId="34155"/>
    <cellStyle name="Currency 2 2 14 2 3 3" xfId="20424"/>
    <cellStyle name="Currency 2 2 14 2 3 3 2" xfId="40307"/>
    <cellStyle name="Currency 2 2 14 2 3 4" xfId="28002"/>
    <cellStyle name="Currency 2 2 14 2 4" xfId="11206"/>
    <cellStyle name="Currency 2 2 14 2 4 2" xfId="31089"/>
    <cellStyle name="Currency 2 2 14 2 5" xfId="17358"/>
    <cellStyle name="Currency 2 2 14 2 5 2" xfId="37241"/>
    <cellStyle name="Currency 2 2 14 2 6" xfId="24936"/>
    <cellStyle name="Currency 2 2 14 3" xfId="5743"/>
    <cellStyle name="Currency 2 2 14 3 2" xfId="8844"/>
    <cellStyle name="Currency 2 2 14 3 2 2" xfId="15037"/>
    <cellStyle name="Currency 2 2 14 3 2 2 2" xfId="34920"/>
    <cellStyle name="Currency 2 2 14 3 2 3" xfId="21189"/>
    <cellStyle name="Currency 2 2 14 3 2 3 2" xfId="41072"/>
    <cellStyle name="Currency 2 2 14 3 2 4" xfId="28767"/>
    <cellStyle name="Currency 2 2 14 3 3" xfId="11971"/>
    <cellStyle name="Currency 2 2 14 3 3 2" xfId="31854"/>
    <cellStyle name="Currency 2 2 14 3 4" xfId="18123"/>
    <cellStyle name="Currency 2 2 14 3 4 2" xfId="38006"/>
    <cellStyle name="Currency 2 2 14 3 5" xfId="25701"/>
    <cellStyle name="Currency 2 2 14 4" xfId="7309"/>
    <cellStyle name="Currency 2 2 14 4 2" xfId="13503"/>
    <cellStyle name="Currency 2 2 14 4 2 2" xfId="33386"/>
    <cellStyle name="Currency 2 2 14 4 3" xfId="19655"/>
    <cellStyle name="Currency 2 2 14 4 3 2" xfId="39538"/>
    <cellStyle name="Currency 2 2 14 4 4" xfId="27233"/>
    <cellStyle name="Currency 2 2 14 5" xfId="10437"/>
    <cellStyle name="Currency 2 2 14 5 2" xfId="30320"/>
    <cellStyle name="Currency 2 2 14 6" xfId="16589"/>
    <cellStyle name="Currency 2 2 14 6 2" xfId="36472"/>
    <cellStyle name="Currency 2 2 14 7" xfId="24167"/>
    <cellStyle name="Currency 2 2 15" xfId="3164"/>
    <cellStyle name="Currency 2 2 15 2" xfId="4903"/>
    <cellStyle name="Currency 2 2 15 2 2" xfId="6528"/>
    <cellStyle name="Currency 2 2 15 2 2 2" xfId="9614"/>
    <cellStyle name="Currency 2 2 15 2 2 2 2" xfId="15807"/>
    <cellStyle name="Currency 2 2 15 2 2 2 2 2" xfId="35690"/>
    <cellStyle name="Currency 2 2 15 2 2 2 3" xfId="21959"/>
    <cellStyle name="Currency 2 2 15 2 2 2 3 2" xfId="41842"/>
    <cellStyle name="Currency 2 2 15 2 2 2 4" xfId="29537"/>
    <cellStyle name="Currency 2 2 15 2 2 3" xfId="12741"/>
    <cellStyle name="Currency 2 2 15 2 2 3 2" xfId="32624"/>
    <cellStyle name="Currency 2 2 15 2 2 4" xfId="18893"/>
    <cellStyle name="Currency 2 2 15 2 2 4 2" xfId="38776"/>
    <cellStyle name="Currency 2 2 15 2 2 5" xfId="26471"/>
    <cellStyle name="Currency 2 2 15 2 3" xfId="8079"/>
    <cellStyle name="Currency 2 2 15 2 3 2" xfId="14273"/>
    <cellStyle name="Currency 2 2 15 2 3 2 2" xfId="34156"/>
    <cellStyle name="Currency 2 2 15 2 3 3" xfId="20425"/>
    <cellStyle name="Currency 2 2 15 2 3 3 2" xfId="40308"/>
    <cellStyle name="Currency 2 2 15 2 3 4" xfId="28003"/>
    <cellStyle name="Currency 2 2 15 2 4" xfId="11207"/>
    <cellStyle name="Currency 2 2 15 2 4 2" xfId="31090"/>
    <cellStyle name="Currency 2 2 15 2 5" xfId="17359"/>
    <cellStyle name="Currency 2 2 15 2 5 2" xfId="37242"/>
    <cellStyle name="Currency 2 2 15 2 6" xfId="24937"/>
    <cellStyle name="Currency 2 2 15 3" xfId="5744"/>
    <cellStyle name="Currency 2 2 15 3 2" xfId="8845"/>
    <cellStyle name="Currency 2 2 15 3 2 2" xfId="15038"/>
    <cellStyle name="Currency 2 2 15 3 2 2 2" xfId="34921"/>
    <cellStyle name="Currency 2 2 15 3 2 3" xfId="21190"/>
    <cellStyle name="Currency 2 2 15 3 2 3 2" xfId="41073"/>
    <cellStyle name="Currency 2 2 15 3 2 4" xfId="28768"/>
    <cellStyle name="Currency 2 2 15 3 3" xfId="11972"/>
    <cellStyle name="Currency 2 2 15 3 3 2" xfId="31855"/>
    <cellStyle name="Currency 2 2 15 3 4" xfId="18124"/>
    <cellStyle name="Currency 2 2 15 3 4 2" xfId="38007"/>
    <cellStyle name="Currency 2 2 15 3 5" xfId="25702"/>
    <cellStyle name="Currency 2 2 15 4" xfId="7310"/>
    <cellStyle name="Currency 2 2 15 4 2" xfId="13504"/>
    <cellStyle name="Currency 2 2 15 4 2 2" xfId="33387"/>
    <cellStyle name="Currency 2 2 15 4 3" xfId="19656"/>
    <cellStyle name="Currency 2 2 15 4 3 2" xfId="39539"/>
    <cellStyle name="Currency 2 2 15 4 4" xfId="27234"/>
    <cellStyle name="Currency 2 2 15 5" xfId="10438"/>
    <cellStyle name="Currency 2 2 15 5 2" xfId="30321"/>
    <cellStyle name="Currency 2 2 15 6" xfId="16590"/>
    <cellStyle name="Currency 2 2 15 6 2" xfId="36473"/>
    <cellStyle name="Currency 2 2 15 7" xfId="24168"/>
    <cellStyle name="Currency 2 2 16" xfId="3165"/>
    <cellStyle name="Currency 2 2 16 2" xfId="4904"/>
    <cellStyle name="Currency 2 2 16 2 2" xfId="6529"/>
    <cellStyle name="Currency 2 2 16 2 2 2" xfId="9615"/>
    <cellStyle name="Currency 2 2 16 2 2 2 2" xfId="15808"/>
    <cellStyle name="Currency 2 2 16 2 2 2 2 2" xfId="35691"/>
    <cellStyle name="Currency 2 2 16 2 2 2 3" xfId="21960"/>
    <cellStyle name="Currency 2 2 16 2 2 2 3 2" xfId="41843"/>
    <cellStyle name="Currency 2 2 16 2 2 2 4" xfId="29538"/>
    <cellStyle name="Currency 2 2 16 2 2 3" xfId="12742"/>
    <cellStyle name="Currency 2 2 16 2 2 3 2" xfId="32625"/>
    <cellStyle name="Currency 2 2 16 2 2 4" xfId="18894"/>
    <cellStyle name="Currency 2 2 16 2 2 4 2" xfId="38777"/>
    <cellStyle name="Currency 2 2 16 2 2 5" xfId="26472"/>
    <cellStyle name="Currency 2 2 16 2 3" xfId="8080"/>
    <cellStyle name="Currency 2 2 16 2 3 2" xfId="14274"/>
    <cellStyle name="Currency 2 2 16 2 3 2 2" xfId="34157"/>
    <cellStyle name="Currency 2 2 16 2 3 3" xfId="20426"/>
    <cellStyle name="Currency 2 2 16 2 3 3 2" xfId="40309"/>
    <cellStyle name="Currency 2 2 16 2 3 4" xfId="28004"/>
    <cellStyle name="Currency 2 2 16 2 4" xfId="11208"/>
    <cellStyle name="Currency 2 2 16 2 4 2" xfId="31091"/>
    <cellStyle name="Currency 2 2 16 2 5" xfId="17360"/>
    <cellStyle name="Currency 2 2 16 2 5 2" xfId="37243"/>
    <cellStyle name="Currency 2 2 16 2 6" xfId="24938"/>
    <cellStyle name="Currency 2 2 16 3" xfId="5745"/>
    <cellStyle name="Currency 2 2 16 3 2" xfId="8846"/>
    <cellStyle name="Currency 2 2 16 3 2 2" xfId="15039"/>
    <cellStyle name="Currency 2 2 16 3 2 2 2" xfId="34922"/>
    <cellStyle name="Currency 2 2 16 3 2 3" xfId="21191"/>
    <cellStyle name="Currency 2 2 16 3 2 3 2" xfId="41074"/>
    <cellStyle name="Currency 2 2 16 3 2 4" xfId="28769"/>
    <cellStyle name="Currency 2 2 16 3 3" xfId="11973"/>
    <cellStyle name="Currency 2 2 16 3 3 2" xfId="31856"/>
    <cellStyle name="Currency 2 2 16 3 4" xfId="18125"/>
    <cellStyle name="Currency 2 2 16 3 4 2" xfId="38008"/>
    <cellStyle name="Currency 2 2 16 3 5" xfId="25703"/>
    <cellStyle name="Currency 2 2 16 4" xfId="7311"/>
    <cellStyle name="Currency 2 2 16 4 2" xfId="13505"/>
    <cellStyle name="Currency 2 2 16 4 2 2" xfId="33388"/>
    <cellStyle name="Currency 2 2 16 4 3" xfId="19657"/>
    <cellStyle name="Currency 2 2 16 4 3 2" xfId="39540"/>
    <cellStyle name="Currency 2 2 16 4 4" xfId="27235"/>
    <cellStyle name="Currency 2 2 16 5" xfId="10439"/>
    <cellStyle name="Currency 2 2 16 5 2" xfId="30322"/>
    <cellStyle name="Currency 2 2 16 6" xfId="16591"/>
    <cellStyle name="Currency 2 2 16 6 2" xfId="36474"/>
    <cellStyle name="Currency 2 2 16 7" xfId="24169"/>
    <cellStyle name="Currency 2 2 17" xfId="3166"/>
    <cellStyle name="Currency 2 2 17 2" xfId="4905"/>
    <cellStyle name="Currency 2 2 17 2 2" xfId="6530"/>
    <cellStyle name="Currency 2 2 17 2 2 2" xfId="9616"/>
    <cellStyle name="Currency 2 2 17 2 2 2 2" xfId="15809"/>
    <cellStyle name="Currency 2 2 17 2 2 2 2 2" xfId="35692"/>
    <cellStyle name="Currency 2 2 17 2 2 2 3" xfId="21961"/>
    <cellStyle name="Currency 2 2 17 2 2 2 3 2" xfId="41844"/>
    <cellStyle name="Currency 2 2 17 2 2 2 4" xfId="29539"/>
    <cellStyle name="Currency 2 2 17 2 2 3" xfId="12743"/>
    <cellStyle name="Currency 2 2 17 2 2 3 2" xfId="32626"/>
    <cellStyle name="Currency 2 2 17 2 2 4" xfId="18895"/>
    <cellStyle name="Currency 2 2 17 2 2 4 2" xfId="38778"/>
    <cellStyle name="Currency 2 2 17 2 2 5" xfId="26473"/>
    <cellStyle name="Currency 2 2 17 2 3" xfId="8081"/>
    <cellStyle name="Currency 2 2 17 2 3 2" xfId="14275"/>
    <cellStyle name="Currency 2 2 17 2 3 2 2" xfId="34158"/>
    <cellStyle name="Currency 2 2 17 2 3 3" xfId="20427"/>
    <cellStyle name="Currency 2 2 17 2 3 3 2" xfId="40310"/>
    <cellStyle name="Currency 2 2 17 2 3 4" xfId="28005"/>
    <cellStyle name="Currency 2 2 17 2 4" xfId="11209"/>
    <cellStyle name="Currency 2 2 17 2 4 2" xfId="31092"/>
    <cellStyle name="Currency 2 2 17 2 5" xfId="17361"/>
    <cellStyle name="Currency 2 2 17 2 5 2" xfId="37244"/>
    <cellStyle name="Currency 2 2 17 2 6" xfId="24939"/>
    <cellStyle name="Currency 2 2 17 3" xfId="5746"/>
    <cellStyle name="Currency 2 2 17 3 2" xfId="8847"/>
    <cellStyle name="Currency 2 2 17 3 2 2" xfId="15040"/>
    <cellStyle name="Currency 2 2 17 3 2 2 2" xfId="34923"/>
    <cellStyle name="Currency 2 2 17 3 2 3" xfId="21192"/>
    <cellStyle name="Currency 2 2 17 3 2 3 2" xfId="41075"/>
    <cellStyle name="Currency 2 2 17 3 2 4" xfId="28770"/>
    <cellStyle name="Currency 2 2 17 3 3" xfId="11974"/>
    <cellStyle name="Currency 2 2 17 3 3 2" xfId="31857"/>
    <cellStyle name="Currency 2 2 17 3 4" xfId="18126"/>
    <cellStyle name="Currency 2 2 17 3 4 2" xfId="38009"/>
    <cellStyle name="Currency 2 2 17 3 5" xfId="25704"/>
    <cellStyle name="Currency 2 2 17 4" xfId="7312"/>
    <cellStyle name="Currency 2 2 17 4 2" xfId="13506"/>
    <cellStyle name="Currency 2 2 17 4 2 2" xfId="33389"/>
    <cellStyle name="Currency 2 2 17 4 3" xfId="19658"/>
    <cellStyle name="Currency 2 2 17 4 3 2" xfId="39541"/>
    <cellStyle name="Currency 2 2 17 4 4" xfId="27236"/>
    <cellStyle name="Currency 2 2 17 5" xfId="10440"/>
    <cellStyle name="Currency 2 2 17 5 2" xfId="30323"/>
    <cellStyle name="Currency 2 2 17 6" xfId="16592"/>
    <cellStyle name="Currency 2 2 17 6 2" xfId="36475"/>
    <cellStyle name="Currency 2 2 17 7" xfId="24170"/>
    <cellStyle name="Currency 2 2 18" xfId="3167"/>
    <cellStyle name="Currency 2 2 18 2" xfId="4906"/>
    <cellStyle name="Currency 2 2 18 2 2" xfId="6531"/>
    <cellStyle name="Currency 2 2 18 2 2 2" xfId="9617"/>
    <cellStyle name="Currency 2 2 18 2 2 2 2" xfId="15810"/>
    <cellStyle name="Currency 2 2 18 2 2 2 2 2" xfId="35693"/>
    <cellStyle name="Currency 2 2 18 2 2 2 3" xfId="21962"/>
    <cellStyle name="Currency 2 2 18 2 2 2 3 2" xfId="41845"/>
    <cellStyle name="Currency 2 2 18 2 2 2 4" xfId="29540"/>
    <cellStyle name="Currency 2 2 18 2 2 3" xfId="12744"/>
    <cellStyle name="Currency 2 2 18 2 2 3 2" xfId="32627"/>
    <cellStyle name="Currency 2 2 18 2 2 4" xfId="18896"/>
    <cellStyle name="Currency 2 2 18 2 2 4 2" xfId="38779"/>
    <cellStyle name="Currency 2 2 18 2 2 5" xfId="26474"/>
    <cellStyle name="Currency 2 2 18 2 3" xfId="8082"/>
    <cellStyle name="Currency 2 2 18 2 3 2" xfId="14276"/>
    <cellStyle name="Currency 2 2 18 2 3 2 2" xfId="34159"/>
    <cellStyle name="Currency 2 2 18 2 3 3" xfId="20428"/>
    <cellStyle name="Currency 2 2 18 2 3 3 2" xfId="40311"/>
    <cellStyle name="Currency 2 2 18 2 3 4" xfId="28006"/>
    <cellStyle name="Currency 2 2 18 2 4" xfId="11210"/>
    <cellStyle name="Currency 2 2 18 2 4 2" xfId="31093"/>
    <cellStyle name="Currency 2 2 18 2 5" xfId="17362"/>
    <cellStyle name="Currency 2 2 18 2 5 2" xfId="37245"/>
    <cellStyle name="Currency 2 2 18 2 6" xfId="24940"/>
    <cellStyle name="Currency 2 2 18 3" xfId="5747"/>
    <cellStyle name="Currency 2 2 18 3 2" xfId="8848"/>
    <cellStyle name="Currency 2 2 18 3 2 2" xfId="15041"/>
    <cellStyle name="Currency 2 2 18 3 2 2 2" xfId="34924"/>
    <cellStyle name="Currency 2 2 18 3 2 3" xfId="21193"/>
    <cellStyle name="Currency 2 2 18 3 2 3 2" xfId="41076"/>
    <cellStyle name="Currency 2 2 18 3 2 4" xfId="28771"/>
    <cellStyle name="Currency 2 2 18 3 3" xfId="11975"/>
    <cellStyle name="Currency 2 2 18 3 3 2" xfId="31858"/>
    <cellStyle name="Currency 2 2 18 3 4" xfId="18127"/>
    <cellStyle name="Currency 2 2 18 3 4 2" xfId="38010"/>
    <cellStyle name="Currency 2 2 18 3 5" xfId="25705"/>
    <cellStyle name="Currency 2 2 18 4" xfId="7313"/>
    <cellStyle name="Currency 2 2 18 4 2" xfId="13507"/>
    <cellStyle name="Currency 2 2 18 4 2 2" xfId="33390"/>
    <cellStyle name="Currency 2 2 18 4 3" xfId="19659"/>
    <cellStyle name="Currency 2 2 18 4 3 2" xfId="39542"/>
    <cellStyle name="Currency 2 2 18 4 4" xfId="27237"/>
    <cellStyle name="Currency 2 2 18 5" xfId="10441"/>
    <cellStyle name="Currency 2 2 18 5 2" xfId="30324"/>
    <cellStyle name="Currency 2 2 18 6" xfId="16593"/>
    <cellStyle name="Currency 2 2 18 6 2" xfId="36476"/>
    <cellStyle name="Currency 2 2 18 7" xfId="24171"/>
    <cellStyle name="Currency 2 2 19" xfId="3168"/>
    <cellStyle name="Currency 2 2 2" xfId="3169"/>
    <cellStyle name="Currency 2 2 2 2" xfId="3170"/>
    <cellStyle name="Currency 2 2 2 2 2" xfId="4907"/>
    <cellStyle name="Currency 2 2 2 2 2 2" xfId="6532"/>
    <cellStyle name="Currency 2 2 2 2 2 2 2" xfId="9618"/>
    <cellStyle name="Currency 2 2 2 2 2 2 2 2" xfId="15811"/>
    <cellStyle name="Currency 2 2 2 2 2 2 2 2 2" xfId="35694"/>
    <cellStyle name="Currency 2 2 2 2 2 2 2 3" xfId="21963"/>
    <cellStyle name="Currency 2 2 2 2 2 2 2 3 2" xfId="41846"/>
    <cellStyle name="Currency 2 2 2 2 2 2 2 4" xfId="29541"/>
    <cellStyle name="Currency 2 2 2 2 2 2 3" xfId="12745"/>
    <cellStyle name="Currency 2 2 2 2 2 2 3 2" xfId="32628"/>
    <cellStyle name="Currency 2 2 2 2 2 2 4" xfId="18897"/>
    <cellStyle name="Currency 2 2 2 2 2 2 4 2" xfId="38780"/>
    <cellStyle name="Currency 2 2 2 2 2 2 5" xfId="26475"/>
    <cellStyle name="Currency 2 2 2 2 2 3" xfId="8083"/>
    <cellStyle name="Currency 2 2 2 2 2 3 2" xfId="14277"/>
    <cellStyle name="Currency 2 2 2 2 2 3 2 2" xfId="34160"/>
    <cellStyle name="Currency 2 2 2 2 2 3 3" xfId="20429"/>
    <cellStyle name="Currency 2 2 2 2 2 3 3 2" xfId="40312"/>
    <cellStyle name="Currency 2 2 2 2 2 3 4" xfId="28007"/>
    <cellStyle name="Currency 2 2 2 2 2 4" xfId="11211"/>
    <cellStyle name="Currency 2 2 2 2 2 4 2" xfId="31094"/>
    <cellStyle name="Currency 2 2 2 2 2 5" xfId="17363"/>
    <cellStyle name="Currency 2 2 2 2 2 5 2" xfId="37246"/>
    <cellStyle name="Currency 2 2 2 2 2 6" xfId="24941"/>
    <cellStyle name="Currency 2 2 2 2 3" xfId="5748"/>
    <cellStyle name="Currency 2 2 2 2 3 2" xfId="8849"/>
    <cellStyle name="Currency 2 2 2 2 3 2 2" xfId="15042"/>
    <cellStyle name="Currency 2 2 2 2 3 2 2 2" xfId="34925"/>
    <cellStyle name="Currency 2 2 2 2 3 2 3" xfId="21194"/>
    <cellStyle name="Currency 2 2 2 2 3 2 3 2" xfId="41077"/>
    <cellStyle name="Currency 2 2 2 2 3 2 4" xfId="28772"/>
    <cellStyle name="Currency 2 2 2 2 3 3" xfId="11976"/>
    <cellStyle name="Currency 2 2 2 2 3 3 2" xfId="31859"/>
    <cellStyle name="Currency 2 2 2 2 3 4" xfId="18128"/>
    <cellStyle name="Currency 2 2 2 2 3 4 2" xfId="38011"/>
    <cellStyle name="Currency 2 2 2 2 3 5" xfId="25706"/>
    <cellStyle name="Currency 2 2 2 2 4" xfId="7314"/>
    <cellStyle name="Currency 2 2 2 2 4 2" xfId="13508"/>
    <cellStyle name="Currency 2 2 2 2 4 2 2" xfId="33391"/>
    <cellStyle name="Currency 2 2 2 2 4 3" xfId="19660"/>
    <cellStyle name="Currency 2 2 2 2 4 3 2" xfId="39543"/>
    <cellStyle name="Currency 2 2 2 2 4 4" xfId="27238"/>
    <cellStyle name="Currency 2 2 2 2 5" xfId="10442"/>
    <cellStyle name="Currency 2 2 2 2 5 2" xfId="30325"/>
    <cellStyle name="Currency 2 2 2 2 6" xfId="16594"/>
    <cellStyle name="Currency 2 2 2 2 6 2" xfId="36477"/>
    <cellStyle name="Currency 2 2 2 2 7" xfId="24172"/>
    <cellStyle name="Currency 2 2 2 3" xfId="3171"/>
    <cellStyle name="Currency 2 2 2 3 2" xfId="4908"/>
    <cellStyle name="Currency 2 2 2 3 2 2" xfId="6533"/>
    <cellStyle name="Currency 2 2 2 3 2 2 2" xfId="9619"/>
    <cellStyle name="Currency 2 2 2 3 2 2 2 2" xfId="15812"/>
    <cellStyle name="Currency 2 2 2 3 2 2 2 2 2" xfId="35695"/>
    <cellStyle name="Currency 2 2 2 3 2 2 2 3" xfId="21964"/>
    <cellStyle name="Currency 2 2 2 3 2 2 2 3 2" xfId="41847"/>
    <cellStyle name="Currency 2 2 2 3 2 2 2 4" xfId="29542"/>
    <cellStyle name="Currency 2 2 2 3 2 2 3" xfId="12746"/>
    <cellStyle name="Currency 2 2 2 3 2 2 3 2" xfId="32629"/>
    <cellStyle name="Currency 2 2 2 3 2 2 4" xfId="18898"/>
    <cellStyle name="Currency 2 2 2 3 2 2 4 2" xfId="38781"/>
    <cellStyle name="Currency 2 2 2 3 2 2 5" xfId="26476"/>
    <cellStyle name="Currency 2 2 2 3 2 3" xfId="8084"/>
    <cellStyle name="Currency 2 2 2 3 2 3 2" xfId="14278"/>
    <cellStyle name="Currency 2 2 2 3 2 3 2 2" xfId="34161"/>
    <cellStyle name="Currency 2 2 2 3 2 3 3" xfId="20430"/>
    <cellStyle name="Currency 2 2 2 3 2 3 3 2" xfId="40313"/>
    <cellStyle name="Currency 2 2 2 3 2 3 4" xfId="28008"/>
    <cellStyle name="Currency 2 2 2 3 2 4" xfId="11212"/>
    <cellStyle name="Currency 2 2 2 3 2 4 2" xfId="31095"/>
    <cellStyle name="Currency 2 2 2 3 2 5" xfId="17364"/>
    <cellStyle name="Currency 2 2 2 3 2 5 2" xfId="37247"/>
    <cellStyle name="Currency 2 2 2 3 2 6" xfId="24942"/>
    <cellStyle name="Currency 2 2 2 3 3" xfId="5749"/>
    <cellStyle name="Currency 2 2 2 3 3 2" xfId="8850"/>
    <cellStyle name="Currency 2 2 2 3 3 2 2" xfId="15043"/>
    <cellStyle name="Currency 2 2 2 3 3 2 2 2" xfId="34926"/>
    <cellStyle name="Currency 2 2 2 3 3 2 3" xfId="21195"/>
    <cellStyle name="Currency 2 2 2 3 3 2 3 2" xfId="41078"/>
    <cellStyle name="Currency 2 2 2 3 3 2 4" xfId="28773"/>
    <cellStyle name="Currency 2 2 2 3 3 3" xfId="11977"/>
    <cellStyle name="Currency 2 2 2 3 3 3 2" xfId="31860"/>
    <cellStyle name="Currency 2 2 2 3 3 4" xfId="18129"/>
    <cellStyle name="Currency 2 2 2 3 3 4 2" xfId="38012"/>
    <cellStyle name="Currency 2 2 2 3 3 5" xfId="25707"/>
    <cellStyle name="Currency 2 2 2 3 4" xfId="7315"/>
    <cellStyle name="Currency 2 2 2 3 4 2" xfId="13509"/>
    <cellStyle name="Currency 2 2 2 3 4 2 2" xfId="33392"/>
    <cellStyle name="Currency 2 2 2 3 4 3" xfId="19661"/>
    <cellStyle name="Currency 2 2 2 3 4 3 2" xfId="39544"/>
    <cellStyle name="Currency 2 2 2 3 4 4" xfId="27239"/>
    <cellStyle name="Currency 2 2 2 3 5" xfId="10443"/>
    <cellStyle name="Currency 2 2 2 3 5 2" xfId="30326"/>
    <cellStyle name="Currency 2 2 2 3 6" xfId="16595"/>
    <cellStyle name="Currency 2 2 2 3 6 2" xfId="36478"/>
    <cellStyle name="Currency 2 2 2 3 7" xfId="24173"/>
    <cellStyle name="Currency 2 2 2 4" xfId="3172"/>
    <cellStyle name="Currency 2 2 2 4 2" xfId="4909"/>
    <cellStyle name="Currency 2 2 2 4 2 2" xfId="6534"/>
    <cellStyle name="Currency 2 2 2 4 2 2 2" xfId="9620"/>
    <cellStyle name="Currency 2 2 2 4 2 2 2 2" xfId="15813"/>
    <cellStyle name="Currency 2 2 2 4 2 2 2 2 2" xfId="35696"/>
    <cellStyle name="Currency 2 2 2 4 2 2 2 3" xfId="21965"/>
    <cellStyle name="Currency 2 2 2 4 2 2 2 3 2" xfId="41848"/>
    <cellStyle name="Currency 2 2 2 4 2 2 2 4" xfId="29543"/>
    <cellStyle name="Currency 2 2 2 4 2 2 3" xfId="12747"/>
    <cellStyle name="Currency 2 2 2 4 2 2 3 2" xfId="32630"/>
    <cellStyle name="Currency 2 2 2 4 2 2 4" xfId="18899"/>
    <cellStyle name="Currency 2 2 2 4 2 2 4 2" xfId="38782"/>
    <cellStyle name="Currency 2 2 2 4 2 2 5" xfId="26477"/>
    <cellStyle name="Currency 2 2 2 4 2 3" xfId="8085"/>
    <cellStyle name="Currency 2 2 2 4 2 3 2" xfId="14279"/>
    <cellStyle name="Currency 2 2 2 4 2 3 2 2" xfId="34162"/>
    <cellStyle name="Currency 2 2 2 4 2 3 3" xfId="20431"/>
    <cellStyle name="Currency 2 2 2 4 2 3 3 2" xfId="40314"/>
    <cellStyle name="Currency 2 2 2 4 2 3 4" xfId="28009"/>
    <cellStyle name="Currency 2 2 2 4 2 4" xfId="11213"/>
    <cellStyle name="Currency 2 2 2 4 2 4 2" xfId="31096"/>
    <cellStyle name="Currency 2 2 2 4 2 5" xfId="17365"/>
    <cellStyle name="Currency 2 2 2 4 2 5 2" xfId="37248"/>
    <cellStyle name="Currency 2 2 2 4 2 6" xfId="24943"/>
    <cellStyle name="Currency 2 2 2 4 3" xfId="5750"/>
    <cellStyle name="Currency 2 2 2 4 3 2" xfId="8851"/>
    <cellStyle name="Currency 2 2 2 4 3 2 2" xfId="15044"/>
    <cellStyle name="Currency 2 2 2 4 3 2 2 2" xfId="34927"/>
    <cellStyle name="Currency 2 2 2 4 3 2 3" xfId="21196"/>
    <cellStyle name="Currency 2 2 2 4 3 2 3 2" xfId="41079"/>
    <cellStyle name="Currency 2 2 2 4 3 2 4" xfId="28774"/>
    <cellStyle name="Currency 2 2 2 4 3 3" xfId="11978"/>
    <cellStyle name="Currency 2 2 2 4 3 3 2" xfId="31861"/>
    <cellStyle name="Currency 2 2 2 4 3 4" xfId="18130"/>
    <cellStyle name="Currency 2 2 2 4 3 4 2" xfId="38013"/>
    <cellStyle name="Currency 2 2 2 4 3 5" xfId="25708"/>
    <cellStyle name="Currency 2 2 2 4 4" xfId="7316"/>
    <cellStyle name="Currency 2 2 2 4 4 2" xfId="13510"/>
    <cellStyle name="Currency 2 2 2 4 4 2 2" xfId="33393"/>
    <cellStyle name="Currency 2 2 2 4 4 3" xfId="19662"/>
    <cellStyle name="Currency 2 2 2 4 4 3 2" xfId="39545"/>
    <cellStyle name="Currency 2 2 2 4 4 4" xfId="27240"/>
    <cellStyle name="Currency 2 2 2 4 5" xfId="10444"/>
    <cellStyle name="Currency 2 2 2 4 5 2" xfId="30327"/>
    <cellStyle name="Currency 2 2 2 4 6" xfId="16596"/>
    <cellStyle name="Currency 2 2 2 4 6 2" xfId="36479"/>
    <cellStyle name="Currency 2 2 2 4 7" xfId="24174"/>
    <cellStyle name="Currency 2 2 2 5" xfId="3173"/>
    <cellStyle name="Currency 2 2 2 5 2" xfId="4910"/>
    <cellStyle name="Currency 2 2 2 5 2 2" xfId="6535"/>
    <cellStyle name="Currency 2 2 2 5 2 2 2" xfId="9621"/>
    <cellStyle name="Currency 2 2 2 5 2 2 2 2" xfId="15814"/>
    <cellStyle name="Currency 2 2 2 5 2 2 2 2 2" xfId="35697"/>
    <cellStyle name="Currency 2 2 2 5 2 2 2 3" xfId="21966"/>
    <cellStyle name="Currency 2 2 2 5 2 2 2 3 2" xfId="41849"/>
    <cellStyle name="Currency 2 2 2 5 2 2 2 4" xfId="29544"/>
    <cellStyle name="Currency 2 2 2 5 2 2 3" xfId="12748"/>
    <cellStyle name="Currency 2 2 2 5 2 2 3 2" xfId="32631"/>
    <cellStyle name="Currency 2 2 2 5 2 2 4" xfId="18900"/>
    <cellStyle name="Currency 2 2 2 5 2 2 4 2" xfId="38783"/>
    <cellStyle name="Currency 2 2 2 5 2 2 5" xfId="26478"/>
    <cellStyle name="Currency 2 2 2 5 2 3" xfId="8086"/>
    <cellStyle name="Currency 2 2 2 5 2 3 2" xfId="14280"/>
    <cellStyle name="Currency 2 2 2 5 2 3 2 2" xfId="34163"/>
    <cellStyle name="Currency 2 2 2 5 2 3 3" xfId="20432"/>
    <cellStyle name="Currency 2 2 2 5 2 3 3 2" xfId="40315"/>
    <cellStyle name="Currency 2 2 2 5 2 3 4" xfId="28010"/>
    <cellStyle name="Currency 2 2 2 5 2 4" xfId="11214"/>
    <cellStyle name="Currency 2 2 2 5 2 4 2" xfId="31097"/>
    <cellStyle name="Currency 2 2 2 5 2 5" xfId="17366"/>
    <cellStyle name="Currency 2 2 2 5 2 5 2" xfId="37249"/>
    <cellStyle name="Currency 2 2 2 5 2 6" xfId="24944"/>
    <cellStyle name="Currency 2 2 2 5 3" xfId="5751"/>
    <cellStyle name="Currency 2 2 2 5 3 2" xfId="8852"/>
    <cellStyle name="Currency 2 2 2 5 3 2 2" xfId="15045"/>
    <cellStyle name="Currency 2 2 2 5 3 2 2 2" xfId="34928"/>
    <cellStyle name="Currency 2 2 2 5 3 2 3" xfId="21197"/>
    <cellStyle name="Currency 2 2 2 5 3 2 3 2" xfId="41080"/>
    <cellStyle name="Currency 2 2 2 5 3 2 4" xfId="28775"/>
    <cellStyle name="Currency 2 2 2 5 3 3" xfId="11979"/>
    <cellStyle name="Currency 2 2 2 5 3 3 2" xfId="31862"/>
    <cellStyle name="Currency 2 2 2 5 3 4" xfId="18131"/>
    <cellStyle name="Currency 2 2 2 5 3 4 2" xfId="38014"/>
    <cellStyle name="Currency 2 2 2 5 3 5" xfId="25709"/>
    <cellStyle name="Currency 2 2 2 5 4" xfId="7317"/>
    <cellStyle name="Currency 2 2 2 5 4 2" xfId="13511"/>
    <cellStyle name="Currency 2 2 2 5 4 2 2" xfId="33394"/>
    <cellStyle name="Currency 2 2 2 5 4 3" xfId="19663"/>
    <cellStyle name="Currency 2 2 2 5 4 3 2" xfId="39546"/>
    <cellStyle name="Currency 2 2 2 5 4 4" xfId="27241"/>
    <cellStyle name="Currency 2 2 2 5 5" xfId="10445"/>
    <cellStyle name="Currency 2 2 2 5 5 2" xfId="30328"/>
    <cellStyle name="Currency 2 2 2 5 6" xfId="16597"/>
    <cellStyle name="Currency 2 2 2 5 6 2" xfId="36480"/>
    <cellStyle name="Currency 2 2 2 5 7" xfId="24175"/>
    <cellStyle name="Currency 2 2 20" xfId="3158"/>
    <cellStyle name="Currency 2 2 20 2" xfId="4897"/>
    <cellStyle name="Currency 2 2 20 2 2" xfId="6522"/>
    <cellStyle name="Currency 2 2 20 2 2 2" xfId="9608"/>
    <cellStyle name="Currency 2 2 20 2 2 2 2" xfId="15801"/>
    <cellStyle name="Currency 2 2 20 2 2 2 2 2" xfId="35684"/>
    <cellStyle name="Currency 2 2 20 2 2 2 3" xfId="21953"/>
    <cellStyle name="Currency 2 2 20 2 2 2 3 2" xfId="41836"/>
    <cellStyle name="Currency 2 2 20 2 2 2 4" xfId="29531"/>
    <cellStyle name="Currency 2 2 20 2 2 3" xfId="12735"/>
    <cellStyle name="Currency 2 2 20 2 2 3 2" xfId="32618"/>
    <cellStyle name="Currency 2 2 20 2 2 4" xfId="18887"/>
    <cellStyle name="Currency 2 2 20 2 2 4 2" xfId="38770"/>
    <cellStyle name="Currency 2 2 20 2 2 5" xfId="26465"/>
    <cellStyle name="Currency 2 2 20 2 3" xfId="8073"/>
    <cellStyle name="Currency 2 2 20 2 3 2" xfId="14267"/>
    <cellStyle name="Currency 2 2 20 2 3 2 2" xfId="34150"/>
    <cellStyle name="Currency 2 2 20 2 3 3" xfId="20419"/>
    <cellStyle name="Currency 2 2 20 2 3 3 2" xfId="40302"/>
    <cellStyle name="Currency 2 2 20 2 3 4" xfId="27997"/>
    <cellStyle name="Currency 2 2 20 2 4" xfId="11201"/>
    <cellStyle name="Currency 2 2 20 2 4 2" xfId="31084"/>
    <cellStyle name="Currency 2 2 20 2 5" xfId="17353"/>
    <cellStyle name="Currency 2 2 20 2 5 2" xfId="37236"/>
    <cellStyle name="Currency 2 2 20 2 6" xfId="24931"/>
    <cellStyle name="Currency 2 2 20 3" xfId="5738"/>
    <cellStyle name="Currency 2 2 20 3 2" xfId="8839"/>
    <cellStyle name="Currency 2 2 20 3 2 2" xfId="15032"/>
    <cellStyle name="Currency 2 2 20 3 2 2 2" xfId="34915"/>
    <cellStyle name="Currency 2 2 20 3 2 3" xfId="21184"/>
    <cellStyle name="Currency 2 2 20 3 2 3 2" xfId="41067"/>
    <cellStyle name="Currency 2 2 20 3 2 4" xfId="28762"/>
    <cellStyle name="Currency 2 2 20 3 3" xfId="11966"/>
    <cellStyle name="Currency 2 2 20 3 3 2" xfId="31849"/>
    <cellStyle name="Currency 2 2 20 3 4" xfId="18118"/>
    <cellStyle name="Currency 2 2 20 3 4 2" xfId="38001"/>
    <cellStyle name="Currency 2 2 20 3 5" xfId="25696"/>
    <cellStyle name="Currency 2 2 20 4" xfId="7304"/>
    <cellStyle name="Currency 2 2 20 4 2" xfId="13498"/>
    <cellStyle name="Currency 2 2 20 4 2 2" xfId="33381"/>
    <cellStyle name="Currency 2 2 20 4 3" xfId="19650"/>
    <cellStyle name="Currency 2 2 20 4 3 2" xfId="39533"/>
    <cellStyle name="Currency 2 2 20 4 4" xfId="27228"/>
    <cellStyle name="Currency 2 2 20 5" xfId="10432"/>
    <cellStyle name="Currency 2 2 20 5 2" xfId="30315"/>
    <cellStyle name="Currency 2 2 20 6" xfId="16584"/>
    <cellStyle name="Currency 2 2 20 6 2" xfId="36467"/>
    <cellStyle name="Currency 2 2 20 7" xfId="24162"/>
    <cellStyle name="Currency 2 2 21" xfId="23166"/>
    <cellStyle name="Currency 2 2 21 2" xfId="43000"/>
    <cellStyle name="Currency 2 2 3" xfId="3174"/>
    <cellStyle name="Currency 2 2 3 10" xfId="16598"/>
    <cellStyle name="Currency 2 2 3 10 2" xfId="36481"/>
    <cellStyle name="Currency 2 2 3 11" xfId="24176"/>
    <cellStyle name="Currency 2 2 3 2" xfId="3175"/>
    <cellStyle name="Currency 2 2 3 2 2" xfId="4912"/>
    <cellStyle name="Currency 2 2 3 2 2 2" xfId="6537"/>
    <cellStyle name="Currency 2 2 3 2 2 2 2" xfId="9623"/>
    <cellStyle name="Currency 2 2 3 2 2 2 2 2" xfId="15816"/>
    <cellStyle name="Currency 2 2 3 2 2 2 2 2 2" xfId="35699"/>
    <cellStyle name="Currency 2 2 3 2 2 2 2 3" xfId="21968"/>
    <cellStyle name="Currency 2 2 3 2 2 2 2 3 2" xfId="41851"/>
    <cellStyle name="Currency 2 2 3 2 2 2 2 4" xfId="29546"/>
    <cellStyle name="Currency 2 2 3 2 2 2 3" xfId="12750"/>
    <cellStyle name="Currency 2 2 3 2 2 2 3 2" xfId="32633"/>
    <cellStyle name="Currency 2 2 3 2 2 2 4" xfId="18902"/>
    <cellStyle name="Currency 2 2 3 2 2 2 4 2" xfId="38785"/>
    <cellStyle name="Currency 2 2 3 2 2 2 5" xfId="26480"/>
    <cellStyle name="Currency 2 2 3 2 2 3" xfId="8088"/>
    <cellStyle name="Currency 2 2 3 2 2 3 2" xfId="14282"/>
    <cellStyle name="Currency 2 2 3 2 2 3 2 2" xfId="34165"/>
    <cellStyle name="Currency 2 2 3 2 2 3 3" xfId="20434"/>
    <cellStyle name="Currency 2 2 3 2 2 3 3 2" xfId="40317"/>
    <cellStyle name="Currency 2 2 3 2 2 3 4" xfId="28012"/>
    <cellStyle name="Currency 2 2 3 2 2 4" xfId="11216"/>
    <cellStyle name="Currency 2 2 3 2 2 4 2" xfId="31099"/>
    <cellStyle name="Currency 2 2 3 2 2 5" xfId="17368"/>
    <cellStyle name="Currency 2 2 3 2 2 5 2" xfId="37251"/>
    <cellStyle name="Currency 2 2 3 2 2 6" xfId="24946"/>
    <cellStyle name="Currency 2 2 3 2 3" xfId="5753"/>
    <cellStyle name="Currency 2 2 3 2 3 2" xfId="8854"/>
    <cellStyle name="Currency 2 2 3 2 3 2 2" xfId="15047"/>
    <cellStyle name="Currency 2 2 3 2 3 2 2 2" xfId="34930"/>
    <cellStyle name="Currency 2 2 3 2 3 2 3" xfId="21199"/>
    <cellStyle name="Currency 2 2 3 2 3 2 3 2" xfId="41082"/>
    <cellStyle name="Currency 2 2 3 2 3 2 4" xfId="28777"/>
    <cellStyle name="Currency 2 2 3 2 3 3" xfId="11981"/>
    <cellStyle name="Currency 2 2 3 2 3 3 2" xfId="31864"/>
    <cellStyle name="Currency 2 2 3 2 3 4" xfId="18133"/>
    <cellStyle name="Currency 2 2 3 2 3 4 2" xfId="38016"/>
    <cellStyle name="Currency 2 2 3 2 3 5" xfId="25711"/>
    <cellStyle name="Currency 2 2 3 2 4" xfId="7319"/>
    <cellStyle name="Currency 2 2 3 2 4 2" xfId="13513"/>
    <cellStyle name="Currency 2 2 3 2 4 2 2" xfId="33396"/>
    <cellStyle name="Currency 2 2 3 2 4 3" xfId="19665"/>
    <cellStyle name="Currency 2 2 3 2 4 3 2" xfId="39548"/>
    <cellStyle name="Currency 2 2 3 2 4 4" xfId="27243"/>
    <cellStyle name="Currency 2 2 3 2 5" xfId="10447"/>
    <cellStyle name="Currency 2 2 3 2 5 2" xfId="30330"/>
    <cellStyle name="Currency 2 2 3 2 6" xfId="16599"/>
    <cellStyle name="Currency 2 2 3 2 6 2" xfId="36482"/>
    <cellStyle name="Currency 2 2 3 2 7" xfId="24177"/>
    <cellStyle name="Currency 2 2 3 3" xfId="3176"/>
    <cellStyle name="Currency 2 2 3 3 2" xfId="4913"/>
    <cellStyle name="Currency 2 2 3 3 2 2" xfId="6538"/>
    <cellStyle name="Currency 2 2 3 3 2 2 2" xfId="9624"/>
    <cellStyle name="Currency 2 2 3 3 2 2 2 2" xfId="15817"/>
    <cellStyle name="Currency 2 2 3 3 2 2 2 2 2" xfId="35700"/>
    <cellStyle name="Currency 2 2 3 3 2 2 2 3" xfId="21969"/>
    <cellStyle name="Currency 2 2 3 3 2 2 2 3 2" xfId="41852"/>
    <cellStyle name="Currency 2 2 3 3 2 2 2 4" xfId="29547"/>
    <cellStyle name="Currency 2 2 3 3 2 2 3" xfId="12751"/>
    <cellStyle name="Currency 2 2 3 3 2 2 3 2" xfId="32634"/>
    <cellStyle name="Currency 2 2 3 3 2 2 4" xfId="18903"/>
    <cellStyle name="Currency 2 2 3 3 2 2 4 2" xfId="38786"/>
    <cellStyle name="Currency 2 2 3 3 2 2 5" xfId="26481"/>
    <cellStyle name="Currency 2 2 3 3 2 3" xfId="8089"/>
    <cellStyle name="Currency 2 2 3 3 2 3 2" xfId="14283"/>
    <cellStyle name="Currency 2 2 3 3 2 3 2 2" xfId="34166"/>
    <cellStyle name="Currency 2 2 3 3 2 3 3" xfId="20435"/>
    <cellStyle name="Currency 2 2 3 3 2 3 3 2" xfId="40318"/>
    <cellStyle name="Currency 2 2 3 3 2 3 4" xfId="28013"/>
    <cellStyle name="Currency 2 2 3 3 2 4" xfId="11217"/>
    <cellStyle name="Currency 2 2 3 3 2 4 2" xfId="31100"/>
    <cellStyle name="Currency 2 2 3 3 2 5" xfId="17369"/>
    <cellStyle name="Currency 2 2 3 3 2 5 2" xfId="37252"/>
    <cellStyle name="Currency 2 2 3 3 2 6" xfId="24947"/>
    <cellStyle name="Currency 2 2 3 3 3" xfId="5754"/>
    <cellStyle name="Currency 2 2 3 3 3 2" xfId="8855"/>
    <cellStyle name="Currency 2 2 3 3 3 2 2" xfId="15048"/>
    <cellStyle name="Currency 2 2 3 3 3 2 2 2" xfId="34931"/>
    <cellStyle name="Currency 2 2 3 3 3 2 3" xfId="21200"/>
    <cellStyle name="Currency 2 2 3 3 3 2 3 2" xfId="41083"/>
    <cellStyle name="Currency 2 2 3 3 3 2 4" xfId="28778"/>
    <cellStyle name="Currency 2 2 3 3 3 3" xfId="11982"/>
    <cellStyle name="Currency 2 2 3 3 3 3 2" xfId="31865"/>
    <cellStyle name="Currency 2 2 3 3 3 4" xfId="18134"/>
    <cellStyle name="Currency 2 2 3 3 3 4 2" xfId="38017"/>
    <cellStyle name="Currency 2 2 3 3 3 5" xfId="25712"/>
    <cellStyle name="Currency 2 2 3 3 4" xfId="7320"/>
    <cellStyle name="Currency 2 2 3 3 4 2" xfId="13514"/>
    <cellStyle name="Currency 2 2 3 3 4 2 2" xfId="33397"/>
    <cellStyle name="Currency 2 2 3 3 4 3" xfId="19666"/>
    <cellStyle name="Currency 2 2 3 3 4 3 2" xfId="39549"/>
    <cellStyle name="Currency 2 2 3 3 4 4" xfId="27244"/>
    <cellStyle name="Currency 2 2 3 3 5" xfId="10448"/>
    <cellStyle name="Currency 2 2 3 3 5 2" xfId="30331"/>
    <cellStyle name="Currency 2 2 3 3 6" xfId="16600"/>
    <cellStyle name="Currency 2 2 3 3 6 2" xfId="36483"/>
    <cellStyle name="Currency 2 2 3 3 7" xfId="24178"/>
    <cellStyle name="Currency 2 2 3 4" xfId="3177"/>
    <cellStyle name="Currency 2 2 3 4 2" xfId="4914"/>
    <cellStyle name="Currency 2 2 3 4 2 2" xfId="6539"/>
    <cellStyle name="Currency 2 2 3 4 2 2 2" xfId="9625"/>
    <cellStyle name="Currency 2 2 3 4 2 2 2 2" xfId="15818"/>
    <cellStyle name="Currency 2 2 3 4 2 2 2 2 2" xfId="35701"/>
    <cellStyle name="Currency 2 2 3 4 2 2 2 3" xfId="21970"/>
    <cellStyle name="Currency 2 2 3 4 2 2 2 3 2" xfId="41853"/>
    <cellStyle name="Currency 2 2 3 4 2 2 2 4" xfId="29548"/>
    <cellStyle name="Currency 2 2 3 4 2 2 3" xfId="12752"/>
    <cellStyle name="Currency 2 2 3 4 2 2 3 2" xfId="32635"/>
    <cellStyle name="Currency 2 2 3 4 2 2 4" xfId="18904"/>
    <cellStyle name="Currency 2 2 3 4 2 2 4 2" xfId="38787"/>
    <cellStyle name="Currency 2 2 3 4 2 2 5" xfId="26482"/>
    <cellStyle name="Currency 2 2 3 4 2 3" xfId="8090"/>
    <cellStyle name="Currency 2 2 3 4 2 3 2" xfId="14284"/>
    <cellStyle name="Currency 2 2 3 4 2 3 2 2" xfId="34167"/>
    <cellStyle name="Currency 2 2 3 4 2 3 3" xfId="20436"/>
    <cellStyle name="Currency 2 2 3 4 2 3 3 2" xfId="40319"/>
    <cellStyle name="Currency 2 2 3 4 2 3 4" xfId="28014"/>
    <cellStyle name="Currency 2 2 3 4 2 4" xfId="11218"/>
    <cellStyle name="Currency 2 2 3 4 2 4 2" xfId="31101"/>
    <cellStyle name="Currency 2 2 3 4 2 5" xfId="17370"/>
    <cellStyle name="Currency 2 2 3 4 2 5 2" xfId="37253"/>
    <cellStyle name="Currency 2 2 3 4 2 6" xfId="24948"/>
    <cellStyle name="Currency 2 2 3 4 3" xfId="5755"/>
    <cellStyle name="Currency 2 2 3 4 3 2" xfId="8856"/>
    <cellStyle name="Currency 2 2 3 4 3 2 2" xfId="15049"/>
    <cellStyle name="Currency 2 2 3 4 3 2 2 2" xfId="34932"/>
    <cellStyle name="Currency 2 2 3 4 3 2 3" xfId="21201"/>
    <cellStyle name="Currency 2 2 3 4 3 2 3 2" xfId="41084"/>
    <cellStyle name="Currency 2 2 3 4 3 2 4" xfId="28779"/>
    <cellStyle name="Currency 2 2 3 4 3 3" xfId="11983"/>
    <cellStyle name="Currency 2 2 3 4 3 3 2" xfId="31866"/>
    <cellStyle name="Currency 2 2 3 4 3 4" xfId="18135"/>
    <cellStyle name="Currency 2 2 3 4 3 4 2" xfId="38018"/>
    <cellStyle name="Currency 2 2 3 4 3 5" xfId="25713"/>
    <cellStyle name="Currency 2 2 3 4 4" xfId="7321"/>
    <cellStyle name="Currency 2 2 3 4 4 2" xfId="13515"/>
    <cellStyle name="Currency 2 2 3 4 4 2 2" xfId="33398"/>
    <cellStyle name="Currency 2 2 3 4 4 3" xfId="19667"/>
    <cellStyle name="Currency 2 2 3 4 4 3 2" xfId="39550"/>
    <cellStyle name="Currency 2 2 3 4 4 4" xfId="27245"/>
    <cellStyle name="Currency 2 2 3 4 5" xfId="10449"/>
    <cellStyle name="Currency 2 2 3 4 5 2" xfId="30332"/>
    <cellStyle name="Currency 2 2 3 4 6" xfId="16601"/>
    <cellStyle name="Currency 2 2 3 4 6 2" xfId="36484"/>
    <cellStyle name="Currency 2 2 3 4 7" xfId="24179"/>
    <cellStyle name="Currency 2 2 3 5" xfId="3178"/>
    <cellStyle name="Currency 2 2 3 5 2" xfId="4915"/>
    <cellStyle name="Currency 2 2 3 5 2 2" xfId="6540"/>
    <cellStyle name="Currency 2 2 3 5 2 2 2" xfId="9626"/>
    <cellStyle name="Currency 2 2 3 5 2 2 2 2" xfId="15819"/>
    <cellStyle name="Currency 2 2 3 5 2 2 2 2 2" xfId="35702"/>
    <cellStyle name="Currency 2 2 3 5 2 2 2 3" xfId="21971"/>
    <cellStyle name="Currency 2 2 3 5 2 2 2 3 2" xfId="41854"/>
    <cellStyle name="Currency 2 2 3 5 2 2 2 4" xfId="29549"/>
    <cellStyle name="Currency 2 2 3 5 2 2 3" xfId="12753"/>
    <cellStyle name="Currency 2 2 3 5 2 2 3 2" xfId="32636"/>
    <cellStyle name="Currency 2 2 3 5 2 2 4" xfId="18905"/>
    <cellStyle name="Currency 2 2 3 5 2 2 4 2" xfId="38788"/>
    <cellStyle name="Currency 2 2 3 5 2 2 5" xfId="26483"/>
    <cellStyle name="Currency 2 2 3 5 2 3" xfId="8091"/>
    <cellStyle name="Currency 2 2 3 5 2 3 2" xfId="14285"/>
    <cellStyle name="Currency 2 2 3 5 2 3 2 2" xfId="34168"/>
    <cellStyle name="Currency 2 2 3 5 2 3 3" xfId="20437"/>
    <cellStyle name="Currency 2 2 3 5 2 3 3 2" xfId="40320"/>
    <cellStyle name="Currency 2 2 3 5 2 3 4" xfId="28015"/>
    <cellStyle name="Currency 2 2 3 5 2 4" xfId="11219"/>
    <cellStyle name="Currency 2 2 3 5 2 4 2" xfId="31102"/>
    <cellStyle name="Currency 2 2 3 5 2 5" xfId="17371"/>
    <cellStyle name="Currency 2 2 3 5 2 5 2" xfId="37254"/>
    <cellStyle name="Currency 2 2 3 5 2 6" xfId="24949"/>
    <cellStyle name="Currency 2 2 3 5 3" xfId="5756"/>
    <cellStyle name="Currency 2 2 3 5 3 2" xfId="8857"/>
    <cellStyle name="Currency 2 2 3 5 3 2 2" xfId="15050"/>
    <cellStyle name="Currency 2 2 3 5 3 2 2 2" xfId="34933"/>
    <cellStyle name="Currency 2 2 3 5 3 2 3" xfId="21202"/>
    <cellStyle name="Currency 2 2 3 5 3 2 3 2" xfId="41085"/>
    <cellStyle name="Currency 2 2 3 5 3 2 4" xfId="28780"/>
    <cellStyle name="Currency 2 2 3 5 3 3" xfId="11984"/>
    <cellStyle name="Currency 2 2 3 5 3 3 2" xfId="31867"/>
    <cellStyle name="Currency 2 2 3 5 3 4" xfId="18136"/>
    <cellStyle name="Currency 2 2 3 5 3 4 2" xfId="38019"/>
    <cellStyle name="Currency 2 2 3 5 3 5" xfId="25714"/>
    <cellStyle name="Currency 2 2 3 5 4" xfId="7322"/>
    <cellStyle name="Currency 2 2 3 5 4 2" xfId="13516"/>
    <cellStyle name="Currency 2 2 3 5 4 2 2" xfId="33399"/>
    <cellStyle name="Currency 2 2 3 5 4 3" xfId="19668"/>
    <cellStyle name="Currency 2 2 3 5 4 3 2" xfId="39551"/>
    <cellStyle name="Currency 2 2 3 5 4 4" xfId="27246"/>
    <cellStyle name="Currency 2 2 3 5 5" xfId="10450"/>
    <cellStyle name="Currency 2 2 3 5 5 2" xfId="30333"/>
    <cellStyle name="Currency 2 2 3 5 6" xfId="16602"/>
    <cellStyle name="Currency 2 2 3 5 6 2" xfId="36485"/>
    <cellStyle name="Currency 2 2 3 5 7" xfId="24180"/>
    <cellStyle name="Currency 2 2 3 6" xfId="4911"/>
    <cellStyle name="Currency 2 2 3 6 2" xfId="6536"/>
    <cellStyle name="Currency 2 2 3 6 2 2" xfId="9622"/>
    <cellStyle name="Currency 2 2 3 6 2 2 2" xfId="15815"/>
    <cellStyle name="Currency 2 2 3 6 2 2 2 2" xfId="35698"/>
    <cellStyle name="Currency 2 2 3 6 2 2 3" xfId="21967"/>
    <cellStyle name="Currency 2 2 3 6 2 2 3 2" xfId="41850"/>
    <cellStyle name="Currency 2 2 3 6 2 2 4" xfId="29545"/>
    <cellStyle name="Currency 2 2 3 6 2 3" xfId="12749"/>
    <cellStyle name="Currency 2 2 3 6 2 3 2" xfId="32632"/>
    <cellStyle name="Currency 2 2 3 6 2 4" xfId="18901"/>
    <cellStyle name="Currency 2 2 3 6 2 4 2" xfId="38784"/>
    <cellStyle name="Currency 2 2 3 6 2 5" xfId="26479"/>
    <cellStyle name="Currency 2 2 3 6 3" xfId="8087"/>
    <cellStyle name="Currency 2 2 3 6 3 2" xfId="14281"/>
    <cellStyle name="Currency 2 2 3 6 3 2 2" xfId="34164"/>
    <cellStyle name="Currency 2 2 3 6 3 3" xfId="20433"/>
    <cellStyle name="Currency 2 2 3 6 3 3 2" xfId="40316"/>
    <cellStyle name="Currency 2 2 3 6 3 4" xfId="28011"/>
    <cellStyle name="Currency 2 2 3 6 4" xfId="11215"/>
    <cellStyle name="Currency 2 2 3 6 4 2" xfId="31098"/>
    <cellStyle name="Currency 2 2 3 6 5" xfId="17367"/>
    <cellStyle name="Currency 2 2 3 6 5 2" xfId="37250"/>
    <cellStyle name="Currency 2 2 3 6 6" xfId="24945"/>
    <cellStyle name="Currency 2 2 3 7" xfId="5752"/>
    <cellStyle name="Currency 2 2 3 7 2" xfId="8853"/>
    <cellStyle name="Currency 2 2 3 7 2 2" xfId="15046"/>
    <cellStyle name="Currency 2 2 3 7 2 2 2" xfId="34929"/>
    <cellStyle name="Currency 2 2 3 7 2 3" xfId="21198"/>
    <cellStyle name="Currency 2 2 3 7 2 3 2" xfId="41081"/>
    <cellStyle name="Currency 2 2 3 7 2 4" xfId="28776"/>
    <cellStyle name="Currency 2 2 3 7 3" xfId="11980"/>
    <cellStyle name="Currency 2 2 3 7 3 2" xfId="31863"/>
    <cellStyle name="Currency 2 2 3 7 4" xfId="18132"/>
    <cellStyle name="Currency 2 2 3 7 4 2" xfId="38015"/>
    <cellStyle name="Currency 2 2 3 7 5" xfId="25710"/>
    <cellStyle name="Currency 2 2 3 8" xfId="7318"/>
    <cellStyle name="Currency 2 2 3 8 2" xfId="13512"/>
    <cellStyle name="Currency 2 2 3 8 2 2" xfId="33395"/>
    <cellStyle name="Currency 2 2 3 8 3" xfId="19664"/>
    <cellStyle name="Currency 2 2 3 8 3 2" xfId="39547"/>
    <cellStyle name="Currency 2 2 3 8 4" xfId="27242"/>
    <cellStyle name="Currency 2 2 3 9" xfId="10446"/>
    <cellStyle name="Currency 2 2 3 9 2" xfId="30329"/>
    <cellStyle name="Currency 2 2 4" xfId="3179"/>
    <cellStyle name="Currency 2 2 4 2" xfId="4916"/>
    <cellStyle name="Currency 2 2 4 2 2" xfId="6541"/>
    <cellStyle name="Currency 2 2 4 2 2 2" xfId="9627"/>
    <cellStyle name="Currency 2 2 4 2 2 2 2" xfId="15820"/>
    <cellStyle name="Currency 2 2 4 2 2 2 2 2" xfId="35703"/>
    <cellStyle name="Currency 2 2 4 2 2 2 3" xfId="21972"/>
    <cellStyle name="Currency 2 2 4 2 2 2 3 2" xfId="41855"/>
    <cellStyle name="Currency 2 2 4 2 2 2 4" xfId="29550"/>
    <cellStyle name="Currency 2 2 4 2 2 3" xfId="12754"/>
    <cellStyle name="Currency 2 2 4 2 2 3 2" xfId="32637"/>
    <cellStyle name="Currency 2 2 4 2 2 4" xfId="18906"/>
    <cellStyle name="Currency 2 2 4 2 2 4 2" xfId="38789"/>
    <cellStyle name="Currency 2 2 4 2 2 5" xfId="26484"/>
    <cellStyle name="Currency 2 2 4 2 3" xfId="8092"/>
    <cellStyle name="Currency 2 2 4 2 3 2" xfId="14286"/>
    <cellStyle name="Currency 2 2 4 2 3 2 2" xfId="34169"/>
    <cellStyle name="Currency 2 2 4 2 3 3" xfId="20438"/>
    <cellStyle name="Currency 2 2 4 2 3 3 2" xfId="40321"/>
    <cellStyle name="Currency 2 2 4 2 3 4" xfId="28016"/>
    <cellStyle name="Currency 2 2 4 2 4" xfId="11220"/>
    <cellStyle name="Currency 2 2 4 2 4 2" xfId="31103"/>
    <cellStyle name="Currency 2 2 4 2 5" xfId="17372"/>
    <cellStyle name="Currency 2 2 4 2 5 2" xfId="37255"/>
    <cellStyle name="Currency 2 2 4 2 6" xfId="24950"/>
    <cellStyle name="Currency 2 2 4 3" xfId="5757"/>
    <cellStyle name="Currency 2 2 4 3 2" xfId="8858"/>
    <cellStyle name="Currency 2 2 4 3 2 2" xfId="15051"/>
    <cellStyle name="Currency 2 2 4 3 2 2 2" xfId="34934"/>
    <cellStyle name="Currency 2 2 4 3 2 3" xfId="21203"/>
    <cellStyle name="Currency 2 2 4 3 2 3 2" xfId="41086"/>
    <cellStyle name="Currency 2 2 4 3 2 4" xfId="28781"/>
    <cellStyle name="Currency 2 2 4 3 3" xfId="11985"/>
    <cellStyle name="Currency 2 2 4 3 3 2" xfId="31868"/>
    <cellStyle name="Currency 2 2 4 3 4" xfId="18137"/>
    <cellStyle name="Currency 2 2 4 3 4 2" xfId="38020"/>
    <cellStyle name="Currency 2 2 4 3 5" xfId="25715"/>
    <cellStyle name="Currency 2 2 4 4" xfId="7323"/>
    <cellStyle name="Currency 2 2 4 4 2" xfId="13517"/>
    <cellStyle name="Currency 2 2 4 4 2 2" xfId="33400"/>
    <cellStyle name="Currency 2 2 4 4 3" xfId="19669"/>
    <cellStyle name="Currency 2 2 4 4 3 2" xfId="39552"/>
    <cellStyle name="Currency 2 2 4 4 4" xfId="27247"/>
    <cellStyle name="Currency 2 2 4 5" xfId="10451"/>
    <cellStyle name="Currency 2 2 4 5 2" xfId="30334"/>
    <cellStyle name="Currency 2 2 4 6" xfId="16603"/>
    <cellStyle name="Currency 2 2 4 6 2" xfId="36486"/>
    <cellStyle name="Currency 2 2 4 7" xfId="24181"/>
    <cellStyle name="Currency 2 2 5" xfId="3180"/>
    <cellStyle name="Currency 2 2 5 2" xfId="4917"/>
    <cellStyle name="Currency 2 2 5 2 2" xfId="6542"/>
    <cellStyle name="Currency 2 2 5 2 2 2" xfId="9628"/>
    <cellStyle name="Currency 2 2 5 2 2 2 2" xfId="15821"/>
    <cellStyle name="Currency 2 2 5 2 2 2 2 2" xfId="35704"/>
    <cellStyle name="Currency 2 2 5 2 2 2 3" xfId="21973"/>
    <cellStyle name="Currency 2 2 5 2 2 2 3 2" xfId="41856"/>
    <cellStyle name="Currency 2 2 5 2 2 2 4" xfId="29551"/>
    <cellStyle name="Currency 2 2 5 2 2 3" xfId="12755"/>
    <cellStyle name="Currency 2 2 5 2 2 3 2" xfId="32638"/>
    <cellStyle name="Currency 2 2 5 2 2 4" xfId="18907"/>
    <cellStyle name="Currency 2 2 5 2 2 4 2" xfId="38790"/>
    <cellStyle name="Currency 2 2 5 2 2 5" xfId="26485"/>
    <cellStyle name="Currency 2 2 5 2 3" xfId="8093"/>
    <cellStyle name="Currency 2 2 5 2 3 2" xfId="14287"/>
    <cellStyle name="Currency 2 2 5 2 3 2 2" xfId="34170"/>
    <cellStyle name="Currency 2 2 5 2 3 3" xfId="20439"/>
    <cellStyle name="Currency 2 2 5 2 3 3 2" xfId="40322"/>
    <cellStyle name="Currency 2 2 5 2 3 4" xfId="28017"/>
    <cellStyle name="Currency 2 2 5 2 4" xfId="11221"/>
    <cellStyle name="Currency 2 2 5 2 4 2" xfId="31104"/>
    <cellStyle name="Currency 2 2 5 2 5" xfId="17373"/>
    <cellStyle name="Currency 2 2 5 2 5 2" xfId="37256"/>
    <cellStyle name="Currency 2 2 5 2 6" xfId="24951"/>
    <cellStyle name="Currency 2 2 5 3" xfId="5758"/>
    <cellStyle name="Currency 2 2 5 3 2" xfId="8859"/>
    <cellStyle name="Currency 2 2 5 3 2 2" xfId="15052"/>
    <cellStyle name="Currency 2 2 5 3 2 2 2" xfId="34935"/>
    <cellStyle name="Currency 2 2 5 3 2 3" xfId="21204"/>
    <cellStyle name="Currency 2 2 5 3 2 3 2" xfId="41087"/>
    <cellStyle name="Currency 2 2 5 3 2 4" xfId="28782"/>
    <cellStyle name="Currency 2 2 5 3 3" xfId="11986"/>
    <cellStyle name="Currency 2 2 5 3 3 2" xfId="31869"/>
    <cellStyle name="Currency 2 2 5 3 4" xfId="18138"/>
    <cellStyle name="Currency 2 2 5 3 4 2" xfId="38021"/>
    <cellStyle name="Currency 2 2 5 3 5" xfId="25716"/>
    <cellStyle name="Currency 2 2 5 4" xfId="7324"/>
    <cellStyle name="Currency 2 2 5 4 2" xfId="13518"/>
    <cellStyle name="Currency 2 2 5 4 2 2" xfId="33401"/>
    <cellStyle name="Currency 2 2 5 4 3" xfId="19670"/>
    <cellStyle name="Currency 2 2 5 4 3 2" xfId="39553"/>
    <cellStyle name="Currency 2 2 5 4 4" xfId="27248"/>
    <cellStyle name="Currency 2 2 5 5" xfId="10452"/>
    <cellStyle name="Currency 2 2 5 5 2" xfId="30335"/>
    <cellStyle name="Currency 2 2 5 6" xfId="16604"/>
    <cellStyle name="Currency 2 2 5 6 2" xfId="36487"/>
    <cellStyle name="Currency 2 2 5 7" xfId="24182"/>
    <cellStyle name="Currency 2 2 6" xfId="3181"/>
    <cellStyle name="Currency 2 2 6 2" xfId="4918"/>
    <cellStyle name="Currency 2 2 6 2 2" xfId="6543"/>
    <cellStyle name="Currency 2 2 6 2 2 2" xfId="9629"/>
    <cellStyle name="Currency 2 2 6 2 2 2 2" xfId="15822"/>
    <cellStyle name="Currency 2 2 6 2 2 2 2 2" xfId="35705"/>
    <cellStyle name="Currency 2 2 6 2 2 2 3" xfId="21974"/>
    <cellStyle name="Currency 2 2 6 2 2 2 3 2" xfId="41857"/>
    <cellStyle name="Currency 2 2 6 2 2 2 4" xfId="29552"/>
    <cellStyle name="Currency 2 2 6 2 2 3" xfId="12756"/>
    <cellStyle name="Currency 2 2 6 2 2 3 2" xfId="32639"/>
    <cellStyle name="Currency 2 2 6 2 2 4" xfId="18908"/>
    <cellStyle name="Currency 2 2 6 2 2 4 2" xfId="38791"/>
    <cellStyle name="Currency 2 2 6 2 2 5" xfId="26486"/>
    <cellStyle name="Currency 2 2 6 2 3" xfId="8094"/>
    <cellStyle name="Currency 2 2 6 2 3 2" xfId="14288"/>
    <cellStyle name="Currency 2 2 6 2 3 2 2" xfId="34171"/>
    <cellStyle name="Currency 2 2 6 2 3 3" xfId="20440"/>
    <cellStyle name="Currency 2 2 6 2 3 3 2" xfId="40323"/>
    <cellStyle name="Currency 2 2 6 2 3 4" xfId="28018"/>
    <cellStyle name="Currency 2 2 6 2 4" xfId="11222"/>
    <cellStyle name="Currency 2 2 6 2 4 2" xfId="31105"/>
    <cellStyle name="Currency 2 2 6 2 5" xfId="17374"/>
    <cellStyle name="Currency 2 2 6 2 5 2" xfId="37257"/>
    <cellStyle name="Currency 2 2 6 2 6" xfId="24952"/>
    <cellStyle name="Currency 2 2 6 3" xfId="5759"/>
    <cellStyle name="Currency 2 2 6 3 2" xfId="8860"/>
    <cellStyle name="Currency 2 2 6 3 2 2" xfId="15053"/>
    <cellStyle name="Currency 2 2 6 3 2 2 2" xfId="34936"/>
    <cellStyle name="Currency 2 2 6 3 2 3" xfId="21205"/>
    <cellStyle name="Currency 2 2 6 3 2 3 2" xfId="41088"/>
    <cellStyle name="Currency 2 2 6 3 2 4" xfId="28783"/>
    <cellStyle name="Currency 2 2 6 3 3" xfId="11987"/>
    <cellStyle name="Currency 2 2 6 3 3 2" xfId="31870"/>
    <cellStyle name="Currency 2 2 6 3 4" xfId="18139"/>
    <cellStyle name="Currency 2 2 6 3 4 2" xfId="38022"/>
    <cellStyle name="Currency 2 2 6 3 5" xfId="25717"/>
    <cellStyle name="Currency 2 2 6 4" xfId="7325"/>
    <cellStyle name="Currency 2 2 6 4 2" xfId="13519"/>
    <cellStyle name="Currency 2 2 6 4 2 2" xfId="33402"/>
    <cellStyle name="Currency 2 2 6 4 3" xfId="19671"/>
    <cellStyle name="Currency 2 2 6 4 3 2" xfId="39554"/>
    <cellStyle name="Currency 2 2 6 4 4" xfId="27249"/>
    <cellStyle name="Currency 2 2 6 5" xfId="10453"/>
    <cellStyle name="Currency 2 2 6 5 2" xfId="30336"/>
    <cellStyle name="Currency 2 2 6 6" xfId="16605"/>
    <cellStyle name="Currency 2 2 6 6 2" xfId="36488"/>
    <cellStyle name="Currency 2 2 6 7" xfId="24183"/>
    <cellStyle name="Currency 2 2 7" xfId="3182"/>
    <cellStyle name="Currency 2 2 7 2" xfId="4919"/>
    <cellStyle name="Currency 2 2 7 2 2" xfId="6544"/>
    <cellStyle name="Currency 2 2 7 2 2 2" xfId="9630"/>
    <cellStyle name="Currency 2 2 7 2 2 2 2" xfId="15823"/>
    <cellStyle name="Currency 2 2 7 2 2 2 2 2" xfId="35706"/>
    <cellStyle name="Currency 2 2 7 2 2 2 3" xfId="21975"/>
    <cellStyle name="Currency 2 2 7 2 2 2 3 2" xfId="41858"/>
    <cellStyle name="Currency 2 2 7 2 2 2 4" xfId="29553"/>
    <cellStyle name="Currency 2 2 7 2 2 3" xfId="12757"/>
    <cellStyle name="Currency 2 2 7 2 2 3 2" xfId="32640"/>
    <cellStyle name="Currency 2 2 7 2 2 4" xfId="18909"/>
    <cellStyle name="Currency 2 2 7 2 2 4 2" xfId="38792"/>
    <cellStyle name="Currency 2 2 7 2 2 5" xfId="26487"/>
    <cellStyle name="Currency 2 2 7 2 3" xfId="8095"/>
    <cellStyle name="Currency 2 2 7 2 3 2" xfId="14289"/>
    <cellStyle name="Currency 2 2 7 2 3 2 2" xfId="34172"/>
    <cellStyle name="Currency 2 2 7 2 3 3" xfId="20441"/>
    <cellStyle name="Currency 2 2 7 2 3 3 2" xfId="40324"/>
    <cellStyle name="Currency 2 2 7 2 3 4" xfId="28019"/>
    <cellStyle name="Currency 2 2 7 2 4" xfId="11223"/>
    <cellStyle name="Currency 2 2 7 2 4 2" xfId="31106"/>
    <cellStyle name="Currency 2 2 7 2 5" xfId="17375"/>
    <cellStyle name="Currency 2 2 7 2 5 2" xfId="37258"/>
    <cellStyle name="Currency 2 2 7 2 6" xfId="24953"/>
    <cellStyle name="Currency 2 2 7 3" xfId="5760"/>
    <cellStyle name="Currency 2 2 7 3 2" xfId="8861"/>
    <cellStyle name="Currency 2 2 7 3 2 2" xfId="15054"/>
    <cellStyle name="Currency 2 2 7 3 2 2 2" xfId="34937"/>
    <cellStyle name="Currency 2 2 7 3 2 3" xfId="21206"/>
    <cellStyle name="Currency 2 2 7 3 2 3 2" xfId="41089"/>
    <cellStyle name="Currency 2 2 7 3 2 4" xfId="28784"/>
    <cellStyle name="Currency 2 2 7 3 3" xfId="11988"/>
    <cellStyle name="Currency 2 2 7 3 3 2" xfId="31871"/>
    <cellStyle name="Currency 2 2 7 3 4" xfId="18140"/>
    <cellStyle name="Currency 2 2 7 3 4 2" xfId="38023"/>
    <cellStyle name="Currency 2 2 7 3 5" xfId="25718"/>
    <cellStyle name="Currency 2 2 7 4" xfId="7326"/>
    <cellStyle name="Currency 2 2 7 4 2" xfId="13520"/>
    <cellStyle name="Currency 2 2 7 4 2 2" xfId="33403"/>
    <cellStyle name="Currency 2 2 7 4 3" xfId="19672"/>
    <cellStyle name="Currency 2 2 7 4 3 2" xfId="39555"/>
    <cellStyle name="Currency 2 2 7 4 4" xfId="27250"/>
    <cellStyle name="Currency 2 2 7 5" xfId="10454"/>
    <cellStyle name="Currency 2 2 7 5 2" xfId="30337"/>
    <cellStyle name="Currency 2 2 7 6" xfId="16606"/>
    <cellStyle name="Currency 2 2 7 6 2" xfId="36489"/>
    <cellStyle name="Currency 2 2 7 7" xfId="24184"/>
    <cellStyle name="Currency 2 2 8" xfId="3183"/>
    <cellStyle name="Currency 2 2 8 2" xfId="4920"/>
    <cellStyle name="Currency 2 2 8 2 2" xfId="6545"/>
    <cellStyle name="Currency 2 2 8 2 2 2" xfId="9631"/>
    <cellStyle name="Currency 2 2 8 2 2 2 2" xfId="15824"/>
    <cellStyle name="Currency 2 2 8 2 2 2 2 2" xfId="35707"/>
    <cellStyle name="Currency 2 2 8 2 2 2 3" xfId="21976"/>
    <cellStyle name="Currency 2 2 8 2 2 2 3 2" xfId="41859"/>
    <cellStyle name="Currency 2 2 8 2 2 2 4" xfId="29554"/>
    <cellStyle name="Currency 2 2 8 2 2 3" xfId="12758"/>
    <cellStyle name="Currency 2 2 8 2 2 3 2" xfId="32641"/>
    <cellStyle name="Currency 2 2 8 2 2 4" xfId="18910"/>
    <cellStyle name="Currency 2 2 8 2 2 4 2" xfId="38793"/>
    <cellStyle name="Currency 2 2 8 2 2 5" xfId="26488"/>
    <cellStyle name="Currency 2 2 8 2 3" xfId="8096"/>
    <cellStyle name="Currency 2 2 8 2 3 2" xfId="14290"/>
    <cellStyle name="Currency 2 2 8 2 3 2 2" xfId="34173"/>
    <cellStyle name="Currency 2 2 8 2 3 3" xfId="20442"/>
    <cellStyle name="Currency 2 2 8 2 3 3 2" xfId="40325"/>
    <cellStyle name="Currency 2 2 8 2 3 4" xfId="28020"/>
    <cellStyle name="Currency 2 2 8 2 4" xfId="11224"/>
    <cellStyle name="Currency 2 2 8 2 4 2" xfId="31107"/>
    <cellStyle name="Currency 2 2 8 2 5" xfId="17376"/>
    <cellStyle name="Currency 2 2 8 2 5 2" xfId="37259"/>
    <cellStyle name="Currency 2 2 8 2 6" xfId="24954"/>
    <cellStyle name="Currency 2 2 8 3" xfId="5761"/>
    <cellStyle name="Currency 2 2 8 3 2" xfId="8862"/>
    <cellStyle name="Currency 2 2 8 3 2 2" xfId="15055"/>
    <cellStyle name="Currency 2 2 8 3 2 2 2" xfId="34938"/>
    <cellStyle name="Currency 2 2 8 3 2 3" xfId="21207"/>
    <cellStyle name="Currency 2 2 8 3 2 3 2" xfId="41090"/>
    <cellStyle name="Currency 2 2 8 3 2 4" xfId="28785"/>
    <cellStyle name="Currency 2 2 8 3 3" xfId="11989"/>
    <cellStyle name="Currency 2 2 8 3 3 2" xfId="31872"/>
    <cellStyle name="Currency 2 2 8 3 4" xfId="18141"/>
    <cellStyle name="Currency 2 2 8 3 4 2" xfId="38024"/>
    <cellStyle name="Currency 2 2 8 3 5" xfId="25719"/>
    <cellStyle name="Currency 2 2 8 4" xfId="7327"/>
    <cellStyle name="Currency 2 2 8 4 2" xfId="13521"/>
    <cellStyle name="Currency 2 2 8 4 2 2" xfId="33404"/>
    <cellStyle name="Currency 2 2 8 4 3" xfId="19673"/>
    <cellStyle name="Currency 2 2 8 4 3 2" xfId="39556"/>
    <cellStyle name="Currency 2 2 8 4 4" xfId="27251"/>
    <cellStyle name="Currency 2 2 8 5" xfId="10455"/>
    <cellStyle name="Currency 2 2 8 5 2" xfId="30338"/>
    <cellStyle name="Currency 2 2 8 6" xfId="16607"/>
    <cellStyle name="Currency 2 2 8 6 2" xfId="36490"/>
    <cellStyle name="Currency 2 2 8 7" xfId="24185"/>
    <cellStyle name="Currency 2 2 9" xfId="3184"/>
    <cellStyle name="Currency 2 2 9 2" xfId="4921"/>
    <cellStyle name="Currency 2 2 9 2 2" xfId="6546"/>
    <cellStyle name="Currency 2 2 9 2 2 2" xfId="9632"/>
    <cellStyle name="Currency 2 2 9 2 2 2 2" xfId="15825"/>
    <cellStyle name="Currency 2 2 9 2 2 2 2 2" xfId="35708"/>
    <cellStyle name="Currency 2 2 9 2 2 2 3" xfId="21977"/>
    <cellStyle name="Currency 2 2 9 2 2 2 3 2" xfId="41860"/>
    <cellStyle name="Currency 2 2 9 2 2 2 4" xfId="29555"/>
    <cellStyle name="Currency 2 2 9 2 2 3" xfId="12759"/>
    <cellStyle name="Currency 2 2 9 2 2 3 2" xfId="32642"/>
    <cellStyle name="Currency 2 2 9 2 2 4" xfId="18911"/>
    <cellStyle name="Currency 2 2 9 2 2 4 2" xfId="38794"/>
    <cellStyle name="Currency 2 2 9 2 2 5" xfId="26489"/>
    <cellStyle name="Currency 2 2 9 2 3" xfId="8097"/>
    <cellStyle name="Currency 2 2 9 2 3 2" xfId="14291"/>
    <cellStyle name="Currency 2 2 9 2 3 2 2" xfId="34174"/>
    <cellStyle name="Currency 2 2 9 2 3 3" xfId="20443"/>
    <cellStyle name="Currency 2 2 9 2 3 3 2" xfId="40326"/>
    <cellStyle name="Currency 2 2 9 2 3 4" xfId="28021"/>
    <cellStyle name="Currency 2 2 9 2 4" xfId="11225"/>
    <cellStyle name="Currency 2 2 9 2 4 2" xfId="31108"/>
    <cellStyle name="Currency 2 2 9 2 5" xfId="17377"/>
    <cellStyle name="Currency 2 2 9 2 5 2" xfId="37260"/>
    <cellStyle name="Currency 2 2 9 2 6" xfId="24955"/>
    <cellStyle name="Currency 2 2 9 3" xfId="5762"/>
    <cellStyle name="Currency 2 2 9 3 2" xfId="8863"/>
    <cellStyle name="Currency 2 2 9 3 2 2" xfId="15056"/>
    <cellStyle name="Currency 2 2 9 3 2 2 2" xfId="34939"/>
    <cellStyle name="Currency 2 2 9 3 2 3" xfId="21208"/>
    <cellStyle name="Currency 2 2 9 3 2 3 2" xfId="41091"/>
    <cellStyle name="Currency 2 2 9 3 2 4" xfId="28786"/>
    <cellStyle name="Currency 2 2 9 3 3" xfId="11990"/>
    <cellStyle name="Currency 2 2 9 3 3 2" xfId="31873"/>
    <cellStyle name="Currency 2 2 9 3 4" xfId="18142"/>
    <cellStyle name="Currency 2 2 9 3 4 2" xfId="38025"/>
    <cellStyle name="Currency 2 2 9 3 5" xfId="25720"/>
    <cellStyle name="Currency 2 2 9 4" xfId="7328"/>
    <cellStyle name="Currency 2 2 9 4 2" xfId="13522"/>
    <cellStyle name="Currency 2 2 9 4 2 2" xfId="33405"/>
    <cellStyle name="Currency 2 2 9 4 3" xfId="19674"/>
    <cellStyle name="Currency 2 2 9 4 3 2" xfId="39557"/>
    <cellStyle name="Currency 2 2 9 4 4" xfId="27252"/>
    <cellStyle name="Currency 2 2 9 5" xfId="10456"/>
    <cellStyle name="Currency 2 2 9 5 2" xfId="30339"/>
    <cellStyle name="Currency 2 2 9 6" xfId="16608"/>
    <cellStyle name="Currency 2 2 9 6 2" xfId="36491"/>
    <cellStyle name="Currency 2 2 9 7" xfId="24186"/>
    <cellStyle name="Currency 2 20" xfId="528"/>
    <cellStyle name="Currency 2 20 2" xfId="3185"/>
    <cellStyle name="Currency 2 21" xfId="555"/>
    <cellStyle name="Currency 2 21 2" xfId="3186"/>
    <cellStyle name="Currency 2 22" xfId="583"/>
    <cellStyle name="Currency 2 22 2" xfId="3187"/>
    <cellStyle name="Currency 2 23" xfId="558"/>
    <cellStyle name="Currency 2 23 2" xfId="3188"/>
    <cellStyle name="Currency 2 24" xfId="632"/>
    <cellStyle name="Currency 2 24 2" xfId="3189"/>
    <cellStyle name="Currency 2 24 3" xfId="3190"/>
    <cellStyle name="Currency 2 25" xfId="674"/>
    <cellStyle name="Currency 2 25 2" xfId="3192"/>
    <cellStyle name="Currency 2 25 3" xfId="3191"/>
    <cellStyle name="Currency 2 26" xfId="693"/>
    <cellStyle name="Currency 2 26 2" xfId="3194"/>
    <cellStyle name="Currency 2 26 3" xfId="3193"/>
    <cellStyle name="Currency 2 27" xfId="725"/>
    <cellStyle name="Currency 2 27 2" xfId="4896"/>
    <cellStyle name="Currency 2 27 2 2" xfId="6521"/>
    <cellStyle name="Currency 2 27 2 2 2" xfId="9607"/>
    <cellStyle name="Currency 2 27 2 2 2 2" xfId="15800"/>
    <cellStyle name="Currency 2 27 2 2 2 2 2" xfId="35683"/>
    <cellStyle name="Currency 2 27 2 2 2 3" xfId="21952"/>
    <cellStyle name="Currency 2 27 2 2 2 3 2" xfId="41835"/>
    <cellStyle name="Currency 2 27 2 2 2 4" xfId="29530"/>
    <cellStyle name="Currency 2 27 2 2 3" xfId="12734"/>
    <cellStyle name="Currency 2 27 2 2 3 2" xfId="32617"/>
    <cellStyle name="Currency 2 27 2 2 4" xfId="18886"/>
    <cellStyle name="Currency 2 27 2 2 4 2" xfId="38769"/>
    <cellStyle name="Currency 2 27 2 2 5" xfId="26464"/>
    <cellStyle name="Currency 2 27 2 3" xfId="8072"/>
    <cellStyle name="Currency 2 27 2 3 2" xfId="14266"/>
    <cellStyle name="Currency 2 27 2 3 2 2" xfId="34149"/>
    <cellStyle name="Currency 2 27 2 3 3" xfId="20418"/>
    <cellStyle name="Currency 2 27 2 3 3 2" xfId="40301"/>
    <cellStyle name="Currency 2 27 2 3 4" xfId="27996"/>
    <cellStyle name="Currency 2 27 2 4" xfId="11200"/>
    <cellStyle name="Currency 2 27 2 4 2" xfId="31083"/>
    <cellStyle name="Currency 2 27 2 5" xfId="17352"/>
    <cellStyle name="Currency 2 27 2 5 2" xfId="37235"/>
    <cellStyle name="Currency 2 27 2 6" xfId="24930"/>
    <cellStyle name="Currency 2 27 3" xfId="5737"/>
    <cellStyle name="Currency 2 27 3 2" xfId="8838"/>
    <cellStyle name="Currency 2 27 3 2 2" xfId="15031"/>
    <cellStyle name="Currency 2 27 3 2 2 2" xfId="34914"/>
    <cellStyle name="Currency 2 27 3 2 3" xfId="21183"/>
    <cellStyle name="Currency 2 27 3 2 3 2" xfId="41066"/>
    <cellStyle name="Currency 2 27 3 2 4" xfId="28761"/>
    <cellStyle name="Currency 2 27 3 3" xfId="11965"/>
    <cellStyle name="Currency 2 27 3 3 2" xfId="31848"/>
    <cellStyle name="Currency 2 27 3 4" xfId="18117"/>
    <cellStyle name="Currency 2 27 3 4 2" xfId="38000"/>
    <cellStyle name="Currency 2 27 3 5" xfId="25695"/>
    <cellStyle name="Currency 2 27 4" xfId="7303"/>
    <cellStyle name="Currency 2 27 4 2" xfId="13497"/>
    <cellStyle name="Currency 2 27 4 2 2" xfId="33380"/>
    <cellStyle name="Currency 2 27 4 3" xfId="19649"/>
    <cellStyle name="Currency 2 27 4 3 2" xfId="39532"/>
    <cellStyle name="Currency 2 27 4 4" xfId="27227"/>
    <cellStyle name="Currency 2 27 5" xfId="10431"/>
    <cellStyle name="Currency 2 27 5 2" xfId="30314"/>
    <cellStyle name="Currency 2 27 6" xfId="16583"/>
    <cellStyle name="Currency 2 27 6 2" xfId="36466"/>
    <cellStyle name="Currency 2 27 7" xfId="3147"/>
    <cellStyle name="Currency 2 27 7 2" xfId="24161"/>
    <cellStyle name="Currency 2 28" xfId="752"/>
    <cellStyle name="Currency 2 28 2" xfId="10223"/>
    <cellStyle name="Currency 2 29" xfId="778"/>
    <cellStyle name="Currency 2 3" xfId="56"/>
    <cellStyle name="Currency 2 3 2" xfId="3196"/>
    <cellStyle name="Currency 2 3 3" xfId="4656"/>
    <cellStyle name="Currency 2 3 4" xfId="3195"/>
    <cellStyle name="Currency 2 3 5" xfId="10256"/>
    <cellStyle name="Currency 2 3 6" xfId="23167"/>
    <cellStyle name="Currency 2 3 6 2" xfId="43001"/>
    <cellStyle name="Currency 2 30" xfId="802"/>
    <cellStyle name="Currency 2 31" xfId="193"/>
    <cellStyle name="Currency 2 32" xfId="23165"/>
    <cellStyle name="Currency 2 4" xfId="249"/>
    <cellStyle name="Currency 2 4 2" xfId="4657"/>
    <cellStyle name="Currency 2 4 3" xfId="3197"/>
    <cellStyle name="Currency 2 5" xfId="267"/>
    <cellStyle name="Currency 2 6" xfId="262"/>
    <cellStyle name="Currency 2 6 2" xfId="4658"/>
    <cellStyle name="Currency 2 6 3" xfId="3198"/>
    <cellStyle name="Currency 2 7" xfId="280"/>
    <cellStyle name="Currency 2 7 2" xfId="4659"/>
    <cellStyle name="Currency 2 7 3" xfId="3199"/>
    <cellStyle name="Currency 2 8" xfId="330"/>
    <cellStyle name="Currency 2 8 2" xfId="4660"/>
    <cellStyle name="Currency 2 8 3" xfId="3200"/>
    <cellStyle name="Currency 2 9" xfId="284"/>
    <cellStyle name="Currency 2 9 2" xfId="4661"/>
    <cellStyle name="Currency 2 9 3" xfId="3201"/>
    <cellStyle name="Currency 20" xfId="3202"/>
    <cellStyle name="Currency 20 2" xfId="3203"/>
    <cellStyle name="Currency 20 3" xfId="3204"/>
    <cellStyle name="Currency 200" xfId="23329"/>
    <cellStyle name="Currency 21" xfId="3205"/>
    <cellStyle name="Currency 22" xfId="3206"/>
    <cellStyle name="Currency 23" xfId="3207"/>
    <cellStyle name="Currency 24" xfId="3208"/>
    <cellStyle name="Currency 25" xfId="3209"/>
    <cellStyle name="Currency 26" xfId="3210"/>
    <cellStyle name="Currency 27" xfId="3211"/>
    <cellStyle name="Currency 28" xfId="3212"/>
    <cellStyle name="Currency 29" xfId="3213"/>
    <cellStyle name="Currency 3" xfId="13"/>
    <cellStyle name="Currency 3 10" xfId="328"/>
    <cellStyle name="Currency 3 10 2" xfId="4922"/>
    <cellStyle name="Currency 3 10 2 2" xfId="6547"/>
    <cellStyle name="Currency 3 10 2 2 2" xfId="9633"/>
    <cellStyle name="Currency 3 10 2 2 2 2" xfId="15826"/>
    <cellStyle name="Currency 3 10 2 2 2 2 2" xfId="35709"/>
    <cellStyle name="Currency 3 10 2 2 2 3" xfId="21978"/>
    <cellStyle name="Currency 3 10 2 2 2 3 2" xfId="41861"/>
    <cellStyle name="Currency 3 10 2 2 2 4" xfId="29556"/>
    <cellStyle name="Currency 3 10 2 2 3" xfId="12760"/>
    <cellStyle name="Currency 3 10 2 2 3 2" xfId="32643"/>
    <cellStyle name="Currency 3 10 2 2 4" xfId="18912"/>
    <cellStyle name="Currency 3 10 2 2 4 2" xfId="38795"/>
    <cellStyle name="Currency 3 10 2 2 5" xfId="26490"/>
    <cellStyle name="Currency 3 10 2 3" xfId="8098"/>
    <cellStyle name="Currency 3 10 2 3 2" xfId="14292"/>
    <cellStyle name="Currency 3 10 2 3 2 2" xfId="34175"/>
    <cellStyle name="Currency 3 10 2 3 3" xfId="20444"/>
    <cellStyle name="Currency 3 10 2 3 3 2" xfId="40327"/>
    <cellStyle name="Currency 3 10 2 3 4" xfId="28022"/>
    <cellStyle name="Currency 3 10 2 4" xfId="11226"/>
    <cellStyle name="Currency 3 10 2 4 2" xfId="31109"/>
    <cellStyle name="Currency 3 10 2 5" xfId="17378"/>
    <cellStyle name="Currency 3 10 2 5 2" xfId="37261"/>
    <cellStyle name="Currency 3 10 2 6" xfId="24956"/>
    <cellStyle name="Currency 3 10 3" xfId="5763"/>
    <cellStyle name="Currency 3 10 3 2" xfId="8864"/>
    <cellStyle name="Currency 3 10 3 2 2" xfId="15057"/>
    <cellStyle name="Currency 3 10 3 2 2 2" xfId="34940"/>
    <cellStyle name="Currency 3 10 3 2 3" xfId="21209"/>
    <cellStyle name="Currency 3 10 3 2 3 2" xfId="41092"/>
    <cellStyle name="Currency 3 10 3 2 4" xfId="28787"/>
    <cellStyle name="Currency 3 10 3 3" xfId="11991"/>
    <cellStyle name="Currency 3 10 3 3 2" xfId="31874"/>
    <cellStyle name="Currency 3 10 3 4" xfId="18143"/>
    <cellStyle name="Currency 3 10 3 4 2" xfId="38026"/>
    <cellStyle name="Currency 3 10 3 5" xfId="25721"/>
    <cellStyle name="Currency 3 10 4" xfId="7329"/>
    <cellStyle name="Currency 3 10 4 2" xfId="13523"/>
    <cellStyle name="Currency 3 10 4 2 2" xfId="33406"/>
    <cellStyle name="Currency 3 10 4 3" xfId="19675"/>
    <cellStyle name="Currency 3 10 4 3 2" xfId="39558"/>
    <cellStyle name="Currency 3 10 4 4" xfId="27253"/>
    <cellStyle name="Currency 3 10 5" xfId="10457"/>
    <cellStyle name="Currency 3 10 5 2" xfId="30340"/>
    <cellStyle name="Currency 3 10 6" xfId="16609"/>
    <cellStyle name="Currency 3 10 6 2" xfId="36492"/>
    <cellStyle name="Currency 3 10 7" xfId="3214"/>
    <cellStyle name="Currency 3 10 7 2" xfId="24187"/>
    <cellStyle name="Currency 3 11" xfId="342"/>
    <cellStyle name="Currency 3 11 2" xfId="4923"/>
    <cellStyle name="Currency 3 11 2 2" xfId="6548"/>
    <cellStyle name="Currency 3 11 2 2 2" xfId="9634"/>
    <cellStyle name="Currency 3 11 2 2 2 2" xfId="15827"/>
    <cellStyle name="Currency 3 11 2 2 2 2 2" xfId="35710"/>
    <cellStyle name="Currency 3 11 2 2 2 3" xfId="21979"/>
    <cellStyle name="Currency 3 11 2 2 2 3 2" xfId="41862"/>
    <cellStyle name="Currency 3 11 2 2 2 4" xfId="29557"/>
    <cellStyle name="Currency 3 11 2 2 3" xfId="12761"/>
    <cellStyle name="Currency 3 11 2 2 3 2" xfId="32644"/>
    <cellStyle name="Currency 3 11 2 2 4" xfId="18913"/>
    <cellStyle name="Currency 3 11 2 2 4 2" xfId="38796"/>
    <cellStyle name="Currency 3 11 2 2 5" xfId="26491"/>
    <cellStyle name="Currency 3 11 2 3" xfId="8099"/>
    <cellStyle name="Currency 3 11 2 3 2" xfId="14293"/>
    <cellStyle name="Currency 3 11 2 3 2 2" xfId="34176"/>
    <cellStyle name="Currency 3 11 2 3 3" xfId="20445"/>
    <cellStyle name="Currency 3 11 2 3 3 2" xfId="40328"/>
    <cellStyle name="Currency 3 11 2 3 4" xfId="28023"/>
    <cellStyle name="Currency 3 11 2 4" xfId="11227"/>
    <cellStyle name="Currency 3 11 2 4 2" xfId="31110"/>
    <cellStyle name="Currency 3 11 2 5" xfId="17379"/>
    <cellStyle name="Currency 3 11 2 5 2" xfId="37262"/>
    <cellStyle name="Currency 3 11 2 6" xfId="24957"/>
    <cellStyle name="Currency 3 11 3" xfId="5764"/>
    <cellStyle name="Currency 3 11 3 2" xfId="8865"/>
    <cellStyle name="Currency 3 11 3 2 2" xfId="15058"/>
    <cellStyle name="Currency 3 11 3 2 2 2" xfId="34941"/>
    <cellStyle name="Currency 3 11 3 2 3" xfId="21210"/>
    <cellStyle name="Currency 3 11 3 2 3 2" xfId="41093"/>
    <cellStyle name="Currency 3 11 3 2 4" xfId="28788"/>
    <cellStyle name="Currency 3 11 3 3" xfId="11992"/>
    <cellStyle name="Currency 3 11 3 3 2" xfId="31875"/>
    <cellStyle name="Currency 3 11 3 4" xfId="18144"/>
    <cellStyle name="Currency 3 11 3 4 2" xfId="38027"/>
    <cellStyle name="Currency 3 11 3 5" xfId="25722"/>
    <cellStyle name="Currency 3 11 4" xfId="7330"/>
    <cellStyle name="Currency 3 11 4 2" xfId="13524"/>
    <cellStyle name="Currency 3 11 4 2 2" xfId="33407"/>
    <cellStyle name="Currency 3 11 4 3" xfId="19676"/>
    <cellStyle name="Currency 3 11 4 3 2" xfId="39559"/>
    <cellStyle name="Currency 3 11 4 4" xfId="27254"/>
    <cellStyle name="Currency 3 11 5" xfId="10458"/>
    <cellStyle name="Currency 3 11 5 2" xfId="30341"/>
    <cellStyle name="Currency 3 11 6" xfId="16610"/>
    <cellStyle name="Currency 3 11 6 2" xfId="36493"/>
    <cellStyle name="Currency 3 11 7" xfId="3215"/>
    <cellStyle name="Currency 3 11 7 2" xfId="24188"/>
    <cellStyle name="Currency 3 12" xfId="361"/>
    <cellStyle name="Currency 3 12 2" xfId="4924"/>
    <cellStyle name="Currency 3 12 2 2" xfId="6549"/>
    <cellStyle name="Currency 3 12 2 2 2" xfId="9635"/>
    <cellStyle name="Currency 3 12 2 2 2 2" xfId="15828"/>
    <cellStyle name="Currency 3 12 2 2 2 2 2" xfId="35711"/>
    <cellStyle name="Currency 3 12 2 2 2 3" xfId="21980"/>
    <cellStyle name="Currency 3 12 2 2 2 3 2" xfId="41863"/>
    <cellStyle name="Currency 3 12 2 2 2 4" xfId="29558"/>
    <cellStyle name="Currency 3 12 2 2 3" xfId="12762"/>
    <cellStyle name="Currency 3 12 2 2 3 2" xfId="32645"/>
    <cellStyle name="Currency 3 12 2 2 4" xfId="18914"/>
    <cellStyle name="Currency 3 12 2 2 4 2" xfId="38797"/>
    <cellStyle name="Currency 3 12 2 2 5" xfId="26492"/>
    <cellStyle name="Currency 3 12 2 3" xfId="8100"/>
    <cellStyle name="Currency 3 12 2 3 2" xfId="14294"/>
    <cellStyle name="Currency 3 12 2 3 2 2" xfId="34177"/>
    <cellStyle name="Currency 3 12 2 3 3" xfId="20446"/>
    <cellStyle name="Currency 3 12 2 3 3 2" xfId="40329"/>
    <cellStyle name="Currency 3 12 2 3 4" xfId="28024"/>
    <cellStyle name="Currency 3 12 2 4" xfId="11228"/>
    <cellStyle name="Currency 3 12 2 4 2" xfId="31111"/>
    <cellStyle name="Currency 3 12 2 5" xfId="17380"/>
    <cellStyle name="Currency 3 12 2 5 2" xfId="37263"/>
    <cellStyle name="Currency 3 12 2 6" xfId="24958"/>
    <cellStyle name="Currency 3 12 3" xfId="5765"/>
    <cellStyle name="Currency 3 12 3 2" xfId="8866"/>
    <cellStyle name="Currency 3 12 3 2 2" xfId="15059"/>
    <cellStyle name="Currency 3 12 3 2 2 2" xfId="34942"/>
    <cellStyle name="Currency 3 12 3 2 3" xfId="21211"/>
    <cellStyle name="Currency 3 12 3 2 3 2" xfId="41094"/>
    <cellStyle name="Currency 3 12 3 2 4" xfId="28789"/>
    <cellStyle name="Currency 3 12 3 3" xfId="11993"/>
    <cellStyle name="Currency 3 12 3 3 2" xfId="31876"/>
    <cellStyle name="Currency 3 12 3 4" xfId="18145"/>
    <cellStyle name="Currency 3 12 3 4 2" xfId="38028"/>
    <cellStyle name="Currency 3 12 3 5" xfId="25723"/>
    <cellStyle name="Currency 3 12 4" xfId="7331"/>
    <cellStyle name="Currency 3 12 4 2" xfId="13525"/>
    <cellStyle name="Currency 3 12 4 2 2" xfId="33408"/>
    <cellStyle name="Currency 3 12 4 3" xfId="19677"/>
    <cellStyle name="Currency 3 12 4 3 2" xfId="39560"/>
    <cellStyle name="Currency 3 12 4 4" xfId="27255"/>
    <cellStyle name="Currency 3 12 5" xfId="10459"/>
    <cellStyle name="Currency 3 12 5 2" xfId="30342"/>
    <cellStyle name="Currency 3 12 6" xfId="16611"/>
    <cellStyle name="Currency 3 12 6 2" xfId="36494"/>
    <cellStyle name="Currency 3 12 7" xfId="3216"/>
    <cellStyle name="Currency 3 12 7 2" xfId="24189"/>
    <cellStyle name="Currency 3 13" xfId="376"/>
    <cellStyle name="Currency 3 13 2" xfId="4925"/>
    <cellStyle name="Currency 3 13 2 2" xfId="6550"/>
    <cellStyle name="Currency 3 13 2 2 2" xfId="9636"/>
    <cellStyle name="Currency 3 13 2 2 2 2" xfId="15829"/>
    <cellStyle name="Currency 3 13 2 2 2 2 2" xfId="35712"/>
    <cellStyle name="Currency 3 13 2 2 2 3" xfId="21981"/>
    <cellStyle name="Currency 3 13 2 2 2 3 2" xfId="41864"/>
    <cellStyle name="Currency 3 13 2 2 2 4" xfId="29559"/>
    <cellStyle name="Currency 3 13 2 2 3" xfId="12763"/>
    <cellStyle name="Currency 3 13 2 2 3 2" xfId="32646"/>
    <cellStyle name="Currency 3 13 2 2 4" xfId="18915"/>
    <cellStyle name="Currency 3 13 2 2 4 2" xfId="38798"/>
    <cellStyle name="Currency 3 13 2 2 5" xfId="26493"/>
    <cellStyle name="Currency 3 13 2 3" xfId="8101"/>
    <cellStyle name="Currency 3 13 2 3 2" xfId="14295"/>
    <cellStyle name="Currency 3 13 2 3 2 2" xfId="34178"/>
    <cellStyle name="Currency 3 13 2 3 3" xfId="20447"/>
    <cellStyle name="Currency 3 13 2 3 3 2" xfId="40330"/>
    <cellStyle name="Currency 3 13 2 3 4" xfId="28025"/>
    <cellStyle name="Currency 3 13 2 4" xfId="11229"/>
    <cellStyle name="Currency 3 13 2 4 2" xfId="31112"/>
    <cellStyle name="Currency 3 13 2 5" xfId="17381"/>
    <cellStyle name="Currency 3 13 2 5 2" xfId="37264"/>
    <cellStyle name="Currency 3 13 2 6" xfId="24959"/>
    <cellStyle name="Currency 3 13 3" xfId="5766"/>
    <cellStyle name="Currency 3 13 3 2" xfId="8867"/>
    <cellStyle name="Currency 3 13 3 2 2" xfId="15060"/>
    <cellStyle name="Currency 3 13 3 2 2 2" xfId="34943"/>
    <cellStyle name="Currency 3 13 3 2 3" xfId="21212"/>
    <cellStyle name="Currency 3 13 3 2 3 2" xfId="41095"/>
    <cellStyle name="Currency 3 13 3 2 4" xfId="28790"/>
    <cellStyle name="Currency 3 13 3 3" xfId="11994"/>
    <cellStyle name="Currency 3 13 3 3 2" xfId="31877"/>
    <cellStyle name="Currency 3 13 3 4" xfId="18146"/>
    <cellStyle name="Currency 3 13 3 4 2" xfId="38029"/>
    <cellStyle name="Currency 3 13 3 5" xfId="25724"/>
    <cellStyle name="Currency 3 13 4" xfId="7332"/>
    <cellStyle name="Currency 3 13 4 2" xfId="13526"/>
    <cellStyle name="Currency 3 13 4 2 2" xfId="33409"/>
    <cellStyle name="Currency 3 13 4 3" xfId="19678"/>
    <cellStyle name="Currency 3 13 4 3 2" xfId="39561"/>
    <cellStyle name="Currency 3 13 4 4" xfId="27256"/>
    <cellStyle name="Currency 3 13 5" xfId="10460"/>
    <cellStyle name="Currency 3 13 5 2" xfId="30343"/>
    <cellStyle name="Currency 3 13 6" xfId="16612"/>
    <cellStyle name="Currency 3 13 6 2" xfId="36495"/>
    <cellStyle name="Currency 3 13 7" xfId="3217"/>
    <cellStyle name="Currency 3 13 7 2" xfId="24190"/>
    <cellStyle name="Currency 3 14" xfId="428"/>
    <cellStyle name="Currency 3 14 2" xfId="4926"/>
    <cellStyle name="Currency 3 14 2 2" xfId="6551"/>
    <cellStyle name="Currency 3 14 2 2 2" xfId="9637"/>
    <cellStyle name="Currency 3 14 2 2 2 2" xfId="15830"/>
    <cellStyle name="Currency 3 14 2 2 2 2 2" xfId="35713"/>
    <cellStyle name="Currency 3 14 2 2 2 3" xfId="21982"/>
    <cellStyle name="Currency 3 14 2 2 2 3 2" xfId="41865"/>
    <cellStyle name="Currency 3 14 2 2 2 4" xfId="29560"/>
    <cellStyle name="Currency 3 14 2 2 3" xfId="12764"/>
    <cellStyle name="Currency 3 14 2 2 3 2" xfId="32647"/>
    <cellStyle name="Currency 3 14 2 2 4" xfId="18916"/>
    <cellStyle name="Currency 3 14 2 2 4 2" xfId="38799"/>
    <cellStyle name="Currency 3 14 2 2 5" xfId="26494"/>
    <cellStyle name="Currency 3 14 2 3" xfId="8102"/>
    <cellStyle name="Currency 3 14 2 3 2" xfId="14296"/>
    <cellStyle name="Currency 3 14 2 3 2 2" xfId="34179"/>
    <cellStyle name="Currency 3 14 2 3 3" xfId="20448"/>
    <cellStyle name="Currency 3 14 2 3 3 2" xfId="40331"/>
    <cellStyle name="Currency 3 14 2 3 4" xfId="28026"/>
    <cellStyle name="Currency 3 14 2 4" xfId="11230"/>
    <cellStyle name="Currency 3 14 2 4 2" xfId="31113"/>
    <cellStyle name="Currency 3 14 2 5" xfId="17382"/>
    <cellStyle name="Currency 3 14 2 5 2" xfId="37265"/>
    <cellStyle name="Currency 3 14 2 6" xfId="24960"/>
    <cellStyle name="Currency 3 14 3" xfId="5767"/>
    <cellStyle name="Currency 3 14 3 2" xfId="8868"/>
    <cellStyle name="Currency 3 14 3 2 2" xfId="15061"/>
    <cellStyle name="Currency 3 14 3 2 2 2" xfId="34944"/>
    <cellStyle name="Currency 3 14 3 2 3" xfId="21213"/>
    <cellStyle name="Currency 3 14 3 2 3 2" xfId="41096"/>
    <cellStyle name="Currency 3 14 3 2 4" xfId="28791"/>
    <cellStyle name="Currency 3 14 3 3" xfId="11995"/>
    <cellStyle name="Currency 3 14 3 3 2" xfId="31878"/>
    <cellStyle name="Currency 3 14 3 4" xfId="18147"/>
    <cellStyle name="Currency 3 14 3 4 2" xfId="38030"/>
    <cellStyle name="Currency 3 14 3 5" xfId="25725"/>
    <cellStyle name="Currency 3 14 4" xfId="7333"/>
    <cellStyle name="Currency 3 14 4 2" xfId="13527"/>
    <cellStyle name="Currency 3 14 4 2 2" xfId="33410"/>
    <cellStyle name="Currency 3 14 4 3" xfId="19679"/>
    <cellStyle name="Currency 3 14 4 3 2" xfId="39562"/>
    <cellStyle name="Currency 3 14 4 4" xfId="27257"/>
    <cellStyle name="Currency 3 14 5" xfId="10461"/>
    <cellStyle name="Currency 3 14 5 2" xfId="30344"/>
    <cellStyle name="Currency 3 14 6" xfId="16613"/>
    <cellStyle name="Currency 3 14 6 2" xfId="36496"/>
    <cellStyle name="Currency 3 14 7" xfId="3218"/>
    <cellStyle name="Currency 3 14 7 2" xfId="24191"/>
    <cellStyle name="Currency 3 15" xfId="461"/>
    <cellStyle name="Currency 3 15 2" xfId="4927"/>
    <cellStyle name="Currency 3 15 2 2" xfId="6552"/>
    <cellStyle name="Currency 3 15 2 2 2" xfId="9638"/>
    <cellStyle name="Currency 3 15 2 2 2 2" xfId="15831"/>
    <cellStyle name="Currency 3 15 2 2 2 2 2" xfId="35714"/>
    <cellStyle name="Currency 3 15 2 2 2 3" xfId="21983"/>
    <cellStyle name="Currency 3 15 2 2 2 3 2" xfId="41866"/>
    <cellStyle name="Currency 3 15 2 2 2 4" xfId="29561"/>
    <cellStyle name="Currency 3 15 2 2 3" xfId="12765"/>
    <cellStyle name="Currency 3 15 2 2 3 2" xfId="32648"/>
    <cellStyle name="Currency 3 15 2 2 4" xfId="18917"/>
    <cellStyle name="Currency 3 15 2 2 4 2" xfId="38800"/>
    <cellStyle name="Currency 3 15 2 2 5" xfId="26495"/>
    <cellStyle name="Currency 3 15 2 3" xfId="8103"/>
    <cellStyle name="Currency 3 15 2 3 2" xfId="14297"/>
    <cellStyle name="Currency 3 15 2 3 2 2" xfId="34180"/>
    <cellStyle name="Currency 3 15 2 3 3" xfId="20449"/>
    <cellStyle name="Currency 3 15 2 3 3 2" xfId="40332"/>
    <cellStyle name="Currency 3 15 2 3 4" xfId="28027"/>
    <cellStyle name="Currency 3 15 2 4" xfId="11231"/>
    <cellStyle name="Currency 3 15 2 4 2" xfId="31114"/>
    <cellStyle name="Currency 3 15 2 5" xfId="17383"/>
    <cellStyle name="Currency 3 15 2 5 2" xfId="37266"/>
    <cellStyle name="Currency 3 15 2 6" xfId="24961"/>
    <cellStyle name="Currency 3 15 3" xfId="5768"/>
    <cellStyle name="Currency 3 15 3 2" xfId="8869"/>
    <cellStyle name="Currency 3 15 3 2 2" xfId="15062"/>
    <cellStyle name="Currency 3 15 3 2 2 2" xfId="34945"/>
    <cellStyle name="Currency 3 15 3 2 3" xfId="21214"/>
    <cellStyle name="Currency 3 15 3 2 3 2" xfId="41097"/>
    <cellStyle name="Currency 3 15 3 2 4" xfId="28792"/>
    <cellStyle name="Currency 3 15 3 3" xfId="11996"/>
    <cellStyle name="Currency 3 15 3 3 2" xfId="31879"/>
    <cellStyle name="Currency 3 15 3 4" xfId="18148"/>
    <cellStyle name="Currency 3 15 3 4 2" xfId="38031"/>
    <cellStyle name="Currency 3 15 3 5" xfId="25726"/>
    <cellStyle name="Currency 3 15 4" xfId="7334"/>
    <cellStyle name="Currency 3 15 4 2" xfId="13528"/>
    <cellStyle name="Currency 3 15 4 2 2" xfId="33411"/>
    <cellStyle name="Currency 3 15 4 3" xfId="19680"/>
    <cellStyle name="Currency 3 15 4 3 2" xfId="39563"/>
    <cellStyle name="Currency 3 15 4 4" xfId="27258"/>
    <cellStyle name="Currency 3 15 5" xfId="10462"/>
    <cellStyle name="Currency 3 15 5 2" xfId="30345"/>
    <cellStyle name="Currency 3 15 6" xfId="16614"/>
    <cellStyle name="Currency 3 15 6 2" xfId="36497"/>
    <cellStyle name="Currency 3 15 7" xfId="3219"/>
    <cellStyle name="Currency 3 15 7 2" xfId="24192"/>
    <cellStyle name="Currency 3 16" xfId="484"/>
    <cellStyle name="Currency 3 16 2" xfId="4928"/>
    <cellStyle name="Currency 3 16 2 2" xfId="6553"/>
    <cellStyle name="Currency 3 16 2 2 2" xfId="9639"/>
    <cellStyle name="Currency 3 16 2 2 2 2" xfId="15832"/>
    <cellStyle name="Currency 3 16 2 2 2 2 2" xfId="35715"/>
    <cellStyle name="Currency 3 16 2 2 2 3" xfId="21984"/>
    <cellStyle name="Currency 3 16 2 2 2 3 2" xfId="41867"/>
    <cellStyle name="Currency 3 16 2 2 2 4" xfId="29562"/>
    <cellStyle name="Currency 3 16 2 2 3" xfId="12766"/>
    <cellStyle name="Currency 3 16 2 2 3 2" xfId="32649"/>
    <cellStyle name="Currency 3 16 2 2 4" xfId="18918"/>
    <cellStyle name="Currency 3 16 2 2 4 2" xfId="38801"/>
    <cellStyle name="Currency 3 16 2 2 5" xfId="26496"/>
    <cellStyle name="Currency 3 16 2 3" xfId="8104"/>
    <cellStyle name="Currency 3 16 2 3 2" xfId="14298"/>
    <cellStyle name="Currency 3 16 2 3 2 2" xfId="34181"/>
    <cellStyle name="Currency 3 16 2 3 3" xfId="20450"/>
    <cellStyle name="Currency 3 16 2 3 3 2" xfId="40333"/>
    <cellStyle name="Currency 3 16 2 3 4" xfId="28028"/>
    <cellStyle name="Currency 3 16 2 4" xfId="11232"/>
    <cellStyle name="Currency 3 16 2 4 2" xfId="31115"/>
    <cellStyle name="Currency 3 16 2 5" xfId="17384"/>
    <cellStyle name="Currency 3 16 2 5 2" xfId="37267"/>
    <cellStyle name="Currency 3 16 2 6" xfId="24962"/>
    <cellStyle name="Currency 3 16 3" xfId="5769"/>
    <cellStyle name="Currency 3 16 3 2" xfId="8870"/>
    <cellStyle name="Currency 3 16 3 2 2" xfId="15063"/>
    <cellStyle name="Currency 3 16 3 2 2 2" xfId="34946"/>
    <cellStyle name="Currency 3 16 3 2 3" xfId="21215"/>
    <cellStyle name="Currency 3 16 3 2 3 2" xfId="41098"/>
    <cellStyle name="Currency 3 16 3 2 4" xfId="28793"/>
    <cellStyle name="Currency 3 16 3 3" xfId="11997"/>
    <cellStyle name="Currency 3 16 3 3 2" xfId="31880"/>
    <cellStyle name="Currency 3 16 3 4" xfId="18149"/>
    <cellStyle name="Currency 3 16 3 4 2" xfId="38032"/>
    <cellStyle name="Currency 3 16 3 5" xfId="25727"/>
    <cellStyle name="Currency 3 16 4" xfId="7335"/>
    <cellStyle name="Currency 3 16 4 2" xfId="13529"/>
    <cellStyle name="Currency 3 16 4 2 2" xfId="33412"/>
    <cellStyle name="Currency 3 16 4 3" xfId="19681"/>
    <cellStyle name="Currency 3 16 4 3 2" xfId="39564"/>
    <cellStyle name="Currency 3 16 4 4" xfId="27259"/>
    <cellStyle name="Currency 3 16 5" xfId="10463"/>
    <cellStyle name="Currency 3 16 5 2" xfId="30346"/>
    <cellStyle name="Currency 3 16 6" xfId="16615"/>
    <cellStyle name="Currency 3 16 6 2" xfId="36498"/>
    <cellStyle name="Currency 3 16 7" xfId="3220"/>
    <cellStyle name="Currency 3 16 7 2" xfId="24193"/>
    <cellStyle name="Currency 3 17" xfId="498"/>
    <cellStyle name="Currency 3 17 2" xfId="4929"/>
    <cellStyle name="Currency 3 17 2 2" xfId="6554"/>
    <cellStyle name="Currency 3 17 2 2 2" xfId="9640"/>
    <cellStyle name="Currency 3 17 2 2 2 2" xfId="15833"/>
    <cellStyle name="Currency 3 17 2 2 2 2 2" xfId="35716"/>
    <cellStyle name="Currency 3 17 2 2 2 3" xfId="21985"/>
    <cellStyle name="Currency 3 17 2 2 2 3 2" xfId="41868"/>
    <cellStyle name="Currency 3 17 2 2 2 4" xfId="29563"/>
    <cellStyle name="Currency 3 17 2 2 3" xfId="12767"/>
    <cellStyle name="Currency 3 17 2 2 3 2" xfId="32650"/>
    <cellStyle name="Currency 3 17 2 2 4" xfId="18919"/>
    <cellStyle name="Currency 3 17 2 2 4 2" xfId="38802"/>
    <cellStyle name="Currency 3 17 2 2 5" xfId="26497"/>
    <cellStyle name="Currency 3 17 2 3" xfId="8105"/>
    <cellStyle name="Currency 3 17 2 3 2" xfId="14299"/>
    <cellStyle name="Currency 3 17 2 3 2 2" xfId="34182"/>
    <cellStyle name="Currency 3 17 2 3 3" xfId="20451"/>
    <cellStyle name="Currency 3 17 2 3 3 2" xfId="40334"/>
    <cellStyle name="Currency 3 17 2 3 4" xfId="28029"/>
    <cellStyle name="Currency 3 17 2 4" xfId="11233"/>
    <cellStyle name="Currency 3 17 2 4 2" xfId="31116"/>
    <cellStyle name="Currency 3 17 2 5" xfId="17385"/>
    <cellStyle name="Currency 3 17 2 5 2" xfId="37268"/>
    <cellStyle name="Currency 3 17 2 6" xfId="24963"/>
    <cellStyle name="Currency 3 17 3" xfId="5770"/>
    <cellStyle name="Currency 3 17 3 2" xfId="8871"/>
    <cellStyle name="Currency 3 17 3 2 2" xfId="15064"/>
    <cellStyle name="Currency 3 17 3 2 2 2" xfId="34947"/>
    <cellStyle name="Currency 3 17 3 2 3" xfId="21216"/>
    <cellStyle name="Currency 3 17 3 2 3 2" xfId="41099"/>
    <cellStyle name="Currency 3 17 3 2 4" xfId="28794"/>
    <cellStyle name="Currency 3 17 3 3" xfId="11998"/>
    <cellStyle name="Currency 3 17 3 3 2" xfId="31881"/>
    <cellStyle name="Currency 3 17 3 4" xfId="18150"/>
    <cellStyle name="Currency 3 17 3 4 2" xfId="38033"/>
    <cellStyle name="Currency 3 17 3 5" xfId="25728"/>
    <cellStyle name="Currency 3 17 4" xfId="7336"/>
    <cellStyle name="Currency 3 17 4 2" xfId="13530"/>
    <cellStyle name="Currency 3 17 4 2 2" xfId="33413"/>
    <cellStyle name="Currency 3 17 4 3" xfId="19682"/>
    <cellStyle name="Currency 3 17 4 3 2" xfId="39565"/>
    <cellStyle name="Currency 3 17 4 4" xfId="27260"/>
    <cellStyle name="Currency 3 17 5" xfId="10464"/>
    <cellStyle name="Currency 3 17 5 2" xfId="30347"/>
    <cellStyle name="Currency 3 17 6" xfId="16616"/>
    <cellStyle name="Currency 3 17 6 2" xfId="36499"/>
    <cellStyle name="Currency 3 17 7" xfId="3221"/>
    <cellStyle name="Currency 3 17 7 2" xfId="24194"/>
    <cellStyle name="Currency 3 18" xfId="505"/>
    <cellStyle name="Currency 3 18 2" xfId="4930"/>
    <cellStyle name="Currency 3 18 2 2" xfId="6555"/>
    <cellStyle name="Currency 3 18 2 2 2" xfId="9641"/>
    <cellStyle name="Currency 3 18 2 2 2 2" xfId="15834"/>
    <cellStyle name="Currency 3 18 2 2 2 2 2" xfId="35717"/>
    <cellStyle name="Currency 3 18 2 2 2 3" xfId="21986"/>
    <cellStyle name="Currency 3 18 2 2 2 3 2" xfId="41869"/>
    <cellStyle name="Currency 3 18 2 2 2 4" xfId="29564"/>
    <cellStyle name="Currency 3 18 2 2 3" xfId="12768"/>
    <cellStyle name="Currency 3 18 2 2 3 2" xfId="32651"/>
    <cellStyle name="Currency 3 18 2 2 4" xfId="18920"/>
    <cellStyle name="Currency 3 18 2 2 4 2" xfId="38803"/>
    <cellStyle name="Currency 3 18 2 2 5" xfId="26498"/>
    <cellStyle name="Currency 3 18 2 3" xfId="8106"/>
    <cellStyle name="Currency 3 18 2 3 2" xfId="14300"/>
    <cellStyle name="Currency 3 18 2 3 2 2" xfId="34183"/>
    <cellStyle name="Currency 3 18 2 3 3" xfId="20452"/>
    <cellStyle name="Currency 3 18 2 3 3 2" xfId="40335"/>
    <cellStyle name="Currency 3 18 2 3 4" xfId="28030"/>
    <cellStyle name="Currency 3 18 2 4" xfId="11234"/>
    <cellStyle name="Currency 3 18 2 4 2" xfId="31117"/>
    <cellStyle name="Currency 3 18 2 5" xfId="17386"/>
    <cellStyle name="Currency 3 18 2 5 2" xfId="37269"/>
    <cellStyle name="Currency 3 18 2 6" xfId="24964"/>
    <cellStyle name="Currency 3 18 3" xfId="5771"/>
    <cellStyle name="Currency 3 18 3 2" xfId="8872"/>
    <cellStyle name="Currency 3 18 3 2 2" xfId="15065"/>
    <cellStyle name="Currency 3 18 3 2 2 2" xfId="34948"/>
    <cellStyle name="Currency 3 18 3 2 3" xfId="21217"/>
    <cellStyle name="Currency 3 18 3 2 3 2" xfId="41100"/>
    <cellStyle name="Currency 3 18 3 2 4" xfId="28795"/>
    <cellStyle name="Currency 3 18 3 3" xfId="11999"/>
    <cellStyle name="Currency 3 18 3 3 2" xfId="31882"/>
    <cellStyle name="Currency 3 18 3 4" xfId="18151"/>
    <cellStyle name="Currency 3 18 3 4 2" xfId="38034"/>
    <cellStyle name="Currency 3 18 3 5" xfId="25729"/>
    <cellStyle name="Currency 3 18 4" xfId="7337"/>
    <cellStyle name="Currency 3 18 4 2" xfId="13531"/>
    <cellStyle name="Currency 3 18 4 2 2" xfId="33414"/>
    <cellStyle name="Currency 3 18 4 3" xfId="19683"/>
    <cellStyle name="Currency 3 18 4 3 2" xfId="39566"/>
    <cellStyle name="Currency 3 18 4 4" xfId="27261"/>
    <cellStyle name="Currency 3 18 5" xfId="10465"/>
    <cellStyle name="Currency 3 18 5 2" xfId="30348"/>
    <cellStyle name="Currency 3 18 6" xfId="16617"/>
    <cellStyle name="Currency 3 18 6 2" xfId="36500"/>
    <cellStyle name="Currency 3 18 7" xfId="3222"/>
    <cellStyle name="Currency 3 18 7 2" xfId="24195"/>
    <cellStyle name="Currency 3 19" xfId="520"/>
    <cellStyle name="Currency 3 19 2" xfId="4931"/>
    <cellStyle name="Currency 3 19 2 2" xfId="6556"/>
    <cellStyle name="Currency 3 19 2 2 2" xfId="9642"/>
    <cellStyle name="Currency 3 19 2 2 2 2" xfId="15835"/>
    <cellStyle name="Currency 3 19 2 2 2 2 2" xfId="35718"/>
    <cellStyle name="Currency 3 19 2 2 2 3" xfId="21987"/>
    <cellStyle name="Currency 3 19 2 2 2 3 2" xfId="41870"/>
    <cellStyle name="Currency 3 19 2 2 2 4" xfId="29565"/>
    <cellStyle name="Currency 3 19 2 2 3" xfId="12769"/>
    <cellStyle name="Currency 3 19 2 2 3 2" xfId="32652"/>
    <cellStyle name="Currency 3 19 2 2 4" xfId="18921"/>
    <cellStyle name="Currency 3 19 2 2 4 2" xfId="38804"/>
    <cellStyle name="Currency 3 19 2 2 5" xfId="26499"/>
    <cellStyle name="Currency 3 19 2 3" xfId="8107"/>
    <cellStyle name="Currency 3 19 2 3 2" xfId="14301"/>
    <cellStyle name="Currency 3 19 2 3 2 2" xfId="34184"/>
    <cellStyle name="Currency 3 19 2 3 3" xfId="20453"/>
    <cellStyle name="Currency 3 19 2 3 3 2" xfId="40336"/>
    <cellStyle name="Currency 3 19 2 3 4" xfId="28031"/>
    <cellStyle name="Currency 3 19 2 4" xfId="11235"/>
    <cellStyle name="Currency 3 19 2 4 2" xfId="31118"/>
    <cellStyle name="Currency 3 19 2 5" xfId="17387"/>
    <cellStyle name="Currency 3 19 2 5 2" xfId="37270"/>
    <cellStyle name="Currency 3 19 2 6" xfId="24965"/>
    <cellStyle name="Currency 3 19 3" xfId="5772"/>
    <cellStyle name="Currency 3 19 3 2" xfId="8873"/>
    <cellStyle name="Currency 3 19 3 2 2" xfId="15066"/>
    <cellStyle name="Currency 3 19 3 2 2 2" xfId="34949"/>
    <cellStyle name="Currency 3 19 3 2 3" xfId="21218"/>
    <cellStyle name="Currency 3 19 3 2 3 2" xfId="41101"/>
    <cellStyle name="Currency 3 19 3 2 4" xfId="28796"/>
    <cellStyle name="Currency 3 19 3 3" xfId="12000"/>
    <cellStyle name="Currency 3 19 3 3 2" xfId="31883"/>
    <cellStyle name="Currency 3 19 3 4" xfId="18152"/>
    <cellStyle name="Currency 3 19 3 4 2" xfId="38035"/>
    <cellStyle name="Currency 3 19 3 5" xfId="25730"/>
    <cellStyle name="Currency 3 19 4" xfId="7338"/>
    <cellStyle name="Currency 3 19 4 2" xfId="13532"/>
    <cellStyle name="Currency 3 19 4 2 2" xfId="33415"/>
    <cellStyle name="Currency 3 19 4 3" xfId="19684"/>
    <cellStyle name="Currency 3 19 4 3 2" xfId="39567"/>
    <cellStyle name="Currency 3 19 4 4" xfId="27262"/>
    <cellStyle name="Currency 3 19 5" xfId="10466"/>
    <cellStyle name="Currency 3 19 5 2" xfId="30349"/>
    <cellStyle name="Currency 3 19 6" xfId="16618"/>
    <cellStyle name="Currency 3 19 6 2" xfId="36501"/>
    <cellStyle name="Currency 3 19 7" xfId="3223"/>
    <cellStyle name="Currency 3 19 7 2" xfId="24196"/>
    <cellStyle name="Currency 3 2" xfId="57"/>
    <cellStyle name="Currency 3 2 10" xfId="23169"/>
    <cellStyle name="Currency 3 2 2" xfId="252"/>
    <cellStyle name="Currency 3 2 2 2" xfId="4932"/>
    <cellStyle name="Currency 3 2 2 2 2" xfId="6557"/>
    <cellStyle name="Currency 3 2 2 2 2 2" xfId="9643"/>
    <cellStyle name="Currency 3 2 2 2 2 2 2" xfId="15836"/>
    <cellStyle name="Currency 3 2 2 2 2 2 2 2" xfId="35719"/>
    <cellStyle name="Currency 3 2 2 2 2 2 3" xfId="21988"/>
    <cellStyle name="Currency 3 2 2 2 2 2 3 2" xfId="41871"/>
    <cellStyle name="Currency 3 2 2 2 2 2 4" xfId="29566"/>
    <cellStyle name="Currency 3 2 2 2 2 3" xfId="12770"/>
    <cellStyle name="Currency 3 2 2 2 2 3 2" xfId="32653"/>
    <cellStyle name="Currency 3 2 2 2 2 4" xfId="18922"/>
    <cellStyle name="Currency 3 2 2 2 2 4 2" xfId="38805"/>
    <cellStyle name="Currency 3 2 2 2 2 5" xfId="26500"/>
    <cellStyle name="Currency 3 2 2 2 3" xfId="8108"/>
    <cellStyle name="Currency 3 2 2 2 3 2" xfId="14302"/>
    <cellStyle name="Currency 3 2 2 2 3 2 2" xfId="34185"/>
    <cellStyle name="Currency 3 2 2 2 3 3" xfId="20454"/>
    <cellStyle name="Currency 3 2 2 2 3 3 2" xfId="40337"/>
    <cellStyle name="Currency 3 2 2 2 3 4" xfId="28032"/>
    <cellStyle name="Currency 3 2 2 2 4" xfId="11236"/>
    <cellStyle name="Currency 3 2 2 2 4 2" xfId="31119"/>
    <cellStyle name="Currency 3 2 2 2 5" xfId="17388"/>
    <cellStyle name="Currency 3 2 2 2 5 2" xfId="37271"/>
    <cellStyle name="Currency 3 2 2 2 6" xfId="24966"/>
    <cellStyle name="Currency 3 2 2 3" xfId="5773"/>
    <cellStyle name="Currency 3 2 2 3 2" xfId="8874"/>
    <cellStyle name="Currency 3 2 2 3 2 2" xfId="15067"/>
    <cellStyle name="Currency 3 2 2 3 2 2 2" xfId="34950"/>
    <cellStyle name="Currency 3 2 2 3 2 3" xfId="21219"/>
    <cellStyle name="Currency 3 2 2 3 2 3 2" xfId="41102"/>
    <cellStyle name="Currency 3 2 2 3 2 4" xfId="28797"/>
    <cellStyle name="Currency 3 2 2 3 3" xfId="12001"/>
    <cellStyle name="Currency 3 2 2 3 3 2" xfId="31884"/>
    <cellStyle name="Currency 3 2 2 3 4" xfId="18153"/>
    <cellStyle name="Currency 3 2 2 3 4 2" xfId="38036"/>
    <cellStyle name="Currency 3 2 2 3 5" xfId="25731"/>
    <cellStyle name="Currency 3 2 2 4" xfId="7339"/>
    <cellStyle name="Currency 3 2 2 4 2" xfId="13533"/>
    <cellStyle name="Currency 3 2 2 4 2 2" xfId="33416"/>
    <cellStyle name="Currency 3 2 2 4 3" xfId="19685"/>
    <cellStyle name="Currency 3 2 2 4 3 2" xfId="39568"/>
    <cellStyle name="Currency 3 2 2 4 4" xfId="27263"/>
    <cellStyle name="Currency 3 2 2 5" xfId="10467"/>
    <cellStyle name="Currency 3 2 2 5 2" xfId="30350"/>
    <cellStyle name="Currency 3 2 2 6" xfId="16619"/>
    <cellStyle name="Currency 3 2 2 6 2" xfId="36502"/>
    <cellStyle name="Currency 3 2 2 7" xfId="3225"/>
    <cellStyle name="Currency 3 2 2 7 2" xfId="24197"/>
    <cellStyle name="Currency 3 2 3" xfId="3226"/>
    <cellStyle name="Currency 3 2 3 2" xfId="4933"/>
    <cellStyle name="Currency 3 2 3 2 2" xfId="6558"/>
    <cellStyle name="Currency 3 2 3 2 2 2" xfId="9644"/>
    <cellStyle name="Currency 3 2 3 2 2 2 2" xfId="15837"/>
    <cellStyle name="Currency 3 2 3 2 2 2 2 2" xfId="35720"/>
    <cellStyle name="Currency 3 2 3 2 2 2 3" xfId="21989"/>
    <cellStyle name="Currency 3 2 3 2 2 2 3 2" xfId="41872"/>
    <cellStyle name="Currency 3 2 3 2 2 2 4" xfId="29567"/>
    <cellStyle name="Currency 3 2 3 2 2 3" xfId="12771"/>
    <cellStyle name="Currency 3 2 3 2 2 3 2" xfId="32654"/>
    <cellStyle name="Currency 3 2 3 2 2 4" xfId="18923"/>
    <cellStyle name="Currency 3 2 3 2 2 4 2" xfId="38806"/>
    <cellStyle name="Currency 3 2 3 2 2 5" xfId="26501"/>
    <cellStyle name="Currency 3 2 3 2 3" xfId="8109"/>
    <cellStyle name="Currency 3 2 3 2 3 2" xfId="14303"/>
    <cellStyle name="Currency 3 2 3 2 3 2 2" xfId="34186"/>
    <cellStyle name="Currency 3 2 3 2 3 3" xfId="20455"/>
    <cellStyle name="Currency 3 2 3 2 3 3 2" xfId="40338"/>
    <cellStyle name="Currency 3 2 3 2 3 4" xfId="28033"/>
    <cellStyle name="Currency 3 2 3 2 4" xfId="11237"/>
    <cellStyle name="Currency 3 2 3 2 4 2" xfId="31120"/>
    <cellStyle name="Currency 3 2 3 2 5" xfId="17389"/>
    <cellStyle name="Currency 3 2 3 2 5 2" xfId="37272"/>
    <cellStyle name="Currency 3 2 3 2 6" xfId="24967"/>
    <cellStyle name="Currency 3 2 3 3" xfId="5774"/>
    <cellStyle name="Currency 3 2 3 3 2" xfId="8875"/>
    <cellStyle name="Currency 3 2 3 3 2 2" xfId="15068"/>
    <cellStyle name="Currency 3 2 3 3 2 2 2" xfId="34951"/>
    <cellStyle name="Currency 3 2 3 3 2 3" xfId="21220"/>
    <cellStyle name="Currency 3 2 3 3 2 3 2" xfId="41103"/>
    <cellStyle name="Currency 3 2 3 3 2 4" xfId="28798"/>
    <cellStyle name="Currency 3 2 3 3 3" xfId="12002"/>
    <cellStyle name="Currency 3 2 3 3 3 2" xfId="31885"/>
    <cellStyle name="Currency 3 2 3 3 4" xfId="18154"/>
    <cellStyle name="Currency 3 2 3 3 4 2" xfId="38037"/>
    <cellStyle name="Currency 3 2 3 3 5" xfId="25732"/>
    <cellStyle name="Currency 3 2 3 4" xfId="7340"/>
    <cellStyle name="Currency 3 2 3 4 2" xfId="13534"/>
    <cellStyle name="Currency 3 2 3 4 2 2" xfId="33417"/>
    <cellStyle name="Currency 3 2 3 4 3" xfId="19686"/>
    <cellStyle name="Currency 3 2 3 4 3 2" xfId="39569"/>
    <cellStyle name="Currency 3 2 3 4 4" xfId="27264"/>
    <cellStyle name="Currency 3 2 3 5" xfId="10468"/>
    <cellStyle name="Currency 3 2 3 5 2" xfId="30351"/>
    <cellStyle name="Currency 3 2 3 6" xfId="16620"/>
    <cellStyle name="Currency 3 2 3 6 2" xfId="36503"/>
    <cellStyle name="Currency 3 2 3 7" xfId="24198"/>
    <cellStyle name="Currency 3 2 4" xfId="3227"/>
    <cellStyle name="Currency 3 2 4 2" xfId="4934"/>
    <cellStyle name="Currency 3 2 4 2 2" xfId="6559"/>
    <cellStyle name="Currency 3 2 4 2 2 2" xfId="9645"/>
    <cellStyle name="Currency 3 2 4 2 2 2 2" xfId="15838"/>
    <cellStyle name="Currency 3 2 4 2 2 2 2 2" xfId="35721"/>
    <cellStyle name="Currency 3 2 4 2 2 2 3" xfId="21990"/>
    <cellStyle name="Currency 3 2 4 2 2 2 3 2" xfId="41873"/>
    <cellStyle name="Currency 3 2 4 2 2 2 4" xfId="29568"/>
    <cellStyle name="Currency 3 2 4 2 2 3" xfId="12772"/>
    <cellStyle name="Currency 3 2 4 2 2 3 2" xfId="32655"/>
    <cellStyle name="Currency 3 2 4 2 2 4" xfId="18924"/>
    <cellStyle name="Currency 3 2 4 2 2 4 2" xfId="38807"/>
    <cellStyle name="Currency 3 2 4 2 2 5" xfId="26502"/>
    <cellStyle name="Currency 3 2 4 2 3" xfId="8110"/>
    <cellStyle name="Currency 3 2 4 2 3 2" xfId="14304"/>
    <cellStyle name="Currency 3 2 4 2 3 2 2" xfId="34187"/>
    <cellStyle name="Currency 3 2 4 2 3 3" xfId="20456"/>
    <cellStyle name="Currency 3 2 4 2 3 3 2" xfId="40339"/>
    <cellStyle name="Currency 3 2 4 2 3 4" xfId="28034"/>
    <cellStyle name="Currency 3 2 4 2 4" xfId="11238"/>
    <cellStyle name="Currency 3 2 4 2 4 2" xfId="31121"/>
    <cellStyle name="Currency 3 2 4 2 5" xfId="17390"/>
    <cellStyle name="Currency 3 2 4 2 5 2" xfId="37273"/>
    <cellStyle name="Currency 3 2 4 2 6" xfId="24968"/>
    <cellStyle name="Currency 3 2 4 3" xfId="5775"/>
    <cellStyle name="Currency 3 2 4 3 2" xfId="8876"/>
    <cellStyle name="Currency 3 2 4 3 2 2" xfId="15069"/>
    <cellStyle name="Currency 3 2 4 3 2 2 2" xfId="34952"/>
    <cellStyle name="Currency 3 2 4 3 2 3" xfId="21221"/>
    <cellStyle name="Currency 3 2 4 3 2 3 2" xfId="41104"/>
    <cellStyle name="Currency 3 2 4 3 2 4" xfId="28799"/>
    <cellStyle name="Currency 3 2 4 3 3" xfId="12003"/>
    <cellStyle name="Currency 3 2 4 3 3 2" xfId="31886"/>
    <cellStyle name="Currency 3 2 4 3 4" xfId="18155"/>
    <cellStyle name="Currency 3 2 4 3 4 2" xfId="38038"/>
    <cellStyle name="Currency 3 2 4 3 5" xfId="25733"/>
    <cellStyle name="Currency 3 2 4 4" xfId="7341"/>
    <cellStyle name="Currency 3 2 4 4 2" xfId="13535"/>
    <cellStyle name="Currency 3 2 4 4 2 2" xfId="33418"/>
    <cellStyle name="Currency 3 2 4 4 3" xfId="19687"/>
    <cellStyle name="Currency 3 2 4 4 3 2" xfId="39570"/>
    <cellStyle name="Currency 3 2 4 4 4" xfId="27265"/>
    <cellStyle name="Currency 3 2 4 5" xfId="10469"/>
    <cellStyle name="Currency 3 2 4 5 2" xfId="30352"/>
    <cellStyle name="Currency 3 2 4 6" xfId="16621"/>
    <cellStyle name="Currency 3 2 4 6 2" xfId="36504"/>
    <cellStyle name="Currency 3 2 4 7" xfId="24199"/>
    <cellStyle name="Currency 3 2 5" xfId="3228"/>
    <cellStyle name="Currency 3 2 5 2" xfId="4935"/>
    <cellStyle name="Currency 3 2 5 2 2" xfId="6560"/>
    <cellStyle name="Currency 3 2 5 2 2 2" xfId="9646"/>
    <cellStyle name="Currency 3 2 5 2 2 2 2" xfId="15839"/>
    <cellStyle name="Currency 3 2 5 2 2 2 2 2" xfId="35722"/>
    <cellStyle name="Currency 3 2 5 2 2 2 3" xfId="21991"/>
    <cellStyle name="Currency 3 2 5 2 2 2 3 2" xfId="41874"/>
    <cellStyle name="Currency 3 2 5 2 2 2 4" xfId="29569"/>
    <cellStyle name="Currency 3 2 5 2 2 3" xfId="12773"/>
    <cellStyle name="Currency 3 2 5 2 2 3 2" xfId="32656"/>
    <cellStyle name="Currency 3 2 5 2 2 4" xfId="18925"/>
    <cellStyle name="Currency 3 2 5 2 2 4 2" xfId="38808"/>
    <cellStyle name="Currency 3 2 5 2 2 5" xfId="26503"/>
    <cellStyle name="Currency 3 2 5 2 3" xfId="8111"/>
    <cellStyle name="Currency 3 2 5 2 3 2" xfId="14305"/>
    <cellStyle name="Currency 3 2 5 2 3 2 2" xfId="34188"/>
    <cellStyle name="Currency 3 2 5 2 3 3" xfId="20457"/>
    <cellStyle name="Currency 3 2 5 2 3 3 2" xfId="40340"/>
    <cellStyle name="Currency 3 2 5 2 3 4" xfId="28035"/>
    <cellStyle name="Currency 3 2 5 2 4" xfId="11239"/>
    <cellStyle name="Currency 3 2 5 2 4 2" xfId="31122"/>
    <cellStyle name="Currency 3 2 5 2 5" xfId="17391"/>
    <cellStyle name="Currency 3 2 5 2 5 2" xfId="37274"/>
    <cellStyle name="Currency 3 2 5 2 6" xfId="24969"/>
    <cellStyle name="Currency 3 2 5 3" xfId="5776"/>
    <cellStyle name="Currency 3 2 5 3 2" xfId="8877"/>
    <cellStyle name="Currency 3 2 5 3 2 2" xfId="15070"/>
    <cellStyle name="Currency 3 2 5 3 2 2 2" xfId="34953"/>
    <cellStyle name="Currency 3 2 5 3 2 3" xfId="21222"/>
    <cellStyle name="Currency 3 2 5 3 2 3 2" xfId="41105"/>
    <cellStyle name="Currency 3 2 5 3 2 4" xfId="28800"/>
    <cellStyle name="Currency 3 2 5 3 3" xfId="12004"/>
    <cellStyle name="Currency 3 2 5 3 3 2" xfId="31887"/>
    <cellStyle name="Currency 3 2 5 3 4" xfId="18156"/>
    <cellStyle name="Currency 3 2 5 3 4 2" xfId="38039"/>
    <cellStyle name="Currency 3 2 5 3 5" xfId="25734"/>
    <cellStyle name="Currency 3 2 5 4" xfId="7342"/>
    <cellStyle name="Currency 3 2 5 4 2" xfId="13536"/>
    <cellStyle name="Currency 3 2 5 4 2 2" xfId="33419"/>
    <cellStyle name="Currency 3 2 5 4 3" xfId="19688"/>
    <cellStyle name="Currency 3 2 5 4 3 2" xfId="39571"/>
    <cellStyle name="Currency 3 2 5 4 4" xfId="27266"/>
    <cellStyle name="Currency 3 2 5 5" xfId="10470"/>
    <cellStyle name="Currency 3 2 5 5 2" xfId="30353"/>
    <cellStyle name="Currency 3 2 5 6" xfId="16622"/>
    <cellStyle name="Currency 3 2 5 6 2" xfId="36505"/>
    <cellStyle name="Currency 3 2 5 7" xfId="24200"/>
    <cellStyle name="Currency 3 2 6" xfId="3229"/>
    <cellStyle name="Currency 3 2 7" xfId="3230"/>
    <cellStyle name="Currency 3 2 8" xfId="10262"/>
    <cellStyle name="Currency 3 2 9" xfId="3224"/>
    <cellStyle name="Currency 3 20" xfId="548"/>
    <cellStyle name="Currency 3 20 2" xfId="4936"/>
    <cellStyle name="Currency 3 20 2 2" xfId="6561"/>
    <cellStyle name="Currency 3 20 2 2 2" xfId="9647"/>
    <cellStyle name="Currency 3 20 2 2 2 2" xfId="15840"/>
    <cellStyle name="Currency 3 20 2 2 2 2 2" xfId="35723"/>
    <cellStyle name="Currency 3 20 2 2 2 3" xfId="21992"/>
    <cellStyle name="Currency 3 20 2 2 2 3 2" xfId="41875"/>
    <cellStyle name="Currency 3 20 2 2 2 4" xfId="29570"/>
    <cellStyle name="Currency 3 20 2 2 3" xfId="12774"/>
    <cellStyle name="Currency 3 20 2 2 3 2" xfId="32657"/>
    <cellStyle name="Currency 3 20 2 2 4" xfId="18926"/>
    <cellStyle name="Currency 3 20 2 2 4 2" xfId="38809"/>
    <cellStyle name="Currency 3 20 2 2 5" xfId="26504"/>
    <cellStyle name="Currency 3 20 2 3" xfId="8112"/>
    <cellStyle name="Currency 3 20 2 3 2" xfId="14306"/>
    <cellStyle name="Currency 3 20 2 3 2 2" xfId="34189"/>
    <cellStyle name="Currency 3 20 2 3 3" xfId="20458"/>
    <cellStyle name="Currency 3 20 2 3 3 2" xfId="40341"/>
    <cellStyle name="Currency 3 20 2 3 4" xfId="28036"/>
    <cellStyle name="Currency 3 20 2 4" xfId="11240"/>
    <cellStyle name="Currency 3 20 2 4 2" xfId="31123"/>
    <cellStyle name="Currency 3 20 2 5" xfId="17392"/>
    <cellStyle name="Currency 3 20 2 5 2" xfId="37275"/>
    <cellStyle name="Currency 3 20 2 6" xfId="24970"/>
    <cellStyle name="Currency 3 20 3" xfId="5777"/>
    <cellStyle name="Currency 3 20 3 2" xfId="8878"/>
    <cellStyle name="Currency 3 20 3 2 2" xfId="15071"/>
    <cellStyle name="Currency 3 20 3 2 2 2" xfId="34954"/>
    <cellStyle name="Currency 3 20 3 2 3" xfId="21223"/>
    <cellStyle name="Currency 3 20 3 2 3 2" xfId="41106"/>
    <cellStyle name="Currency 3 20 3 2 4" xfId="28801"/>
    <cellStyle name="Currency 3 20 3 3" xfId="12005"/>
    <cellStyle name="Currency 3 20 3 3 2" xfId="31888"/>
    <cellStyle name="Currency 3 20 3 4" xfId="18157"/>
    <cellStyle name="Currency 3 20 3 4 2" xfId="38040"/>
    <cellStyle name="Currency 3 20 3 5" xfId="25735"/>
    <cellStyle name="Currency 3 20 4" xfId="7343"/>
    <cellStyle name="Currency 3 20 4 2" xfId="13537"/>
    <cellStyle name="Currency 3 20 4 2 2" xfId="33420"/>
    <cellStyle name="Currency 3 20 4 3" xfId="19689"/>
    <cellStyle name="Currency 3 20 4 3 2" xfId="39572"/>
    <cellStyle name="Currency 3 20 4 4" xfId="27267"/>
    <cellStyle name="Currency 3 20 5" xfId="10471"/>
    <cellStyle name="Currency 3 20 5 2" xfId="30354"/>
    <cellStyle name="Currency 3 20 6" xfId="16623"/>
    <cellStyle name="Currency 3 20 6 2" xfId="36506"/>
    <cellStyle name="Currency 3 20 7" xfId="3231"/>
    <cellStyle name="Currency 3 20 7 2" xfId="24201"/>
    <cellStyle name="Currency 3 21" xfId="616"/>
    <cellStyle name="Currency 3 21 2" xfId="4937"/>
    <cellStyle name="Currency 3 21 2 2" xfId="6562"/>
    <cellStyle name="Currency 3 21 2 2 2" xfId="9648"/>
    <cellStyle name="Currency 3 21 2 2 2 2" xfId="15841"/>
    <cellStyle name="Currency 3 21 2 2 2 2 2" xfId="35724"/>
    <cellStyle name="Currency 3 21 2 2 2 3" xfId="21993"/>
    <cellStyle name="Currency 3 21 2 2 2 3 2" xfId="41876"/>
    <cellStyle name="Currency 3 21 2 2 2 4" xfId="29571"/>
    <cellStyle name="Currency 3 21 2 2 3" xfId="12775"/>
    <cellStyle name="Currency 3 21 2 2 3 2" xfId="32658"/>
    <cellStyle name="Currency 3 21 2 2 4" xfId="18927"/>
    <cellStyle name="Currency 3 21 2 2 4 2" xfId="38810"/>
    <cellStyle name="Currency 3 21 2 2 5" xfId="26505"/>
    <cellStyle name="Currency 3 21 2 3" xfId="8113"/>
    <cellStyle name="Currency 3 21 2 3 2" xfId="14307"/>
    <cellStyle name="Currency 3 21 2 3 2 2" xfId="34190"/>
    <cellStyle name="Currency 3 21 2 3 3" xfId="20459"/>
    <cellStyle name="Currency 3 21 2 3 3 2" xfId="40342"/>
    <cellStyle name="Currency 3 21 2 3 4" xfId="28037"/>
    <cellStyle name="Currency 3 21 2 4" xfId="11241"/>
    <cellStyle name="Currency 3 21 2 4 2" xfId="31124"/>
    <cellStyle name="Currency 3 21 2 5" xfId="17393"/>
    <cellStyle name="Currency 3 21 2 5 2" xfId="37276"/>
    <cellStyle name="Currency 3 21 2 6" xfId="24971"/>
    <cellStyle name="Currency 3 21 3" xfId="5778"/>
    <cellStyle name="Currency 3 21 3 2" xfId="8879"/>
    <cellStyle name="Currency 3 21 3 2 2" xfId="15072"/>
    <cellStyle name="Currency 3 21 3 2 2 2" xfId="34955"/>
    <cellStyle name="Currency 3 21 3 2 3" xfId="21224"/>
    <cellStyle name="Currency 3 21 3 2 3 2" xfId="41107"/>
    <cellStyle name="Currency 3 21 3 2 4" xfId="28802"/>
    <cellStyle name="Currency 3 21 3 3" xfId="12006"/>
    <cellStyle name="Currency 3 21 3 3 2" xfId="31889"/>
    <cellStyle name="Currency 3 21 3 4" xfId="18158"/>
    <cellStyle name="Currency 3 21 3 4 2" xfId="38041"/>
    <cellStyle name="Currency 3 21 3 5" xfId="25736"/>
    <cellStyle name="Currency 3 21 4" xfId="7344"/>
    <cellStyle name="Currency 3 21 4 2" xfId="13538"/>
    <cellStyle name="Currency 3 21 4 2 2" xfId="33421"/>
    <cellStyle name="Currency 3 21 4 3" xfId="19690"/>
    <cellStyle name="Currency 3 21 4 3 2" xfId="39573"/>
    <cellStyle name="Currency 3 21 4 4" xfId="27268"/>
    <cellStyle name="Currency 3 21 5" xfId="10472"/>
    <cellStyle name="Currency 3 21 5 2" xfId="30355"/>
    <cellStyle name="Currency 3 21 6" xfId="16624"/>
    <cellStyle name="Currency 3 21 6 2" xfId="36507"/>
    <cellStyle name="Currency 3 21 7" xfId="3232"/>
    <cellStyle name="Currency 3 21 7 2" xfId="24202"/>
    <cellStyle name="Currency 3 22" xfId="665"/>
    <cellStyle name="Currency 3 22 2" xfId="3234"/>
    <cellStyle name="Currency 3 22 3" xfId="3235"/>
    <cellStyle name="Currency 3 22 4" xfId="3233"/>
    <cellStyle name="Currency 3 23" xfId="676"/>
    <cellStyle name="Currency 3 23 2" xfId="10227"/>
    <cellStyle name="Currency 3 24" xfId="705"/>
    <cellStyle name="Currency 3 25" xfId="685"/>
    <cellStyle name="Currency 3 26" xfId="717"/>
    <cellStyle name="Currency 3 27" xfId="745"/>
    <cellStyle name="Currency 3 28" xfId="771"/>
    <cellStyle name="Currency 3 29" xfId="851"/>
    <cellStyle name="Currency 3 3" xfId="88"/>
    <cellStyle name="Currency 3 3 10" xfId="7345"/>
    <cellStyle name="Currency 3 3 10 2" xfId="13539"/>
    <cellStyle name="Currency 3 3 10 2 2" xfId="33422"/>
    <cellStyle name="Currency 3 3 10 3" xfId="19691"/>
    <cellStyle name="Currency 3 3 10 3 2" xfId="39574"/>
    <cellStyle name="Currency 3 3 10 4" xfId="27269"/>
    <cellStyle name="Currency 3 3 11" xfId="10257"/>
    <cellStyle name="Currency 3 3 12" xfId="10473"/>
    <cellStyle name="Currency 3 3 12 2" xfId="30356"/>
    <cellStyle name="Currency 3 3 13" xfId="16625"/>
    <cellStyle name="Currency 3 3 13 2" xfId="36508"/>
    <cellStyle name="Currency 3 3 14" xfId="3236"/>
    <cellStyle name="Currency 3 3 14 2" xfId="24203"/>
    <cellStyle name="Currency 3 3 15" xfId="214"/>
    <cellStyle name="Currency 3 3 16" xfId="23170"/>
    <cellStyle name="Currency 3 3 2" xfId="261"/>
    <cellStyle name="Currency 3 3 2 2" xfId="4939"/>
    <cellStyle name="Currency 3 3 2 2 2" xfId="6564"/>
    <cellStyle name="Currency 3 3 2 2 2 2" xfId="9650"/>
    <cellStyle name="Currency 3 3 2 2 2 2 2" xfId="15843"/>
    <cellStyle name="Currency 3 3 2 2 2 2 2 2" xfId="35726"/>
    <cellStyle name="Currency 3 3 2 2 2 2 3" xfId="21995"/>
    <cellStyle name="Currency 3 3 2 2 2 2 3 2" xfId="41878"/>
    <cellStyle name="Currency 3 3 2 2 2 2 4" xfId="29573"/>
    <cellStyle name="Currency 3 3 2 2 2 3" xfId="12777"/>
    <cellStyle name="Currency 3 3 2 2 2 3 2" xfId="32660"/>
    <cellStyle name="Currency 3 3 2 2 2 4" xfId="18929"/>
    <cellStyle name="Currency 3 3 2 2 2 4 2" xfId="38812"/>
    <cellStyle name="Currency 3 3 2 2 2 5" xfId="26507"/>
    <cellStyle name="Currency 3 3 2 2 3" xfId="8115"/>
    <cellStyle name="Currency 3 3 2 2 3 2" xfId="14309"/>
    <cellStyle name="Currency 3 3 2 2 3 2 2" xfId="34192"/>
    <cellStyle name="Currency 3 3 2 2 3 3" xfId="20461"/>
    <cellStyle name="Currency 3 3 2 2 3 3 2" xfId="40344"/>
    <cellStyle name="Currency 3 3 2 2 3 4" xfId="28039"/>
    <cellStyle name="Currency 3 3 2 2 4" xfId="11243"/>
    <cellStyle name="Currency 3 3 2 2 4 2" xfId="31126"/>
    <cellStyle name="Currency 3 3 2 2 5" xfId="17395"/>
    <cellStyle name="Currency 3 3 2 2 5 2" xfId="37278"/>
    <cellStyle name="Currency 3 3 2 2 6" xfId="24973"/>
    <cellStyle name="Currency 3 3 2 3" xfId="5780"/>
    <cellStyle name="Currency 3 3 2 3 2" xfId="8881"/>
    <cellStyle name="Currency 3 3 2 3 2 2" xfId="15074"/>
    <cellStyle name="Currency 3 3 2 3 2 2 2" xfId="34957"/>
    <cellStyle name="Currency 3 3 2 3 2 3" xfId="21226"/>
    <cellStyle name="Currency 3 3 2 3 2 3 2" xfId="41109"/>
    <cellStyle name="Currency 3 3 2 3 2 4" xfId="28804"/>
    <cellStyle name="Currency 3 3 2 3 3" xfId="12008"/>
    <cellStyle name="Currency 3 3 2 3 3 2" xfId="31891"/>
    <cellStyle name="Currency 3 3 2 3 4" xfId="18160"/>
    <cellStyle name="Currency 3 3 2 3 4 2" xfId="38043"/>
    <cellStyle name="Currency 3 3 2 3 5" xfId="25738"/>
    <cellStyle name="Currency 3 3 2 4" xfId="7346"/>
    <cellStyle name="Currency 3 3 2 4 2" xfId="13540"/>
    <cellStyle name="Currency 3 3 2 4 2 2" xfId="33423"/>
    <cellStyle name="Currency 3 3 2 4 3" xfId="19692"/>
    <cellStyle name="Currency 3 3 2 4 3 2" xfId="39575"/>
    <cellStyle name="Currency 3 3 2 4 4" xfId="27270"/>
    <cellStyle name="Currency 3 3 2 5" xfId="10474"/>
    <cellStyle name="Currency 3 3 2 5 2" xfId="30357"/>
    <cellStyle name="Currency 3 3 2 6" xfId="16626"/>
    <cellStyle name="Currency 3 3 2 6 2" xfId="36509"/>
    <cellStyle name="Currency 3 3 2 7" xfId="3237"/>
    <cellStyle name="Currency 3 3 2 7 2" xfId="24204"/>
    <cellStyle name="Currency 3 3 3" xfId="3238"/>
    <cellStyle name="Currency 3 3 3 2" xfId="4940"/>
    <cellStyle name="Currency 3 3 3 2 2" xfId="6565"/>
    <cellStyle name="Currency 3 3 3 2 2 2" xfId="9651"/>
    <cellStyle name="Currency 3 3 3 2 2 2 2" xfId="15844"/>
    <cellStyle name="Currency 3 3 3 2 2 2 2 2" xfId="35727"/>
    <cellStyle name="Currency 3 3 3 2 2 2 3" xfId="21996"/>
    <cellStyle name="Currency 3 3 3 2 2 2 3 2" xfId="41879"/>
    <cellStyle name="Currency 3 3 3 2 2 2 4" xfId="29574"/>
    <cellStyle name="Currency 3 3 3 2 2 3" xfId="12778"/>
    <cellStyle name="Currency 3 3 3 2 2 3 2" xfId="32661"/>
    <cellStyle name="Currency 3 3 3 2 2 4" xfId="18930"/>
    <cellStyle name="Currency 3 3 3 2 2 4 2" xfId="38813"/>
    <cellStyle name="Currency 3 3 3 2 2 5" xfId="26508"/>
    <cellStyle name="Currency 3 3 3 2 3" xfId="8116"/>
    <cellStyle name="Currency 3 3 3 2 3 2" xfId="14310"/>
    <cellStyle name="Currency 3 3 3 2 3 2 2" xfId="34193"/>
    <cellStyle name="Currency 3 3 3 2 3 3" xfId="20462"/>
    <cellStyle name="Currency 3 3 3 2 3 3 2" xfId="40345"/>
    <cellStyle name="Currency 3 3 3 2 3 4" xfId="28040"/>
    <cellStyle name="Currency 3 3 3 2 4" xfId="11244"/>
    <cellStyle name="Currency 3 3 3 2 4 2" xfId="31127"/>
    <cellStyle name="Currency 3 3 3 2 5" xfId="17396"/>
    <cellStyle name="Currency 3 3 3 2 5 2" xfId="37279"/>
    <cellStyle name="Currency 3 3 3 2 6" xfId="24974"/>
    <cellStyle name="Currency 3 3 3 3" xfId="5781"/>
    <cellStyle name="Currency 3 3 3 3 2" xfId="8882"/>
    <cellStyle name="Currency 3 3 3 3 2 2" xfId="15075"/>
    <cellStyle name="Currency 3 3 3 3 2 2 2" xfId="34958"/>
    <cellStyle name="Currency 3 3 3 3 2 3" xfId="21227"/>
    <cellStyle name="Currency 3 3 3 3 2 3 2" xfId="41110"/>
    <cellStyle name="Currency 3 3 3 3 2 4" xfId="28805"/>
    <cellStyle name="Currency 3 3 3 3 3" xfId="12009"/>
    <cellStyle name="Currency 3 3 3 3 3 2" xfId="31892"/>
    <cellStyle name="Currency 3 3 3 3 4" xfId="18161"/>
    <cellStyle name="Currency 3 3 3 3 4 2" xfId="38044"/>
    <cellStyle name="Currency 3 3 3 3 5" xfId="25739"/>
    <cellStyle name="Currency 3 3 3 4" xfId="7347"/>
    <cellStyle name="Currency 3 3 3 4 2" xfId="13541"/>
    <cellStyle name="Currency 3 3 3 4 2 2" xfId="33424"/>
    <cellStyle name="Currency 3 3 3 4 3" xfId="19693"/>
    <cellStyle name="Currency 3 3 3 4 3 2" xfId="39576"/>
    <cellStyle name="Currency 3 3 3 4 4" xfId="27271"/>
    <cellStyle name="Currency 3 3 3 5" xfId="10475"/>
    <cellStyle name="Currency 3 3 3 5 2" xfId="30358"/>
    <cellStyle name="Currency 3 3 3 6" xfId="16627"/>
    <cellStyle name="Currency 3 3 3 6 2" xfId="36510"/>
    <cellStyle name="Currency 3 3 3 7" xfId="24205"/>
    <cellStyle name="Currency 3 3 4" xfId="3239"/>
    <cellStyle name="Currency 3 3 4 2" xfId="4941"/>
    <cellStyle name="Currency 3 3 4 2 2" xfId="6566"/>
    <cellStyle name="Currency 3 3 4 2 2 2" xfId="9652"/>
    <cellStyle name="Currency 3 3 4 2 2 2 2" xfId="15845"/>
    <cellStyle name="Currency 3 3 4 2 2 2 2 2" xfId="35728"/>
    <cellStyle name="Currency 3 3 4 2 2 2 3" xfId="21997"/>
    <cellStyle name="Currency 3 3 4 2 2 2 3 2" xfId="41880"/>
    <cellStyle name="Currency 3 3 4 2 2 2 4" xfId="29575"/>
    <cellStyle name="Currency 3 3 4 2 2 3" xfId="12779"/>
    <cellStyle name="Currency 3 3 4 2 2 3 2" xfId="32662"/>
    <cellStyle name="Currency 3 3 4 2 2 4" xfId="18931"/>
    <cellStyle name="Currency 3 3 4 2 2 4 2" xfId="38814"/>
    <cellStyle name="Currency 3 3 4 2 2 5" xfId="26509"/>
    <cellStyle name="Currency 3 3 4 2 3" xfId="8117"/>
    <cellStyle name="Currency 3 3 4 2 3 2" xfId="14311"/>
    <cellStyle name="Currency 3 3 4 2 3 2 2" xfId="34194"/>
    <cellStyle name="Currency 3 3 4 2 3 3" xfId="20463"/>
    <cellStyle name="Currency 3 3 4 2 3 3 2" xfId="40346"/>
    <cellStyle name="Currency 3 3 4 2 3 4" xfId="28041"/>
    <cellStyle name="Currency 3 3 4 2 4" xfId="11245"/>
    <cellStyle name="Currency 3 3 4 2 4 2" xfId="31128"/>
    <cellStyle name="Currency 3 3 4 2 5" xfId="17397"/>
    <cellStyle name="Currency 3 3 4 2 5 2" xfId="37280"/>
    <cellStyle name="Currency 3 3 4 2 6" xfId="24975"/>
    <cellStyle name="Currency 3 3 4 3" xfId="5782"/>
    <cellStyle name="Currency 3 3 4 3 2" xfId="8883"/>
    <cellStyle name="Currency 3 3 4 3 2 2" xfId="15076"/>
    <cellStyle name="Currency 3 3 4 3 2 2 2" xfId="34959"/>
    <cellStyle name="Currency 3 3 4 3 2 3" xfId="21228"/>
    <cellStyle name="Currency 3 3 4 3 2 3 2" xfId="41111"/>
    <cellStyle name="Currency 3 3 4 3 2 4" xfId="28806"/>
    <cellStyle name="Currency 3 3 4 3 3" xfId="12010"/>
    <cellStyle name="Currency 3 3 4 3 3 2" xfId="31893"/>
    <cellStyle name="Currency 3 3 4 3 4" xfId="18162"/>
    <cellStyle name="Currency 3 3 4 3 4 2" xfId="38045"/>
    <cellStyle name="Currency 3 3 4 3 5" xfId="25740"/>
    <cellStyle name="Currency 3 3 4 4" xfId="7348"/>
    <cellStyle name="Currency 3 3 4 4 2" xfId="13542"/>
    <cellStyle name="Currency 3 3 4 4 2 2" xfId="33425"/>
    <cellStyle name="Currency 3 3 4 4 3" xfId="19694"/>
    <cellStyle name="Currency 3 3 4 4 3 2" xfId="39577"/>
    <cellStyle name="Currency 3 3 4 4 4" xfId="27272"/>
    <cellStyle name="Currency 3 3 4 5" xfId="10476"/>
    <cellStyle name="Currency 3 3 4 5 2" xfId="30359"/>
    <cellStyle name="Currency 3 3 4 6" xfId="16628"/>
    <cellStyle name="Currency 3 3 4 6 2" xfId="36511"/>
    <cellStyle name="Currency 3 3 4 7" xfId="24206"/>
    <cellStyle name="Currency 3 3 5" xfId="3240"/>
    <cellStyle name="Currency 3 3 5 2" xfId="4942"/>
    <cellStyle name="Currency 3 3 5 2 2" xfId="6567"/>
    <cellStyle name="Currency 3 3 5 2 2 2" xfId="9653"/>
    <cellStyle name="Currency 3 3 5 2 2 2 2" xfId="15846"/>
    <cellStyle name="Currency 3 3 5 2 2 2 2 2" xfId="35729"/>
    <cellStyle name="Currency 3 3 5 2 2 2 3" xfId="21998"/>
    <cellStyle name="Currency 3 3 5 2 2 2 3 2" xfId="41881"/>
    <cellStyle name="Currency 3 3 5 2 2 2 4" xfId="29576"/>
    <cellStyle name="Currency 3 3 5 2 2 3" xfId="12780"/>
    <cellStyle name="Currency 3 3 5 2 2 3 2" xfId="32663"/>
    <cellStyle name="Currency 3 3 5 2 2 4" xfId="18932"/>
    <cellStyle name="Currency 3 3 5 2 2 4 2" xfId="38815"/>
    <cellStyle name="Currency 3 3 5 2 2 5" xfId="26510"/>
    <cellStyle name="Currency 3 3 5 2 3" xfId="8118"/>
    <cellStyle name="Currency 3 3 5 2 3 2" xfId="14312"/>
    <cellStyle name="Currency 3 3 5 2 3 2 2" xfId="34195"/>
    <cellStyle name="Currency 3 3 5 2 3 3" xfId="20464"/>
    <cellStyle name="Currency 3 3 5 2 3 3 2" xfId="40347"/>
    <cellStyle name="Currency 3 3 5 2 3 4" xfId="28042"/>
    <cellStyle name="Currency 3 3 5 2 4" xfId="11246"/>
    <cellStyle name="Currency 3 3 5 2 4 2" xfId="31129"/>
    <cellStyle name="Currency 3 3 5 2 5" xfId="17398"/>
    <cellStyle name="Currency 3 3 5 2 5 2" xfId="37281"/>
    <cellStyle name="Currency 3 3 5 2 6" xfId="24976"/>
    <cellStyle name="Currency 3 3 5 3" xfId="5783"/>
    <cellStyle name="Currency 3 3 5 3 2" xfId="8884"/>
    <cellStyle name="Currency 3 3 5 3 2 2" xfId="15077"/>
    <cellStyle name="Currency 3 3 5 3 2 2 2" xfId="34960"/>
    <cellStyle name="Currency 3 3 5 3 2 3" xfId="21229"/>
    <cellStyle name="Currency 3 3 5 3 2 3 2" xfId="41112"/>
    <cellStyle name="Currency 3 3 5 3 2 4" xfId="28807"/>
    <cellStyle name="Currency 3 3 5 3 3" xfId="12011"/>
    <cellStyle name="Currency 3 3 5 3 3 2" xfId="31894"/>
    <cellStyle name="Currency 3 3 5 3 4" xfId="18163"/>
    <cellStyle name="Currency 3 3 5 3 4 2" xfId="38046"/>
    <cellStyle name="Currency 3 3 5 3 5" xfId="25741"/>
    <cellStyle name="Currency 3 3 5 4" xfId="7349"/>
    <cellStyle name="Currency 3 3 5 4 2" xfId="13543"/>
    <cellStyle name="Currency 3 3 5 4 2 2" xfId="33426"/>
    <cellStyle name="Currency 3 3 5 4 3" xfId="19695"/>
    <cellStyle name="Currency 3 3 5 4 3 2" xfId="39578"/>
    <cellStyle name="Currency 3 3 5 4 4" xfId="27273"/>
    <cellStyle name="Currency 3 3 5 5" xfId="10477"/>
    <cellStyle name="Currency 3 3 5 5 2" xfId="30360"/>
    <cellStyle name="Currency 3 3 5 6" xfId="16629"/>
    <cellStyle name="Currency 3 3 5 6 2" xfId="36512"/>
    <cellStyle name="Currency 3 3 5 7" xfId="24207"/>
    <cellStyle name="Currency 3 3 6" xfId="3241"/>
    <cellStyle name="Currency 3 3 6 2" xfId="4943"/>
    <cellStyle name="Currency 3 3 6 2 2" xfId="6568"/>
    <cellStyle name="Currency 3 3 6 2 2 2" xfId="9654"/>
    <cellStyle name="Currency 3 3 6 2 2 2 2" xfId="15847"/>
    <cellStyle name="Currency 3 3 6 2 2 2 2 2" xfId="35730"/>
    <cellStyle name="Currency 3 3 6 2 2 2 3" xfId="21999"/>
    <cellStyle name="Currency 3 3 6 2 2 2 3 2" xfId="41882"/>
    <cellStyle name="Currency 3 3 6 2 2 2 4" xfId="29577"/>
    <cellStyle name="Currency 3 3 6 2 2 3" xfId="12781"/>
    <cellStyle name="Currency 3 3 6 2 2 3 2" xfId="32664"/>
    <cellStyle name="Currency 3 3 6 2 2 4" xfId="18933"/>
    <cellStyle name="Currency 3 3 6 2 2 4 2" xfId="38816"/>
    <cellStyle name="Currency 3 3 6 2 2 5" xfId="26511"/>
    <cellStyle name="Currency 3 3 6 2 3" xfId="8119"/>
    <cellStyle name="Currency 3 3 6 2 3 2" xfId="14313"/>
    <cellStyle name="Currency 3 3 6 2 3 2 2" xfId="34196"/>
    <cellStyle name="Currency 3 3 6 2 3 3" xfId="20465"/>
    <cellStyle name="Currency 3 3 6 2 3 3 2" xfId="40348"/>
    <cellStyle name="Currency 3 3 6 2 3 4" xfId="28043"/>
    <cellStyle name="Currency 3 3 6 2 4" xfId="11247"/>
    <cellStyle name="Currency 3 3 6 2 4 2" xfId="31130"/>
    <cellStyle name="Currency 3 3 6 2 5" xfId="17399"/>
    <cellStyle name="Currency 3 3 6 2 5 2" xfId="37282"/>
    <cellStyle name="Currency 3 3 6 2 6" xfId="24977"/>
    <cellStyle name="Currency 3 3 6 3" xfId="5784"/>
    <cellStyle name="Currency 3 3 6 3 2" xfId="8885"/>
    <cellStyle name="Currency 3 3 6 3 2 2" xfId="15078"/>
    <cellStyle name="Currency 3 3 6 3 2 2 2" xfId="34961"/>
    <cellStyle name="Currency 3 3 6 3 2 3" xfId="21230"/>
    <cellStyle name="Currency 3 3 6 3 2 3 2" xfId="41113"/>
    <cellStyle name="Currency 3 3 6 3 2 4" xfId="28808"/>
    <cellStyle name="Currency 3 3 6 3 3" xfId="12012"/>
    <cellStyle name="Currency 3 3 6 3 3 2" xfId="31895"/>
    <cellStyle name="Currency 3 3 6 3 4" xfId="18164"/>
    <cellStyle name="Currency 3 3 6 3 4 2" xfId="38047"/>
    <cellStyle name="Currency 3 3 6 3 5" xfId="25742"/>
    <cellStyle name="Currency 3 3 6 4" xfId="7350"/>
    <cellStyle name="Currency 3 3 6 4 2" xfId="13544"/>
    <cellStyle name="Currency 3 3 6 4 2 2" xfId="33427"/>
    <cellStyle name="Currency 3 3 6 4 3" xfId="19696"/>
    <cellStyle name="Currency 3 3 6 4 3 2" xfId="39579"/>
    <cellStyle name="Currency 3 3 6 4 4" xfId="27274"/>
    <cellStyle name="Currency 3 3 6 5" xfId="10478"/>
    <cellStyle name="Currency 3 3 6 5 2" xfId="30361"/>
    <cellStyle name="Currency 3 3 6 6" xfId="16630"/>
    <cellStyle name="Currency 3 3 6 6 2" xfId="36513"/>
    <cellStyle name="Currency 3 3 6 7" xfId="24208"/>
    <cellStyle name="Currency 3 3 7" xfId="3242"/>
    <cellStyle name="Currency 3 3 8" xfId="4938"/>
    <cellStyle name="Currency 3 3 8 2" xfId="6563"/>
    <cellStyle name="Currency 3 3 8 2 2" xfId="9649"/>
    <cellStyle name="Currency 3 3 8 2 2 2" xfId="15842"/>
    <cellStyle name="Currency 3 3 8 2 2 2 2" xfId="35725"/>
    <cellStyle name="Currency 3 3 8 2 2 3" xfId="21994"/>
    <cellStyle name="Currency 3 3 8 2 2 3 2" xfId="41877"/>
    <cellStyle name="Currency 3 3 8 2 2 4" xfId="29572"/>
    <cellStyle name="Currency 3 3 8 2 3" xfId="12776"/>
    <cellStyle name="Currency 3 3 8 2 3 2" xfId="32659"/>
    <cellStyle name="Currency 3 3 8 2 4" xfId="18928"/>
    <cellStyle name="Currency 3 3 8 2 4 2" xfId="38811"/>
    <cellStyle name="Currency 3 3 8 2 5" xfId="26506"/>
    <cellStyle name="Currency 3 3 8 3" xfId="8114"/>
    <cellStyle name="Currency 3 3 8 3 2" xfId="14308"/>
    <cellStyle name="Currency 3 3 8 3 2 2" xfId="34191"/>
    <cellStyle name="Currency 3 3 8 3 3" xfId="20460"/>
    <cellStyle name="Currency 3 3 8 3 3 2" xfId="40343"/>
    <cellStyle name="Currency 3 3 8 3 4" xfId="28038"/>
    <cellStyle name="Currency 3 3 8 4" xfId="11242"/>
    <cellStyle name="Currency 3 3 8 4 2" xfId="31125"/>
    <cellStyle name="Currency 3 3 8 5" xfId="17394"/>
    <cellStyle name="Currency 3 3 8 5 2" xfId="37277"/>
    <cellStyle name="Currency 3 3 8 6" xfId="24972"/>
    <cellStyle name="Currency 3 3 9" xfId="5779"/>
    <cellStyle name="Currency 3 3 9 2" xfId="8880"/>
    <cellStyle name="Currency 3 3 9 2 2" xfId="15073"/>
    <cellStyle name="Currency 3 3 9 2 2 2" xfId="34956"/>
    <cellStyle name="Currency 3 3 9 2 3" xfId="21225"/>
    <cellStyle name="Currency 3 3 9 2 3 2" xfId="41108"/>
    <cellStyle name="Currency 3 3 9 2 4" xfId="28803"/>
    <cellStyle name="Currency 3 3 9 3" xfId="12007"/>
    <cellStyle name="Currency 3 3 9 3 2" xfId="31890"/>
    <cellStyle name="Currency 3 3 9 4" xfId="18159"/>
    <cellStyle name="Currency 3 3 9 4 2" xfId="38042"/>
    <cellStyle name="Currency 3 3 9 5" xfId="25737"/>
    <cellStyle name="Currency 3 30" xfId="855"/>
    <cellStyle name="Currency 3 30 2" xfId="23698"/>
    <cellStyle name="Currency 3 31" xfId="1162"/>
    <cellStyle name="Currency 3 32" xfId="22818"/>
    <cellStyle name="Currency 3 32 2" xfId="42692"/>
    <cellStyle name="Currency 3 33" xfId="197"/>
    <cellStyle name="Currency 3 33 2" xfId="23407"/>
    <cellStyle name="Currency 3 34" xfId="23168"/>
    <cellStyle name="Currency 3 4" xfId="289"/>
    <cellStyle name="Currency 3 4 2" xfId="3244"/>
    <cellStyle name="Currency 3 4 2 2" xfId="4945"/>
    <cellStyle name="Currency 3 4 2 2 2" xfId="6570"/>
    <cellStyle name="Currency 3 4 2 2 2 2" xfId="9656"/>
    <cellStyle name="Currency 3 4 2 2 2 2 2" xfId="15849"/>
    <cellStyle name="Currency 3 4 2 2 2 2 2 2" xfId="35732"/>
    <cellStyle name="Currency 3 4 2 2 2 2 3" xfId="22001"/>
    <cellStyle name="Currency 3 4 2 2 2 2 3 2" xfId="41884"/>
    <cellStyle name="Currency 3 4 2 2 2 2 4" xfId="29579"/>
    <cellStyle name="Currency 3 4 2 2 2 3" xfId="12783"/>
    <cellStyle name="Currency 3 4 2 2 2 3 2" xfId="32666"/>
    <cellStyle name="Currency 3 4 2 2 2 4" xfId="18935"/>
    <cellStyle name="Currency 3 4 2 2 2 4 2" xfId="38818"/>
    <cellStyle name="Currency 3 4 2 2 2 5" xfId="26513"/>
    <cellStyle name="Currency 3 4 2 2 3" xfId="8121"/>
    <cellStyle name="Currency 3 4 2 2 3 2" xfId="14315"/>
    <cellStyle name="Currency 3 4 2 2 3 2 2" xfId="34198"/>
    <cellStyle name="Currency 3 4 2 2 3 3" xfId="20467"/>
    <cellStyle name="Currency 3 4 2 2 3 3 2" xfId="40350"/>
    <cellStyle name="Currency 3 4 2 2 3 4" xfId="28045"/>
    <cellStyle name="Currency 3 4 2 2 4" xfId="11249"/>
    <cellStyle name="Currency 3 4 2 2 4 2" xfId="31132"/>
    <cellStyle name="Currency 3 4 2 2 5" xfId="17401"/>
    <cellStyle name="Currency 3 4 2 2 5 2" xfId="37284"/>
    <cellStyle name="Currency 3 4 2 2 6" xfId="24979"/>
    <cellStyle name="Currency 3 4 2 3" xfId="5786"/>
    <cellStyle name="Currency 3 4 2 3 2" xfId="8887"/>
    <cellStyle name="Currency 3 4 2 3 2 2" xfId="15080"/>
    <cellStyle name="Currency 3 4 2 3 2 2 2" xfId="34963"/>
    <cellStyle name="Currency 3 4 2 3 2 3" xfId="21232"/>
    <cellStyle name="Currency 3 4 2 3 2 3 2" xfId="41115"/>
    <cellStyle name="Currency 3 4 2 3 2 4" xfId="28810"/>
    <cellStyle name="Currency 3 4 2 3 3" xfId="12014"/>
    <cellStyle name="Currency 3 4 2 3 3 2" xfId="31897"/>
    <cellStyle name="Currency 3 4 2 3 4" xfId="18166"/>
    <cellStyle name="Currency 3 4 2 3 4 2" xfId="38049"/>
    <cellStyle name="Currency 3 4 2 3 5" xfId="25744"/>
    <cellStyle name="Currency 3 4 2 4" xfId="7352"/>
    <cellStyle name="Currency 3 4 2 4 2" xfId="13546"/>
    <cellStyle name="Currency 3 4 2 4 2 2" xfId="33429"/>
    <cellStyle name="Currency 3 4 2 4 3" xfId="19698"/>
    <cellStyle name="Currency 3 4 2 4 3 2" xfId="39581"/>
    <cellStyle name="Currency 3 4 2 4 4" xfId="27276"/>
    <cellStyle name="Currency 3 4 2 5" xfId="10480"/>
    <cellStyle name="Currency 3 4 2 5 2" xfId="30363"/>
    <cellStyle name="Currency 3 4 2 6" xfId="16632"/>
    <cellStyle name="Currency 3 4 2 6 2" xfId="36515"/>
    <cellStyle name="Currency 3 4 2 7" xfId="24210"/>
    <cellStyle name="Currency 3 4 3" xfId="4944"/>
    <cellStyle name="Currency 3 4 3 2" xfId="6569"/>
    <cellStyle name="Currency 3 4 3 2 2" xfId="9655"/>
    <cellStyle name="Currency 3 4 3 2 2 2" xfId="15848"/>
    <cellStyle name="Currency 3 4 3 2 2 2 2" xfId="35731"/>
    <cellStyle name="Currency 3 4 3 2 2 3" xfId="22000"/>
    <cellStyle name="Currency 3 4 3 2 2 3 2" xfId="41883"/>
    <cellStyle name="Currency 3 4 3 2 2 4" xfId="29578"/>
    <cellStyle name="Currency 3 4 3 2 3" xfId="12782"/>
    <cellStyle name="Currency 3 4 3 2 3 2" xfId="32665"/>
    <cellStyle name="Currency 3 4 3 2 4" xfId="18934"/>
    <cellStyle name="Currency 3 4 3 2 4 2" xfId="38817"/>
    <cellStyle name="Currency 3 4 3 2 5" xfId="26512"/>
    <cellStyle name="Currency 3 4 3 3" xfId="8120"/>
    <cellStyle name="Currency 3 4 3 3 2" xfId="14314"/>
    <cellStyle name="Currency 3 4 3 3 2 2" xfId="34197"/>
    <cellStyle name="Currency 3 4 3 3 3" xfId="20466"/>
    <cellStyle name="Currency 3 4 3 3 3 2" xfId="40349"/>
    <cellStyle name="Currency 3 4 3 3 4" xfId="28044"/>
    <cellStyle name="Currency 3 4 3 4" xfId="11248"/>
    <cellStyle name="Currency 3 4 3 4 2" xfId="31131"/>
    <cellStyle name="Currency 3 4 3 5" xfId="17400"/>
    <cellStyle name="Currency 3 4 3 5 2" xfId="37283"/>
    <cellStyle name="Currency 3 4 3 6" xfId="24978"/>
    <cellStyle name="Currency 3 4 4" xfId="5785"/>
    <cellStyle name="Currency 3 4 4 2" xfId="8886"/>
    <cellStyle name="Currency 3 4 4 2 2" xfId="15079"/>
    <cellStyle name="Currency 3 4 4 2 2 2" xfId="34962"/>
    <cellStyle name="Currency 3 4 4 2 3" xfId="21231"/>
    <cellStyle name="Currency 3 4 4 2 3 2" xfId="41114"/>
    <cellStyle name="Currency 3 4 4 2 4" xfId="28809"/>
    <cellStyle name="Currency 3 4 4 3" xfId="12013"/>
    <cellStyle name="Currency 3 4 4 3 2" xfId="31896"/>
    <cellStyle name="Currency 3 4 4 4" xfId="18165"/>
    <cellStyle name="Currency 3 4 4 4 2" xfId="38048"/>
    <cellStyle name="Currency 3 4 4 5" xfId="25743"/>
    <cellStyle name="Currency 3 4 5" xfId="7351"/>
    <cellStyle name="Currency 3 4 5 2" xfId="13545"/>
    <cellStyle name="Currency 3 4 5 2 2" xfId="33428"/>
    <cellStyle name="Currency 3 4 5 3" xfId="19697"/>
    <cellStyle name="Currency 3 4 5 3 2" xfId="39580"/>
    <cellStyle name="Currency 3 4 5 4" xfId="27275"/>
    <cellStyle name="Currency 3 4 6" xfId="10479"/>
    <cellStyle name="Currency 3 4 6 2" xfId="30362"/>
    <cellStyle name="Currency 3 4 7" xfId="16631"/>
    <cellStyle name="Currency 3 4 7 2" xfId="36514"/>
    <cellStyle name="Currency 3 4 8" xfId="3243"/>
    <cellStyle name="Currency 3 4 8 2" xfId="24209"/>
    <cellStyle name="Currency 3 4 9" xfId="23171"/>
    <cellStyle name="Currency 3 5" xfId="315"/>
    <cellStyle name="Currency 3 5 2" xfId="3246"/>
    <cellStyle name="Currency 3 5 2 2" xfId="4947"/>
    <cellStyle name="Currency 3 5 2 2 2" xfId="6572"/>
    <cellStyle name="Currency 3 5 2 2 2 2" xfId="9658"/>
    <cellStyle name="Currency 3 5 2 2 2 2 2" xfId="15851"/>
    <cellStyle name="Currency 3 5 2 2 2 2 2 2" xfId="35734"/>
    <cellStyle name="Currency 3 5 2 2 2 2 3" xfId="22003"/>
    <cellStyle name="Currency 3 5 2 2 2 2 3 2" xfId="41886"/>
    <cellStyle name="Currency 3 5 2 2 2 2 4" xfId="29581"/>
    <cellStyle name="Currency 3 5 2 2 2 3" xfId="12785"/>
    <cellStyle name="Currency 3 5 2 2 2 3 2" xfId="32668"/>
    <cellStyle name="Currency 3 5 2 2 2 4" xfId="18937"/>
    <cellStyle name="Currency 3 5 2 2 2 4 2" xfId="38820"/>
    <cellStyle name="Currency 3 5 2 2 2 5" xfId="26515"/>
    <cellStyle name="Currency 3 5 2 2 3" xfId="8123"/>
    <cellStyle name="Currency 3 5 2 2 3 2" xfId="14317"/>
    <cellStyle name="Currency 3 5 2 2 3 2 2" xfId="34200"/>
    <cellStyle name="Currency 3 5 2 2 3 3" xfId="20469"/>
    <cellStyle name="Currency 3 5 2 2 3 3 2" xfId="40352"/>
    <cellStyle name="Currency 3 5 2 2 3 4" xfId="28047"/>
    <cellStyle name="Currency 3 5 2 2 4" xfId="11251"/>
    <cellStyle name="Currency 3 5 2 2 4 2" xfId="31134"/>
    <cellStyle name="Currency 3 5 2 2 5" xfId="17403"/>
    <cellStyle name="Currency 3 5 2 2 5 2" xfId="37286"/>
    <cellStyle name="Currency 3 5 2 2 6" xfId="24981"/>
    <cellStyle name="Currency 3 5 2 3" xfId="5788"/>
    <cellStyle name="Currency 3 5 2 3 2" xfId="8889"/>
    <cellStyle name="Currency 3 5 2 3 2 2" xfId="15082"/>
    <cellStyle name="Currency 3 5 2 3 2 2 2" xfId="34965"/>
    <cellStyle name="Currency 3 5 2 3 2 3" xfId="21234"/>
    <cellStyle name="Currency 3 5 2 3 2 3 2" xfId="41117"/>
    <cellStyle name="Currency 3 5 2 3 2 4" xfId="28812"/>
    <cellStyle name="Currency 3 5 2 3 3" xfId="12016"/>
    <cellStyle name="Currency 3 5 2 3 3 2" xfId="31899"/>
    <cellStyle name="Currency 3 5 2 3 4" xfId="18168"/>
    <cellStyle name="Currency 3 5 2 3 4 2" xfId="38051"/>
    <cellStyle name="Currency 3 5 2 3 5" xfId="25746"/>
    <cellStyle name="Currency 3 5 2 4" xfId="7354"/>
    <cellStyle name="Currency 3 5 2 4 2" xfId="13548"/>
    <cellStyle name="Currency 3 5 2 4 2 2" xfId="33431"/>
    <cellStyle name="Currency 3 5 2 4 3" xfId="19700"/>
    <cellStyle name="Currency 3 5 2 4 3 2" xfId="39583"/>
    <cellStyle name="Currency 3 5 2 4 4" xfId="27278"/>
    <cellStyle name="Currency 3 5 2 5" xfId="10482"/>
    <cellStyle name="Currency 3 5 2 5 2" xfId="30365"/>
    <cellStyle name="Currency 3 5 2 6" xfId="16634"/>
    <cellStyle name="Currency 3 5 2 6 2" xfId="36517"/>
    <cellStyle name="Currency 3 5 2 7" xfId="24212"/>
    <cellStyle name="Currency 3 5 3" xfId="4946"/>
    <cellStyle name="Currency 3 5 3 2" xfId="6571"/>
    <cellStyle name="Currency 3 5 3 2 2" xfId="9657"/>
    <cellStyle name="Currency 3 5 3 2 2 2" xfId="15850"/>
    <cellStyle name="Currency 3 5 3 2 2 2 2" xfId="35733"/>
    <cellStyle name="Currency 3 5 3 2 2 3" xfId="22002"/>
    <cellStyle name="Currency 3 5 3 2 2 3 2" xfId="41885"/>
    <cellStyle name="Currency 3 5 3 2 2 4" xfId="29580"/>
    <cellStyle name="Currency 3 5 3 2 3" xfId="12784"/>
    <cellStyle name="Currency 3 5 3 2 3 2" xfId="32667"/>
    <cellStyle name="Currency 3 5 3 2 4" xfId="18936"/>
    <cellStyle name="Currency 3 5 3 2 4 2" xfId="38819"/>
    <cellStyle name="Currency 3 5 3 2 5" xfId="26514"/>
    <cellStyle name="Currency 3 5 3 3" xfId="8122"/>
    <cellStyle name="Currency 3 5 3 3 2" xfId="14316"/>
    <cellStyle name="Currency 3 5 3 3 2 2" xfId="34199"/>
    <cellStyle name="Currency 3 5 3 3 3" xfId="20468"/>
    <cellStyle name="Currency 3 5 3 3 3 2" xfId="40351"/>
    <cellStyle name="Currency 3 5 3 3 4" xfId="28046"/>
    <cellStyle name="Currency 3 5 3 4" xfId="11250"/>
    <cellStyle name="Currency 3 5 3 4 2" xfId="31133"/>
    <cellStyle name="Currency 3 5 3 5" xfId="17402"/>
    <cellStyle name="Currency 3 5 3 5 2" xfId="37285"/>
    <cellStyle name="Currency 3 5 3 6" xfId="24980"/>
    <cellStyle name="Currency 3 5 4" xfId="5787"/>
    <cellStyle name="Currency 3 5 4 2" xfId="8888"/>
    <cellStyle name="Currency 3 5 4 2 2" xfId="15081"/>
    <cellStyle name="Currency 3 5 4 2 2 2" xfId="34964"/>
    <cellStyle name="Currency 3 5 4 2 3" xfId="21233"/>
    <cellStyle name="Currency 3 5 4 2 3 2" xfId="41116"/>
    <cellStyle name="Currency 3 5 4 2 4" xfId="28811"/>
    <cellStyle name="Currency 3 5 4 3" xfId="12015"/>
    <cellStyle name="Currency 3 5 4 3 2" xfId="31898"/>
    <cellStyle name="Currency 3 5 4 4" xfId="18167"/>
    <cellStyle name="Currency 3 5 4 4 2" xfId="38050"/>
    <cellStyle name="Currency 3 5 4 5" xfId="25745"/>
    <cellStyle name="Currency 3 5 5" xfId="7353"/>
    <cellStyle name="Currency 3 5 5 2" xfId="13547"/>
    <cellStyle name="Currency 3 5 5 2 2" xfId="33430"/>
    <cellStyle name="Currency 3 5 5 3" xfId="19699"/>
    <cellStyle name="Currency 3 5 5 3 2" xfId="39582"/>
    <cellStyle name="Currency 3 5 5 4" xfId="27277"/>
    <cellStyle name="Currency 3 5 6" xfId="10481"/>
    <cellStyle name="Currency 3 5 6 2" xfId="30364"/>
    <cellStyle name="Currency 3 5 7" xfId="16633"/>
    <cellStyle name="Currency 3 5 7 2" xfId="36516"/>
    <cellStyle name="Currency 3 5 8" xfId="3245"/>
    <cellStyle name="Currency 3 5 8 2" xfId="24211"/>
    <cellStyle name="Currency 3 5 9" xfId="23172"/>
    <cellStyle name="Currency 3 6" xfId="306"/>
    <cellStyle name="Currency 3 6 2" xfId="3248"/>
    <cellStyle name="Currency 3 6 2 2" xfId="4949"/>
    <cellStyle name="Currency 3 6 2 2 2" xfId="6574"/>
    <cellStyle name="Currency 3 6 2 2 2 2" xfId="9660"/>
    <cellStyle name="Currency 3 6 2 2 2 2 2" xfId="15853"/>
    <cellStyle name="Currency 3 6 2 2 2 2 2 2" xfId="35736"/>
    <cellStyle name="Currency 3 6 2 2 2 2 3" xfId="22005"/>
    <cellStyle name="Currency 3 6 2 2 2 2 3 2" xfId="41888"/>
    <cellStyle name="Currency 3 6 2 2 2 2 4" xfId="29583"/>
    <cellStyle name="Currency 3 6 2 2 2 3" xfId="12787"/>
    <cellStyle name="Currency 3 6 2 2 2 3 2" xfId="32670"/>
    <cellStyle name="Currency 3 6 2 2 2 4" xfId="18939"/>
    <cellStyle name="Currency 3 6 2 2 2 4 2" xfId="38822"/>
    <cellStyle name="Currency 3 6 2 2 2 5" xfId="26517"/>
    <cellStyle name="Currency 3 6 2 2 3" xfId="8125"/>
    <cellStyle name="Currency 3 6 2 2 3 2" xfId="14319"/>
    <cellStyle name="Currency 3 6 2 2 3 2 2" xfId="34202"/>
    <cellStyle name="Currency 3 6 2 2 3 3" xfId="20471"/>
    <cellStyle name="Currency 3 6 2 2 3 3 2" xfId="40354"/>
    <cellStyle name="Currency 3 6 2 2 3 4" xfId="28049"/>
    <cellStyle name="Currency 3 6 2 2 4" xfId="11253"/>
    <cellStyle name="Currency 3 6 2 2 4 2" xfId="31136"/>
    <cellStyle name="Currency 3 6 2 2 5" xfId="17405"/>
    <cellStyle name="Currency 3 6 2 2 5 2" xfId="37288"/>
    <cellStyle name="Currency 3 6 2 2 6" xfId="24983"/>
    <cellStyle name="Currency 3 6 2 3" xfId="5790"/>
    <cellStyle name="Currency 3 6 2 3 2" xfId="8891"/>
    <cellStyle name="Currency 3 6 2 3 2 2" xfId="15084"/>
    <cellStyle name="Currency 3 6 2 3 2 2 2" xfId="34967"/>
    <cellStyle name="Currency 3 6 2 3 2 3" xfId="21236"/>
    <cellStyle name="Currency 3 6 2 3 2 3 2" xfId="41119"/>
    <cellStyle name="Currency 3 6 2 3 2 4" xfId="28814"/>
    <cellStyle name="Currency 3 6 2 3 3" xfId="12018"/>
    <cellStyle name="Currency 3 6 2 3 3 2" xfId="31901"/>
    <cellStyle name="Currency 3 6 2 3 4" xfId="18170"/>
    <cellStyle name="Currency 3 6 2 3 4 2" xfId="38053"/>
    <cellStyle name="Currency 3 6 2 3 5" xfId="25748"/>
    <cellStyle name="Currency 3 6 2 4" xfId="7356"/>
    <cellStyle name="Currency 3 6 2 4 2" xfId="13550"/>
    <cellStyle name="Currency 3 6 2 4 2 2" xfId="33433"/>
    <cellStyle name="Currency 3 6 2 4 3" xfId="19702"/>
    <cellStyle name="Currency 3 6 2 4 3 2" xfId="39585"/>
    <cellStyle name="Currency 3 6 2 4 4" xfId="27280"/>
    <cellStyle name="Currency 3 6 2 5" xfId="10484"/>
    <cellStyle name="Currency 3 6 2 5 2" xfId="30367"/>
    <cellStyle name="Currency 3 6 2 6" xfId="16636"/>
    <cellStyle name="Currency 3 6 2 6 2" xfId="36519"/>
    <cellStyle name="Currency 3 6 2 7" xfId="24214"/>
    <cellStyle name="Currency 3 6 3" xfId="4948"/>
    <cellStyle name="Currency 3 6 3 2" xfId="6573"/>
    <cellStyle name="Currency 3 6 3 2 2" xfId="9659"/>
    <cellStyle name="Currency 3 6 3 2 2 2" xfId="15852"/>
    <cellStyle name="Currency 3 6 3 2 2 2 2" xfId="35735"/>
    <cellStyle name="Currency 3 6 3 2 2 3" xfId="22004"/>
    <cellStyle name="Currency 3 6 3 2 2 3 2" xfId="41887"/>
    <cellStyle name="Currency 3 6 3 2 2 4" xfId="29582"/>
    <cellStyle name="Currency 3 6 3 2 3" xfId="12786"/>
    <cellStyle name="Currency 3 6 3 2 3 2" xfId="32669"/>
    <cellStyle name="Currency 3 6 3 2 4" xfId="18938"/>
    <cellStyle name="Currency 3 6 3 2 4 2" xfId="38821"/>
    <cellStyle name="Currency 3 6 3 2 5" xfId="26516"/>
    <cellStyle name="Currency 3 6 3 3" xfId="8124"/>
    <cellStyle name="Currency 3 6 3 3 2" xfId="14318"/>
    <cellStyle name="Currency 3 6 3 3 2 2" xfId="34201"/>
    <cellStyle name="Currency 3 6 3 3 3" xfId="20470"/>
    <cellStyle name="Currency 3 6 3 3 3 2" xfId="40353"/>
    <cellStyle name="Currency 3 6 3 3 4" xfId="28048"/>
    <cellStyle name="Currency 3 6 3 4" xfId="11252"/>
    <cellStyle name="Currency 3 6 3 4 2" xfId="31135"/>
    <cellStyle name="Currency 3 6 3 5" xfId="17404"/>
    <cellStyle name="Currency 3 6 3 5 2" xfId="37287"/>
    <cellStyle name="Currency 3 6 3 6" xfId="24982"/>
    <cellStyle name="Currency 3 6 4" xfId="5789"/>
    <cellStyle name="Currency 3 6 4 2" xfId="8890"/>
    <cellStyle name="Currency 3 6 4 2 2" xfId="15083"/>
    <cellStyle name="Currency 3 6 4 2 2 2" xfId="34966"/>
    <cellStyle name="Currency 3 6 4 2 3" xfId="21235"/>
    <cellStyle name="Currency 3 6 4 2 3 2" xfId="41118"/>
    <cellStyle name="Currency 3 6 4 2 4" xfId="28813"/>
    <cellStyle name="Currency 3 6 4 3" xfId="12017"/>
    <cellStyle name="Currency 3 6 4 3 2" xfId="31900"/>
    <cellStyle name="Currency 3 6 4 4" xfId="18169"/>
    <cellStyle name="Currency 3 6 4 4 2" xfId="38052"/>
    <cellStyle name="Currency 3 6 4 5" xfId="25747"/>
    <cellStyle name="Currency 3 6 5" xfId="7355"/>
    <cellStyle name="Currency 3 6 5 2" xfId="13549"/>
    <cellStyle name="Currency 3 6 5 2 2" xfId="33432"/>
    <cellStyle name="Currency 3 6 5 3" xfId="19701"/>
    <cellStyle name="Currency 3 6 5 3 2" xfId="39584"/>
    <cellStyle name="Currency 3 6 5 4" xfId="27279"/>
    <cellStyle name="Currency 3 6 6" xfId="10483"/>
    <cellStyle name="Currency 3 6 6 2" xfId="30366"/>
    <cellStyle name="Currency 3 6 7" xfId="16635"/>
    <cellStyle name="Currency 3 6 7 2" xfId="36518"/>
    <cellStyle name="Currency 3 6 8" xfId="3247"/>
    <cellStyle name="Currency 3 6 8 2" xfId="24213"/>
    <cellStyle name="Currency 3 7" xfId="344"/>
    <cellStyle name="Currency 3 7 2" xfId="4950"/>
    <cellStyle name="Currency 3 7 2 2" xfId="6575"/>
    <cellStyle name="Currency 3 7 2 2 2" xfId="9661"/>
    <cellStyle name="Currency 3 7 2 2 2 2" xfId="15854"/>
    <cellStyle name="Currency 3 7 2 2 2 2 2" xfId="35737"/>
    <cellStyle name="Currency 3 7 2 2 2 3" xfId="22006"/>
    <cellStyle name="Currency 3 7 2 2 2 3 2" xfId="41889"/>
    <cellStyle name="Currency 3 7 2 2 2 4" xfId="29584"/>
    <cellStyle name="Currency 3 7 2 2 3" xfId="12788"/>
    <cellStyle name="Currency 3 7 2 2 3 2" xfId="32671"/>
    <cellStyle name="Currency 3 7 2 2 4" xfId="18940"/>
    <cellStyle name="Currency 3 7 2 2 4 2" xfId="38823"/>
    <cellStyle name="Currency 3 7 2 2 5" xfId="26518"/>
    <cellStyle name="Currency 3 7 2 3" xfId="8126"/>
    <cellStyle name="Currency 3 7 2 3 2" xfId="14320"/>
    <cellStyle name="Currency 3 7 2 3 2 2" xfId="34203"/>
    <cellStyle name="Currency 3 7 2 3 3" xfId="20472"/>
    <cellStyle name="Currency 3 7 2 3 3 2" xfId="40355"/>
    <cellStyle name="Currency 3 7 2 3 4" xfId="28050"/>
    <cellStyle name="Currency 3 7 2 4" xfId="11254"/>
    <cellStyle name="Currency 3 7 2 4 2" xfId="31137"/>
    <cellStyle name="Currency 3 7 2 5" xfId="17406"/>
    <cellStyle name="Currency 3 7 2 5 2" xfId="37289"/>
    <cellStyle name="Currency 3 7 2 6" xfId="24984"/>
    <cellStyle name="Currency 3 7 3" xfId="5791"/>
    <cellStyle name="Currency 3 7 3 2" xfId="8892"/>
    <cellStyle name="Currency 3 7 3 2 2" xfId="15085"/>
    <cellStyle name="Currency 3 7 3 2 2 2" xfId="34968"/>
    <cellStyle name="Currency 3 7 3 2 3" xfId="21237"/>
    <cellStyle name="Currency 3 7 3 2 3 2" xfId="41120"/>
    <cellStyle name="Currency 3 7 3 2 4" xfId="28815"/>
    <cellStyle name="Currency 3 7 3 3" xfId="12019"/>
    <cellStyle name="Currency 3 7 3 3 2" xfId="31902"/>
    <cellStyle name="Currency 3 7 3 4" xfId="18171"/>
    <cellStyle name="Currency 3 7 3 4 2" xfId="38054"/>
    <cellStyle name="Currency 3 7 3 5" xfId="25749"/>
    <cellStyle name="Currency 3 7 4" xfId="7357"/>
    <cellStyle name="Currency 3 7 4 2" xfId="13551"/>
    <cellStyle name="Currency 3 7 4 2 2" xfId="33434"/>
    <cellStyle name="Currency 3 7 4 3" xfId="19703"/>
    <cellStyle name="Currency 3 7 4 3 2" xfId="39586"/>
    <cellStyle name="Currency 3 7 4 4" xfId="27281"/>
    <cellStyle name="Currency 3 7 5" xfId="10485"/>
    <cellStyle name="Currency 3 7 5 2" xfId="30368"/>
    <cellStyle name="Currency 3 7 6" xfId="16637"/>
    <cellStyle name="Currency 3 7 6 2" xfId="36520"/>
    <cellStyle name="Currency 3 7 7" xfId="3249"/>
    <cellStyle name="Currency 3 7 7 2" xfId="24215"/>
    <cellStyle name="Currency 3 8" xfId="312"/>
    <cellStyle name="Currency 3 8 2" xfId="4951"/>
    <cellStyle name="Currency 3 8 2 2" xfId="6576"/>
    <cellStyle name="Currency 3 8 2 2 2" xfId="9662"/>
    <cellStyle name="Currency 3 8 2 2 2 2" xfId="15855"/>
    <cellStyle name="Currency 3 8 2 2 2 2 2" xfId="35738"/>
    <cellStyle name="Currency 3 8 2 2 2 3" xfId="22007"/>
    <cellStyle name="Currency 3 8 2 2 2 3 2" xfId="41890"/>
    <cellStyle name="Currency 3 8 2 2 2 4" xfId="29585"/>
    <cellStyle name="Currency 3 8 2 2 3" xfId="12789"/>
    <cellStyle name="Currency 3 8 2 2 3 2" xfId="32672"/>
    <cellStyle name="Currency 3 8 2 2 4" xfId="18941"/>
    <cellStyle name="Currency 3 8 2 2 4 2" xfId="38824"/>
    <cellStyle name="Currency 3 8 2 2 5" xfId="26519"/>
    <cellStyle name="Currency 3 8 2 3" xfId="8127"/>
    <cellStyle name="Currency 3 8 2 3 2" xfId="14321"/>
    <cellStyle name="Currency 3 8 2 3 2 2" xfId="34204"/>
    <cellStyle name="Currency 3 8 2 3 3" xfId="20473"/>
    <cellStyle name="Currency 3 8 2 3 3 2" xfId="40356"/>
    <cellStyle name="Currency 3 8 2 3 4" xfId="28051"/>
    <cellStyle name="Currency 3 8 2 4" xfId="11255"/>
    <cellStyle name="Currency 3 8 2 4 2" xfId="31138"/>
    <cellStyle name="Currency 3 8 2 5" xfId="17407"/>
    <cellStyle name="Currency 3 8 2 5 2" xfId="37290"/>
    <cellStyle name="Currency 3 8 2 6" xfId="24985"/>
    <cellStyle name="Currency 3 8 3" xfId="5792"/>
    <cellStyle name="Currency 3 8 3 2" xfId="8893"/>
    <cellStyle name="Currency 3 8 3 2 2" xfId="15086"/>
    <cellStyle name="Currency 3 8 3 2 2 2" xfId="34969"/>
    <cellStyle name="Currency 3 8 3 2 3" xfId="21238"/>
    <cellStyle name="Currency 3 8 3 2 3 2" xfId="41121"/>
    <cellStyle name="Currency 3 8 3 2 4" xfId="28816"/>
    <cellStyle name="Currency 3 8 3 3" xfId="12020"/>
    <cellStyle name="Currency 3 8 3 3 2" xfId="31903"/>
    <cellStyle name="Currency 3 8 3 4" xfId="18172"/>
    <cellStyle name="Currency 3 8 3 4 2" xfId="38055"/>
    <cellStyle name="Currency 3 8 3 5" xfId="25750"/>
    <cellStyle name="Currency 3 8 4" xfId="7358"/>
    <cellStyle name="Currency 3 8 4 2" xfId="13552"/>
    <cellStyle name="Currency 3 8 4 2 2" xfId="33435"/>
    <cellStyle name="Currency 3 8 4 3" xfId="19704"/>
    <cellStyle name="Currency 3 8 4 3 2" xfId="39587"/>
    <cellStyle name="Currency 3 8 4 4" xfId="27282"/>
    <cellStyle name="Currency 3 8 5" xfId="10486"/>
    <cellStyle name="Currency 3 8 5 2" xfId="30369"/>
    <cellStyle name="Currency 3 8 6" xfId="16638"/>
    <cellStyle name="Currency 3 8 6 2" xfId="36521"/>
    <cellStyle name="Currency 3 8 7" xfId="3250"/>
    <cellStyle name="Currency 3 8 7 2" xfId="24216"/>
    <cellStyle name="Currency 3 9" xfId="305"/>
    <cellStyle name="Currency 3 9 2" xfId="4952"/>
    <cellStyle name="Currency 3 9 2 2" xfId="6577"/>
    <cellStyle name="Currency 3 9 2 2 2" xfId="9663"/>
    <cellStyle name="Currency 3 9 2 2 2 2" xfId="15856"/>
    <cellStyle name="Currency 3 9 2 2 2 2 2" xfId="35739"/>
    <cellStyle name="Currency 3 9 2 2 2 3" xfId="22008"/>
    <cellStyle name="Currency 3 9 2 2 2 3 2" xfId="41891"/>
    <cellStyle name="Currency 3 9 2 2 2 4" xfId="29586"/>
    <cellStyle name="Currency 3 9 2 2 3" xfId="12790"/>
    <cellStyle name="Currency 3 9 2 2 3 2" xfId="32673"/>
    <cellStyle name="Currency 3 9 2 2 4" xfId="18942"/>
    <cellStyle name="Currency 3 9 2 2 4 2" xfId="38825"/>
    <cellStyle name="Currency 3 9 2 2 5" xfId="26520"/>
    <cellStyle name="Currency 3 9 2 3" xfId="8128"/>
    <cellStyle name="Currency 3 9 2 3 2" xfId="14322"/>
    <cellStyle name="Currency 3 9 2 3 2 2" xfId="34205"/>
    <cellStyle name="Currency 3 9 2 3 3" xfId="20474"/>
    <cellStyle name="Currency 3 9 2 3 3 2" xfId="40357"/>
    <cellStyle name="Currency 3 9 2 3 4" xfId="28052"/>
    <cellStyle name="Currency 3 9 2 4" xfId="11256"/>
    <cellStyle name="Currency 3 9 2 4 2" xfId="31139"/>
    <cellStyle name="Currency 3 9 2 5" xfId="17408"/>
    <cellStyle name="Currency 3 9 2 5 2" xfId="37291"/>
    <cellStyle name="Currency 3 9 2 6" xfId="24986"/>
    <cellStyle name="Currency 3 9 3" xfId="5793"/>
    <cellStyle name="Currency 3 9 3 2" xfId="8894"/>
    <cellStyle name="Currency 3 9 3 2 2" xfId="15087"/>
    <cellStyle name="Currency 3 9 3 2 2 2" xfId="34970"/>
    <cellStyle name="Currency 3 9 3 2 3" xfId="21239"/>
    <cellStyle name="Currency 3 9 3 2 3 2" xfId="41122"/>
    <cellStyle name="Currency 3 9 3 2 4" xfId="28817"/>
    <cellStyle name="Currency 3 9 3 3" xfId="12021"/>
    <cellStyle name="Currency 3 9 3 3 2" xfId="31904"/>
    <cellStyle name="Currency 3 9 3 4" xfId="18173"/>
    <cellStyle name="Currency 3 9 3 4 2" xfId="38056"/>
    <cellStyle name="Currency 3 9 3 5" xfId="25751"/>
    <cellStyle name="Currency 3 9 4" xfId="7359"/>
    <cellStyle name="Currency 3 9 4 2" xfId="13553"/>
    <cellStyle name="Currency 3 9 4 2 2" xfId="33436"/>
    <cellStyle name="Currency 3 9 4 3" xfId="19705"/>
    <cellStyle name="Currency 3 9 4 3 2" xfId="39588"/>
    <cellStyle name="Currency 3 9 4 4" xfId="27283"/>
    <cellStyle name="Currency 3 9 5" xfId="10487"/>
    <cellStyle name="Currency 3 9 5 2" xfId="30370"/>
    <cellStyle name="Currency 3 9 6" xfId="16639"/>
    <cellStyle name="Currency 3 9 6 2" xfId="36522"/>
    <cellStyle name="Currency 3 9 7" xfId="3251"/>
    <cellStyle name="Currency 3 9 7 2" xfId="24217"/>
    <cellStyle name="Currency 30" xfId="3252"/>
    <cellStyle name="Currency 31" xfId="3253"/>
    <cellStyle name="Currency 32" xfId="3254"/>
    <cellStyle name="Currency 33" xfId="3255"/>
    <cellStyle name="Currency 34" xfId="3256"/>
    <cellStyle name="Currency 35" xfId="3257"/>
    <cellStyle name="Currency 36" xfId="3258"/>
    <cellStyle name="Currency 37" xfId="3259"/>
    <cellStyle name="Currency 38" xfId="3260"/>
    <cellStyle name="Currency 39" xfId="3261"/>
    <cellStyle name="Currency 4" xfId="58"/>
    <cellStyle name="Currency 4 2" xfId="3263"/>
    <cellStyle name="Currency 4 2 2" xfId="10247"/>
    <cellStyle name="Currency 4 2 2 2" xfId="16419"/>
    <cellStyle name="Currency 4 2 2 2 2" xfId="36302"/>
    <cellStyle name="Currency 4 2 2 3" xfId="22571"/>
    <cellStyle name="Currency 4 2 2 3 2" xfId="42454"/>
    <cellStyle name="Currency 4 2 2 4" xfId="30149"/>
    <cellStyle name="Currency 4 2 3" xfId="10229"/>
    <cellStyle name="Currency 4 2 3 2" xfId="16410"/>
    <cellStyle name="Currency 4 2 3 2 2" xfId="36293"/>
    <cellStyle name="Currency 4 2 3 3" xfId="22562"/>
    <cellStyle name="Currency 4 2 3 3 2" xfId="42445"/>
    <cellStyle name="Currency 4 2 3 4" xfId="30140"/>
    <cellStyle name="Currency 4 2 4" xfId="23174"/>
    <cellStyle name="Currency 4 3" xfId="3264"/>
    <cellStyle name="Currency 4 3 2" xfId="3265"/>
    <cellStyle name="Currency 4 3 3" xfId="3266"/>
    <cellStyle name="Currency 4 3 4" xfId="3267"/>
    <cellStyle name="Currency 4 3 5" xfId="10246"/>
    <cellStyle name="Currency 4 3 5 2" xfId="16418"/>
    <cellStyle name="Currency 4 3 5 2 2" xfId="36301"/>
    <cellStyle name="Currency 4 3 5 3" xfId="22570"/>
    <cellStyle name="Currency 4 3 5 3 2" xfId="42453"/>
    <cellStyle name="Currency 4 3 5 4" xfId="30148"/>
    <cellStyle name="Currency 4 3 6" xfId="23175"/>
    <cellStyle name="Currency 4 4" xfId="3268"/>
    <cellStyle name="Currency 4 4 2" xfId="10263"/>
    <cellStyle name="Currency 4 4 3" xfId="23176"/>
    <cellStyle name="Currency 4 5" xfId="4662"/>
    <cellStyle name="Currency 4 5 2" xfId="23177"/>
    <cellStyle name="Currency 4 6" xfId="3262"/>
    <cellStyle name="Currency 4 7" xfId="10228"/>
    <cellStyle name="Currency 4 7 2" xfId="16409"/>
    <cellStyle name="Currency 4 7 2 2" xfId="36292"/>
    <cellStyle name="Currency 4 7 3" xfId="22561"/>
    <cellStyle name="Currency 4 7 3 2" xfId="42444"/>
    <cellStyle name="Currency 4 7 4" xfId="30139"/>
    <cellStyle name="Currency 4 8" xfId="1220"/>
    <cellStyle name="Currency 4 9" xfId="23173"/>
    <cellStyle name="Currency 40" xfId="3269"/>
    <cellStyle name="Currency 41" xfId="3270"/>
    <cellStyle name="Currency 42" xfId="3271"/>
    <cellStyle name="Currency 43" xfId="3272"/>
    <cellStyle name="Currency 44" xfId="3273"/>
    <cellStyle name="Currency 45" xfId="3274"/>
    <cellStyle name="Currency 46" xfId="3275"/>
    <cellStyle name="Currency 47" xfId="3276"/>
    <cellStyle name="Currency 48" xfId="3277"/>
    <cellStyle name="Currency 49" xfId="3278"/>
    <cellStyle name="Currency 5" xfId="59"/>
    <cellStyle name="Currency 5 10" xfId="16429"/>
    <cellStyle name="Currency 5 10 2" xfId="36312"/>
    <cellStyle name="Currency 5 11" xfId="1221"/>
    <cellStyle name="Currency 5 11 2" xfId="24007"/>
    <cellStyle name="Currency 5 12" xfId="23178"/>
    <cellStyle name="Currency 5 2" xfId="1293"/>
    <cellStyle name="Currency 5 2 10" xfId="16435"/>
    <cellStyle name="Currency 5 2 10 2" xfId="36318"/>
    <cellStyle name="Currency 5 2 11" xfId="23179"/>
    <cellStyle name="Currency 5 2 12" xfId="24013"/>
    <cellStyle name="Currency 5 2 2" xfId="1312"/>
    <cellStyle name="Currency 5 2 2 2" xfId="4724"/>
    <cellStyle name="Currency 5 2 2 2 2" xfId="5500"/>
    <cellStyle name="Currency 5 2 2 2 2 2" xfId="7125"/>
    <cellStyle name="Currency 5 2 2 2 2 2 2" xfId="10211"/>
    <cellStyle name="Currency 5 2 2 2 2 2 2 2" xfId="16404"/>
    <cellStyle name="Currency 5 2 2 2 2 2 2 2 2" xfId="36287"/>
    <cellStyle name="Currency 5 2 2 2 2 2 2 3" xfId="22556"/>
    <cellStyle name="Currency 5 2 2 2 2 2 2 3 2" xfId="42439"/>
    <cellStyle name="Currency 5 2 2 2 2 2 2 4" xfId="30134"/>
    <cellStyle name="Currency 5 2 2 2 2 2 3" xfId="13338"/>
    <cellStyle name="Currency 5 2 2 2 2 2 3 2" xfId="33221"/>
    <cellStyle name="Currency 5 2 2 2 2 2 4" xfId="19490"/>
    <cellStyle name="Currency 5 2 2 2 2 2 4 2" xfId="39373"/>
    <cellStyle name="Currency 5 2 2 2 2 2 5" xfId="27068"/>
    <cellStyle name="Currency 5 2 2 2 2 3" xfId="8676"/>
    <cellStyle name="Currency 5 2 2 2 2 3 2" xfId="14870"/>
    <cellStyle name="Currency 5 2 2 2 2 3 2 2" xfId="34753"/>
    <cellStyle name="Currency 5 2 2 2 2 3 3" xfId="21022"/>
    <cellStyle name="Currency 5 2 2 2 2 3 3 2" xfId="40905"/>
    <cellStyle name="Currency 5 2 2 2 2 3 4" xfId="28600"/>
    <cellStyle name="Currency 5 2 2 2 2 4" xfId="11804"/>
    <cellStyle name="Currency 5 2 2 2 2 4 2" xfId="31687"/>
    <cellStyle name="Currency 5 2 2 2 2 5" xfId="17956"/>
    <cellStyle name="Currency 5 2 2 2 2 5 2" xfId="37839"/>
    <cellStyle name="Currency 5 2 2 2 2 6" xfId="25534"/>
    <cellStyle name="Currency 5 2 2 2 3" xfId="6356"/>
    <cellStyle name="Currency 5 2 2 2 3 2" xfId="9442"/>
    <cellStyle name="Currency 5 2 2 2 3 2 2" xfId="15635"/>
    <cellStyle name="Currency 5 2 2 2 3 2 2 2" xfId="35518"/>
    <cellStyle name="Currency 5 2 2 2 3 2 3" xfId="21787"/>
    <cellStyle name="Currency 5 2 2 2 3 2 3 2" xfId="41670"/>
    <cellStyle name="Currency 5 2 2 2 3 2 4" xfId="29365"/>
    <cellStyle name="Currency 5 2 2 2 3 3" xfId="12569"/>
    <cellStyle name="Currency 5 2 2 2 3 3 2" xfId="32452"/>
    <cellStyle name="Currency 5 2 2 2 3 4" xfId="18721"/>
    <cellStyle name="Currency 5 2 2 2 3 4 2" xfId="38604"/>
    <cellStyle name="Currency 5 2 2 2 3 5" xfId="26299"/>
    <cellStyle name="Currency 5 2 2 2 4" xfId="7907"/>
    <cellStyle name="Currency 5 2 2 2 4 2" xfId="14101"/>
    <cellStyle name="Currency 5 2 2 2 4 2 2" xfId="33984"/>
    <cellStyle name="Currency 5 2 2 2 4 3" xfId="20253"/>
    <cellStyle name="Currency 5 2 2 2 4 3 2" xfId="40136"/>
    <cellStyle name="Currency 5 2 2 2 4 4" xfId="27831"/>
    <cellStyle name="Currency 5 2 2 2 5" xfId="11035"/>
    <cellStyle name="Currency 5 2 2 2 5 2" xfId="30918"/>
    <cellStyle name="Currency 5 2 2 2 6" xfId="17187"/>
    <cellStyle name="Currency 5 2 2 2 6 2" xfId="37070"/>
    <cellStyle name="Currency 5 2 2 2 7" xfId="24765"/>
    <cellStyle name="Currency 5 2 2 3" xfId="3281"/>
    <cellStyle name="Currency 5 2 2 4" xfId="4759"/>
    <cellStyle name="Currency 5 2 2 4 2" xfId="6384"/>
    <cellStyle name="Currency 5 2 2 4 2 2" xfId="9470"/>
    <cellStyle name="Currency 5 2 2 4 2 2 2" xfId="15663"/>
    <cellStyle name="Currency 5 2 2 4 2 2 2 2" xfId="35546"/>
    <cellStyle name="Currency 5 2 2 4 2 2 3" xfId="21815"/>
    <cellStyle name="Currency 5 2 2 4 2 2 3 2" xfId="41698"/>
    <cellStyle name="Currency 5 2 2 4 2 2 4" xfId="29393"/>
    <cellStyle name="Currency 5 2 2 4 2 3" xfId="12597"/>
    <cellStyle name="Currency 5 2 2 4 2 3 2" xfId="32480"/>
    <cellStyle name="Currency 5 2 2 4 2 4" xfId="18749"/>
    <cellStyle name="Currency 5 2 2 4 2 4 2" xfId="38632"/>
    <cellStyle name="Currency 5 2 2 4 2 5" xfId="26327"/>
    <cellStyle name="Currency 5 2 2 4 3" xfId="7935"/>
    <cellStyle name="Currency 5 2 2 4 3 2" xfId="14129"/>
    <cellStyle name="Currency 5 2 2 4 3 2 2" xfId="34012"/>
    <cellStyle name="Currency 5 2 2 4 3 3" xfId="20281"/>
    <cellStyle name="Currency 5 2 2 4 3 3 2" xfId="40164"/>
    <cellStyle name="Currency 5 2 2 4 3 4" xfId="27859"/>
    <cellStyle name="Currency 5 2 2 4 4" xfId="11063"/>
    <cellStyle name="Currency 5 2 2 4 4 2" xfId="30946"/>
    <cellStyle name="Currency 5 2 2 4 5" xfId="17215"/>
    <cellStyle name="Currency 5 2 2 4 5 2" xfId="37098"/>
    <cellStyle name="Currency 5 2 2 4 6" xfId="24793"/>
    <cellStyle name="Currency 5 2 2 5" xfId="5598"/>
    <cellStyle name="Currency 5 2 2 5 2" xfId="8701"/>
    <cellStyle name="Currency 5 2 2 5 2 2" xfId="14894"/>
    <cellStyle name="Currency 5 2 2 5 2 2 2" xfId="34777"/>
    <cellStyle name="Currency 5 2 2 5 2 3" xfId="21046"/>
    <cellStyle name="Currency 5 2 2 5 2 3 2" xfId="40929"/>
    <cellStyle name="Currency 5 2 2 5 2 4" xfId="28624"/>
    <cellStyle name="Currency 5 2 2 5 3" xfId="11828"/>
    <cellStyle name="Currency 5 2 2 5 3 2" xfId="31711"/>
    <cellStyle name="Currency 5 2 2 5 4" xfId="17980"/>
    <cellStyle name="Currency 5 2 2 5 4 2" xfId="37863"/>
    <cellStyle name="Currency 5 2 2 5 5" xfId="25558"/>
    <cellStyle name="Currency 5 2 2 6" xfId="7166"/>
    <cellStyle name="Currency 5 2 2 6 2" xfId="13360"/>
    <cellStyle name="Currency 5 2 2 6 2 2" xfId="33243"/>
    <cellStyle name="Currency 5 2 2 6 3" xfId="19512"/>
    <cellStyle name="Currency 5 2 2 6 3 2" xfId="39395"/>
    <cellStyle name="Currency 5 2 2 6 4" xfId="27090"/>
    <cellStyle name="Currency 5 2 2 7" xfId="10294"/>
    <cellStyle name="Currency 5 2 2 7 2" xfId="30177"/>
    <cellStyle name="Currency 5 2 2 8" xfId="16446"/>
    <cellStyle name="Currency 5 2 2 8 2" xfId="36329"/>
    <cellStyle name="Currency 5 2 2 9" xfId="24024"/>
    <cellStyle name="Currency 5 2 3" xfId="3282"/>
    <cellStyle name="Currency 5 2 4" xfId="4707"/>
    <cellStyle name="Currency 5 2 4 2" xfId="5491"/>
    <cellStyle name="Currency 5 2 4 2 2" xfId="7116"/>
    <cellStyle name="Currency 5 2 4 2 2 2" xfId="10202"/>
    <cellStyle name="Currency 5 2 4 2 2 2 2" xfId="16395"/>
    <cellStyle name="Currency 5 2 4 2 2 2 2 2" xfId="36278"/>
    <cellStyle name="Currency 5 2 4 2 2 2 3" xfId="22547"/>
    <cellStyle name="Currency 5 2 4 2 2 2 3 2" xfId="42430"/>
    <cellStyle name="Currency 5 2 4 2 2 2 4" xfId="30125"/>
    <cellStyle name="Currency 5 2 4 2 2 3" xfId="13329"/>
    <cellStyle name="Currency 5 2 4 2 2 3 2" xfId="33212"/>
    <cellStyle name="Currency 5 2 4 2 2 4" xfId="19481"/>
    <cellStyle name="Currency 5 2 4 2 2 4 2" xfId="39364"/>
    <cellStyle name="Currency 5 2 4 2 2 5" xfId="27059"/>
    <cellStyle name="Currency 5 2 4 2 3" xfId="8667"/>
    <cellStyle name="Currency 5 2 4 2 3 2" xfId="14861"/>
    <cellStyle name="Currency 5 2 4 2 3 2 2" xfId="34744"/>
    <cellStyle name="Currency 5 2 4 2 3 3" xfId="21013"/>
    <cellStyle name="Currency 5 2 4 2 3 3 2" xfId="40896"/>
    <cellStyle name="Currency 5 2 4 2 3 4" xfId="28591"/>
    <cellStyle name="Currency 5 2 4 2 4" xfId="11795"/>
    <cellStyle name="Currency 5 2 4 2 4 2" xfId="31678"/>
    <cellStyle name="Currency 5 2 4 2 5" xfId="17947"/>
    <cellStyle name="Currency 5 2 4 2 5 2" xfId="37830"/>
    <cellStyle name="Currency 5 2 4 2 6" xfId="25525"/>
    <cellStyle name="Currency 5 2 4 3" xfId="6347"/>
    <cellStyle name="Currency 5 2 4 3 2" xfId="9433"/>
    <cellStyle name="Currency 5 2 4 3 2 2" xfId="15626"/>
    <cellStyle name="Currency 5 2 4 3 2 2 2" xfId="35509"/>
    <cellStyle name="Currency 5 2 4 3 2 3" xfId="21778"/>
    <cellStyle name="Currency 5 2 4 3 2 3 2" xfId="41661"/>
    <cellStyle name="Currency 5 2 4 3 2 4" xfId="29356"/>
    <cellStyle name="Currency 5 2 4 3 3" xfId="12560"/>
    <cellStyle name="Currency 5 2 4 3 3 2" xfId="32443"/>
    <cellStyle name="Currency 5 2 4 3 4" xfId="18712"/>
    <cellStyle name="Currency 5 2 4 3 4 2" xfId="38595"/>
    <cellStyle name="Currency 5 2 4 3 5" xfId="26290"/>
    <cellStyle name="Currency 5 2 4 4" xfId="7898"/>
    <cellStyle name="Currency 5 2 4 4 2" xfId="14092"/>
    <cellStyle name="Currency 5 2 4 4 2 2" xfId="33975"/>
    <cellStyle name="Currency 5 2 4 4 3" xfId="20244"/>
    <cellStyle name="Currency 5 2 4 4 3 2" xfId="40127"/>
    <cellStyle name="Currency 5 2 4 4 4" xfId="27822"/>
    <cellStyle name="Currency 5 2 4 5" xfId="11026"/>
    <cellStyle name="Currency 5 2 4 5 2" xfId="30909"/>
    <cellStyle name="Currency 5 2 4 6" xfId="17178"/>
    <cellStyle name="Currency 5 2 4 6 2" xfId="37061"/>
    <cellStyle name="Currency 5 2 4 7" xfId="24756"/>
    <cellStyle name="Currency 5 2 5" xfId="3280"/>
    <cellStyle name="Currency 5 2 6" xfId="4748"/>
    <cellStyle name="Currency 5 2 6 2" xfId="6373"/>
    <cellStyle name="Currency 5 2 6 2 2" xfId="9459"/>
    <cellStyle name="Currency 5 2 6 2 2 2" xfId="15652"/>
    <cellStyle name="Currency 5 2 6 2 2 2 2" xfId="35535"/>
    <cellStyle name="Currency 5 2 6 2 2 3" xfId="21804"/>
    <cellStyle name="Currency 5 2 6 2 2 3 2" xfId="41687"/>
    <cellStyle name="Currency 5 2 6 2 2 4" xfId="29382"/>
    <cellStyle name="Currency 5 2 6 2 3" xfId="12586"/>
    <cellStyle name="Currency 5 2 6 2 3 2" xfId="32469"/>
    <cellStyle name="Currency 5 2 6 2 4" xfId="18738"/>
    <cellStyle name="Currency 5 2 6 2 4 2" xfId="38621"/>
    <cellStyle name="Currency 5 2 6 2 5" xfId="26316"/>
    <cellStyle name="Currency 5 2 6 3" xfId="7924"/>
    <cellStyle name="Currency 5 2 6 3 2" xfId="14118"/>
    <cellStyle name="Currency 5 2 6 3 2 2" xfId="34001"/>
    <cellStyle name="Currency 5 2 6 3 3" xfId="20270"/>
    <cellStyle name="Currency 5 2 6 3 3 2" xfId="40153"/>
    <cellStyle name="Currency 5 2 6 3 4" xfId="27848"/>
    <cellStyle name="Currency 5 2 6 4" xfId="11052"/>
    <cellStyle name="Currency 5 2 6 4 2" xfId="30935"/>
    <cellStyle name="Currency 5 2 6 5" xfId="17204"/>
    <cellStyle name="Currency 5 2 6 5 2" xfId="37087"/>
    <cellStyle name="Currency 5 2 6 6" xfId="24782"/>
    <cellStyle name="Currency 5 2 7" xfId="5586"/>
    <cellStyle name="Currency 5 2 7 2" xfId="8690"/>
    <cellStyle name="Currency 5 2 7 2 2" xfId="14883"/>
    <cellStyle name="Currency 5 2 7 2 2 2" xfId="34766"/>
    <cellStyle name="Currency 5 2 7 2 3" xfId="21035"/>
    <cellStyle name="Currency 5 2 7 2 3 2" xfId="40918"/>
    <cellStyle name="Currency 5 2 7 2 4" xfId="28613"/>
    <cellStyle name="Currency 5 2 7 3" xfId="11817"/>
    <cellStyle name="Currency 5 2 7 3 2" xfId="31700"/>
    <cellStyle name="Currency 5 2 7 4" xfId="17969"/>
    <cellStyle name="Currency 5 2 7 4 2" xfId="37852"/>
    <cellStyle name="Currency 5 2 7 5" xfId="25547"/>
    <cellStyle name="Currency 5 2 8" xfId="7155"/>
    <cellStyle name="Currency 5 2 8 2" xfId="13349"/>
    <cellStyle name="Currency 5 2 8 2 2" xfId="33232"/>
    <cellStyle name="Currency 5 2 8 3" xfId="19501"/>
    <cellStyle name="Currency 5 2 8 3 2" xfId="39384"/>
    <cellStyle name="Currency 5 2 8 4" xfId="27079"/>
    <cellStyle name="Currency 5 2 9" xfId="10283"/>
    <cellStyle name="Currency 5 2 9 2" xfId="30166"/>
    <cellStyle name="Currency 5 3" xfId="1306"/>
    <cellStyle name="Currency 5 3 10" xfId="24018"/>
    <cellStyle name="Currency 5 3 2" xfId="4719"/>
    <cellStyle name="Currency 5 3 2 2" xfId="5495"/>
    <cellStyle name="Currency 5 3 2 2 2" xfId="7120"/>
    <cellStyle name="Currency 5 3 2 2 2 2" xfId="10206"/>
    <cellStyle name="Currency 5 3 2 2 2 2 2" xfId="16399"/>
    <cellStyle name="Currency 5 3 2 2 2 2 2 2" xfId="36282"/>
    <cellStyle name="Currency 5 3 2 2 2 2 3" xfId="22551"/>
    <cellStyle name="Currency 5 3 2 2 2 2 3 2" xfId="42434"/>
    <cellStyle name="Currency 5 3 2 2 2 2 4" xfId="30129"/>
    <cellStyle name="Currency 5 3 2 2 2 3" xfId="13333"/>
    <cellStyle name="Currency 5 3 2 2 2 3 2" xfId="33216"/>
    <cellStyle name="Currency 5 3 2 2 2 4" xfId="19485"/>
    <cellStyle name="Currency 5 3 2 2 2 4 2" xfId="39368"/>
    <cellStyle name="Currency 5 3 2 2 2 5" xfId="27063"/>
    <cellStyle name="Currency 5 3 2 2 3" xfId="8671"/>
    <cellStyle name="Currency 5 3 2 2 3 2" xfId="14865"/>
    <cellStyle name="Currency 5 3 2 2 3 2 2" xfId="34748"/>
    <cellStyle name="Currency 5 3 2 2 3 3" xfId="21017"/>
    <cellStyle name="Currency 5 3 2 2 3 3 2" xfId="40900"/>
    <cellStyle name="Currency 5 3 2 2 3 4" xfId="28595"/>
    <cellStyle name="Currency 5 3 2 2 4" xfId="11799"/>
    <cellStyle name="Currency 5 3 2 2 4 2" xfId="31682"/>
    <cellStyle name="Currency 5 3 2 2 5" xfId="17951"/>
    <cellStyle name="Currency 5 3 2 2 5 2" xfId="37834"/>
    <cellStyle name="Currency 5 3 2 2 6" xfId="25529"/>
    <cellStyle name="Currency 5 3 2 3" xfId="6351"/>
    <cellStyle name="Currency 5 3 2 3 2" xfId="9437"/>
    <cellStyle name="Currency 5 3 2 3 2 2" xfId="15630"/>
    <cellStyle name="Currency 5 3 2 3 2 2 2" xfId="35513"/>
    <cellStyle name="Currency 5 3 2 3 2 3" xfId="21782"/>
    <cellStyle name="Currency 5 3 2 3 2 3 2" xfId="41665"/>
    <cellStyle name="Currency 5 3 2 3 2 4" xfId="29360"/>
    <cellStyle name="Currency 5 3 2 3 3" xfId="12564"/>
    <cellStyle name="Currency 5 3 2 3 3 2" xfId="32447"/>
    <cellStyle name="Currency 5 3 2 3 4" xfId="18716"/>
    <cellStyle name="Currency 5 3 2 3 4 2" xfId="38599"/>
    <cellStyle name="Currency 5 3 2 3 5" xfId="26294"/>
    <cellStyle name="Currency 5 3 2 4" xfId="7902"/>
    <cellStyle name="Currency 5 3 2 4 2" xfId="14096"/>
    <cellStyle name="Currency 5 3 2 4 2 2" xfId="33979"/>
    <cellStyle name="Currency 5 3 2 4 3" xfId="20248"/>
    <cellStyle name="Currency 5 3 2 4 3 2" xfId="40131"/>
    <cellStyle name="Currency 5 3 2 4 4" xfId="27826"/>
    <cellStyle name="Currency 5 3 2 5" xfId="11030"/>
    <cellStyle name="Currency 5 3 2 5 2" xfId="30913"/>
    <cellStyle name="Currency 5 3 2 6" xfId="17182"/>
    <cellStyle name="Currency 5 3 2 6 2" xfId="37065"/>
    <cellStyle name="Currency 5 3 2 7" xfId="24760"/>
    <cellStyle name="Currency 5 3 3" xfId="3283"/>
    <cellStyle name="Currency 5 3 4" xfId="4753"/>
    <cellStyle name="Currency 5 3 4 2" xfId="6378"/>
    <cellStyle name="Currency 5 3 4 2 2" xfId="9464"/>
    <cellStyle name="Currency 5 3 4 2 2 2" xfId="15657"/>
    <cellStyle name="Currency 5 3 4 2 2 2 2" xfId="35540"/>
    <cellStyle name="Currency 5 3 4 2 2 3" xfId="21809"/>
    <cellStyle name="Currency 5 3 4 2 2 3 2" xfId="41692"/>
    <cellStyle name="Currency 5 3 4 2 2 4" xfId="29387"/>
    <cellStyle name="Currency 5 3 4 2 3" xfId="12591"/>
    <cellStyle name="Currency 5 3 4 2 3 2" xfId="32474"/>
    <cellStyle name="Currency 5 3 4 2 4" xfId="18743"/>
    <cellStyle name="Currency 5 3 4 2 4 2" xfId="38626"/>
    <cellStyle name="Currency 5 3 4 2 5" xfId="26321"/>
    <cellStyle name="Currency 5 3 4 3" xfId="7929"/>
    <cellStyle name="Currency 5 3 4 3 2" xfId="14123"/>
    <cellStyle name="Currency 5 3 4 3 2 2" xfId="34006"/>
    <cellStyle name="Currency 5 3 4 3 3" xfId="20275"/>
    <cellStyle name="Currency 5 3 4 3 3 2" xfId="40158"/>
    <cellStyle name="Currency 5 3 4 3 4" xfId="27853"/>
    <cellStyle name="Currency 5 3 4 4" xfId="11057"/>
    <cellStyle name="Currency 5 3 4 4 2" xfId="30940"/>
    <cellStyle name="Currency 5 3 4 5" xfId="17209"/>
    <cellStyle name="Currency 5 3 4 5 2" xfId="37092"/>
    <cellStyle name="Currency 5 3 4 6" xfId="24787"/>
    <cellStyle name="Currency 5 3 5" xfId="5592"/>
    <cellStyle name="Currency 5 3 5 2" xfId="8695"/>
    <cellStyle name="Currency 5 3 5 2 2" xfId="14888"/>
    <cellStyle name="Currency 5 3 5 2 2 2" xfId="34771"/>
    <cellStyle name="Currency 5 3 5 2 3" xfId="21040"/>
    <cellStyle name="Currency 5 3 5 2 3 2" xfId="40923"/>
    <cellStyle name="Currency 5 3 5 2 4" xfId="28618"/>
    <cellStyle name="Currency 5 3 5 3" xfId="11822"/>
    <cellStyle name="Currency 5 3 5 3 2" xfId="31705"/>
    <cellStyle name="Currency 5 3 5 4" xfId="17974"/>
    <cellStyle name="Currency 5 3 5 4 2" xfId="37857"/>
    <cellStyle name="Currency 5 3 5 5" xfId="25552"/>
    <cellStyle name="Currency 5 3 6" xfId="7160"/>
    <cellStyle name="Currency 5 3 6 2" xfId="13354"/>
    <cellStyle name="Currency 5 3 6 2 2" xfId="33237"/>
    <cellStyle name="Currency 5 3 6 3" xfId="19506"/>
    <cellStyle name="Currency 5 3 6 3 2" xfId="39389"/>
    <cellStyle name="Currency 5 3 6 4" xfId="27084"/>
    <cellStyle name="Currency 5 3 7" xfId="10288"/>
    <cellStyle name="Currency 5 3 7 2" xfId="30171"/>
    <cellStyle name="Currency 5 3 8" xfId="16440"/>
    <cellStyle name="Currency 5 3 8 2" xfId="36323"/>
    <cellStyle name="Currency 5 3 9" xfId="23180"/>
    <cellStyle name="Currency 5 4" xfId="4663"/>
    <cellStyle name="Currency 5 4 2" xfId="5487"/>
    <cellStyle name="Currency 5 4 2 2" xfId="7112"/>
    <cellStyle name="Currency 5 4 2 2 2" xfId="10198"/>
    <cellStyle name="Currency 5 4 2 2 2 2" xfId="16391"/>
    <cellStyle name="Currency 5 4 2 2 2 2 2" xfId="36274"/>
    <cellStyle name="Currency 5 4 2 2 2 3" xfId="22543"/>
    <cellStyle name="Currency 5 4 2 2 2 3 2" xfId="42426"/>
    <cellStyle name="Currency 5 4 2 2 2 4" xfId="30121"/>
    <cellStyle name="Currency 5 4 2 2 3" xfId="13325"/>
    <cellStyle name="Currency 5 4 2 2 3 2" xfId="33208"/>
    <cellStyle name="Currency 5 4 2 2 4" xfId="19477"/>
    <cellStyle name="Currency 5 4 2 2 4 2" xfId="39360"/>
    <cellStyle name="Currency 5 4 2 2 5" xfId="27055"/>
    <cellStyle name="Currency 5 4 2 3" xfId="8663"/>
    <cellStyle name="Currency 5 4 2 3 2" xfId="14857"/>
    <cellStyle name="Currency 5 4 2 3 2 2" xfId="34740"/>
    <cellStyle name="Currency 5 4 2 3 3" xfId="21009"/>
    <cellStyle name="Currency 5 4 2 3 3 2" xfId="40892"/>
    <cellStyle name="Currency 5 4 2 3 4" xfId="28587"/>
    <cellStyle name="Currency 5 4 2 4" xfId="11791"/>
    <cellStyle name="Currency 5 4 2 4 2" xfId="31674"/>
    <cellStyle name="Currency 5 4 2 5" xfId="17943"/>
    <cellStyle name="Currency 5 4 2 5 2" xfId="37826"/>
    <cellStyle name="Currency 5 4 2 6" xfId="25521"/>
    <cellStyle name="Currency 5 4 3" xfId="6342"/>
    <cellStyle name="Currency 5 4 3 2" xfId="9429"/>
    <cellStyle name="Currency 5 4 3 2 2" xfId="15622"/>
    <cellStyle name="Currency 5 4 3 2 2 2" xfId="35505"/>
    <cellStyle name="Currency 5 4 3 2 3" xfId="21774"/>
    <cellStyle name="Currency 5 4 3 2 3 2" xfId="41657"/>
    <cellStyle name="Currency 5 4 3 2 4" xfId="29352"/>
    <cellStyle name="Currency 5 4 3 3" xfId="12556"/>
    <cellStyle name="Currency 5 4 3 3 2" xfId="32439"/>
    <cellStyle name="Currency 5 4 3 4" xfId="18708"/>
    <cellStyle name="Currency 5 4 3 4 2" xfId="38591"/>
    <cellStyle name="Currency 5 4 3 5" xfId="26286"/>
    <cellStyle name="Currency 5 4 4" xfId="7894"/>
    <cellStyle name="Currency 5 4 4 2" xfId="14088"/>
    <cellStyle name="Currency 5 4 4 2 2" xfId="33971"/>
    <cellStyle name="Currency 5 4 4 3" xfId="20240"/>
    <cellStyle name="Currency 5 4 4 3 2" xfId="40123"/>
    <cellStyle name="Currency 5 4 4 4" xfId="27818"/>
    <cellStyle name="Currency 5 4 5" xfId="11022"/>
    <cellStyle name="Currency 5 4 5 2" xfId="30905"/>
    <cellStyle name="Currency 5 4 6" xfId="17174"/>
    <cellStyle name="Currency 5 4 6 2" xfId="37057"/>
    <cellStyle name="Currency 5 4 7" xfId="23181"/>
    <cellStyle name="Currency 5 4 8" xfId="24752"/>
    <cellStyle name="Currency 5 5" xfId="3279"/>
    <cellStyle name="Currency 5 5 2" xfId="23182"/>
    <cellStyle name="Currency 5 6" xfId="4732"/>
    <cellStyle name="Currency 5 6 2" xfId="6364"/>
    <cellStyle name="Currency 5 6 2 2" xfId="9450"/>
    <cellStyle name="Currency 5 6 2 2 2" xfId="15643"/>
    <cellStyle name="Currency 5 6 2 2 2 2" xfId="35526"/>
    <cellStyle name="Currency 5 6 2 2 3" xfId="21795"/>
    <cellStyle name="Currency 5 6 2 2 3 2" xfId="41678"/>
    <cellStyle name="Currency 5 6 2 2 4" xfId="29373"/>
    <cellStyle name="Currency 5 6 2 3" xfId="12577"/>
    <cellStyle name="Currency 5 6 2 3 2" xfId="32460"/>
    <cellStyle name="Currency 5 6 2 4" xfId="18729"/>
    <cellStyle name="Currency 5 6 2 4 2" xfId="38612"/>
    <cellStyle name="Currency 5 6 2 5" xfId="26307"/>
    <cellStyle name="Currency 5 6 3" xfId="7915"/>
    <cellStyle name="Currency 5 6 3 2" xfId="14109"/>
    <cellStyle name="Currency 5 6 3 2 2" xfId="33992"/>
    <cellStyle name="Currency 5 6 3 3" xfId="20261"/>
    <cellStyle name="Currency 5 6 3 3 2" xfId="40144"/>
    <cellStyle name="Currency 5 6 3 4" xfId="27839"/>
    <cellStyle name="Currency 5 6 4" xfId="11043"/>
    <cellStyle name="Currency 5 6 4 2" xfId="30926"/>
    <cellStyle name="Currency 5 6 5" xfId="17195"/>
    <cellStyle name="Currency 5 6 5 2" xfId="37078"/>
    <cellStyle name="Currency 5 6 6" xfId="24773"/>
    <cellStyle name="Currency 5 7" xfId="5580"/>
    <cellStyle name="Currency 5 7 2" xfId="8684"/>
    <cellStyle name="Currency 5 7 2 2" xfId="14877"/>
    <cellStyle name="Currency 5 7 2 2 2" xfId="34760"/>
    <cellStyle name="Currency 5 7 2 3" xfId="21029"/>
    <cellStyle name="Currency 5 7 2 3 2" xfId="40912"/>
    <cellStyle name="Currency 5 7 2 4" xfId="28607"/>
    <cellStyle name="Currency 5 7 3" xfId="11811"/>
    <cellStyle name="Currency 5 7 3 2" xfId="31694"/>
    <cellStyle name="Currency 5 7 4" xfId="17963"/>
    <cellStyle name="Currency 5 7 4 2" xfId="37846"/>
    <cellStyle name="Currency 5 7 5" xfId="25541"/>
    <cellStyle name="Currency 5 8" xfId="7149"/>
    <cellStyle name="Currency 5 8 2" xfId="13343"/>
    <cellStyle name="Currency 5 8 2 2" xfId="33226"/>
    <cellStyle name="Currency 5 8 3" xfId="19495"/>
    <cellStyle name="Currency 5 8 3 2" xfId="39378"/>
    <cellStyle name="Currency 5 8 4" xfId="27073"/>
    <cellStyle name="Currency 5 9" xfId="10277"/>
    <cellStyle name="Currency 5 9 2" xfId="30160"/>
    <cellStyle name="Currency 50" xfId="3284"/>
    <cellStyle name="Currency 51" xfId="3285"/>
    <cellStyle name="Currency 52" xfId="3286"/>
    <cellStyle name="Currency 53" xfId="3287"/>
    <cellStyle name="Currency 54" xfId="3288"/>
    <cellStyle name="Currency 55" xfId="3289"/>
    <cellStyle name="Currency 56" xfId="3290"/>
    <cellStyle name="Currency 57" xfId="3291"/>
    <cellStyle name="Currency 58" xfId="3292"/>
    <cellStyle name="Currency 59" xfId="3293"/>
    <cellStyle name="Currency 6" xfId="1156"/>
    <cellStyle name="Currency 6 2" xfId="3295"/>
    <cellStyle name="Currency 6 2 2" xfId="3296"/>
    <cellStyle name="Currency 6 2 3" xfId="3297"/>
    <cellStyle name="Currency 6 2 4" xfId="23184"/>
    <cellStyle name="Currency 6 3" xfId="3298"/>
    <cellStyle name="Currency 6 3 2" xfId="23185"/>
    <cellStyle name="Currency 6 4" xfId="4705"/>
    <cellStyle name="Currency 6 4 2" xfId="23186"/>
    <cellStyle name="Currency 6 5" xfId="3294"/>
    <cellStyle name="Currency 6 5 2" xfId="23187"/>
    <cellStyle name="Currency 6 6" xfId="1289"/>
    <cellStyle name="Currency 6 7" xfId="23183"/>
    <cellStyle name="Currency 60" xfId="3299"/>
    <cellStyle name="Currency 61" xfId="3300"/>
    <cellStyle name="Currency 62" xfId="3301"/>
    <cellStyle name="Currency 63" xfId="3302"/>
    <cellStyle name="Currency 64" xfId="3303"/>
    <cellStyle name="Currency 65" xfId="3304"/>
    <cellStyle name="Currency 66" xfId="3305"/>
    <cellStyle name="Currency 67" xfId="3306"/>
    <cellStyle name="Currency 68" xfId="3307"/>
    <cellStyle name="Currency 69" xfId="3308"/>
    <cellStyle name="Currency 7" xfId="1299"/>
    <cellStyle name="Currency 7 2" xfId="3310"/>
    <cellStyle name="Currency 7 2 2" xfId="3311"/>
    <cellStyle name="Currency 7 2 3" xfId="3312"/>
    <cellStyle name="Currency 7 2 4" xfId="10248"/>
    <cellStyle name="Currency 7 2 4 2" xfId="16420"/>
    <cellStyle name="Currency 7 2 4 2 2" xfId="36303"/>
    <cellStyle name="Currency 7 2 4 3" xfId="22572"/>
    <cellStyle name="Currency 7 2 4 3 2" xfId="42455"/>
    <cellStyle name="Currency 7 2 4 4" xfId="30150"/>
    <cellStyle name="Currency 7 2 5" xfId="23189"/>
    <cellStyle name="Currency 7 3" xfId="3313"/>
    <cellStyle name="Currency 7 3 2" xfId="23190"/>
    <cellStyle name="Currency 7 4" xfId="4712"/>
    <cellStyle name="Currency 7 4 2" xfId="23191"/>
    <cellStyle name="Currency 7 5" xfId="3309"/>
    <cellStyle name="Currency 7 5 2" xfId="23192"/>
    <cellStyle name="Currency 7 6" xfId="10230"/>
    <cellStyle name="Currency 7 6 2" xfId="16411"/>
    <cellStyle name="Currency 7 6 2 2" xfId="36294"/>
    <cellStyle name="Currency 7 6 3" xfId="22563"/>
    <cellStyle name="Currency 7 6 3 2" xfId="42446"/>
    <cellStyle name="Currency 7 6 4" xfId="30141"/>
    <cellStyle name="Currency 7 7" xfId="23188"/>
    <cellStyle name="Currency 70" xfId="3314"/>
    <cellStyle name="Currency 71" xfId="3315"/>
    <cellStyle name="Currency 72" xfId="3316"/>
    <cellStyle name="Currency 73" xfId="3317"/>
    <cellStyle name="Currency 74" xfId="3318"/>
    <cellStyle name="Currency 75" xfId="3319"/>
    <cellStyle name="Currency 76" xfId="3320"/>
    <cellStyle name="Currency 77" xfId="3321"/>
    <cellStyle name="Currency 78" xfId="3322"/>
    <cellStyle name="Currency 79" xfId="3323"/>
    <cellStyle name="Currency 8" xfId="1305"/>
    <cellStyle name="Currency 8 2" xfId="3325"/>
    <cellStyle name="Currency 8 2 2" xfId="3326"/>
    <cellStyle name="Currency 8 2 3" xfId="3327"/>
    <cellStyle name="Currency 8 2 4" xfId="23194"/>
    <cellStyle name="Currency 8 3" xfId="3328"/>
    <cellStyle name="Currency 8 3 2" xfId="23195"/>
    <cellStyle name="Currency 8 4" xfId="4718"/>
    <cellStyle name="Currency 8 4 2" xfId="23196"/>
    <cellStyle name="Currency 8 5" xfId="3324"/>
    <cellStyle name="Currency 8 5 2" xfId="23197"/>
    <cellStyle name="Currency 8 6" xfId="10266"/>
    <cellStyle name="Currency 8 7" xfId="23193"/>
    <cellStyle name="Currency 80" xfId="3329"/>
    <cellStyle name="Currency 81" xfId="3330"/>
    <cellStyle name="Currency 82" xfId="3331"/>
    <cellStyle name="Currency 83" xfId="3332"/>
    <cellStyle name="Currency 84" xfId="3333"/>
    <cellStyle name="Currency 85" xfId="3334"/>
    <cellStyle name="Currency 86" xfId="3335"/>
    <cellStyle name="Currency 87" xfId="3336"/>
    <cellStyle name="Currency 88" xfId="3337"/>
    <cellStyle name="Currency 89" xfId="3338"/>
    <cellStyle name="Currency 9" xfId="1301"/>
    <cellStyle name="Currency 9 2" xfId="3340"/>
    <cellStyle name="Currency 9 2 2" xfId="3341"/>
    <cellStyle name="Currency 9 2 3" xfId="3342"/>
    <cellStyle name="Currency 9 2 4" xfId="23199"/>
    <cellStyle name="Currency 9 3" xfId="3343"/>
    <cellStyle name="Currency 9 3 2" xfId="23200"/>
    <cellStyle name="Currency 9 4" xfId="4714"/>
    <cellStyle name="Currency 9 4 2" xfId="23201"/>
    <cellStyle name="Currency 9 5" xfId="3339"/>
    <cellStyle name="Currency 9 5 2" xfId="23202"/>
    <cellStyle name="Currency 9 6" xfId="23198"/>
    <cellStyle name="Currency 90" xfId="3344"/>
    <cellStyle name="Currency 91" xfId="3345"/>
    <cellStyle name="Currency 92" xfId="3346"/>
    <cellStyle name="Currency 93" xfId="3347"/>
    <cellStyle name="Currency 94" xfId="3348"/>
    <cellStyle name="Currency 95" xfId="3349"/>
    <cellStyle name="Currency 96" xfId="3350"/>
    <cellStyle name="Currency 97" xfId="3351"/>
    <cellStyle name="Currency 98" xfId="3352"/>
    <cellStyle name="Currency 99" xfId="3353"/>
    <cellStyle name="Currency(+Credit)" xfId="3354"/>
    <cellStyle name="Currency0" xfId="256"/>
    <cellStyle name="Currency0 2" xfId="10231"/>
    <cellStyle name="Date" xfId="257"/>
    <cellStyle name="Date 2" xfId="10232"/>
    <cellStyle name="Date 3" xfId="3355"/>
    <cellStyle name="exceptions" xfId="3356"/>
    <cellStyle name="Explanatory Text" xfId="166" builtinId="53" customBuiltin="1"/>
    <cellStyle name="Explanatory Text 2" xfId="3357"/>
    <cellStyle name="Explanatory Text 3" xfId="3358"/>
    <cellStyle name="Explanatory Text 4" xfId="3359"/>
    <cellStyle name="Explanatory Text 5" xfId="3360"/>
    <cellStyle name="Fixed" xfId="258"/>
    <cellStyle name="Fixed 2" xfId="10233"/>
    <cellStyle name="Followed Hyperlink" xfId="14" builtinId="9" customBuiltin="1"/>
    <cellStyle name="Followed Hyperlink 2" xfId="15"/>
    <cellStyle name="Followed Hyperlink 2 2" xfId="89"/>
    <cellStyle name="Followed Hyperlink 2 3" xfId="78"/>
    <cellStyle name="Followed Hyperlink 3" xfId="77"/>
    <cellStyle name="FRxAmtStyle" xfId="3361"/>
    <cellStyle name="FRxAmtStyle 2" xfId="3362"/>
    <cellStyle name="FRxAmtStyle 2 10" xfId="3363"/>
    <cellStyle name="FRxAmtStyle 2 2" xfId="3364"/>
    <cellStyle name="FRxAmtStyle 2 3" xfId="3365"/>
    <cellStyle name="FRxAmtStyle 3" xfId="3366"/>
    <cellStyle name="FRxAmtStyle 4" xfId="3367"/>
    <cellStyle name="FRxAmtStyle 5" xfId="3368"/>
    <cellStyle name="FRxCurrStyle" xfId="3369"/>
    <cellStyle name="FRxCurrStyle 2" xfId="3370"/>
    <cellStyle name="FRxPcntStyle" xfId="3371"/>
    <cellStyle name="Good" xfId="157" builtinId="26" customBuiltin="1"/>
    <cellStyle name="Good 2" xfId="3372"/>
    <cellStyle name="Good 3" xfId="3373"/>
    <cellStyle name="Good 4" xfId="3374"/>
    <cellStyle name="Good 5" xfId="3375"/>
    <cellStyle name="Heading 1" xfId="153" builtinId="16" customBuiltin="1"/>
    <cellStyle name="Heading 1 2" xfId="3376"/>
    <cellStyle name="Heading 1 3" xfId="3377"/>
    <cellStyle name="Heading 1 4" xfId="3378"/>
    <cellStyle name="Heading 1 5" xfId="3379"/>
    <cellStyle name="Heading 1 6" xfId="3380"/>
    <cellStyle name="Heading 2" xfId="154" builtinId="17" customBuiltin="1"/>
    <cellStyle name="Heading 2 2" xfId="3381"/>
    <cellStyle name="Heading 2 3" xfId="3382"/>
    <cellStyle name="Heading 2 4" xfId="3383"/>
    <cellStyle name="Heading 2 5" xfId="3384"/>
    <cellStyle name="Heading 2 6" xfId="3385"/>
    <cellStyle name="Heading 3" xfId="155" builtinId="18" customBuiltin="1"/>
    <cellStyle name="Heading 3 10" xfId="10271"/>
    <cellStyle name="Heading 3 11" xfId="1177"/>
    <cellStyle name="Heading 3 2" xfId="1282"/>
    <cellStyle name="Heading 3 3" xfId="1287"/>
    <cellStyle name="Heading 3 3 2" xfId="4703"/>
    <cellStyle name="Heading 3 3 3" xfId="3386"/>
    <cellStyle name="Heading 3 4" xfId="3387"/>
    <cellStyle name="Heading 3 5" xfId="3388"/>
    <cellStyle name="Heading 3 6" xfId="3389"/>
    <cellStyle name="Heading 3 7" xfId="4617"/>
    <cellStyle name="Heading 3 8" xfId="4738"/>
    <cellStyle name="Heading 3 9" xfId="7143"/>
    <cellStyle name="Heading 4" xfId="156" builtinId="19" customBuiltin="1"/>
    <cellStyle name="Heading 4 2" xfId="3390"/>
    <cellStyle name="Heading 4 3" xfId="3391"/>
    <cellStyle name="Heading 4 4" xfId="3392"/>
    <cellStyle name="Heading 4 5" xfId="3393"/>
    <cellStyle name="Heading 4 6" xfId="3394"/>
    <cellStyle name="Heading No Underline" xfId="3395"/>
    <cellStyle name="Heading No Underline 2" xfId="3396"/>
    <cellStyle name="Heading No Underline 3" xfId="3397"/>
    <cellStyle name="Heading With Underline" xfId="3398"/>
    <cellStyle name="Heading With Underline 2" xfId="3399"/>
    <cellStyle name="Heading With Underline 3" xfId="3400"/>
    <cellStyle name="HNU" xfId="3401"/>
    <cellStyle name="Hyperlink" xfId="76" builtinId="8" customBuiltin="1"/>
    <cellStyle name="Hyperlink 2" xfId="16"/>
    <cellStyle name="Hyperlink 2 2" xfId="90"/>
    <cellStyle name="Hyperlink 2 2 2" xfId="1223"/>
    <cellStyle name="Hyperlink 2 3" xfId="79"/>
    <cellStyle name="Hyperlink 2 3 2" xfId="4664"/>
    <cellStyle name="Hyperlink 2 4" xfId="3402"/>
    <cellStyle name="Hyperlink 2 5" xfId="1222"/>
    <cellStyle name="Hyperlink 2 6" xfId="23203"/>
    <cellStyle name="Hyperlink 3" xfId="17"/>
    <cellStyle name="Hyperlink 3 2" xfId="1224"/>
    <cellStyle name="Input" xfId="160" builtinId="20" customBuiltin="1"/>
    <cellStyle name="Input 2" xfId="3403"/>
    <cellStyle name="Input 3" xfId="3404"/>
    <cellStyle name="Input 4" xfId="3405"/>
    <cellStyle name="Input 5" xfId="3406"/>
    <cellStyle name="Input 5 2" xfId="5538"/>
    <cellStyle name="Input 5 2 2" xfId="7135"/>
    <cellStyle name="Input 5 3" xfId="5537"/>
    <cellStyle name="Input 5 3 2" xfId="6219"/>
    <cellStyle name="Input 5 4" xfId="5575"/>
    <cellStyle name="Input 5 4 2" xfId="6329"/>
    <cellStyle name="Input 5 5" xfId="5536"/>
    <cellStyle name="Input 5 5 2" xfId="7136"/>
    <cellStyle name="Input 5 6" xfId="7139"/>
    <cellStyle name="Input Cells_EXTERNAL" xfId="259"/>
    <cellStyle name="input highlight" xfId="3407"/>
    <cellStyle name="input highlight 2" xfId="3408"/>
    <cellStyle name="LineItemPrompt" xfId="1225"/>
    <cellStyle name="LineItemValue" xfId="1226"/>
    <cellStyle name="Linked Cell" xfId="163" builtinId="24" customBuiltin="1"/>
    <cellStyle name="Linked Cell 2" xfId="3409"/>
    <cellStyle name="Linked Cell 3" xfId="3410"/>
    <cellStyle name="Linked Cell 4" xfId="3411"/>
    <cellStyle name="Linked Cell 5" xfId="3412"/>
    <cellStyle name="Manual-Input" xfId="18"/>
    <cellStyle name="MonthHeader" xfId="1284"/>
    <cellStyle name="Neutral" xfId="159" builtinId="28" customBuiltin="1"/>
    <cellStyle name="Neutral 2" xfId="3413"/>
    <cellStyle name="Neutral 3" xfId="3414"/>
    <cellStyle name="Neutral 4" xfId="3415"/>
    <cellStyle name="Neutral 5" xfId="3416"/>
    <cellStyle name="Normal" xfId="0" builtinId="0"/>
    <cellStyle name="Normal 10" xfId="19"/>
    <cellStyle name="Normal 10 10" xfId="10244"/>
    <cellStyle name="Normal 10 11" xfId="1227"/>
    <cellStyle name="Normal 10 12" xfId="1166"/>
    <cellStyle name="Normal 10 13" xfId="208"/>
    <cellStyle name="Normal 10 14" xfId="23204"/>
    <cellStyle name="Normal 10 15" xfId="23330"/>
    <cellStyle name="Normal 10 2" xfId="91"/>
    <cellStyle name="Normal 10 2 2" xfId="138"/>
    <cellStyle name="Normal 10 2 2 2" xfId="3419"/>
    <cellStyle name="Normal 10 2 2 3" xfId="3418"/>
    <cellStyle name="Normal 10 2 2 4" xfId="871"/>
    <cellStyle name="Normal 10 2 2 4 2" xfId="23714"/>
    <cellStyle name="Normal 10 2 2 5" xfId="23206"/>
    <cellStyle name="Normal 10 2 2 5 2" xfId="43002"/>
    <cellStyle name="Normal 10 2 2 6" xfId="23381"/>
    <cellStyle name="Normal 10 2 3" xfId="108"/>
    <cellStyle name="Normal 10 2 3 2" xfId="3420"/>
    <cellStyle name="Normal 10 2 3 3" xfId="23207"/>
    <cellStyle name="Normal 10 2 3 3 2" xfId="43003"/>
    <cellStyle name="Normal 10 2 3 4" xfId="23356"/>
    <cellStyle name="Normal 10 2 4" xfId="3417"/>
    <cellStyle name="Normal 10 2 5" xfId="22807"/>
    <cellStyle name="Normal 10 2 5 2" xfId="42681"/>
    <cellStyle name="Normal 10 2 6" xfId="22834"/>
    <cellStyle name="Normal 10 2 6 2" xfId="42708"/>
    <cellStyle name="Normal 10 2 7" xfId="216"/>
    <cellStyle name="Normal 10 2 7 2" xfId="23411"/>
    <cellStyle name="Normal 10 2 8" xfId="23205"/>
    <cellStyle name="Normal 10 2 9" xfId="23343"/>
    <cellStyle name="Normal 10 3" xfId="81"/>
    <cellStyle name="Normal 10 3 10" xfId="16640"/>
    <cellStyle name="Normal 10 3 10 2" xfId="36523"/>
    <cellStyle name="Normal 10 3 11" xfId="3421"/>
    <cellStyle name="Normal 10 3 11 2" xfId="24218"/>
    <cellStyle name="Normal 10 3 12" xfId="23208"/>
    <cellStyle name="Normal 10 3 13" xfId="23342"/>
    <cellStyle name="Normal 10 3 2" xfId="137"/>
    <cellStyle name="Normal 10 3 2 10" xfId="3422"/>
    <cellStyle name="Normal 10 3 2 10 2" xfId="24219"/>
    <cellStyle name="Normal 10 3 2 11" xfId="23380"/>
    <cellStyle name="Normal 10 3 2 2" xfId="3423"/>
    <cellStyle name="Normal 10 3 2 2 2" xfId="3424"/>
    <cellStyle name="Normal 10 3 2 2 2 2" xfId="4956"/>
    <cellStyle name="Normal 10 3 2 2 2 2 2" xfId="6581"/>
    <cellStyle name="Normal 10 3 2 2 2 2 2 2" xfId="9667"/>
    <cellStyle name="Normal 10 3 2 2 2 2 2 2 2" xfId="15860"/>
    <cellStyle name="Normal 10 3 2 2 2 2 2 2 2 2" xfId="35743"/>
    <cellStyle name="Normal 10 3 2 2 2 2 2 2 3" xfId="22012"/>
    <cellStyle name="Normal 10 3 2 2 2 2 2 2 3 2" xfId="41895"/>
    <cellStyle name="Normal 10 3 2 2 2 2 2 2 4" xfId="29590"/>
    <cellStyle name="Normal 10 3 2 2 2 2 2 3" xfId="12794"/>
    <cellStyle name="Normal 10 3 2 2 2 2 2 3 2" xfId="32677"/>
    <cellStyle name="Normal 10 3 2 2 2 2 2 4" xfId="18946"/>
    <cellStyle name="Normal 10 3 2 2 2 2 2 4 2" xfId="38829"/>
    <cellStyle name="Normal 10 3 2 2 2 2 2 5" xfId="26524"/>
    <cellStyle name="Normal 10 3 2 2 2 2 3" xfId="8132"/>
    <cellStyle name="Normal 10 3 2 2 2 2 3 2" xfId="14326"/>
    <cellStyle name="Normal 10 3 2 2 2 2 3 2 2" xfId="34209"/>
    <cellStyle name="Normal 10 3 2 2 2 2 3 3" xfId="20478"/>
    <cellStyle name="Normal 10 3 2 2 2 2 3 3 2" xfId="40361"/>
    <cellStyle name="Normal 10 3 2 2 2 2 3 4" xfId="28056"/>
    <cellStyle name="Normal 10 3 2 2 2 2 4" xfId="11260"/>
    <cellStyle name="Normal 10 3 2 2 2 2 4 2" xfId="31143"/>
    <cellStyle name="Normal 10 3 2 2 2 2 5" xfId="17412"/>
    <cellStyle name="Normal 10 3 2 2 2 2 5 2" xfId="37295"/>
    <cellStyle name="Normal 10 3 2 2 2 2 6" xfId="24990"/>
    <cellStyle name="Normal 10 3 2 2 2 3" xfId="5798"/>
    <cellStyle name="Normal 10 3 2 2 2 3 2" xfId="8898"/>
    <cellStyle name="Normal 10 3 2 2 2 3 2 2" xfId="15091"/>
    <cellStyle name="Normal 10 3 2 2 2 3 2 2 2" xfId="34974"/>
    <cellStyle name="Normal 10 3 2 2 2 3 2 3" xfId="21243"/>
    <cellStyle name="Normal 10 3 2 2 2 3 2 3 2" xfId="41126"/>
    <cellStyle name="Normal 10 3 2 2 2 3 2 4" xfId="28821"/>
    <cellStyle name="Normal 10 3 2 2 2 3 3" xfId="12025"/>
    <cellStyle name="Normal 10 3 2 2 2 3 3 2" xfId="31908"/>
    <cellStyle name="Normal 10 3 2 2 2 3 4" xfId="18177"/>
    <cellStyle name="Normal 10 3 2 2 2 3 4 2" xfId="38060"/>
    <cellStyle name="Normal 10 3 2 2 2 3 5" xfId="25755"/>
    <cellStyle name="Normal 10 3 2 2 2 4" xfId="7363"/>
    <cellStyle name="Normal 10 3 2 2 2 4 2" xfId="13557"/>
    <cellStyle name="Normal 10 3 2 2 2 4 2 2" xfId="33440"/>
    <cellStyle name="Normal 10 3 2 2 2 4 3" xfId="19709"/>
    <cellStyle name="Normal 10 3 2 2 2 4 3 2" xfId="39592"/>
    <cellStyle name="Normal 10 3 2 2 2 4 4" xfId="27287"/>
    <cellStyle name="Normal 10 3 2 2 2 5" xfId="10491"/>
    <cellStyle name="Normal 10 3 2 2 2 5 2" xfId="30374"/>
    <cellStyle name="Normal 10 3 2 2 2 6" xfId="16643"/>
    <cellStyle name="Normal 10 3 2 2 2 6 2" xfId="36526"/>
    <cellStyle name="Normal 10 3 2 2 2 7" xfId="24221"/>
    <cellStyle name="Normal 10 3 2 2 3" xfId="4955"/>
    <cellStyle name="Normal 10 3 2 2 3 2" xfId="6580"/>
    <cellStyle name="Normal 10 3 2 2 3 2 2" xfId="9666"/>
    <cellStyle name="Normal 10 3 2 2 3 2 2 2" xfId="15859"/>
    <cellStyle name="Normal 10 3 2 2 3 2 2 2 2" xfId="35742"/>
    <cellStyle name="Normal 10 3 2 2 3 2 2 3" xfId="22011"/>
    <cellStyle name="Normal 10 3 2 2 3 2 2 3 2" xfId="41894"/>
    <cellStyle name="Normal 10 3 2 2 3 2 2 4" xfId="29589"/>
    <cellStyle name="Normal 10 3 2 2 3 2 3" xfId="12793"/>
    <cellStyle name="Normal 10 3 2 2 3 2 3 2" xfId="32676"/>
    <cellStyle name="Normal 10 3 2 2 3 2 4" xfId="18945"/>
    <cellStyle name="Normal 10 3 2 2 3 2 4 2" xfId="38828"/>
    <cellStyle name="Normal 10 3 2 2 3 2 5" xfId="26523"/>
    <cellStyle name="Normal 10 3 2 2 3 3" xfId="8131"/>
    <cellStyle name="Normal 10 3 2 2 3 3 2" xfId="14325"/>
    <cellStyle name="Normal 10 3 2 2 3 3 2 2" xfId="34208"/>
    <cellStyle name="Normal 10 3 2 2 3 3 3" xfId="20477"/>
    <cellStyle name="Normal 10 3 2 2 3 3 3 2" xfId="40360"/>
    <cellStyle name="Normal 10 3 2 2 3 3 4" xfId="28055"/>
    <cellStyle name="Normal 10 3 2 2 3 4" xfId="11259"/>
    <cellStyle name="Normal 10 3 2 2 3 4 2" xfId="31142"/>
    <cellStyle name="Normal 10 3 2 2 3 5" xfId="17411"/>
    <cellStyle name="Normal 10 3 2 2 3 5 2" xfId="37294"/>
    <cellStyle name="Normal 10 3 2 2 3 6" xfId="24989"/>
    <cellStyle name="Normal 10 3 2 2 4" xfId="5797"/>
    <cellStyle name="Normal 10 3 2 2 4 2" xfId="8897"/>
    <cellStyle name="Normal 10 3 2 2 4 2 2" xfId="15090"/>
    <cellStyle name="Normal 10 3 2 2 4 2 2 2" xfId="34973"/>
    <cellStyle name="Normal 10 3 2 2 4 2 3" xfId="21242"/>
    <cellStyle name="Normal 10 3 2 2 4 2 3 2" xfId="41125"/>
    <cellStyle name="Normal 10 3 2 2 4 2 4" xfId="28820"/>
    <cellStyle name="Normal 10 3 2 2 4 3" xfId="12024"/>
    <cellStyle name="Normal 10 3 2 2 4 3 2" xfId="31907"/>
    <cellStyle name="Normal 10 3 2 2 4 4" xfId="18176"/>
    <cellStyle name="Normal 10 3 2 2 4 4 2" xfId="38059"/>
    <cellStyle name="Normal 10 3 2 2 4 5" xfId="25754"/>
    <cellStyle name="Normal 10 3 2 2 5" xfId="7362"/>
    <cellStyle name="Normal 10 3 2 2 5 2" xfId="13556"/>
    <cellStyle name="Normal 10 3 2 2 5 2 2" xfId="33439"/>
    <cellStyle name="Normal 10 3 2 2 5 3" xfId="19708"/>
    <cellStyle name="Normal 10 3 2 2 5 3 2" xfId="39591"/>
    <cellStyle name="Normal 10 3 2 2 5 4" xfId="27286"/>
    <cellStyle name="Normal 10 3 2 2 6" xfId="10490"/>
    <cellStyle name="Normal 10 3 2 2 6 2" xfId="30373"/>
    <cellStyle name="Normal 10 3 2 2 7" xfId="16642"/>
    <cellStyle name="Normal 10 3 2 2 7 2" xfId="36525"/>
    <cellStyle name="Normal 10 3 2 2 8" xfId="24220"/>
    <cellStyle name="Normal 10 3 2 3" xfId="3425"/>
    <cellStyle name="Normal 10 3 2 3 2" xfId="3426"/>
    <cellStyle name="Normal 10 3 2 3 2 2" xfId="4958"/>
    <cellStyle name="Normal 10 3 2 3 2 2 2" xfId="6583"/>
    <cellStyle name="Normal 10 3 2 3 2 2 2 2" xfId="9669"/>
    <cellStyle name="Normal 10 3 2 3 2 2 2 2 2" xfId="15862"/>
    <cellStyle name="Normal 10 3 2 3 2 2 2 2 2 2" xfId="35745"/>
    <cellStyle name="Normal 10 3 2 3 2 2 2 2 3" xfId="22014"/>
    <cellStyle name="Normal 10 3 2 3 2 2 2 2 3 2" xfId="41897"/>
    <cellStyle name="Normal 10 3 2 3 2 2 2 2 4" xfId="29592"/>
    <cellStyle name="Normal 10 3 2 3 2 2 2 3" xfId="12796"/>
    <cellStyle name="Normal 10 3 2 3 2 2 2 3 2" xfId="32679"/>
    <cellStyle name="Normal 10 3 2 3 2 2 2 4" xfId="18948"/>
    <cellStyle name="Normal 10 3 2 3 2 2 2 4 2" xfId="38831"/>
    <cellStyle name="Normal 10 3 2 3 2 2 2 5" xfId="26526"/>
    <cellStyle name="Normal 10 3 2 3 2 2 3" xfId="8134"/>
    <cellStyle name="Normal 10 3 2 3 2 2 3 2" xfId="14328"/>
    <cellStyle name="Normal 10 3 2 3 2 2 3 2 2" xfId="34211"/>
    <cellStyle name="Normal 10 3 2 3 2 2 3 3" xfId="20480"/>
    <cellStyle name="Normal 10 3 2 3 2 2 3 3 2" xfId="40363"/>
    <cellStyle name="Normal 10 3 2 3 2 2 3 4" xfId="28058"/>
    <cellStyle name="Normal 10 3 2 3 2 2 4" xfId="11262"/>
    <cellStyle name="Normal 10 3 2 3 2 2 4 2" xfId="31145"/>
    <cellStyle name="Normal 10 3 2 3 2 2 5" xfId="17414"/>
    <cellStyle name="Normal 10 3 2 3 2 2 5 2" xfId="37297"/>
    <cellStyle name="Normal 10 3 2 3 2 2 6" xfId="24992"/>
    <cellStyle name="Normal 10 3 2 3 2 3" xfId="5800"/>
    <cellStyle name="Normal 10 3 2 3 2 3 2" xfId="8900"/>
    <cellStyle name="Normal 10 3 2 3 2 3 2 2" xfId="15093"/>
    <cellStyle name="Normal 10 3 2 3 2 3 2 2 2" xfId="34976"/>
    <cellStyle name="Normal 10 3 2 3 2 3 2 3" xfId="21245"/>
    <cellStyle name="Normal 10 3 2 3 2 3 2 3 2" xfId="41128"/>
    <cellStyle name="Normal 10 3 2 3 2 3 2 4" xfId="28823"/>
    <cellStyle name="Normal 10 3 2 3 2 3 3" xfId="12027"/>
    <cellStyle name="Normal 10 3 2 3 2 3 3 2" xfId="31910"/>
    <cellStyle name="Normal 10 3 2 3 2 3 4" xfId="18179"/>
    <cellStyle name="Normal 10 3 2 3 2 3 4 2" xfId="38062"/>
    <cellStyle name="Normal 10 3 2 3 2 3 5" xfId="25757"/>
    <cellStyle name="Normal 10 3 2 3 2 4" xfId="7365"/>
    <cellStyle name="Normal 10 3 2 3 2 4 2" xfId="13559"/>
    <cellStyle name="Normal 10 3 2 3 2 4 2 2" xfId="33442"/>
    <cellStyle name="Normal 10 3 2 3 2 4 3" xfId="19711"/>
    <cellStyle name="Normal 10 3 2 3 2 4 3 2" xfId="39594"/>
    <cellStyle name="Normal 10 3 2 3 2 4 4" xfId="27289"/>
    <cellStyle name="Normal 10 3 2 3 2 5" xfId="10493"/>
    <cellStyle name="Normal 10 3 2 3 2 5 2" xfId="30376"/>
    <cellStyle name="Normal 10 3 2 3 2 6" xfId="16645"/>
    <cellStyle name="Normal 10 3 2 3 2 6 2" xfId="36528"/>
    <cellStyle name="Normal 10 3 2 3 2 7" xfId="24223"/>
    <cellStyle name="Normal 10 3 2 3 3" xfId="4957"/>
    <cellStyle name="Normal 10 3 2 3 3 2" xfId="6582"/>
    <cellStyle name="Normal 10 3 2 3 3 2 2" xfId="9668"/>
    <cellStyle name="Normal 10 3 2 3 3 2 2 2" xfId="15861"/>
    <cellStyle name="Normal 10 3 2 3 3 2 2 2 2" xfId="35744"/>
    <cellStyle name="Normal 10 3 2 3 3 2 2 3" xfId="22013"/>
    <cellStyle name="Normal 10 3 2 3 3 2 2 3 2" xfId="41896"/>
    <cellStyle name="Normal 10 3 2 3 3 2 2 4" xfId="29591"/>
    <cellStyle name="Normal 10 3 2 3 3 2 3" xfId="12795"/>
    <cellStyle name="Normal 10 3 2 3 3 2 3 2" xfId="32678"/>
    <cellStyle name="Normal 10 3 2 3 3 2 4" xfId="18947"/>
    <cellStyle name="Normal 10 3 2 3 3 2 4 2" xfId="38830"/>
    <cellStyle name="Normal 10 3 2 3 3 2 5" xfId="26525"/>
    <cellStyle name="Normal 10 3 2 3 3 3" xfId="8133"/>
    <cellStyle name="Normal 10 3 2 3 3 3 2" xfId="14327"/>
    <cellStyle name="Normal 10 3 2 3 3 3 2 2" xfId="34210"/>
    <cellStyle name="Normal 10 3 2 3 3 3 3" xfId="20479"/>
    <cellStyle name="Normal 10 3 2 3 3 3 3 2" xfId="40362"/>
    <cellStyle name="Normal 10 3 2 3 3 3 4" xfId="28057"/>
    <cellStyle name="Normal 10 3 2 3 3 4" xfId="11261"/>
    <cellStyle name="Normal 10 3 2 3 3 4 2" xfId="31144"/>
    <cellStyle name="Normal 10 3 2 3 3 5" xfId="17413"/>
    <cellStyle name="Normal 10 3 2 3 3 5 2" xfId="37296"/>
    <cellStyle name="Normal 10 3 2 3 3 6" xfId="24991"/>
    <cellStyle name="Normal 10 3 2 3 4" xfId="5799"/>
    <cellStyle name="Normal 10 3 2 3 4 2" xfId="8899"/>
    <cellStyle name="Normal 10 3 2 3 4 2 2" xfId="15092"/>
    <cellStyle name="Normal 10 3 2 3 4 2 2 2" xfId="34975"/>
    <cellStyle name="Normal 10 3 2 3 4 2 3" xfId="21244"/>
    <cellStyle name="Normal 10 3 2 3 4 2 3 2" xfId="41127"/>
    <cellStyle name="Normal 10 3 2 3 4 2 4" xfId="28822"/>
    <cellStyle name="Normal 10 3 2 3 4 3" xfId="12026"/>
    <cellStyle name="Normal 10 3 2 3 4 3 2" xfId="31909"/>
    <cellStyle name="Normal 10 3 2 3 4 4" xfId="18178"/>
    <cellStyle name="Normal 10 3 2 3 4 4 2" xfId="38061"/>
    <cellStyle name="Normal 10 3 2 3 4 5" xfId="25756"/>
    <cellStyle name="Normal 10 3 2 3 5" xfId="7364"/>
    <cellStyle name="Normal 10 3 2 3 5 2" xfId="13558"/>
    <cellStyle name="Normal 10 3 2 3 5 2 2" xfId="33441"/>
    <cellStyle name="Normal 10 3 2 3 5 3" xfId="19710"/>
    <cellStyle name="Normal 10 3 2 3 5 3 2" xfId="39593"/>
    <cellStyle name="Normal 10 3 2 3 5 4" xfId="27288"/>
    <cellStyle name="Normal 10 3 2 3 6" xfId="10492"/>
    <cellStyle name="Normal 10 3 2 3 6 2" xfId="30375"/>
    <cellStyle name="Normal 10 3 2 3 7" xfId="16644"/>
    <cellStyle name="Normal 10 3 2 3 7 2" xfId="36527"/>
    <cellStyle name="Normal 10 3 2 3 8" xfId="24222"/>
    <cellStyle name="Normal 10 3 2 4" xfId="3427"/>
    <cellStyle name="Normal 10 3 2 4 2" xfId="4959"/>
    <cellStyle name="Normal 10 3 2 4 2 2" xfId="6584"/>
    <cellStyle name="Normal 10 3 2 4 2 2 2" xfId="9670"/>
    <cellStyle name="Normal 10 3 2 4 2 2 2 2" xfId="15863"/>
    <cellStyle name="Normal 10 3 2 4 2 2 2 2 2" xfId="35746"/>
    <cellStyle name="Normal 10 3 2 4 2 2 2 3" xfId="22015"/>
    <cellStyle name="Normal 10 3 2 4 2 2 2 3 2" xfId="41898"/>
    <cellStyle name="Normal 10 3 2 4 2 2 2 4" xfId="29593"/>
    <cellStyle name="Normal 10 3 2 4 2 2 3" xfId="12797"/>
    <cellStyle name="Normal 10 3 2 4 2 2 3 2" xfId="32680"/>
    <cellStyle name="Normal 10 3 2 4 2 2 4" xfId="18949"/>
    <cellStyle name="Normal 10 3 2 4 2 2 4 2" xfId="38832"/>
    <cellStyle name="Normal 10 3 2 4 2 2 5" xfId="26527"/>
    <cellStyle name="Normal 10 3 2 4 2 3" xfId="8135"/>
    <cellStyle name="Normal 10 3 2 4 2 3 2" xfId="14329"/>
    <cellStyle name="Normal 10 3 2 4 2 3 2 2" xfId="34212"/>
    <cellStyle name="Normal 10 3 2 4 2 3 3" xfId="20481"/>
    <cellStyle name="Normal 10 3 2 4 2 3 3 2" xfId="40364"/>
    <cellStyle name="Normal 10 3 2 4 2 3 4" xfId="28059"/>
    <cellStyle name="Normal 10 3 2 4 2 4" xfId="11263"/>
    <cellStyle name="Normal 10 3 2 4 2 4 2" xfId="31146"/>
    <cellStyle name="Normal 10 3 2 4 2 5" xfId="17415"/>
    <cellStyle name="Normal 10 3 2 4 2 5 2" xfId="37298"/>
    <cellStyle name="Normal 10 3 2 4 2 6" xfId="24993"/>
    <cellStyle name="Normal 10 3 2 4 3" xfId="5801"/>
    <cellStyle name="Normal 10 3 2 4 3 2" xfId="8901"/>
    <cellStyle name="Normal 10 3 2 4 3 2 2" xfId="15094"/>
    <cellStyle name="Normal 10 3 2 4 3 2 2 2" xfId="34977"/>
    <cellStyle name="Normal 10 3 2 4 3 2 3" xfId="21246"/>
    <cellStyle name="Normal 10 3 2 4 3 2 3 2" xfId="41129"/>
    <cellStyle name="Normal 10 3 2 4 3 2 4" xfId="28824"/>
    <cellStyle name="Normal 10 3 2 4 3 3" xfId="12028"/>
    <cellStyle name="Normal 10 3 2 4 3 3 2" xfId="31911"/>
    <cellStyle name="Normal 10 3 2 4 3 4" xfId="18180"/>
    <cellStyle name="Normal 10 3 2 4 3 4 2" xfId="38063"/>
    <cellStyle name="Normal 10 3 2 4 3 5" xfId="25758"/>
    <cellStyle name="Normal 10 3 2 4 4" xfId="7366"/>
    <cellStyle name="Normal 10 3 2 4 4 2" xfId="13560"/>
    <cellStyle name="Normal 10 3 2 4 4 2 2" xfId="33443"/>
    <cellStyle name="Normal 10 3 2 4 4 3" xfId="19712"/>
    <cellStyle name="Normal 10 3 2 4 4 3 2" xfId="39595"/>
    <cellStyle name="Normal 10 3 2 4 4 4" xfId="27290"/>
    <cellStyle name="Normal 10 3 2 4 5" xfId="10494"/>
    <cellStyle name="Normal 10 3 2 4 5 2" xfId="30377"/>
    <cellStyle name="Normal 10 3 2 4 6" xfId="16646"/>
    <cellStyle name="Normal 10 3 2 4 6 2" xfId="36529"/>
    <cellStyle name="Normal 10 3 2 4 7" xfId="24224"/>
    <cellStyle name="Normal 10 3 2 5" xfId="4954"/>
    <cellStyle name="Normal 10 3 2 5 2" xfId="6579"/>
    <cellStyle name="Normal 10 3 2 5 2 2" xfId="9665"/>
    <cellStyle name="Normal 10 3 2 5 2 2 2" xfId="15858"/>
    <cellStyle name="Normal 10 3 2 5 2 2 2 2" xfId="35741"/>
    <cellStyle name="Normal 10 3 2 5 2 2 3" xfId="22010"/>
    <cellStyle name="Normal 10 3 2 5 2 2 3 2" xfId="41893"/>
    <cellStyle name="Normal 10 3 2 5 2 2 4" xfId="29588"/>
    <cellStyle name="Normal 10 3 2 5 2 3" xfId="12792"/>
    <cellStyle name="Normal 10 3 2 5 2 3 2" xfId="32675"/>
    <cellStyle name="Normal 10 3 2 5 2 4" xfId="18944"/>
    <cellStyle name="Normal 10 3 2 5 2 4 2" xfId="38827"/>
    <cellStyle name="Normal 10 3 2 5 2 5" xfId="26522"/>
    <cellStyle name="Normal 10 3 2 5 3" xfId="8130"/>
    <cellStyle name="Normal 10 3 2 5 3 2" xfId="14324"/>
    <cellStyle name="Normal 10 3 2 5 3 2 2" xfId="34207"/>
    <cellStyle name="Normal 10 3 2 5 3 3" xfId="20476"/>
    <cellStyle name="Normal 10 3 2 5 3 3 2" xfId="40359"/>
    <cellStyle name="Normal 10 3 2 5 3 4" xfId="28054"/>
    <cellStyle name="Normal 10 3 2 5 4" xfId="11258"/>
    <cellStyle name="Normal 10 3 2 5 4 2" xfId="31141"/>
    <cellStyle name="Normal 10 3 2 5 5" xfId="17410"/>
    <cellStyle name="Normal 10 3 2 5 5 2" xfId="37293"/>
    <cellStyle name="Normal 10 3 2 5 6" xfId="24988"/>
    <cellStyle name="Normal 10 3 2 6" xfId="5796"/>
    <cellStyle name="Normal 10 3 2 6 2" xfId="8896"/>
    <cellStyle name="Normal 10 3 2 6 2 2" xfId="15089"/>
    <cellStyle name="Normal 10 3 2 6 2 2 2" xfId="34972"/>
    <cellStyle name="Normal 10 3 2 6 2 3" xfId="21241"/>
    <cellStyle name="Normal 10 3 2 6 2 3 2" xfId="41124"/>
    <cellStyle name="Normal 10 3 2 6 2 4" xfId="28819"/>
    <cellStyle name="Normal 10 3 2 6 3" xfId="12023"/>
    <cellStyle name="Normal 10 3 2 6 3 2" xfId="31906"/>
    <cellStyle name="Normal 10 3 2 6 4" xfId="18175"/>
    <cellStyle name="Normal 10 3 2 6 4 2" xfId="38058"/>
    <cellStyle name="Normal 10 3 2 6 5" xfId="25753"/>
    <cellStyle name="Normal 10 3 2 7" xfId="7361"/>
    <cellStyle name="Normal 10 3 2 7 2" xfId="13555"/>
    <cellStyle name="Normal 10 3 2 7 2 2" xfId="33438"/>
    <cellStyle name="Normal 10 3 2 7 3" xfId="19707"/>
    <cellStyle name="Normal 10 3 2 7 3 2" xfId="39590"/>
    <cellStyle name="Normal 10 3 2 7 4" xfId="27285"/>
    <cellStyle name="Normal 10 3 2 8" xfId="10489"/>
    <cellStyle name="Normal 10 3 2 8 2" xfId="30372"/>
    <cellStyle name="Normal 10 3 2 9" xfId="16641"/>
    <cellStyle name="Normal 10 3 2 9 2" xfId="36524"/>
    <cellStyle name="Normal 10 3 3" xfId="3428"/>
    <cellStyle name="Normal 10 3 3 2" xfId="3429"/>
    <cellStyle name="Normal 10 3 3 2 2" xfId="4961"/>
    <cellStyle name="Normal 10 3 3 2 2 2" xfId="6586"/>
    <cellStyle name="Normal 10 3 3 2 2 2 2" xfId="9672"/>
    <cellStyle name="Normal 10 3 3 2 2 2 2 2" xfId="15865"/>
    <cellStyle name="Normal 10 3 3 2 2 2 2 2 2" xfId="35748"/>
    <cellStyle name="Normal 10 3 3 2 2 2 2 3" xfId="22017"/>
    <cellStyle name="Normal 10 3 3 2 2 2 2 3 2" xfId="41900"/>
    <cellStyle name="Normal 10 3 3 2 2 2 2 4" xfId="29595"/>
    <cellStyle name="Normal 10 3 3 2 2 2 3" xfId="12799"/>
    <cellStyle name="Normal 10 3 3 2 2 2 3 2" xfId="32682"/>
    <cellStyle name="Normal 10 3 3 2 2 2 4" xfId="18951"/>
    <cellStyle name="Normal 10 3 3 2 2 2 4 2" xfId="38834"/>
    <cellStyle name="Normal 10 3 3 2 2 2 5" xfId="26529"/>
    <cellStyle name="Normal 10 3 3 2 2 3" xfId="8137"/>
    <cellStyle name="Normal 10 3 3 2 2 3 2" xfId="14331"/>
    <cellStyle name="Normal 10 3 3 2 2 3 2 2" xfId="34214"/>
    <cellStyle name="Normal 10 3 3 2 2 3 3" xfId="20483"/>
    <cellStyle name="Normal 10 3 3 2 2 3 3 2" xfId="40366"/>
    <cellStyle name="Normal 10 3 3 2 2 3 4" xfId="28061"/>
    <cellStyle name="Normal 10 3 3 2 2 4" xfId="11265"/>
    <cellStyle name="Normal 10 3 3 2 2 4 2" xfId="31148"/>
    <cellStyle name="Normal 10 3 3 2 2 5" xfId="17417"/>
    <cellStyle name="Normal 10 3 3 2 2 5 2" xfId="37300"/>
    <cellStyle name="Normal 10 3 3 2 2 6" xfId="24995"/>
    <cellStyle name="Normal 10 3 3 2 3" xfId="5803"/>
    <cellStyle name="Normal 10 3 3 2 3 2" xfId="8903"/>
    <cellStyle name="Normal 10 3 3 2 3 2 2" xfId="15096"/>
    <cellStyle name="Normal 10 3 3 2 3 2 2 2" xfId="34979"/>
    <cellStyle name="Normal 10 3 3 2 3 2 3" xfId="21248"/>
    <cellStyle name="Normal 10 3 3 2 3 2 3 2" xfId="41131"/>
    <cellStyle name="Normal 10 3 3 2 3 2 4" xfId="28826"/>
    <cellStyle name="Normal 10 3 3 2 3 3" xfId="12030"/>
    <cellStyle name="Normal 10 3 3 2 3 3 2" xfId="31913"/>
    <cellStyle name="Normal 10 3 3 2 3 4" xfId="18182"/>
    <cellStyle name="Normal 10 3 3 2 3 4 2" xfId="38065"/>
    <cellStyle name="Normal 10 3 3 2 3 5" xfId="25760"/>
    <cellStyle name="Normal 10 3 3 2 4" xfId="7368"/>
    <cellStyle name="Normal 10 3 3 2 4 2" xfId="13562"/>
    <cellStyle name="Normal 10 3 3 2 4 2 2" xfId="33445"/>
    <cellStyle name="Normal 10 3 3 2 4 3" xfId="19714"/>
    <cellStyle name="Normal 10 3 3 2 4 3 2" xfId="39597"/>
    <cellStyle name="Normal 10 3 3 2 4 4" xfId="27292"/>
    <cellStyle name="Normal 10 3 3 2 5" xfId="10496"/>
    <cellStyle name="Normal 10 3 3 2 5 2" xfId="30379"/>
    <cellStyle name="Normal 10 3 3 2 6" xfId="16648"/>
    <cellStyle name="Normal 10 3 3 2 6 2" xfId="36531"/>
    <cellStyle name="Normal 10 3 3 2 7" xfId="24226"/>
    <cellStyle name="Normal 10 3 3 3" xfId="4960"/>
    <cellStyle name="Normal 10 3 3 3 2" xfId="6585"/>
    <cellStyle name="Normal 10 3 3 3 2 2" xfId="9671"/>
    <cellStyle name="Normal 10 3 3 3 2 2 2" xfId="15864"/>
    <cellStyle name="Normal 10 3 3 3 2 2 2 2" xfId="35747"/>
    <cellStyle name="Normal 10 3 3 3 2 2 3" xfId="22016"/>
    <cellStyle name="Normal 10 3 3 3 2 2 3 2" xfId="41899"/>
    <cellStyle name="Normal 10 3 3 3 2 2 4" xfId="29594"/>
    <cellStyle name="Normal 10 3 3 3 2 3" xfId="12798"/>
    <cellStyle name="Normal 10 3 3 3 2 3 2" xfId="32681"/>
    <cellStyle name="Normal 10 3 3 3 2 4" xfId="18950"/>
    <cellStyle name="Normal 10 3 3 3 2 4 2" xfId="38833"/>
    <cellStyle name="Normal 10 3 3 3 2 5" xfId="26528"/>
    <cellStyle name="Normal 10 3 3 3 3" xfId="8136"/>
    <cellStyle name="Normal 10 3 3 3 3 2" xfId="14330"/>
    <cellStyle name="Normal 10 3 3 3 3 2 2" xfId="34213"/>
    <cellStyle name="Normal 10 3 3 3 3 3" xfId="20482"/>
    <cellStyle name="Normal 10 3 3 3 3 3 2" xfId="40365"/>
    <cellStyle name="Normal 10 3 3 3 3 4" xfId="28060"/>
    <cellStyle name="Normal 10 3 3 3 4" xfId="11264"/>
    <cellStyle name="Normal 10 3 3 3 4 2" xfId="31147"/>
    <cellStyle name="Normal 10 3 3 3 5" xfId="17416"/>
    <cellStyle name="Normal 10 3 3 3 5 2" xfId="37299"/>
    <cellStyle name="Normal 10 3 3 3 6" xfId="24994"/>
    <cellStyle name="Normal 10 3 3 4" xfId="5802"/>
    <cellStyle name="Normal 10 3 3 4 2" xfId="8902"/>
    <cellStyle name="Normal 10 3 3 4 2 2" xfId="15095"/>
    <cellStyle name="Normal 10 3 3 4 2 2 2" xfId="34978"/>
    <cellStyle name="Normal 10 3 3 4 2 3" xfId="21247"/>
    <cellStyle name="Normal 10 3 3 4 2 3 2" xfId="41130"/>
    <cellStyle name="Normal 10 3 3 4 2 4" xfId="28825"/>
    <cellStyle name="Normal 10 3 3 4 3" xfId="12029"/>
    <cellStyle name="Normal 10 3 3 4 3 2" xfId="31912"/>
    <cellStyle name="Normal 10 3 3 4 4" xfId="18181"/>
    <cellStyle name="Normal 10 3 3 4 4 2" xfId="38064"/>
    <cellStyle name="Normal 10 3 3 4 5" xfId="25759"/>
    <cellStyle name="Normal 10 3 3 5" xfId="7367"/>
    <cellStyle name="Normal 10 3 3 5 2" xfId="13561"/>
    <cellStyle name="Normal 10 3 3 5 2 2" xfId="33444"/>
    <cellStyle name="Normal 10 3 3 5 3" xfId="19713"/>
    <cellStyle name="Normal 10 3 3 5 3 2" xfId="39596"/>
    <cellStyle name="Normal 10 3 3 5 4" xfId="27291"/>
    <cellStyle name="Normal 10 3 3 6" xfId="10495"/>
    <cellStyle name="Normal 10 3 3 6 2" xfId="30378"/>
    <cellStyle name="Normal 10 3 3 7" xfId="16647"/>
    <cellStyle name="Normal 10 3 3 7 2" xfId="36530"/>
    <cellStyle name="Normal 10 3 3 8" xfId="24225"/>
    <cellStyle name="Normal 10 3 4" xfId="3430"/>
    <cellStyle name="Normal 10 3 4 2" xfId="3431"/>
    <cellStyle name="Normal 10 3 4 2 2" xfId="4963"/>
    <cellStyle name="Normal 10 3 4 2 2 2" xfId="6588"/>
    <cellStyle name="Normal 10 3 4 2 2 2 2" xfId="9674"/>
    <cellStyle name="Normal 10 3 4 2 2 2 2 2" xfId="15867"/>
    <cellStyle name="Normal 10 3 4 2 2 2 2 2 2" xfId="35750"/>
    <cellStyle name="Normal 10 3 4 2 2 2 2 3" xfId="22019"/>
    <cellStyle name="Normal 10 3 4 2 2 2 2 3 2" xfId="41902"/>
    <cellStyle name="Normal 10 3 4 2 2 2 2 4" xfId="29597"/>
    <cellStyle name="Normal 10 3 4 2 2 2 3" xfId="12801"/>
    <cellStyle name="Normal 10 3 4 2 2 2 3 2" xfId="32684"/>
    <cellStyle name="Normal 10 3 4 2 2 2 4" xfId="18953"/>
    <cellStyle name="Normal 10 3 4 2 2 2 4 2" xfId="38836"/>
    <cellStyle name="Normal 10 3 4 2 2 2 5" xfId="26531"/>
    <cellStyle name="Normal 10 3 4 2 2 3" xfId="8139"/>
    <cellStyle name="Normal 10 3 4 2 2 3 2" xfId="14333"/>
    <cellStyle name="Normal 10 3 4 2 2 3 2 2" xfId="34216"/>
    <cellStyle name="Normal 10 3 4 2 2 3 3" xfId="20485"/>
    <cellStyle name="Normal 10 3 4 2 2 3 3 2" xfId="40368"/>
    <cellStyle name="Normal 10 3 4 2 2 3 4" xfId="28063"/>
    <cellStyle name="Normal 10 3 4 2 2 4" xfId="11267"/>
    <cellStyle name="Normal 10 3 4 2 2 4 2" xfId="31150"/>
    <cellStyle name="Normal 10 3 4 2 2 5" xfId="17419"/>
    <cellStyle name="Normal 10 3 4 2 2 5 2" xfId="37302"/>
    <cellStyle name="Normal 10 3 4 2 2 6" xfId="24997"/>
    <cellStyle name="Normal 10 3 4 2 3" xfId="5805"/>
    <cellStyle name="Normal 10 3 4 2 3 2" xfId="8905"/>
    <cellStyle name="Normal 10 3 4 2 3 2 2" xfId="15098"/>
    <cellStyle name="Normal 10 3 4 2 3 2 2 2" xfId="34981"/>
    <cellStyle name="Normal 10 3 4 2 3 2 3" xfId="21250"/>
    <cellStyle name="Normal 10 3 4 2 3 2 3 2" xfId="41133"/>
    <cellStyle name="Normal 10 3 4 2 3 2 4" xfId="28828"/>
    <cellStyle name="Normal 10 3 4 2 3 3" xfId="12032"/>
    <cellStyle name="Normal 10 3 4 2 3 3 2" xfId="31915"/>
    <cellStyle name="Normal 10 3 4 2 3 4" xfId="18184"/>
    <cellStyle name="Normal 10 3 4 2 3 4 2" xfId="38067"/>
    <cellStyle name="Normal 10 3 4 2 3 5" xfId="25762"/>
    <cellStyle name="Normal 10 3 4 2 4" xfId="7370"/>
    <cellStyle name="Normal 10 3 4 2 4 2" xfId="13564"/>
    <cellStyle name="Normal 10 3 4 2 4 2 2" xfId="33447"/>
    <cellStyle name="Normal 10 3 4 2 4 3" xfId="19716"/>
    <cellStyle name="Normal 10 3 4 2 4 3 2" xfId="39599"/>
    <cellStyle name="Normal 10 3 4 2 4 4" xfId="27294"/>
    <cellStyle name="Normal 10 3 4 2 5" xfId="10498"/>
    <cellStyle name="Normal 10 3 4 2 5 2" xfId="30381"/>
    <cellStyle name="Normal 10 3 4 2 6" xfId="16650"/>
    <cellStyle name="Normal 10 3 4 2 6 2" xfId="36533"/>
    <cellStyle name="Normal 10 3 4 2 7" xfId="24228"/>
    <cellStyle name="Normal 10 3 4 3" xfId="4962"/>
    <cellStyle name="Normal 10 3 4 3 2" xfId="6587"/>
    <cellStyle name="Normal 10 3 4 3 2 2" xfId="9673"/>
    <cellStyle name="Normal 10 3 4 3 2 2 2" xfId="15866"/>
    <cellStyle name="Normal 10 3 4 3 2 2 2 2" xfId="35749"/>
    <cellStyle name="Normal 10 3 4 3 2 2 3" xfId="22018"/>
    <cellStyle name="Normal 10 3 4 3 2 2 3 2" xfId="41901"/>
    <cellStyle name="Normal 10 3 4 3 2 2 4" xfId="29596"/>
    <cellStyle name="Normal 10 3 4 3 2 3" xfId="12800"/>
    <cellStyle name="Normal 10 3 4 3 2 3 2" xfId="32683"/>
    <cellStyle name="Normal 10 3 4 3 2 4" xfId="18952"/>
    <cellStyle name="Normal 10 3 4 3 2 4 2" xfId="38835"/>
    <cellStyle name="Normal 10 3 4 3 2 5" xfId="26530"/>
    <cellStyle name="Normal 10 3 4 3 3" xfId="8138"/>
    <cellStyle name="Normal 10 3 4 3 3 2" xfId="14332"/>
    <cellStyle name="Normal 10 3 4 3 3 2 2" xfId="34215"/>
    <cellStyle name="Normal 10 3 4 3 3 3" xfId="20484"/>
    <cellStyle name="Normal 10 3 4 3 3 3 2" xfId="40367"/>
    <cellStyle name="Normal 10 3 4 3 3 4" xfId="28062"/>
    <cellStyle name="Normal 10 3 4 3 4" xfId="11266"/>
    <cellStyle name="Normal 10 3 4 3 4 2" xfId="31149"/>
    <cellStyle name="Normal 10 3 4 3 5" xfId="17418"/>
    <cellStyle name="Normal 10 3 4 3 5 2" xfId="37301"/>
    <cellStyle name="Normal 10 3 4 3 6" xfId="24996"/>
    <cellStyle name="Normal 10 3 4 4" xfId="5804"/>
    <cellStyle name="Normal 10 3 4 4 2" xfId="8904"/>
    <cellStyle name="Normal 10 3 4 4 2 2" xfId="15097"/>
    <cellStyle name="Normal 10 3 4 4 2 2 2" xfId="34980"/>
    <cellStyle name="Normal 10 3 4 4 2 3" xfId="21249"/>
    <cellStyle name="Normal 10 3 4 4 2 3 2" xfId="41132"/>
    <cellStyle name="Normal 10 3 4 4 2 4" xfId="28827"/>
    <cellStyle name="Normal 10 3 4 4 3" xfId="12031"/>
    <cellStyle name="Normal 10 3 4 4 3 2" xfId="31914"/>
    <cellStyle name="Normal 10 3 4 4 4" xfId="18183"/>
    <cellStyle name="Normal 10 3 4 4 4 2" xfId="38066"/>
    <cellStyle name="Normal 10 3 4 4 5" xfId="25761"/>
    <cellStyle name="Normal 10 3 4 5" xfId="7369"/>
    <cellStyle name="Normal 10 3 4 5 2" xfId="13563"/>
    <cellStyle name="Normal 10 3 4 5 2 2" xfId="33446"/>
    <cellStyle name="Normal 10 3 4 5 3" xfId="19715"/>
    <cellStyle name="Normal 10 3 4 5 3 2" xfId="39598"/>
    <cellStyle name="Normal 10 3 4 5 4" xfId="27293"/>
    <cellStyle name="Normal 10 3 4 6" xfId="10497"/>
    <cellStyle name="Normal 10 3 4 6 2" xfId="30380"/>
    <cellStyle name="Normal 10 3 4 7" xfId="16649"/>
    <cellStyle name="Normal 10 3 4 7 2" xfId="36532"/>
    <cellStyle name="Normal 10 3 4 8" xfId="24227"/>
    <cellStyle name="Normal 10 3 5" xfId="3432"/>
    <cellStyle name="Normal 10 3 5 2" xfId="4964"/>
    <cellStyle name="Normal 10 3 5 2 2" xfId="6589"/>
    <cellStyle name="Normal 10 3 5 2 2 2" xfId="9675"/>
    <cellStyle name="Normal 10 3 5 2 2 2 2" xfId="15868"/>
    <cellStyle name="Normal 10 3 5 2 2 2 2 2" xfId="35751"/>
    <cellStyle name="Normal 10 3 5 2 2 2 3" xfId="22020"/>
    <cellStyle name="Normal 10 3 5 2 2 2 3 2" xfId="41903"/>
    <cellStyle name="Normal 10 3 5 2 2 2 4" xfId="29598"/>
    <cellStyle name="Normal 10 3 5 2 2 3" xfId="12802"/>
    <cellStyle name="Normal 10 3 5 2 2 3 2" xfId="32685"/>
    <cellStyle name="Normal 10 3 5 2 2 4" xfId="18954"/>
    <cellStyle name="Normal 10 3 5 2 2 4 2" xfId="38837"/>
    <cellStyle name="Normal 10 3 5 2 2 5" xfId="26532"/>
    <cellStyle name="Normal 10 3 5 2 3" xfId="8140"/>
    <cellStyle name="Normal 10 3 5 2 3 2" xfId="14334"/>
    <cellStyle name="Normal 10 3 5 2 3 2 2" xfId="34217"/>
    <cellStyle name="Normal 10 3 5 2 3 3" xfId="20486"/>
    <cellStyle name="Normal 10 3 5 2 3 3 2" xfId="40369"/>
    <cellStyle name="Normal 10 3 5 2 3 4" xfId="28064"/>
    <cellStyle name="Normal 10 3 5 2 4" xfId="11268"/>
    <cellStyle name="Normal 10 3 5 2 4 2" xfId="31151"/>
    <cellStyle name="Normal 10 3 5 2 5" xfId="17420"/>
    <cellStyle name="Normal 10 3 5 2 5 2" xfId="37303"/>
    <cellStyle name="Normal 10 3 5 2 6" xfId="24998"/>
    <cellStyle name="Normal 10 3 5 3" xfId="5806"/>
    <cellStyle name="Normal 10 3 5 3 2" xfId="8906"/>
    <cellStyle name="Normal 10 3 5 3 2 2" xfId="15099"/>
    <cellStyle name="Normal 10 3 5 3 2 2 2" xfId="34982"/>
    <cellStyle name="Normal 10 3 5 3 2 3" xfId="21251"/>
    <cellStyle name="Normal 10 3 5 3 2 3 2" xfId="41134"/>
    <cellStyle name="Normal 10 3 5 3 2 4" xfId="28829"/>
    <cellStyle name="Normal 10 3 5 3 3" xfId="12033"/>
    <cellStyle name="Normal 10 3 5 3 3 2" xfId="31916"/>
    <cellStyle name="Normal 10 3 5 3 4" xfId="18185"/>
    <cellStyle name="Normal 10 3 5 3 4 2" xfId="38068"/>
    <cellStyle name="Normal 10 3 5 3 5" xfId="25763"/>
    <cellStyle name="Normal 10 3 5 4" xfId="7371"/>
    <cellStyle name="Normal 10 3 5 4 2" xfId="13565"/>
    <cellStyle name="Normal 10 3 5 4 2 2" xfId="33448"/>
    <cellStyle name="Normal 10 3 5 4 3" xfId="19717"/>
    <cellStyle name="Normal 10 3 5 4 3 2" xfId="39600"/>
    <cellStyle name="Normal 10 3 5 4 4" xfId="27295"/>
    <cellStyle name="Normal 10 3 5 5" xfId="10499"/>
    <cellStyle name="Normal 10 3 5 5 2" xfId="30382"/>
    <cellStyle name="Normal 10 3 5 6" xfId="16651"/>
    <cellStyle name="Normal 10 3 5 6 2" xfId="36534"/>
    <cellStyle name="Normal 10 3 5 7" xfId="24229"/>
    <cellStyle name="Normal 10 3 6" xfId="4953"/>
    <cellStyle name="Normal 10 3 6 2" xfId="6578"/>
    <cellStyle name="Normal 10 3 6 2 2" xfId="9664"/>
    <cellStyle name="Normal 10 3 6 2 2 2" xfId="15857"/>
    <cellStyle name="Normal 10 3 6 2 2 2 2" xfId="35740"/>
    <cellStyle name="Normal 10 3 6 2 2 3" xfId="22009"/>
    <cellStyle name="Normal 10 3 6 2 2 3 2" xfId="41892"/>
    <cellStyle name="Normal 10 3 6 2 2 4" xfId="29587"/>
    <cellStyle name="Normal 10 3 6 2 3" xfId="12791"/>
    <cellStyle name="Normal 10 3 6 2 3 2" xfId="32674"/>
    <cellStyle name="Normal 10 3 6 2 4" xfId="18943"/>
    <cellStyle name="Normal 10 3 6 2 4 2" xfId="38826"/>
    <cellStyle name="Normal 10 3 6 2 5" xfId="26521"/>
    <cellStyle name="Normal 10 3 6 3" xfId="8129"/>
    <cellStyle name="Normal 10 3 6 3 2" xfId="14323"/>
    <cellStyle name="Normal 10 3 6 3 2 2" xfId="34206"/>
    <cellStyle name="Normal 10 3 6 3 3" xfId="20475"/>
    <cellStyle name="Normal 10 3 6 3 3 2" xfId="40358"/>
    <cellStyle name="Normal 10 3 6 3 4" xfId="28053"/>
    <cellStyle name="Normal 10 3 6 4" xfId="11257"/>
    <cellStyle name="Normal 10 3 6 4 2" xfId="31140"/>
    <cellStyle name="Normal 10 3 6 5" xfId="17409"/>
    <cellStyle name="Normal 10 3 6 5 2" xfId="37292"/>
    <cellStyle name="Normal 10 3 6 6" xfId="24987"/>
    <cellStyle name="Normal 10 3 7" xfId="5795"/>
    <cellStyle name="Normal 10 3 7 2" xfId="8895"/>
    <cellStyle name="Normal 10 3 7 2 2" xfId="15088"/>
    <cellStyle name="Normal 10 3 7 2 2 2" xfId="34971"/>
    <cellStyle name="Normal 10 3 7 2 3" xfId="21240"/>
    <cellStyle name="Normal 10 3 7 2 3 2" xfId="41123"/>
    <cellStyle name="Normal 10 3 7 2 4" xfId="28818"/>
    <cellStyle name="Normal 10 3 7 3" xfId="12022"/>
    <cellStyle name="Normal 10 3 7 3 2" xfId="31905"/>
    <cellStyle name="Normal 10 3 7 4" xfId="18174"/>
    <cellStyle name="Normal 10 3 7 4 2" xfId="38057"/>
    <cellStyle name="Normal 10 3 7 5" xfId="25752"/>
    <cellStyle name="Normal 10 3 8" xfId="7360"/>
    <cellStyle name="Normal 10 3 8 2" xfId="13554"/>
    <cellStyle name="Normal 10 3 8 2 2" xfId="33437"/>
    <cellStyle name="Normal 10 3 8 3" xfId="19706"/>
    <cellStyle name="Normal 10 3 8 3 2" xfId="39589"/>
    <cellStyle name="Normal 10 3 8 4" xfId="27284"/>
    <cellStyle name="Normal 10 3 9" xfId="10488"/>
    <cellStyle name="Normal 10 3 9 2" xfId="30371"/>
    <cellStyle name="Normal 10 4" xfId="121"/>
    <cellStyle name="Normal 10 4 10" xfId="3433"/>
    <cellStyle name="Normal 10 4 10 2" xfId="24230"/>
    <cellStyle name="Normal 10 4 11" xfId="23209"/>
    <cellStyle name="Normal 10 4 12" xfId="23368"/>
    <cellStyle name="Normal 10 4 2" xfId="3434"/>
    <cellStyle name="Normal 10 4 2 2" xfId="3435"/>
    <cellStyle name="Normal 10 4 2 2 2" xfId="4967"/>
    <cellStyle name="Normal 10 4 2 2 2 2" xfId="6592"/>
    <cellStyle name="Normal 10 4 2 2 2 2 2" xfId="9678"/>
    <cellStyle name="Normal 10 4 2 2 2 2 2 2" xfId="15871"/>
    <cellStyle name="Normal 10 4 2 2 2 2 2 2 2" xfId="35754"/>
    <cellStyle name="Normal 10 4 2 2 2 2 2 3" xfId="22023"/>
    <cellStyle name="Normal 10 4 2 2 2 2 2 3 2" xfId="41906"/>
    <cellStyle name="Normal 10 4 2 2 2 2 2 4" xfId="29601"/>
    <cellStyle name="Normal 10 4 2 2 2 2 3" xfId="12805"/>
    <cellStyle name="Normal 10 4 2 2 2 2 3 2" xfId="32688"/>
    <cellStyle name="Normal 10 4 2 2 2 2 4" xfId="18957"/>
    <cellStyle name="Normal 10 4 2 2 2 2 4 2" xfId="38840"/>
    <cellStyle name="Normal 10 4 2 2 2 2 5" xfId="26535"/>
    <cellStyle name="Normal 10 4 2 2 2 3" xfId="8143"/>
    <cellStyle name="Normal 10 4 2 2 2 3 2" xfId="14337"/>
    <cellStyle name="Normal 10 4 2 2 2 3 2 2" xfId="34220"/>
    <cellStyle name="Normal 10 4 2 2 2 3 3" xfId="20489"/>
    <cellStyle name="Normal 10 4 2 2 2 3 3 2" xfId="40372"/>
    <cellStyle name="Normal 10 4 2 2 2 3 4" xfId="28067"/>
    <cellStyle name="Normal 10 4 2 2 2 4" xfId="11271"/>
    <cellStyle name="Normal 10 4 2 2 2 4 2" xfId="31154"/>
    <cellStyle name="Normal 10 4 2 2 2 5" xfId="17423"/>
    <cellStyle name="Normal 10 4 2 2 2 5 2" xfId="37306"/>
    <cellStyle name="Normal 10 4 2 2 2 6" xfId="25001"/>
    <cellStyle name="Normal 10 4 2 2 3" xfId="5809"/>
    <cellStyle name="Normal 10 4 2 2 3 2" xfId="8909"/>
    <cellStyle name="Normal 10 4 2 2 3 2 2" xfId="15102"/>
    <cellStyle name="Normal 10 4 2 2 3 2 2 2" xfId="34985"/>
    <cellStyle name="Normal 10 4 2 2 3 2 3" xfId="21254"/>
    <cellStyle name="Normal 10 4 2 2 3 2 3 2" xfId="41137"/>
    <cellStyle name="Normal 10 4 2 2 3 2 4" xfId="28832"/>
    <cellStyle name="Normal 10 4 2 2 3 3" xfId="12036"/>
    <cellStyle name="Normal 10 4 2 2 3 3 2" xfId="31919"/>
    <cellStyle name="Normal 10 4 2 2 3 4" xfId="18188"/>
    <cellStyle name="Normal 10 4 2 2 3 4 2" xfId="38071"/>
    <cellStyle name="Normal 10 4 2 2 3 5" xfId="25766"/>
    <cellStyle name="Normal 10 4 2 2 4" xfId="7374"/>
    <cellStyle name="Normal 10 4 2 2 4 2" xfId="13568"/>
    <cellStyle name="Normal 10 4 2 2 4 2 2" xfId="33451"/>
    <cellStyle name="Normal 10 4 2 2 4 3" xfId="19720"/>
    <cellStyle name="Normal 10 4 2 2 4 3 2" xfId="39603"/>
    <cellStyle name="Normal 10 4 2 2 4 4" xfId="27298"/>
    <cellStyle name="Normal 10 4 2 2 5" xfId="10502"/>
    <cellStyle name="Normal 10 4 2 2 5 2" xfId="30385"/>
    <cellStyle name="Normal 10 4 2 2 6" xfId="16654"/>
    <cellStyle name="Normal 10 4 2 2 6 2" xfId="36537"/>
    <cellStyle name="Normal 10 4 2 2 7" xfId="24232"/>
    <cellStyle name="Normal 10 4 2 3" xfId="4966"/>
    <cellStyle name="Normal 10 4 2 3 2" xfId="6591"/>
    <cellStyle name="Normal 10 4 2 3 2 2" xfId="9677"/>
    <cellStyle name="Normal 10 4 2 3 2 2 2" xfId="15870"/>
    <cellStyle name="Normal 10 4 2 3 2 2 2 2" xfId="35753"/>
    <cellStyle name="Normal 10 4 2 3 2 2 3" xfId="22022"/>
    <cellStyle name="Normal 10 4 2 3 2 2 3 2" xfId="41905"/>
    <cellStyle name="Normal 10 4 2 3 2 2 4" xfId="29600"/>
    <cellStyle name="Normal 10 4 2 3 2 3" xfId="12804"/>
    <cellStyle name="Normal 10 4 2 3 2 3 2" xfId="32687"/>
    <cellStyle name="Normal 10 4 2 3 2 4" xfId="18956"/>
    <cellStyle name="Normal 10 4 2 3 2 4 2" xfId="38839"/>
    <cellStyle name="Normal 10 4 2 3 2 5" xfId="26534"/>
    <cellStyle name="Normal 10 4 2 3 3" xfId="8142"/>
    <cellStyle name="Normal 10 4 2 3 3 2" xfId="14336"/>
    <cellStyle name="Normal 10 4 2 3 3 2 2" xfId="34219"/>
    <cellStyle name="Normal 10 4 2 3 3 3" xfId="20488"/>
    <cellStyle name="Normal 10 4 2 3 3 3 2" xfId="40371"/>
    <cellStyle name="Normal 10 4 2 3 3 4" xfId="28066"/>
    <cellStyle name="Normal 10 4 2 3 4" xfId="11270"/>
    <cellStyle name="Normal 10 4 2 3 4 2" xfId="31153"/>
    <cellStyle name="Normal 10 4 2 3 5" xfId="17422"/>
    <cellStyle name="Normal 10 4 2 3 5 2" xfId="37305"/>
    <cellStyle name="Normal 10 4 2 3 6" xfId="25000"/>
    <cellStyle name="Normal 10 4 2 4" xfId="5808"/>
    <cellStyle name="Normal 10 4 2 4 2" xfId="8908"/>
    <cellStyle name="Normal 10 4 2 4 2 2" xfId="15101"/>
    <cellStyle name="Normal 10 4 2 4 2 2 2" xfId="34984"/>
    <cellStyle name="Normal 10 4 2 4 2 3" xfId="21253"/>
    <cellStyle name="Normal 10 4 2 4 2 3 2" xfId="41136"/>
    <cellStyle name="Normal 10 4 2 4 2 4" xfId="28831"/>
    <cellStyle name="Normal 10 4 2 4 3" xfId="12035"/>
    <cellStyle name="Normal 10 4 2 4 3 2" xfId="31918"/>
    <cellStyle name="Normal 10 4 2 4 4" xfId="18187"/>
    <cellStyle name="Normal 10 4 2 4 4 2" xfId="38070"/>
    <cellStyle name="Normal 10 4 2 4 5" xfId="25765"/>
    <cellStyle name="Normal 10 4 2 5" xfId="7373"/>
    <cellStyle name="Normal 10 4 2 5 2" xfId="13567"/>
    <cellStyle name="Normal 10 4 2 5 2 2" xfId="33450"/>
    <cellStyle name="Normal 10 4 2 5 3" xfId="19719"/>
    <cellStyle name="Normal 10 4 2 5 3 2" xfId="39602"/>
    <cellStyle name="Normal 10 4 2 5 4" xfId="27297"/>
    <cellStyle name="Normal 10 4 2 6" xfId="10501"/>
    <cellStyle name="Normal 10 4 2 6 2" xfId="30384"/>
    <cellStyle name="Normal 10 4 2 7" xfId="16653"/>
    <cellStyle name="Normal 10 4 2 7 2" xfId="36536"/>
    <cellStyle name="Normal 10 4 2 8" xfId="24231"/>
    <cellStyle name="Normal 10 4 3" xfId="3436"/>
    <cellStyle name="Normal 10 4 3 2" xfId="3437"/>
    <cellStyle name="Normal 10 4 3 2 2" xfId="4969"/>
    <cellStyle name="Normal 10 4 3 2 2 2" xfId="6594"/>
    <cellStyle name="Normal 10 4 3 2 2 2 2" xfId="9680"/>
    <cellStyle name="Normal 10 4 3 2 2 2 2 2" xfId="15873"/>
    <cellStyle name="Normal 10 4 3 2 2 2 2 2 2" xfId="35756"/>
    <cellStyle name="Normal 10 4 3 2 2 2 2 3" xfId="22025"/>
    <cellStyle name="Normal 10 4 3 2 2 2 2 3 2" xfId="41908"/>
    <cellStyle name="Normal 10 4 3 2 2 2 2 4" xfId="29603"/>
    <cellStyle name="Normal 10 4 3 2 2 2 3" xfId="12807"/>
    <cellStyle name="Normal 10 4 3 2 2 2 3 2" xfId="32690"/>
    <cellStyle name="Normal 10 4 3 2 2 2 4" xfId="18959"/>
    <cellStyle name="Normal 10 4 3 2 2 2 4 2" xfId="38842"/>
    <cellStyle name="Normal 10 4 3 2 2 2 5" xfId="26537"/>
    <cellStyle name="Normal 10 4 3 2 2 3" xfId="8145"/>
    <cellStyle name="Normal 10 4 3 2 2 3 2" xfId="14339"/>
    <cellStyle name="Normal 10 4 3 2 2 3 2 2" xfId="34222"/>
    <cellStyle name="Normal 10 4 3 2 2 3 3" xfId="20491"/>
    <cellStyle name="Normal 10 4 3 2 2 3 3 2" xfId="40374"/>
    <cellStyle name="Normal 10 4 3 2 2 3 4" xfId="28069"/>
    <cellStyle name="Normal 10 4 3 2 2 4" xfId="11273"/>
    <cellStyle name="Normal 10 4 3 2 2 4 2" xfId="31156"/>
    <cellStyle name="Normal 10 4 3 2 2 5" xfId="17425"/>
    <cellStyle name="Normal 10 4 3 2 2 5 2" xfId="37308"/>
    <cellStyle name="Normal 10 4 3 2 2 6" xfId="25003"/>
    <cellStyle name="Normal 10 4 3 2 3" xfId="5811"/>
    <cellStyle name="Normal 10 4 3 2 3 2" xfId="8911"/>
    <cellStyle name="Normal 10 4 3 2 3 2 2" xfId="15104"/>
    <cellStyle name="Normal 10 4 3 2 3 2 2 2" xfId="34987"/>
    <cellStyle name="Normal 10 4 3 2 3 2 3" xfId="21256"/>
    <cellStyle name="Normal 10 4 3 2 3 2 3 2" xfId="41139"/>
    <cellStyle name="Normal 10 4 3 2 3 2 4" xfId="28834"/>
    <cellStyle name="Normal 10 4 3 2 3 3" xfId="12038"/>
    <cellStyle name="Normal 10 4 3 2 3 3 2" xfId="31921"/>
    <cellStyle name="Normal 10 4 3 2 3 4" xfId="18190"/>
    <cellStyle name="Normal 10 4 3 2 3 4 2" xfId="38073"/>
    <cellStyle name="Normal 10 4 3 2 3 5" xfId="25768"/>
    <cellStyle name="Normal 10 4 3 2 4" xfId="7376"/>
    <cellStyle name="Normal 10 4 3 2 4 2" xfId="13570"/>
    <cellStyle name="Normal 10 4 3 2 4 2 2" xfId="33453"/>
    <cellStyle name="Normal 10 4 3 2 4 3" xfId="19722"/>
    <cellStyle name="Normal 10 4 3 2 4 3 2" xfId="39605"/>
    <cellStyle name="Normal 10 4 3 2 4 4" xfId="27300"/>
    <cellStyle name="Normal 10 4 3 2 5" xfId="10504"/>
    <cellStyle name="Normal 10 4 3 2 5 2" xfId="30387"/>
    <cellStyle name="Normal 10 4 3 2 6" xfId="16656"/>
    <cellStyle name="Normal 10 4 3 2 6 2" xfId="36539"/>
    <cellStyle name="Normal 10 4 3 2 7" xfId="24234"/>
    <cellStyle name="Normal 10 4 3 3" xfId="4968"/>
    <cellStyle name="Normal 10 4 3 3 2" xfId="6593"/>
    <cellStyle name="Normal 10 4 3 3 2 2" xfId="9679"/>
    <cellStyle name="Normal 10 4 3 3 2 2 2" xfId="15872"/>
    <cellStyle name="Normal 10 4 3 3 2 2 2 2" xfId="35755"/>
    <cellStyle name="Normal 10 4 3 3 2 2 3" xfId="22024"/>
    <cellStyle name="Normal 10 4 3 3 2 2 3 2" xfId="41907"/>
    <cellStyle name="Normal 10 4 3 3 2 2 4" xfId="29602"/>
    <cellStyle name="Normal 10 4 3 3 2 3" xfId="12806"/>
    <cellStyle name="Normal 10 4 3 3 2 3 2" xfId="32689"/>
    <cellStyle name="Normal 10 4 3 3 2 4" xfId="18958"/>
    <cellStyle name="Normal 10 4 3 3 2 4 2" xfId="38841"/>
    <cellStyle name="Normal 10 4 3 3 2 5" xfId="26536"/>
    <cellStyle name="Normal 10 4 3 3 3" xfId="8144"/>
    <cellStyle name="Normal 10 4 3 3 3 2" xfId="14338"/>
    <cellStyle name="Normal 10 4 3 3 3 2 2" xfId="34221"/>
    <cellStyle name="Normal 10 4 3 3 3 3" xfId="20490"/>
    <cellStyle name="Normal 10 4 3 3 3 3 2" xfId="40373"/>
    <cellStyle name="Normal 10 4 3 3 3 4" xfId="28068"/>
    <cellStyle name="Normal 10 4 3 3 4" xfId="11272"/>
    <cellStyle name="Normal 10 4 3 3 4 2" xfId="31155"/>
    <cellStyle name="Normal 10 4 3 3 5" xfId="17424"/>
    <cellStyle name="Normal 10 4 3 3 5 2" xfId="37307"/>
    <cellStyle name="Normal 10 4 3 3 6" xfId="25002"/>
    <cellStyle name="Normal 10 4 3 4" xfId="5810"/>
    <cellStyle name="Normal 10 4 3 4 2" xfId="8910"/>
    <cellStyle name="Normal 10 4 3 4 2 2" xfId="15103"/>
    <cellStyle name="Normal 10 4 3 4 2 2 2" xfId="34986"/>
    <cellStyle name="Normal 10 4 3 4 2 3" xfId="21255"/>
    <cellStyle name="Normal 10 4 3 4 2 3 2" xfId="41138"/>
    <cellStyle name="Normal 10 4 3 4 2 4" xfId="28833"/>
    <cellStyle name="Normal 10 4 3 4 3" xfId="12037"/>
    <cellStyle name="Normal 10 4 3 4 3 2" xfId="31920"/>
    <cellStyle name="Normal 10 4 3 4 4" xfId="18189"/>
    <cellStyle name="Normal 10 4 3 4 4 2" xfId="38072"/>
    <cellStyle name="Normal 10 4 3 4 5" xfId="25767"/>
    <cellStyle name="Normal 10 4 3 5" xfId="7375"/>
    <cellStyle name="Normal 10 4 3 5 2" xfId="13569"/>
    <cellStyle name="Normal 10 4 3 5 2 2" xfId="33452"/>
    <cellStyle name="Normal 10 4 3 5 3" xfId="19721"/>
    <cellStyle name="Normal 10 4 3 5 3 2" xfId="39604"/>
    <cellStyle name="Normal 10 4 3 5 4" xfId="27299"/>
    <cellStyle name="Normal 10 4 3 6" xfId="10503"/>
    <cellStyle name="Normal 10 4 3 6 2" xfId="30386"/>
    <cellStyle name="Normal 10 4 3 7" xfId="16655"/>
    <cellStyle name="Normal 10 4 3 7 2" xfId="36538"/>
    <cellStyle name="Normal 10 4 3 8" xfId="24233"/>
    <cellStyle name="Normal 10 4 4" xfId="3438"/>
    <cellStyle name="Normal 10 4 4 2" xfId="4970"/>
    <cellStyle name="Normal 10 4 4 2 2" xfId="6595"/>
    <cellStyle name="Normal 10 4 4 2 2 2" xfId="9681"/>
    <cellStyle name="Normal 10 4 4 2 2 2 2" xfId="15874"/>
    <cellStyle name="Normal 10 4 4 2 2 2 2 2" xfId="35757"/>
    <cellStyle name="Normal 10 4 4 2 2 2 3" xfId="22026"/>
    <cellStyle name="Normal 10 4 4 2 2 2 3 2" xfId="41909"/>
    <cellStyle name="Normal 10 4 4 2 2 2 4" xfId="29604"/>
    <cellStyle name="Normal 10 4 4 2 2 3" xfId="12808"/>
    <cellStyle name="Normal 10 4 4 2 2 3 2" xfId="32691"/>
    <cellStyle name="Normal 10 4 4 2 2 4" xfId="18960"/>
    <cellStyle name="Normal 10 4 4 2 2 4 2" xfId="38843"/>
    <cellStyle name="Normal 10 4 4 2 2 5" xfId="26538"/>
    <cellStyle name="Normal 10 4 4 2 3" xfId="8146"/>
    <cellStyle name="Normal 10 4 4 2 3 2" xfId="14340"/>
    <cellStyle name="Normal 10 4 4 2 3 2 2" xfId="34223"/>
    <cellStyle name="Normal 10 4 4 2 3 3" xfId="20492"/>
    <cellStyle name="Normal 10 4 4 2 3 3 2" xfId="40375"/>
    <cellStyle name="Normal 10 4 4 2 3 4" xfId="28070"/>
    <cellStyle name="Normal 10 4 4 2 4" xfId="11274"/>
    <cellStyle name="Normal 10 4 4 2 4 2" xfId="31157"/>
    <cellStyle name="Normal 10 4 4 2 5" xfId="17426"/>
    <cellStyle name="Normal 10 4 4 2 5 2" xfId="37309"/>
    <cellStyle name="Normal 10 4 4 2 6" xfId="25004"/>
    <cellStyle name="Normal 10 4 4 3" xfId="5812"/>
    <cellStyle name="Normal 10 4 4 3 2" xfId="8912"/>
    <cellStyle name="Normal 10 4 4 3 2 2" xfId="15105"/>
    <cellStyle name="Normal 10 4 4 3 2 2 2" xfId="34988"/>
    <cellStyle name="Normal 10 4 4 3 2 3" xfId="21257"/>
    <cellStyle name="Normal 10 4 4 3 2 3 2" xfId="41140"/>
    <cellStyle name="Normal 10 4 4 3 2 4" xfId="28835"/>
    <cellStyle name="Normal 10 4 4 3 3" xfId="12039"/>
    <cellStyle name="Normal 10 4 4 3 3 2" xfId="31922"/>
    <cellStyle name="Normal 10 4 4 3 4" xfId="18191"/>
    <cellStyle name="Normal 10 4 4 3 4 2" xfId="38074"/>
    <cellStyle name="Normal 10 4 4 3 5" xfId="25769"/>
    <cellStyle name="Normal 10 4 4 4" xfId="7377"/>
    <cellStyle name="Normal 10 4 4 4 2" xfId="13571"/>
    <cellStyle name="Normal 10 4 4 4 2 2" xfId="33454"/>
    <cellStyle name="Normal 10 4 4 4 3" xfId="19723"/>
    <cellStyle name="Normal 10 4 4 4 3 2" xfId="39606"/>
    <cellStyle name="Normal 10 4 4 4 4" xfId="27301"/>
    <cellStyle name="Normal 10 4 4 5" xfId="10505"/>
    <cellStyle name="Normal 10 4 4 5 2" xfId="30388"/>
    <cellStyle name="Normal 10 4 4 6" xfId="16657"/>
    <cellStyle name="Normal 10 4 4 6 2" xfId="36540"/>
    <cellStyle name="Normal 10 4 4 7" xfId="24235"/>
    <cellStyle name="Normal 10 4 5" xfId="4965"/>
    <cellStyle name="Normal 10 4 5 2" xfId="6590"/>
    <cellStyle name="Normal 10 4 5 2 2" xfId="9676"/>
    <cellStyle name="Normal 10 4 5 2 2 2" xfId="15869"/>
    <cellStyle name="Normal 10 4 5 2 2 2 2" xfId="35752"/>
    <cellStyle name="Normal 10 4 5 2 2 3" xfId="22021"/>
    <cellStyle name="Normal 10 4 5 2 2 3 2" xfId="41904"/>
    <cellStyle name="Normal 10 4 5 2 2 4" xfId="29599"/>
    <cellStyle name="Normal 10 4 5 2 3" xfId="12803"/>
    <cellStyle name="Normal 10 4 5 2 3 2" xfId="32686"/>
    <cellStyle name="Normal 10 4 5 2 4" xfId="18955"/>
    <cellStyle name="Normal 10 4 5 2 4 2" xfId="38838"/>
    <cellStyle name="Normal 10 4 5 2 5" xfId="26533"/>
    <cellStyle name="Normal 10 4 5 3" xfId="8141"/>
    <cellStyle name="Normal 10 4 5 3 2" xfId="14335"/>
    <cellStyle name="Normal 10 4 5 3 2 2" xfId="34218"/>
    <cellStyle name="Normal 10 4 5 3 3" xfId="20487"/>
    <cellStyle name="Normal 10 4 5 3 3 2" xfId="40370"/>
    <cellStyle name="Normal 10 4 5 3 4" xfId="28065"/>
    <cellStyle name="Normal 10 4 5 4" xfId="11269"/>
    <cellStyle name="Normal 10 4 5 4 2" xfId="31152"/>
    <cellStyle name="Normal 10 4 5 5" xfId="17421"/>
    <cellStyle name="Normal 10 4 5 5 2" xfId="37304"/>
    <cellStyle name="Normal 10 4 5 6" xfId="24999"/>
    <cellStyle name="Normal 10 4 6" xfId="5807"/>
    <cellStyle name="Normal 10 4 6 2" xfId="8907"/>
    <cellStyle name="Normal 10 4 6 2 2" xfId="15100"/>
    <cellStyle name="Normal 10 4 6 2 2 2" xfId="34983"/>
    <cellStyle name="Normal 10 4 6 2 3" xfId="21252"/>
    <cellStyle name="Normal 10 4 6 2 3 2" xfId="41135"/>
    <cellStyle name="Normal 10 4 6 2 4" xfId="28830"/>
    <cellStyle name="Normal 10 4 6 3" xfId="12034"/>
    <cellStyle name="Normal 10 4 6 3 2" xfId="31917"/>
    <cellStyle name="Normal 10 4 6 4" xfId="18186"/>
    <cellStyle name="Normal 10 4 6 4 2" xfId="38069"/>
    <cellStyle name="Normal 10 4 6 5" xfId="25764"/>
    <cellStyle name="Normal 10 4 7" xfId="7372"/>
    <cellStyle name="Normal 10 4 7 2" xfId="13566"/>
    <cellStyle name="Normal 10 4 7 2 2" xfId="33449"/>
    <cellStyle name="Normal 10 4 7 3" xfId="19718"/>
    <cellStyle name="Normal 10 4 7 3 2" xfId="39601"/>
    <cellStyle name="Normal 10 4 7 4" xfId="27296"/>
    <cellStyle name="Normal 10 4 8" xfId="10500"/>
    <cellStyle name="Normal 10 4 8 2" xfId="30383"/>
    <cellStyle name="Normal 10 4 9" xfId="16652"/>
    <cellStyle name="Normal 10 4 9 2" xfId="36535"/>
    <cellStyle name="Normal 10 5" xfId="107"/>
    <cellStyle name="Normal 10 5 10" xfId="3439"/>
    <cellStyle name="Normal 10 5 10 2" xfId="24236"/>
    <cellStyle name="Normal 10 5 11" xfId="23210"/>
    <cellStyle name="Normal 10 5 12" xfId="23355"/>
    <cellStyle name="Normal 10 5 2" xfId="3440"/>
    <cellStyle name="Normal 10 5 2 2" xfId="3441"/>
    <cellStyle name="Normal 10 5 2 2 2" xfId="4973"/>
    <cellStyle name="Normal 10 5 2 2 2 2" xfId="6598"/>
    <cellStyle name="Normal 10 5 2 2 2 2 2" xfId="9684"/>
    <cellStyle name="Normal 10 5 2 2 2 2 2 2" xfId="15877"/>
    <cellStyle name="Normal 10 5 2 2 2 2 2 2 2" xfId="35760"/>
    <cellStyle name="Normal 10 5 2 2 2 2 2 3" xfId="22029"/>
    <cellStyle name="Normal 10 5 2 2 2 2 2 3 2" xfId="41912"/>
    <cellStyle name="Normal 10 5 2 2 2 2 2 4" xfId="29607"/>
    <cellStyle name="Normal 10 5 2 2 2 2 3" xfId="12811"/>
    <cellStyle name="Normal 10 5 2 2 2 2 3 2" xfId="32694"/>
    <cellStyle name="Normal 10 5 2 2 2 2 4" xfId="18963"/>
    <cellStyle name="Normal 10 5 2 2 2 2 4 2" xfId="38846"/>
    <cellStyle name="Normal 10 5 2 2 2 2 5" xfId="26541"/>
    <cellStyle name="Normal 10 5 2 2 2 3" xfId="8149"/>
    <cellStyle name="Normal 10 5 2 2 2 3 2" xfId="14343"/>
    <cellStyle name="Normal 10 5 2 2 2 3 2 2" xfId="34226"/>
    <cellStyle name="Normal 10 5 2 2 2 3 3" xfId="20495"/>
    <cellStyle name="Normal 10 5 2 2 2 3 3 2" xfId="40378"/>
    <cellStyle name="Normal 10 5 2 2 2 3 4" xfId="28073"/>
    <cellStyle name="Normal 10 5 2 2 2 4" xfId="11277"/>
    <cellStyle name="Normal 10 5 2 2 2 4 2" xfId="31160"/>
    <cellStyle name="Normal 10 5 2 2 2 5" xfId="17429"/>
    <cellStyle name="Normal 10 5 2 2 2 5 2" xfId="37312"/>
    <cellStyle name="Normal 10 5 2 2 2 6" xfId="25007"/>
    <cellStyle name="Normal 10 5 2 2 3" xfId="5815"/>
    <cellStyle name="Normal 10 5 2 2 3 2" xfId="8915"/>
    <cellStyle name="Normal 10 5 2 2 3 2 2" xfId="15108"/>
    <cellStyle name="Normal 10 5 2 2 3 2 2 2" xfId="34991"/>
    <cellStyle name="Normal 10 5 2 2 3 2 3" xfId="21260"/>
    <cellStyle name="Normal 10 5 2 2 3 2 3 2" xfId="41143"/>
    <cellStyle name="Normal 10 5 2 2 3 2 4" xfId="28838"/>
    <cellStyle name="Normal 10 5 2 2 3 3" xfId="12042"/>
    <cellStyle name="Normal 10 5 2 2 3 3 2" xfId="31925"/>
    <cellStyle name="Normal 10 5 2 2 3 4" xfId="18194"/>
    <cellStyle name="Normal 10 5 2 2 3 4 2" xfId="38077"/>
    <cellStyle name="Normal 10 5 2 2 3 5" xfId="25772"/>
    <cellStyle name="Normal 10 5 2 2 4" xfId="7380"/>
    <cellStyle name="Normal 10 5 2 2 4 2" xfId="13574"/>
    <cellStyle name="Normal 10 5 2 2 4 2 2" xfId="33457"/>
    <cellStyle name="Normal 10 5 2 2 4 3" xfId="19726"/>
    <cellStyle name="Normal 10 5 2 2 4 3 2" xfId="39609"/>
    <cellStyle name="Normal 10 5 2 2 4 4" xfId="27304"/>
    <cellStyle name="Normal 10 5 2 2 5" xfId="10508"/>
    <cellStyle name="Normal 10 5 2 2 5 2" xfId="30391"/>
    <cellStyle name="Normal 10 5 2 2 6" xfId="16660"/>
    <cellStyle name="Normal 10 5 2 2 6 2" xfId="36543"/>
    <cellStyle name="Normal 10 5 2 2 7" xfId="24238"/>
    <cellStyle name="Normal 10 5 2 3" xfId="4972"/>
    <cellStyle name="Normal 10 5 2 3 2" xfId="6597"/>
    <cellStyle name="Normal 10 5 2 3 2 2" xfId="9683"/>
    <cellStyle name="Normal 10 5 2 3 2 2 2" xfId="15876"/>
    <cellStyle name="Normal 10 5 2 3 2 2 2 2" xfId="35759"/>
    <cellStyle name="Normal 10 5 2 3 2 2 3" xfId="22028"/>
    <cellStyle name="Normal 10 5 2 3 2 2 3 2" xfId="41911"/>
    <cellStyle name="Normal 10 5 2 3 2 2 4" xfId="29606"/>
    <cellStyle name="Normal 10 5 2 3 2 3" xfId="12810"/>
    <cellStyle name="Normal 10 5 2 3 2 3 2" xfId="32693"/>
    <cellStyle name="Normal 10 5 2 3 2 4" xfId="18962"/>
    <cellStyle name="Normal 10 5 2 3 2 4 2" xfId="38845"/>
    <cellStyle name="Normal 10 5 2 3 2 5" xfId="26540"/>
    <cellStyle name="Normal 10 5 2 3 3" xfId="8148"/>
    <cellStyle name="Normal 10 5 2 3 3 2" xfId="14342"/>
    <cellStyle name="Normal 10 5 2 3 3 2 2" xfId="34225"/>
    <cellStyle name="Normal 10 5 2 3 3 3" xfId="20494"/>
    <cellStyle name="Normal 10 5 2 3 3 3 2" xfId="40377"/>
    <cellStyle name="Normal 10 5 2 3 3 4" xfId="28072"/>
    <cellStyle name="Normal 10 5 2 3 4" xfId="11276"/>
    <cellStyle name="Normal 10 5 2 3 4 2" xfId="31159"/>
    <cellStyle name="Normal 10 5 2 3 5" xfId="17428"/>
    <cellStyle name="Normal 10 5 2 3 5 2" xfId="37311"/>
    <cellStyle name="Normal 10 5 2 3 6" xfId="25006"/>
    <cellStyle name="Normal 10 5 2 4" xfId="5814"/>
    <cellStyle name="Normal 10 5 2 4 2" xfId="8914"/>
    <cellStyle name="Normal 10 5 2 4 2 2" xfId="15107"/>
    <cellStyle name="Normal 10 5 2 4 2 2 2" xfId="34990"/>
    <cellStyle name="Normal 10 5 2 4 2 3" xfId="21259"/>
    <cellStyle name="Normal 10 5 2 4 2 3 2" xfId="41142"/>
    <cellStyle name="Normal 10 5 2 4 2 4" xfId="28837"/>
    <cellStyle name="Normal 10 5 2 4 3" xfId="12041"/>
    <cellStyle name="Normal 10 5 2 4 3 2" xfId="31924"/>
    <cellStyle name="Normal 10 5 2 4 4" xfId="18193"/>
    <cellStyle name="Normal 10 5 2 4 4 2" xfId="38076"/>
    <cellStyle name="Normal 10 5 2 4 5" xfId="25771"/>
    <cellStyle name="Normal 10 5 2 5" xfId="7379"/>
    <cellStyle name="Normal 10 5 2 5 2" xfId="13573"/>
    <cellStyle name="Normal 10 5 2 5 2 2" xfId="33456"/>
    <cellStyle name="Normal 10 5 2 5 3" xfId="19725"/>
    <cellStyle name="Normal 10 5 2 5 3 2" xfId="39608"/>
    <cellStyle name="Normal 10 5 2 5 4" xfId="27303"/>
    <cellStyle name="Normal 10 5 2 6" xfId="10507"/>
    <cellStyle name="Normal 10 5 2 6 2" xfId="30390"/>
    <cellStyle name="Normal 10 5 2 7" xfId="16659"/>
    <cellStyle name="Normal 10 5 2 7 2" xfId="36542"/>
    <cellStyle name="Normal 10 5 2 8" xfId="24237"/>
    <cellStyle name="Normal 10 5 3" xfId="3442"/>
    <cellStyle name="Normal 10 5 3 2" xfId="3443"/>
    <cellStyle name="Normal 10 5 3 2 2" xfId="4975"/>
    <cellStyle name="Normal 10 5 3 2 2 2" xfId="6600"/>
    <cellStyle name="Normal 10 5 3 2 2 2 2" xfId="9686"/>
    <cellStyle name="Normal 10 5 3 2 2 2 2 2" xfId="15879"/>
    <cellStyle name="Normal 10 5 3 2 2 2 2 2 2" xfId="35762"/>
    <cellStyle name="Normal 10 5 3 2 2 2 2 3" xfId="22031"/>
    <cellStyle name="Normal 10 5 3 2 2 2 2 3 2" xfId="41914"/>
    <cellStyle name="Normal 10 5 3 2 2 2 2 4" xfId="29609"/>
    <cellStyle name="Normal 10 5 3 2 2 2 3" xfId="12813"/>
    <cellStyle name="Normal 10 5 3 2 2 2 3 2" xfId="32696"/>
    <cellStyle name="Normal 10 5 3 2 2 2 4" xfId="18965"/>
    <cellStyle name="Normal 10 5 3 2 2 2 4 2" xfId="38848"/>
    <cellStyle name="Normal 10 5 3 2 2 2 5" xfId="26543"/>
    <cellStyle name="Normal 10 5 3 2 2 3" xfId="8151"/>
    <cellStyle name="Normal 10 5 3 2 2 3 2" xfId="14345"/>
    <cellStyle name="Normal 10 5 3 2 2 3 2 2" xfId="34228"/>
    <cellStyle name="Normal 10 5 3 2 2 3 3" xfId="20497"/>
    <cellStyle name="Normal 10 5 3 2 2 3 3 2" xfId="40380"/>
    <cellStyle name="Normal 10 5 3 2 2 3 4" xfId="28075"/>
    <cellStyle name="Normal 10 5 3 2 2 4" xfId="11279"/>
    <cellStyle name="Normal 10 5 3 2 2 4 2" xfId="31162"/>
    <cellStyle name="Normal 10 5 3 2 2 5" xfId="17431"/>
    <cellStyle name="Normal 10 5 3 2 2 5 2" xfId="37314"/>
    <cellStyle name="Normal 10 5 3 2 2 6" xfId="25009"/>
    <cellStyle name="Normal 10 5 3 2 3" xfId="5817"/>
    <cellStyle name="Normal 10 5 3 2 3 2" xfId="8917"/>
    <cellStyle name="Normal 10 5 3 2 3 2 2" xfId="15110"/>
    <cellStyle name="Normal 10 5 3 2 3 2 2 2" xfId="34993"/>
    <cellStyle name="Normal 10 5 3 2 3 2 3" xfId="21262"/>
    <cellStyle name="Normal 10 5 3 2 3 2 3 2" xfId="41145"/>
    <cellStyle name="Normal 10 5 3 2 3 2 4" xfId="28840"/>
    <cellStyle name="Normal 10 5 3 2 3 3" xfId="12044"/>
    <cellStyle name="Normal 10 5 3 2 3 3 2" xfId="31927"/>
    <cellStyle name="Normal 10 5 3 2 3 4" xfId="18196"/>
    <cellStyle name="Normal 10 5 3 2 3 4 2" xfId="38079"/>
    <cellStyle name="Normal 10 5 3 2 3 5" xfId="25774"/>
    <cellStyle name="Normal 10 5 3 2 4" xfId="7382"/>
    <cellStyle name="Normal 10 5 3 2 4 2" xfId="13576"/>
    <cellStyle name="Normal 10 5 3 2 4 2 2" xfId="33459"/>
    <cellStyle name="Normal 10 5 3 2 4 3" xfId="19728"/>
    <cellStyle name="Normal 10 5 3 2 4 3 2" xfId="39611"/>
    <cellStyle name="Normal 10 5 3 2 4 4" xfId="27306"/>
    <cellStyle name="Normal 10 5 3 2 5" xfId="10510"/>
    <cellStyle name="Normal 10 5 3 2 5 2" xfId="30393"/>
    <cellStyle name="Normal 10 5 3 2 6" xfId="16662"/>
    <cellStyle name="Normal 10 5 3 2 6 2" xfId="36545"/>
    <cellStyle name="Normal 10 5 3 2 7" xfId="24240"/>
    <cellStyle name="Normal 10 5 3 3" xfId="4974"/>
    <cellStyle name="Normal 10 5 3 3 2" xfId="6599"/>
    <cellStyle name="Normal 10 5 3 3 2 2" xfId="9685"/>
    <cellStyle name="Normal 10 5 3 3 2 2 2" xfId="15878"/>
    <cellStyle name="Normal 10 5 3 3 2 2 2 2" xfId="35761"/>
    <cellStyle name="Normal 10 5 3 3 2 2 3" xfId="22030"/>
    <cellStyle name="Normal 10 5 3 3 2 2 3 2" xfId="41913"/>
    <cellStyle name="Normal 10 5 3 3 2 2 4" xfId="29608"/>
    <cellStyle name="Normal 10 5 3 3 2 3" xfId="12812"/>
    <cellStyle name="Normal 10 5 3 3 2 3 2" xfId="32695"/>
    <cellStyle name="Normal 10 5 3 3 2 4" xfId="18964"/>
    <cellStyle name="Normal 10 5 3 3 2 4 2" xfId="38847"/>
    <cellStyle name="Normal 10 5 3 3 2 5" xfId="26542"/>
    <cellStyle name="Normal 10 5 3 3 3" xfId="8150"/>
    <cellStyle name="Normal 10 5 3 3 3 2" xfId="14344"/>
    <cellStyle name="Normal 10 5 3 3 3 2 2" xfId="34227"/>
    <cellStyle name="Normal 10 5 3 3 3 3" xfId="20496"/>
    <cellStyle name="Normal 10 5 3 3 3 3 2" xfId="40379"/>
    <cellStyle name="Normal 10 5 3 3 3 4" xfId="28074"/>
    <cellStyle name="Normal 10 5 3 3 4" xfId="11278"/>
    <cellStyle name="Normal 10 5 3 3 4 2" xfId="31161"/>
    <cellStyle name="Normal 10 5 3 3 5" xfId="17430"/>
    <cellStyle name="Normal 10 5 3 3 5 2" xfId="37313"/>
    <cellStyle name="Normal 10 5 3 3 6" xfId="25008"/>
    <cellStyle name="Normal 10 5 3 4" xfId="5816"/>
    <cellStyle name="Normal 10 5 3 4 2" xfId="8916"/>
    <cellStyle name="Normal 10 5 3 4 2 2" xfId="15109"/>
    <cellStyle name="Normal 10 5 3 4 2 2 2" xfId="34992"/>
    <cellStyle name="Normal 10 5 3 4 2 3" xfId="21261"/>
    <cellStyle name="Normal 10 5 3 4 2 3 2" xfId="41144"/>
    <cellStyle name="Normal 10 5 3 4 2 4" xfId="28839"/>
    <cellStyle name="Normal 10 5 3 4 3" xfId="12043"/>
    <cellStyle name="Normal 10 5 3 4 3 2" xfId="31926"/>
    <cellStyle name="Normal 10 5 3 4 4" xfId="18195"/>
    <cellStyle name="Normal 10 5 3 4 4 2" xfId="38078"/>
    <cellStyle name="Normal 10 5 3 4 5" xfId="25773"/>
    <cellStyle name="Normal 10 5 3 5" xfId="7381"/>
    <cellStyle name="Normal 10 5 3 5 2" xfId="13575"/>
    <cellStyle name="Normal 10 5 3 5 2 2" xfId="33458"/>
    <cellStyle name="Normal 10 5 3 5 3" xfId="19727"/>
    <cellStyle name="Normal 10 5 3 5 3 2" xfId="39610"/>
    <cellStyle name="Normal 10 5 3 5 4" xfId="27305"/>
    <cellStyle name="Normal 10 5 3 6" xfId="10509"/>
    <cellStyle name="Normal 10 5 3 6 2" xfId="30392"/>
    <cellStyle name="Normal 10 5 3 7" xfId="16661"/>
    <cellStyle name="Normal 10 5 3 7 2" xfId="36544"/>
    <cellStyle name="Normal 10 5 3 8" xfId="24239"/>
    <cellStyle name="Normal 10 5 4" xfId="3444"/>
    <cellStyle name="Normal 10 5 4 2" xfId="4976"/>
    <cellStyle name="Normal 10 5 4 2 2" xfId="6601"/>
    <cellStyle name="Normal 10 5 4 2 2 2" xfId="9687"/>
    <cellStyle name="Normal 10 5 4 2 2 2 2" xfId="15880"/>
    <cellStyle name="Normal 10 5 4 2 2 2 2 2" xfId="35763"/>
    <cellStyle name="Normal 10 5 4 2 2 2 3" xfId="22032"/>
    <cellStyle name="Normal 10 5 4 2 2 2 3 2" xfId="41915"/>
    <cellStyle name="Normal 10 5 4 2 2 2 4" xfId="29610"/>
    <cellStyle name="Normal 10 5 4 2 2 3" xfId="12814"/>
    <cellStyle name="Normal 10 5 4 2 2 3 2" xfId="32697"/>
    <cellStyle name="Normal 10 5 4 2 2 4" xfId="18966"/>
    <cellStyle name="Normal 10 5 4 2 2 4 2" xfId="38849"/>
    <cellStyle name="Normal 10 5 4 2 2 5" xfId="26544"/>
    <cellStyle name="Normal 10 5 4 2 3" xfId="8152"/>
    <cellStyle name="Normal 10 5 4 2 3 2" xfId="14346"/>
    <cellStyle name="Normal 10 5 4 2 3 2 2" xfId="34229"/>
    <cellStyle name="Normal 10 5 4 2 3 3" xfId="20498"/>
    <cellStyle name="Normal 10 5 4 2 3 3 2" xfId="40381"/>
    <cellStyle name="Normal 10 5 4 2 3 4" xfId="28076"/>
    <cellStyle name="Normal 10 5 4 2 4" xfId="11280"/>
    <cellStyle name="Normal 10 5 4 2 4 2" xfId="31163"/>
    <cellStyle name="Normal 10 5 4 2 5" xfId="17432"/>
    <cellStyle name="Normal 10 5 4 2 5 2" xfId="37315"/>
    <cellStyle name="Normal 10 5 4 2 6" xfId="25010"/>
    <cellStyle name="Normal 10 5 4 3" xfId="5818"/>
    <cellStyle name="Normal 10 5 4 3 2" xfId="8918"/>
    <cellStyle name="Normal 10 5 4 3 2 2" xfId="15111"/>
    <cellStyle name="Normal 10 5 4 3 2 2 2" xfId="34994"/>
    <cellStyle name="Normal 10 5 4 3 2 3" xfId="21263"/>
    <cellStyle name="Normal 10 5 4 3 2 3 2" xfId="41146"/>
    <cellStyle name="Normal 10 5 4 3 2 4" xfId="28841"/>
    <cellStyle name="Normal 10 5 4 3 3" xfId="12045"/>
    <cellStyle name="Normal 10 5 4 3 3 2" xfId="31928"/>
    <cellStyle name="Normal 10 5 4 3 4" xfId="18197"/>
    <cellStyle name="Normal 10 5 4 3 4 2" xfId="38080"/>
    <cellStyle name="Normal 10 5 4 3 5" xfId="25775"/>
    <cellStyle name="Normal 10 5 4 4" xfId="7383"/>
    <cellStyle name="Normal 10 5 4 4 2" xfId="13577"/>
    <cellStyle name="Normal 10 5 4 4 2 2" xfId="33460"/>
    <cellStyle name="Normal 10 5 4 4 3" xfId="19729"/>
    <cellStyle name="Normal 10 5 4 4 3 2" xfId="39612"/>
    <cellStyle name="Normal 10 5 4 4 4" xfId="27307"/>
    <cellStyle name="Normal 10 5 4 5" xfId="10511"/>
    <cellStyle name="Normal 10 5 4 5 2" xfId="30394"/>
    <cellStyle name="Normal 10 5 4 6" xfId="16663"/>
    <cellStyle name="Normal 10 5 4 6 2" xfId="36546"/>
    <cellStyle name="Normal 10 5 4 7" xfId="24241"/>
    <cellStyle name="Normal 10 5 5" xfId="4971"/>
    <cellStyle name="Normal 10 5 5 2" xfId="6596"/>
    <cellStyle name="Normal 10 5 5 2 2" xfId="9682"/>
    <cellStyle name="Normal 10 5 5 2 2 2" xfId="15875"/>
    <cellStyle name="Normal 10 5 5 2 2 2 2" xfId="35758"/>
    <cellStyle name="Normal 10 5 5 2 2 3" xfId="22027"/>
    <cellStyle name="Normal 10 5 5 2 2 3 2" xfId="41910"/>
    <cellStyle name="Normal 10 5 5 2 2 4" xfId="29605"/>
    <cellStyle name="Normal 10 5 5 2 3" xfId="12809"/>
    <cellStyle name="Normal 10 5 5 2 3 2" xfId="32692"/>
    <cellStyle name="Normal 10 5 5 2 4" xfId="18961"/>
    <cellStyle name="Normal 10 5 5 2 4 2" xfId="38844"/>
    <cellStyle name="Normal 10 5 5 2 5" xfId="26539"/>
    <cellStyle name="Normal 10 5 5 3" xfId="8147"/>
    <cellStyle name="Normal 10 5 5 3 2" xfId="14341"/>
    <cellStyle name="Normal 10 5 5 3 2 2" xfId="34224"/>
    <cellStyle name="Normal 10 5 5 3 3" xfId="20493"/>
    <cellStyle name="Normal 10 5 5 3 3 2" xfId="40376"/>
    <cellStyle name="Normal 10 5 5 3 4" xfId="28071"/>
    <cellStyle name="Normal 10 5 5 4" xfId="11275"/>
    <cellStyle name="Normal 10 5 5 4 2" xfId="31158"/>
    <cellStyle name="Normal 10 5 5 5" xfId="17427"/>
    <cellStyle name="Normal 10 5 5 5 2" xfId="37310"/>
    <cellStyle name="Normal 10 5 5 6" xfId="25005"/>
    <cellStyle name="Normal 10 5 6" xfId="5813"/>
    <cellStyle name="Normal 10 5 6 2" xfId="8913"/>
    <cellStyle name="Normal 10 5 6 2 2" xfId="15106"/>
    <cellStyle name="Normal 10 5 6 2 2 2" xfId="34989"/>
    <cellStyle name="Normal 10 5 6 2 3" xfId="21258"/>
    <cellStyle name="Normal 10 5 6 2 3 2" xfId="41141"/>
    <cellStyle name="Normal 10 5 6 2 4" xfId="28836"/>
    <cellStyle name="Normal 10 5 6 3" xfId="12040"/>
    <cellStyle name="Normal 10 5 6 3 2" xfId="31923"/>
    <cellStyle name="Normal 10 5 6 4" xfId="18192"/>
    <cellStyle name="Normal 10 5 6 4 2" xfId="38075"/>
    <cellStyle name="Normal 10 5 6 5" xfId="25770"/>
    <cellStyle name="Normal 10 5 7" xfId="7378"/>
    <cellStyle name="Normal 10 5 7 2" xfId="13572"/>
    <cellStyle name="Normal 10 5 7 2 2" xfId="33455"/>
    <cellStyle name="Normal 10 5 7 3" xfId="19724"/>
    <cellStyle name="Normal 10 5 7 3 2" xfId="39607"/>
    <cellStyle name="Normal 10 5 7 4" xfId="27302"/>
    <cellStyle name="Normal 10 5 8" xfId="10506"/>
    <cellStyle name="Normal 10 5 8 2" xfId="30389"/>
    <cellStyle name="Normal 10 5 9" xfId="16658"/>
    <cellStyle name="Normal 10 5 9 2" xfId="36541"/>
    <cellStyle name="Normal 10 6" xfId="3445"/>
    <cellStyle name="Normal 10 6 2" xfId="3446"/>
    <cellStyle name="Normal 10 6 2 2" xfId="4978"/>
    <cellStyle name="Normal 10 6 2 2 2" xfId="6603"/>
    <cellStyle name="Normal 10 6 2 2 2 2" xfId="9689"/>
    <cellStyle name="Normal 10 6 2 2 2 2 2" xfId="15882"/>
    <cellStyle name="Normal 10 6 2 2 2 2 2 2" xfId="35765"/>
    <cellStyle name="Normal 10 6 2 2 2 2 3" xfId="22034"/>
    <cellStyle name="Normal 10 6 2 2 2 2 3 2" xfId="41917"/>
    <cellStyle name="Normal 10 6 2 2 2 2 4" xfId="29612"/>
    <cellStyle name="Normal 10 6 2 2 2 3" xfId="12816"/>
    <cellStyle name="Normal 10 6 2 2 2 3 2" xfId="32699"/>
    <cellStyle name="Normal 10 6 2 2 2 4" xfId="18968"/>
    <cellStyle name="Normal 10 6 2 2 2 4 2" xfId="38851"/>
    <cellStyle name="Normal 10 6 2 2 2 5" xfId="26546"/>
    <cellStyle name="Normal 10 6 2 2 3" xfId="8154"/>
    <cellStyle name="Normal 10 6 2 2 3 2" xfId="14348"/>
    <cellStyle name="Normal 10 6 2 2 3 2 2" xfId="34231"/>
    <cellStyle name="Normal 10 6 2 2 3 3" xfId="20500"/>
    <cellStyle name="Normal 10 6 2 2 3 3 2" xfId="40383"/>
    <cellStyle name="Normal 10 6 2 2 3 4" xfId="28078"/>
    <cellStyle name="Normal 10 6 2 2 4" xfId="11282"/>
    <cellStyle name="Normal 10 6 2 2 4 2" xfId="31165"/>
    <cellStyle name="Normal 10 6 2 2 5" xfId="17434"/>
    <cellStyle name="Normal 10 6 2 2 5 2" xfId="37317"/>
    <cellStyle name="Normal 10 6 2 2 6" xfId="25012"/>
    <cellStyle name="Normal 10 6 2 3" xfId="5820"/>
    <cellStyle name="Normal 10 6 2 3 2" xfId="8920"/>
    <cellStyle name="Normal 10 6 2 3 2 2" xfId="15113"/>
    <cellStyle name="Normal 10 6 2 3 2 2 2" xfId="34996"/>
    <cellStyle name="Normal 10 6 2 3 2 3" xfId="21265"/>
    <cellStyle name="Normal 10 6 2 3 2 3 2" xfId="41148"/>
    <cellStyle name="Normal 10 6 2 3 2 4" xfId="28843"/>
    <cellStyle name="Normal 10 6 2 3 3" xfId="12047"/>
    <cellStyle name="Normal 10 6 2 3 3 2" xfId="31930"/>
    <cellStyle name="Normal 10 6 2 3 4" xfId="18199"/>
    <cellStyle name="Normal 10 6 2 3 4 2" xfId="38082"/>
    <cellStyle name="Normal 10 6 2 3 5" xfId="25777"/>
    <cellStyle name="Normal 10 6 2 4" xfId="7385"/>
    <cellStyle name="Normal 10 6 2 4 2" xfId="13579"/>
    <cellStyle name="Normal 10 6 2 4 2 2" xfId="33462"/>
    <cellStyle name="Normal 10 6 2 4 3" xfId="19731"/>
    <cellStyle name="Normal 10 6 2 4 3 2" xfId="39614"/>
    <cellStyle name="Normal 10 6 2 4 4" xfId="27309"/>
    <cellStyle name="Normal 10 6 2 5" xfId="10513"/>
    <cellStyle name="Normal 10 6 2 5 2" xfId="30396"/>
    <cellStyle name="Normal 10 6 2 6" xfId="16665"/>
    <cellStyle name="Normal 10 6 2 6 2" xfId="36548"/>
    <cellStyle name="Normal 10 6 2 7" xfId="24243"/>
    <cellStyle name="Normal 10 6 3" xfId="4977"/>
    <cellStyle name="Normal 10 6 3 2" xfId="6602"/>
    <cellStyle name="Normal 10 6 3 2 2" xfId="9688"/>
    <cellStyle name="Normal 10 6 3 2 2 2" xfId="15881"/>
    <cellStyle name="Normal 10 6 3 2 2 2 2" xfId="35764"/>
    <cellStyle name="Normal 10 6 3 2 2 3" xfId="22033"/>
    <cellStyle name="Normal 10 6 3 2 2 3 2" xfId="41916"/>
    <cellStyle name="Normal 10 6 3 2 2 4" xfId="29611"/>
    <cellStyle name="Normal 10 6 3 2 3" xfId="12815"/>
    <cellStyle name="Normal 10 6 3 2 3 2" xfId="32698"/>
    <cellStyle name="Normal 10 6 3 2 4" xfId="18967"/>
    <cellStyle name="Normal 10 6 3 2 4 2" xfId="38850"/>
    <cellStyle name="Normal 10 6 3 2 5" xfId="26545"/>
    <cellStyle name="Normal 10 6 3 3" xfId="8153"/>
    <cellStyle name="Normal 10 6 3 3 2" xfId="14347"/>
    <cellStyle name="Normal 10 6 3 3 2 2" xfId="34230"/>
    <cellStyle name="Normal 10 6 3 3 3" xfId="20499"/>
    <cellStyle name="Normal 10 6 3 3 3 2" xfId="40382"/>
    <cellStyle name="Normal 10 6 3 3 4" xfId="28077"/>
    <cellStyle name="Normal 10 6 3 4" xfId="11281"/>
    <cellStyle name="Normal 10 6 3 4 2" xfId="31164"/>
    <cellStyle name="Normal 10 6 3 5" xfId="17433"/>
    <cellStyle name="Normal 10 6 3 5 2" xfId="37316"/>
    <cellStyle name="Normal 10 6 3 6" xfId="25011"/>
    <cellStyle name="Normal 10 6 4" xfId="5819"/>
    <cellStyle name="Normal 10 6 4 2" xfId="8919"/>
    <cellStyle name="Normal 10 6 4 2 2" xfId="15112"/>
    <cellStyle name="Normal 10 6 4 2 2 2" xfId="34995"/>
    <cellStyle name="Normal 10 6 4 2 3" xfId="21264"/>
    <cellStyle name="Normal 10 6 4 2 3 2" xfId="41147"/>
    <cellStyle name="Normal 10 6 4 2 4" xfId="28842"/>
    <cellStyle name="Normal 10 6 4 3" xfId="12046"/>
    <cellStyle name="Normal 10 6 4 3 2" xfId="31929"/>
    <cellStyle name="Normal 10 6 4 4" xfId="18198"/>
    <cellStyle name="Normal 10 6 4 4 2" xfId="38081"/>
    <cellStyle name="Normal 10 6 4 5" xfId="25776"/>
    <cellStyle name="Normal 10 6 5" xfId="7384"/>
    <cellStyle name="Normal 10 6 5 2" xfId="13578"/>
    <cellStyle name="Normal 10 6 5 2 2" xfId="33461"/>
    <cellStyle name="Normal 10 6 5 3" xfId="19730"/>
    <cellStyle name="Normal 10 6 5 3 2" xfId="39613"/>
    <cellStyle name="Normal 10 6 5 4" xfId="27308"/>
    <cellStyle name="Normal 10 6 6" xfId="10512"/>
    <cellStyle name="Normal 10 6 6 2" xfId="30395"/>
    <cellStyle name="Normal 10 6 7" xfId="16664"/>
    <cellStyle name="Normal 10 6 7 2" xfId="36547"/>
    <cellStyle name="Normal 10 6 8" xfId="23211"/>
    <cellStyle name="Normal 10 6 9" xfId="24242"/>
    <cellStyle name="Normal 10 7" xfId="3447"/>
    <cellStyle name="Normal 10 7 2" xfId="3448"/>
    <cellStyle name="Normal 10 7 2 2" xfId="4980"/>
    <cellStyle name="Normal 10 7 2 2 2" xfId="6605"/>
    <cellStyle name="Normal 10 7 2 2 2 2" xfId="9691"/>
    <cellStyle name="Normal 10 7 2 2 2 2 2" xfId="15884"/>
    <cellStyle name="Normal 10 7 2 2 2 2 2 2" xfId="35767"/>
    <cellStyle name="Normal 10 7 2 2 2 2 3" xfId="22036"/>
    <cellStyle name="Normal 10 7 2 2 2 2 3 2" xfId="41919"/>
    <cellStyle name="Normal 10 7 2 2 2 2 4" xfId="29614"/>
    <cellStyle name="Normal 10 7 2 2 2 3" xfId="12818"/>
    <cellStyle name="Normal 10 7 2 2 2 3 2" xfId="32701"/>
    <cellStyle name="Normal 10 7 2 2 2 4" xfId="18970"/>
    <cellStyle name="Normal 10 7 2 2 2 4 2" xfId="38853"/>
    <cellStyle name="Normal 10 7 2 2 2 5" xfId="26548"/>
    <cellStyle name="Normal 10 7 2 2 3" xfId="8156"/>
    <cellStyle name="Normal 10 7 2 2 3 2" xfId="14350"/>
    <cellStyle name="Normal 10 7 2 2 3 2 2" xfId="34233"/>
    <cellStyle name="Normal 10 7 2 2 3 3" xfId="20502"/>
    <cellStyle name="Normal 10 7 2 2 3 3 2" xfId="40385"/>
    <cellStyle name="Normal 10 7 2 2 3 4" xfId="28080"/>
    <cellStyle name="Normal 10 7 2 2 4" xfId="11284"/>
    <cellStyle name="Normal 10 7 2 2 4 2" xfId="31167"/>
    <cellStyle name="Normal 10 7 2 2 5" xfId="17436"/>
    <cellStyle name="Normal 10 7 2 2 5 2" xfId="37319"/>
    <cellStyle name="Normal 10 7 2 2 6" xfId="25014"/>
    <cellStyle name="Normal 10 7 2 3" xfId="5822"/>
    <cellStyle name="Normal 10 7 2 3 2" xfId="8922"/>
    <cellStyle name="Normal 10 7 2 3 2 2" xfId="15115"/>
    <cellStyle name="Normal 10 7 2 3 2 2 2" xfId="34998"/>
    <cellStyle name="Normal 10 7 2 3 2 3" xfId="21267"/>
    <cellStyle name="Normal 10 7 2 3 2 3 2" xfId="41150"/>
    <cellStyle name="Normal 10 7 2 3 2 4" xfId="28845"/>
    <cellStyle name="Normal 10 7 2 3 3" xfId="12049"/>
    <cellStyle name="Normal 10 7 2 3 3 2" xfId="31932"/>
    <cellStyle name="Normal 10 7 2 3 4" xfId="18201"/>
    <cellStyle name="Normal 10 7 2 3 4 2" xfId="38084"/>
    <cellStyle name="Normal 10 7 2 3 5" xfId="25779"/>
    <cellStyle name="Normal 10 7 2 4" xfId="7387"/>
    <cellStyle name="Normal 10 7 2 4 2" xfId="13581"/>
    <cellStyle name="Normal 10 7 2 4 2 2" xfId="33464"/>
    <cellStyle name="Normal 10 7 2 4 3" xfId="19733"/>
    <cellStyle name="Normal 10 7 2 4 3 2" xfId="39616"/>
    <cellStyle name="Normal 10 7 2 4 4" xfId="27311"/>
    <cellStyle name="Normal 10 7 2 5" xfId="10515"/>
    <cellStyle name="Normal 10 7 2 5 2" xfId="30398"/>
    <cellStyle name="Normal 10 7 2 6" xfId="16667"/>
    <cellStyle name="Normal 10 7 2 6 2" xfId="36550"/>
    <cellStyle name="Normal 10 7 2 7" xfId="24245"/>
    <cellStyle name="Normal 10 7 3" xfId="4979"/>
    <cellStyle name="Normal 10 7 3 2" xfId="6604"/>
    <cellStyle name="Normal 10 7 3 2 2" xfId="9690"/>
    <cellStyle name="Normal 10 7 3 2 2 2" xfId="15883"/>
    <cellStyle name="Normal 10 7 3 2 2 2 2" xfId="35766"/>
    <cellStyle name="Normal 10 7 3 2 2 3" xfId="22035"/>
    <cellStyle name="Normal 10 7 3 2 2 3 2" xfId="41918"/>
    <cellStyle name="Normal 10 7 3 2 2 4" xfId="29613"/>
    <cellStyle name="Normal 10 7 3 2 3" xfId="12817"/>
    <cellStyle name="Normal 10 7 3 2 3 2" xfId="32700"/>
    <cellStyle name="Normal 10 7 3 2 4" xfId="18969"/>
    <cellStyle name="Normal 10 7 3 2 4 2" xfId="38852"/>
    <cellStyle name="Normal 10 7 3 2 5" xfId="26547"/>
    <cellStyle name="Normal 10 7 3 3" xfId="8155"/>
    <cellStyle name="Normal 10 7 3 3 2" xfId="14349"/>
    <cellStyle name="Normal 10 7 3 3 2 2" xfId="34232"/>
    <cellStyle name="Normal 10 7 3 3 3" xfId="20501"/>
    <cellStyle name="Normal 10 7 3 3 3 2" xfId="40384"/>
    <cellStyle name="Normal 10 7 3 3 4" xfId="28079"/>
    <cellStyle name="Normal 10 7 3 4" xfId="11283"/>
    <cellStyle name="Normal 10 7 3 4 2" xfId="31166"/>
    <cellStyle name="Normal 10 7 3 5" xfId="17435"/>
    <cellStyle name="Normal 10 7 3 5 2" xfId="37318"/>
    <cellStyle name="Normal 10 7 3 6" xfId="25013"/>
    <cellStyle name="Normal 10 7 4" xfId="5821"/>
    <cellStyle name="Normal 10 7 4 2" xfId="8921"/>
    <cellStyle name="Normal 10 7 4 2 2" xfId="15114"/>
    <cellStyle name="Normal 10 7 4 2 2 2" xfId="34997"/>
    <cellStyle name="Normal 10 7 4 2 3" xfId="21266"/>
    <cellStyle name="Normal 10 7 4 2 3 2" xfId="41149"/>
    <cellStyle name="Normal 10 7 4 2 4" xfId="28844"/>
    <cellStyle name="Normal 10 7 4 3" xfId="12048"/>
    <cellStyle name="Normal 10 7 4 3 2" xfId="31931"/>
    <cellStyle name="Normal 10 7 4 4" xfId="18200"/>
    <cellStyle name="Normal 10 7 4 4 2" xfId="38083"/>
    <cellStyle name="Normal 10 7 4 5" xfId="25778"/>
    <cellStyle name="Normal 10 7 5" xfId="7386"/>
    <cellStyle name="Normal 10 7 5 2" xfId="13580"/>
    <cellStyle name="Normal 10 7 5 2 2" xfId="33463"/>
    <cellStyle name="Normal 10 7 5 3" xfId="19732"/>
    <cellStyle name="Normal 10 7 5 3 2" xfId="39615"/>
    <cellStyle name="Normal 10 7 5 4" xfId="27310"/>
    <cellStyle name="Normal 10 7 6" xfId="10514"/>
    <cellStyle name="Normal 10 7 6 2" xfId="30397"/>
    <cellStyle name="Normal 10 7 7" xfId="16666"/>
    <cellStyle name="Normal 10 7 7 2" xfId="36549"/>
    <cellStyle name="Normal 10 7 8" xfId="23212"/>
    <cellStyle name="Normal 10 7 9" xfId="24244"/>
    <cellStyle name="Normal 10 8" xfId="3449"/>
    <cellStyle name="Normal 10 8 2" xfId="3450"/>
    <cellStyle name="Normal 10 8 2 2" xfId="4981"/>
    <cellStyle name="Normal 10 8 2 2 2" xfId="6606"/>
    <cellStyle name="Normal 10 8 2 2 2 2" xfId="9692"/>
    <cellStyle name="Normal 10 8 2 2 2 2 2" xfId="15885"/>
    <cellStyle name="Normal 10 8 2 2 2 2 2 2" xfId="35768"/>
    <cellStyle name="Normal 10 8 2 2 2 2 3" xfId="22037"/>
    <cellStyle name="Normal 10 8 2 2 2 2 3 2" xfId="41920"/>
    <cellStyle name="Normal 10 8 2 2 2 2 4" xfId="29615"/>
    <cellStyle name="Normal 10 8 2 2 2 3" xfId="12819"/>
    <cellStyle name="Normal 10 8 2 2 2 3 2" xfId="32702"/>
    <cellStyle name="Normal 10 8 2 2 2 4" xfId="18971"/>
    <cellStyle name="Normal 10 8 2 2 2 4 2" xfId="38854"/>
    <cellStyle name="Normal 10 8 2 2 2 5" xfId="26549"/>
    <cellStyle name="Normal 10 8 2 2 3" xfId="8157"/>
    <cellStyle name="Normal 10 8 2 2 3 2" xfId="14351"/>
    <cellStyle name="Normal 10 8 2 2 3 2 2" xfId="34234"/>
    <cellStyle name="Normal 10 8 2 2 3 3" xfId="20503"/>
    <cellStyle name="Normal 10 8 2 2 3 3 2" xfId="40386"/>
    <cellStyle name="Normal 10 8 2 2 3 4" xfId="28081"/>
    <cellStyle name="Normal 10 8 2 2 4" xfId="11285"/>
    <cellStyle name="Normal 10 8 2 2 4 2" xfId="31168"/>
    <cellStyle name="Normal 10 8 2 2 5" xfId="17437"/>
    <cellStyle name="Normal 10 8 2 2 5 2" xfId="37320"/>
    <cellStyle name="Normal 10 8 2 2 6" xfId="25015"/>
    <cellStyle name="Normal 10 8 2 3" xfId="5823"/>
    <cellStyle name="Normal 10 8 2 3 2" xfId="8923"/>
    <cellStyle name="Normal 10 8 2 3 2 2" xfId="15116"/>
    <cellStyle name="Normal 10 8 2 3 2 2 2" xfId="34999"/>
    <cellStyle name="Normal 10 8 2 3 2 3" xfId="21268"/>
    <cellStyle name="Normal 10 8 2 3 2 3 2" xfId="41151"/>
    <cellStyle name="Normal 10 8 2 3 2 4" xfId="28846"/>
    <cellStyle name="Normal 10 8 2 3 3" xfId="12050"/>
    <cellStyle name="Normal 10 8 2 3 3 2" xfId="31933"/>
    <cellStyle name="Normal 10 8 2 3 4" xfId="18202"/>
    <cellStyle name="Normal 10 8 2 3 4 2" xfId="38085"/>
    <cellStyle name="Normal 10 8 2 3 5" xfId="25780"/>
    <cellStyle name="Normal 10 8 2 4" xfId="7388"/>
    <cellStyle name="Normal 10 8 2 4 2" xfId="13582"/>
    <cellStyle name="Normal 10 8 2 4 2 2" xfId="33465"/>
    <cellStyle name="Normal 10 8 2 4 3" xfId="19734"/>
    <cellStyle name="Normal 10 8 2 4 3 2" xfId="39617"/>
    <cellStyle name="Normal 10 8 2 4 4" xfId="27312"/>
    <cellStyle name="Normal 10 8 2 5" xfId="10516"/>
    <cellStyle name="Normal 10 8 2 5 2" xfId="30399"/>
    <cellStyle name="Normal 10 8 2 6" xfId="16668"/>
    <cellStyle name="Normal 10 8 2 6 2" xfId="36551"/>
    <cellStyle name="Normal 10 8 2 7" xfId="24246"/>
    <cellStyle name="Normal 10 9" xfId="3451"/>
    <cellStyle name="Normal 10 9 2" xfId="4982"/>
    <cellStyle name="Normal 10 9 2 2" xfId="6607"/>
    <cellStyle name="Normal 10 9 2 2 2" xfId="9693"/>
    <cellStyle name="Normal 10 9 2 2 2 2" xfId="15886"/>
    <cellStyle name="Normal 10 9 2 2 2 2 2" xfId="35769"/>
    <cellStyle name="Normal 10 9 2 2 2 3" xfId="22038"/>
    <cellStyle name="Normal 10 9 2 2 2 3 2" xfId="41921"/>
    <cellStyle name="Normal 10 9 2 2 2 4" xfId="29616"/>
    <cellStyle name="Normal 10 9 2 2 3" xfId="12820"/>
    <cellStyle name="Normal 10 9 2 2 3 2" xfId="32703"/>
    <cellStyle name="Normal 10 9 2 2 4" xfId="18972"/>
    <cellStyle name="Normal 10 9 2 2 4 2" xfId="38855"/>
    <cellStyle name="Normal 10 9 2 2 5" xfId="26550"/>
    <cellStyle name="Normal 10 9 2 3" xfId="8158"/>
    <cellStyle name="Normal 10 9 2 3 2" xfId="14352"/>
    <cellStyle name="Normal 10 9 2 3 2 2" xfId="34235"/>
    <cellStyle name="Normal 10 9 2 3 3" xfId="20504"/>
    <cellStyle name="Normal 10 9 2 3 3 2" xfId="40387"/>
    <cellStyle name="Normal 10 9 2 3 4" xfId="28082"/>
    <cellStyle name="Normal 10 9 2 4" xfId="11286"/>
    <cellStyle name="Normal 10 9 2 4 2" xfId="31169"/>
    <cellStyle name="Normal 10 9 2 5" xfId="17438"/>
    <cellStyle name="Normal 10 9 2 5 2" xfId="37321"/>
    <cellStyle name="Normal 10 9 2 6" xfId="25016"/>
    <cellStyle name="Normal 10 9 3" xfId="5824"/>
    <cellStyle name="Normal 10 9 3 2" xfId="8924"/>
    <cellStyle name="Normal 10 9 3 2 2" xfId="15117"/>
    <cellStyle name="Normal 10 9 3 2 2 2" xfId="35000"/>
    <cellStyle name="Normal 10 9 3 2 3" xfId="21269"/>
    <cellStyle name="Normal 10 9 3 2 3 2" xfId="41152"/>
    <cellStyle name="Normal 10 9 3 2 4" xfId="28847"/>
    <cellStyle name="Normal 10 9 3 3" xfId="12051"/>
    <cellStyle name="Normal 10 9 3 3 2" xfId="31934"/>
    <cellStyle name="Normal 10 9 3 4" xfId="18203"/>
    <cellStyle name="Normal 10 9 3 4 2" xfId="38086"/>
    <cellStyle name="Normal 10 9 3 5" xfId="25781"/>
    <cellStyle name="Normal 10 9 4" xfId="7389"/>
    <cellStyle name="Normal 10 9 4 2" xfId="13583"/>
    <cellStyle name="Normal 10 9 4 2 2" xfId="33466"/>
    <cellStyle name="Normal 10 9 4 3" xfId="19735"/>
    <cellStyle name="Normal 10 9 4 3 2" xfId="39618"/>
    <cellStyle name="Normal 10 9 4 4" xfId="27313"/>
    <cellStyle name="Normal 10 9 5" xfId="10517"/>
    <cellStyle name="Normal 10 9 5 2" xfId="30400"/>
    <cellStyle name="Normal 10 9 6" xfId="16669"/>
    <cellStyle name="Normal 10 9 6 2" xfId="36552"/>
    <cellStyle name="Normal 10 9 7" xfId="24247"/>
    <cellStyle name="Normal 11" xfId="20"/>
    <cellStyle name="Normal 11 10" xfId="1285"/>
    <cellStyle name="Normal 11 10 2" xfId="24012"/>
    <cellStyle name="Normal 11 11" xfId="449"/>
    <cellStyle name="Normal 11 12" xfId="23213"/>
    <cellStyle name="Normal 11 13" xfId="23331"/>
    <cellStyle name="Normal 11 2" xfId="92"/>
    <cellStyle name="Normal 11 2 10" xfId="23214"/>
    <cellStyle name="Normal 11 2 11" xfId="23344"/>
    <cellStyle name="Normal 11 2 2" xfId="139"/>
    <cellStyle name="Normal 11 2 2 2" xfId="5499"/>
    <cellStyle name="Normal 11 2 2 2 2" xfId="7124"/>
    <cellStyle name="Normal 11 2 2 2 2 2" xfId="10210"/>
    <cellStyle name="Normal 11 2 2 2 2 2 2" xfId="16403"/>
    <cellStyle name="Normal 11 2 2 2 2 2 2 2" xfId="36286"/>
    <cellStyle name="Normal 11 2 2 2 2 2 3" xfId="22555"/>
    <cellStyle name="Normal 11 2 2 2 2 2 3 2" xfId="42438"/>
    <cellStyle name="Normal 11 2 2 2 2 2 4" xfId="30133"/>
    <cellStyle name="Normal 11 2 2 2 2 3" xfId="13337"/>
    <cellStyle name="Normal 11 2 2 2 2 3 2" xfId="33220"/>
    <cellStyle name="Normal 11 2 2 2 2 4" xfId="19489"/>
    <cellStyle name="Normal 11 2 2 2 2 4 2" xfId="39372"/>
    <cellStyle name="Normal 11 2 2 2 2 5" xfId="27067"/>
    <cellStyle name="Normal 11 2 2 2 3" xfId="8675"/>
    <cellStyle name="Normal 11 2 2 2 3 2" xfId="14869"/>
    <cellStyle name="Normal 11 2 2 2 3 2 2" xfId="34752"/>
    <cellStyle name="Normal 11 2 2 2 3 3" xfId="21021"/>
    <cellStyle name="Normal 11 2 2 2 3 3 2" xfId="40904"/>
    <cellStyle name="Normal 11 2 2 2 3 4" xfId="28599"/>
    <cellStyle name="Normal 11 2 2 2 4" xfId="11803"/>
    <cellStyle name="Normal 11 2 2 2 4 2" xfId="31686"/>
    <cellStyle name="Normal 11 2 2 2 5" xfId="17955"/>
    <cellStyle name="Normal 11 2 2 2 5 2" xfId="37838"/>
    <cellStyle name="Normal 11 2 2 2 6" xfId="25533"/>
    <cellStyle name="Normal 11 2 2 3" xfId="6355"/>
    <cellStyle name="Normal 11 2 2 3 2" xfId="9441"/>
    <cellStyle name="Normal 11 2 2 3 2 2" xfId="15634"/>
    <cellStyle name="Normal 11 2 2 3 2 2 2" xfId="35517"/>
    <cellStyle name="Normal 11 2 2 3 2 3" xfId="21786"/>
    <cellStyle name="Normal 11 2 2 3 2 3 2" xfId="41669"/>
    <cellStyle name="Normal 11 2 2 3 2 4" xfId="29364"/>
    <cellStyle name="Normal 11 2 2 3 3" xfId="12568"/>
    <cellStyle name="Normal 11 2 2 3 3 2" xfId="32451"/>
    <cellStyle name="Normal 11 2 2 3 4" xfId="18720"/>
    <cellStyle name="Normal 11 2 2 3 4 2" xfId="38603"/>
    <cellStyle name="Normal 11 2 2 3 5" xfId="26298"/>
    <cellStyle name="Normal 11 2 2 4" xfId="7906"/>
    <cellStyle name="Normal 11 2 2 4 2" xfId="14100"/>
    <cellStyle name="Normal 11 2 2 4 2 2" xfId="33983"/>
    <cellStyle name="Normal 11 2 2 4 3" xfId="20252"/>
    <cellStyle name="Normal 11 2 2 4 3 2" xfId="40135"/>
    <cellStyle name="Normal 11 2 2 4 4" xfId="27830"/>
    <cellStyle name="Normal 11 2 2 5" xfId="11034"/>
    <cellStyle name="Normal 11 2 2 5 2" xfId="30917"/>
    <cellStyle name="Normal 11 2 2 6" xfId="17186"/>
    <cellStyle name="Normal 11 2 2 6 2" xfId="37069"/>
    <cellStyle name="Normal 11 2 2 7" xfId="4723"/>
    <cellStyle name="Normal 11 2 2 7 2" xfId="24764"/>
    <cellStyle name="Normal 11 2 2 8" xfId="23382"/>
    <cellStyle name="Normal 11 2 3" xfId="3453"/>
    <cellStyle name="Normal 11 2 4" xfId="4758"/>
    <cellStyle name="Normal 11 2 4 2" xfId="6383"/>
    <cellStyle name="Normal 11 2 4 2 2" xfId="9469"/>
    <cellStyle name="Normal 11 2 4 2 2 2" xfId="15662"/>
    <cellStyle name="Normal 11 2 4 2 2 2 2" xfId="35545"/>
    <cellStyle name="Normal 11 2 4 2 2 3" xfId="21814"/>
    <cellStyle name="Normal 11 2 4 2 2 3 2" xfId="41697"/>
    <cellStyle name="Normal 11 2 4 2 2 4" xfId="29392"/>
    <cellStyle name="Normal 11 2 4 2 3" xfId="12596"/>
    <cellStyle name="Normal 11 2 4 2 3 2" xfId="32479"/>
    <cellStyle name="Normal 11 2 4 2 4" xfId="18748"/>
    <cellStyle name="Normal 11 2 4 2 4 2" xfId="38631"/>
    <cellStyle name="Normal 11 2 4 2 5" xfId="26326"/>
    <cellStyle name="Normal 11 2 4 3" xfId="7934"/>
    <cellStyle name="Normal 11 2 4 3 2" xfId="14128"/>
    <cellStyle name="Normal 11 2 4 3 2 2" xfId="34011"/>
    <cellStyle name="Normal 11 2 4 3 3" xfId="20280"/>
    <cellStyle name="Normal 11 2 4 3 3 2" xfId="40163"/>
    <cellStyle name="Normal 11 2 4 3 4" xfId="27858"/>
    <cellStyle name="Normal 11 2 4 4" xfId="11062"/>
    <cellStyle name="Normal 11 2 4 4 2" xfId="30945"/>
    <cellStyle name="Normal 11 2 4 5" xfId="17214"/>
    <cellStyle name="Normal 11 2 4 5 2" xfId="37097"/>
    <cellStyle name="Normal 11 2 4 6" xfId="24792"/>
    <cellStyle name="Normal 11 2 5" xfId="5597"/>
    <cellStyle name="Normal 11 2 5 2" xfId="8700"/>
    <cellStyle name="Normal 11 2 5 2 2" xfId="14893"/>
    <cellStyle name="Normal 11 2 5 2 2 2" xfId="34776"/>
    <cellStyle name="Normal 11 2 5 2 3" xfId="21045"/>
    <cellStyle name="Normal 11 2 5 2 3 2" xfId="40928"/>
    <cellStyle name="Normal 11 2 5 2 4" xfId="28623"/>
    <cellStyle name="Normal 11 2 5 3" xfId="11827"/>
    <cellStyle name="Normal 11 2 5 3 2" xfId="31710"/>
    <cellStyle name="Normal 11 2 5 4" xfId="17979"/>
    <cellStyle name="Normal 11 2 5 4 2" xfId="37862"/>
    <cellStyle name="Normal 11 2 5 5" xfId="25557"/>
    <cellStyle name="Normal 11 2 6" xfId="7165"/>
    <cellStyle name="Normal 11 2 6 2" xfId="13359"/>
    <cellStyle name="Normal 11 2 6 2 2" xfId="33242"/>
    <cellStyle name="Normal 11 2 6 3" xfId="19511"/>
    <cellStyle name="Normal 11 2 6 3 2" xfId="39394"/>
    <cellStyle name="Normal 11 2 6 4" xfId="27089"/>
    <cellStyle name="Normal 11 2 7" xfId="10293"/>
    <cellStyle name="Normal 11 2 7 2" xfId="30176"/>
    <cellStyle name="Normal 11 2 8" xfId="16445"/>
    <cellStyle name="Normal 11 2 8 2" xfId="36328"/>
    <cellStyle name="Normal 11 2 9" xfId="1311"/>
    <cellStyle name="Normal 11 2 9 2" xfId="24023"/>
    <cellStyle name="Normal 11 3" xfId="122"/>
    <cellStyle name="Normal 11 3 2" xfId="4984"/>
    <cellStyle name="Normal 11 3 2 2" xfId="6609"/>
    <cellStyle name="Normal 11 3 2 2 2" xfId="9695"/>
    <cellStyle name="Normal 11 3 2 2 2 2" xfId="15888"/>
    <cellStyle name="Normal 11 3 2 2 2 2 2" xfId="35771"/>
    <cellStyle name="Normal 11 3 2 2 2 3" xfId="22040"/>
    <cellStyle name="Normal 11 3 2 2 2 3 2" xfId="41923"/>
    <cellStyle name="Normal 11 3 2 2 2 4" xfId="29618"/>
    <cellStyle name="Normal 11 3 2 2 3" xfId="12822"/>
    <cellStyle name="Normal 11 3 2 2 3 2" xfId="32705"/>
    <cellStyle name="Normal 11 3 2 2 4" xfId="18974"/>
    <cellStyle name="Normal 11 3 2 2 4 2" xfId="38857"/>
    <cellStyle name="Normal 11 3 2 2 5" xfId="26552"/>
    <cellStyle name="Normal 11 3 2 3" xfId="8160"/>
    <cellStyle name="Normal 11 3 2 3 2" xfId="14354"/>
    <cellStyle name="Normal 11 3 2 3 2 2" xfId="34237"/>
    <cellStyle name="Normal 11 3 2 3 3" xfId="20506"/>
    <cellStyle name="Normal 11 3 2 3 3 2" xfId="40389"/>
    <cellStyle name="Normal 11 3 2 3 4" xfId="28084"/>
    <cellStyle name="Normal 11 3 2 4" xfId="11288"/>
    <cellStyle name="Normal 11 3 2 4 2" xfId="31171"/>
    <cellStyle name="Normal 11 3 2 5" xfId="17440"/>
    <cellStyle name="Normal 11 3 2 5 2" xfId="37323"/>
    <cellStyle name="Normal 11 3 2 6" xfId="25018"/>
    <cellStyle name="Normal 11 3 3" xfId="5826"/>
    <cellStyle name="Normal 11 3 3 2" xfId="8926"/>
    <cellStyle name="Normal 11 3 3 2 2" xfId="15119"/>
    <cellStyle name="Normal 11 3 3 2 2 2" xfId="35002"/>
    <cellStyle name="Normal 11 3 3 2 3" xfId="21271"/>
    <cellStyle name="Normal 11 3 3 2 3 2" xfId="41154"/>
    <cellStyle name="Normal 11 3 3 2 4" xfId="28849"/>
    <cellStyle name="Normal 11 3 3 3" xfId="12053"/>
    <cellStyle name="Normal 11 3 3 3 2" xfId="31936"/>
    <cellStyle name="Normal 11 3 3 4" xfId="18205"/>
    <cellStyle name="Normal 11 3 3 4 2" xfId="38088"/>
    <cellStyle name="Normal 11 3 3 5" xfId="25783"/>
    <cellStyle name="Normal 11 3 4" xfId="7391"/>
    <cellStyle name="Normal 11 3 4 2" xfId="13585"/>
    <cellStyle name="Normal 11 3 4 2 2" xfId="33468"/>
    <cellStyle name="Normal 11 3 4 3" xfId="19737"/>
    <cellStyle name="Normal 11 3 4 3 2" xfId="39620"/>
    <cellStyle name="Normal 11 3 4 4" xfId="27315"/>
    <cellStyle name="Normal 11 3 5" xfId="10519"/>
    <cellStyle name="Normal 11 3 5 2" xfId="30402"/>
    <cellStyle name="Normal 11 3 6" xfId="16671"/>
    <cellStyle name="Normal 11 3 6 2" xfId="36554"/>
    <cellStyle name="Normal 11 3 7" xfId="3454"/>
    <cellStyle name="Normal 11 3 7 2" xfId="24249"/>
    <cellStyle name="Normal 11 3 8" xfId="23215"/>
    <cellStyle name="Normal 11 3 9" xfId="23369"/>
    <cellStyle name="Normal 11 4" xfId="109"/>
    <cellStyle name="Normal 11 4 2" xfId="4983"/>
    <cellStyle name="Normal 11 4 2 2" xfId="6608"/>
    <cellStyle name="Normal 11 4 2 2 2" xfId="9694"/>
    <cellStyle name="Normal 11 4 2 2 2 2" xfId="15887"/>
    <cellStyle name="Normal 11 4 2 2 2 2 2" xfId="35770"/>
    <cellStyle name="Normal 11 4 2 2 2 3" xfId="22039"/>
    <cellStyle name="Normal 11 4 2 2 2 3 2" xfId="41922"/>
    <cellStyle name="Normal 11 4 2 2 2 4" xfId="29617"/>
    <cellStyle name="Normal 11 4 2 2 3" xfId="12821"/>
    <cellStyle name="Normal 11 4 2 2 3 2" xfId="32704"/>
    <cellStyle name="Normal 11 4 2 2 4" xfId="18973"/>
    <cellStyle name="Normal 11 4 2 2 4 2" xfId="38856"/>
    <cellStyle name="Normal 11 4 2 2 5" xfId="26551"/>
    <cellStyle name="Normal 11 4 2 3" xfId="8159"/>
    <cellStyle name="Normal 11 4 2 3 2" xfId="14353"/>
    <cellStyle name="Normal 11 4 2 3 2 2" xfId="34236"/>
    <cellStyle name="Normal 11 4 2 3 3" xfId="20505"/>
    <cellStyle name="Normal 11 4 2 3 3 2" xfId="40388"/>
    <cellStyle name="Normal 11 4 2 3 4" xfId="28083"/>
    <cellStyle name="Normal 11 4 2 4" xfId="11287"/>
    <cellStyle name="Normal 11 4 2 4 2" xfId="31170"/>
    <cellStyle name="Normal 11 4 2 5" xfId="17439"/>
    <cellStyle name="Normal 11 4 2 5 2" xfId="37322"/>
    <cellStyle name="Normal 11 4 2 6" xfId="25017"/>
    <cellStyle name="Normal 11 4 3" xfId="5825"/>
    <cellStyle name="Normal 11 4 3 2" xfId="8925"/>
    <cellStyle name="Normal 11 4 3 2 2" xfId="15118"/>
    <cellStyle name="Normal 11 4 3 2 2 2" xfId="35001"/>
    <cellStyle name="Normal 11 4 3 2 3" xfId="21270"/>
    <cellStyle name="Normal 11 4 3 2 3 2" xfId="41153"/>
    <cellStyle name="Normal 11 4 3 2 4" xfId="28848"/>
    <cellStyle name="Normal 11 4 3 3" xfId="12052"/>
    <cellStyle name="Normal 11 4 3 3 2" xfId="31935"/>
    <cellStyle name="Normal 11 4 3 4" xfId="18204"/>
    <cellStyle name="Normal 11 4 3 4 2" xfId="38087"/>
    <cellStyle name="Normal 11 4 3 5" xfId="25782"/>
    <cellStyle name="Normal 11 4 4" xfId="7390"/>
    <cellStyle name="Normal 11 4 4 2" xfId="13584"/>
    <cellStyle name="Normal 11 4 4 2 2" xfId="33467"/>
    <cellStyle name="Normal 11 4 4 3" xfId="19736"/>
    <cellStyle name="Normal 11 4 4 3 2" xfId="39619"/>
    <cellStyle name="Normal 11 4 4 4" xfId="27314"/>
    <cellStyle name="Normal 11 4 5" xfId="10518"/>
    <cellStyle name="Normal 11 4 5 2" xfId="30401"/>
    <cellStyle name="Normal 11 4 6" xfId="16670"/>
    <cellStyle name="Normal 11 4 6 2" xfId="36553"/>
    <cellStyle name="Normal 11 4 7" xfId="3452"/>
    <cellStyle name="Normal 11 4 7 2" xfId="24248"/>
    <cellStyle name="Normal 11 4 8" xfId="23216"/>
    <cellStyle name="Normal 11 4 9" xfId="23357"/>
    <cellStyle name="Normal 11 5" xfId="4747"/>
    <cellStyle name="Normal 11 5 2" xfId="6372"/>
    <cellStyle name="Normal 11 5 2 2" xfId="9458"/>
    <cellStyle name="Normal 11 5 2 2 2" xfId="15651"/>
    <cellStyle name="Normal 11 5 2 2 2 2" xfId="35534"/>
    <cellStyle name="Normal 11 5 2 2 3" xfId="21803"/>
    <cellStyle name="Normal 11 5 2 2 3 2" xfId="41686"/>
    <cellStyle name="Normal 11 5 2 2 4" xfId="29381"/>
    <cellStyle name="Normal 11 5 2 3" xfId="12585"/>
    <cellStyle name="Normal 11 5 2 3 2" xfId="32468"/>
    <cellStyle name="Normal 11 5 2 4" xfId="18737"/>
    <cellStyle name="Normal 11 5 2 4 2" xfId="38620"/>
    <cellStyle name="Normal 11 5 2 5" xfId="26315"/>
    <cellStyle name="Normal 11 5 3" xfId="7923"/>
    <cellStyle name="Normal 11 5 3 2" xfId="14117"/>
    <cellStyle name="Normal 11 5 3 2 2" xfId="34000"/>
    <cellStyle name="Normal 11 5 3 3" xfId="20269"/>
    <cellStyle name="Normal 11 5 3 3 2" xfId="40152"/>
    <cellStyle name="Normal 11 5 3 4" xfId="27847"/>
    <cellStyle name="Normal 11 5 4" xfId="11051"/>
    <cellStyle name="Normal 11 5 4 2" xfId="30934"/>
    <cellStyle name="Normal 11 5 5" xfId="17203"/>
    <cellStyle name="Normal 11 5 5 2" xfId="37086"/>
    <cellStyle name="Normal 11 5 6" xfId="23217"/>
    <cellStyle name="Normal 11 5 7" xfId="24781"/>
    <cellStyle name="Normal 11 6" xfId="5585"/>
    <cellStyle name="Normal 11 6 2" xfId="8689"/>
    <cellStyle name="Normal 11 6 2 2" xfId="14882"/>
    <cellStyle name="Normal 11 6 2 2 2" xfId="34765"/>
    <cellStyle name="Normal 11 6 2 3" xfId="21034"/>
    <cellStyle name="Normal 11 6 2 3 2" xfId="40917"/>
    <cellStyle name="Normal 11 6 2 4" xfId="28612"/>
    <cellStyle name="Normal 11 6 3" xfId="11816"/>
    <cellStyle name="Normal 11 6 3 2" xfId="31699"/>
    <cellStyle name="Normal 11 6 4" xfId="17968"/>
    <cellStyle name="Normal 11 6 4 2" xfId="37851"/>
    <cellStyle name="Normal 11 6 5" xfId="25546"/>
    <cellStyle name="Normal 11 7" xfId="7154"/>
    <cellStyle name="Normal 11 7 2" xfId="13348"/>
    <cellStyle name="Normal 11 7 2 2" xfId="33231"/>
    <cellStyle name="Normal 11 7 3" xfId="19500"/>
    <cellStyle name="Normal 11 7 3 2" xfId="39383"/>
    <cellStyle name="Normal 11 7 4" xfId="27078"/>
    <cellStyle name="Normal 11 8" xfId="10282"/>
    <cellStyle name="Normal 11 8 2" xfId="30165"/>
    <cellStyle name="Normal 11 9" xfId="16434"/>
    <cellStyle name="Normal 11 9 2" xfId="36317"/>
    <cellStyle name="Normal 12" xfId="51"/>
    <cellStyle name="Normal 12 10" xfId="7392"/>
    <cellStyle name="Normal 12 10 2" xfId="13586"/>
    <cellStyle name="Normal 12 10 2 2" xfId="33469"/>
    <cellStyle name="Normal 12 10 3" xfId="19738"/>
    <cellStyle name="Normal 12 10 3 2" xfId="39621"/>
    <cellStyle name="Normal 12 10 4" xfId="27316"/>
    <cellStyle name="Normal 12 11" xfId="10264"/>
    <cellStyle name="Normal 12 11 2" xfId="16426"/>
    <cellStyle name="Normal 12 11 2 2" xfId="36309"/>
    <cellStyle name="Normal 12 11 3" xfId="22578"/>
    <cellStyle name="Normal 12 11 3 2" xfId="42461"/>
    <cellStyle name="Normal 12 11 4" xfId="30156"/>
    <cellStyle name="Normal 12 12" xfId="10520"/>
    <cellStyle name="Normal 12 12 2" xfId="30403"/>
    <cellStyle name="Normal 12 13" xfId="16672"/>
    <cellStyle name="Normal 12 13 2" xfId="36555"/>
    <cellStyle name="Normal 12 14" xfId="3455"/>
    <cellStyle name="Normal 12 14 2" xfId="24250"/>
    <cellStyle name="Normal 12 15" xfId="276"/>
    <cellStyle name="Normal 12 16" xfId="23218"/>
    <cellStyle name="Normal 12 17" xfId="23337"/>
    <cellStyle name="Normal 12 2" xfId="102"/>
    <cellStyle name="Normal 12 2 2" xfId="145"/>
    <cellStyle name="Normal 12 2 2 10" xfId="3457"/>
    <cellStyle name="Normal 12 2 2 10 2" xfId="24251"/>
    <cellStyle name="Normal 12 2 2 11" xfId="23388"/>
    <cellStyle name="Normal 12 2 2 2" xfId="3458"/>
    <cellStyle name="Normal 12 2 2 2 2" xfId="3459"/>
    <cellStyle name="Normal 12 2 2 2 2 2" xfId="4988"/>
    <cellStyle name="Normal 12 2 2 2 2 2 2" xfId="6613"/>
    <cellStyle name="Normal 12 2 2 2 2 2 2 2" xfId="9699"/>
    <cellStyle name="Normal 12 2 2 2 2 2 2 2 2" xfId="15892"/>
    <cellStyle name="Normal 12 2 2 2 2 2 2 2 2 2" xfId="35775"/>
    <cellStyle name="Normal 12 2 2 2 2 2 2 2 3" xfId="22044"/>
    <cellStyle name="Normal 12 2 2 2 2 2 2 2 3 2" xfId="41927"/>
    <cellStyle name="Normal 12 2 2 2 2 2 2 2 4" xfId="29622"/>
    <cellStyle name="Normal 12 2 2 2 2 2 2 3" xfId="12826"/>
    <cellStyle name="Normal 12 2 2 2 2 2 2 3 2" xfId="32709"/>
    <cellStyle name="Normal 12 2 2 2 2 2 2 4" xfId="18978"/>
    <cellStyle name="Normal 12 2 2 2 2 2 2 4 2" xfId="38861"/>
    <cellStyle name="Normal 12 2 2 2 2 2 2 5" xfId="26556"/>
    <cellStyle name="Normal 12 2 2 2 2 2 3" xfId="8164"/>
    <cellStyle name="Normal 12 2 2 2 2 2 3 2" xfId="14358"/>
    <cellStyle name="Normal 12 2 2 2 2 2 3 2 2" xfId="34241"/>
    <cellStyle name="Normal 12 2 2 2 2 2 3 3" xfId="20510"/>
    <cellStyle name="Normal 12 2 2 2 2 2 3 3 2" xfId="40393"/>
    <cellStyle name="Normal 12 2 2 2 2 2 3 4" xfId="28088"/>
    <cellStyle name="Normal 12 2 2 2 2 2 4" xfId="11292"/>
    <cellStyle name="Normal 12 2 2 2 2 2 4 2" xfId="31175"/>
    <cellStyle name="Normal 12 2 2 2 2 2 5" xfId="17444"/>
    <cellStyle name="Normal 12 2 2 2 2 2 5 2" xfId="37327"/>
    <cellStyle name="Normal 12 2 2 2 2 2 6" xfId="25022"/>
    <cellStyle name="Normal 12 2 2 2 2 3" xfId="5830"/>
    <cellStyle name="Normal 12 2 2 2 2 3 2" xfId="8930"/>
    <cellStyle name="Normal 12 2 2 2 2 3 2 2" xfId="15123"/>
    <cellStyle name="Normal 12 2 2 2 2 3 2 2 2" xfId="35006"/>
    <cellStyle name="Normal 12 2 2 2 2 3 2 3" xfId="21275"/>
    <cellStyle name="Normal 12 2 2 2 2 3 2 3 2" xfId="41158"/>
    <cellStyle name="Normal 12 2 2 2 2 3 2 4" xfId="28853"/>
    <cellStyle name="Normal 12 2 2 2 2 3 3" xfId="12057"/>
    <cellStyle name="Normal 12 2 2 2 2 3 3 2" xfId="31940"/>
    <cellStyle name="Normal 12 2 2 2 2 3 4" xfId="18209"/>
    <cellStyle name="Normal 12 2 2 2 2 3 4 2" xfId="38092"/>
    <cellStyle name="Normal 12 2 2 2 2 3 5" xfId="25787"/>
    <cellStyle name="Normal 12 2 2 2 2 4" xfId="7395"/>
    <cellStyle name="Normal 12 2 2 2 2 4 2" xfId="13589"/>
    <cellStyle name="Normal 12 2 2 2 2 4 2 2" xfId="33472"/>
    <cellStyle name="Normal 12 2 2 2 2 4 3" xfId="19741"/>
    <cellStyle name="Normal 12 2 2 2 2 4 3 2" xfId="39624"/>
    <cellStyle name="Normal 12 2 2 2 2 4 4" xfId="27319"/>
    <cellStyle name="Normal 12 2 2 2 2 5" xfId="10523"/>
    <cellStyle name="Normal 12 2 2 2 2 5 2" xfId="30406"/>
    <cellStyle name="Normal 12 2 2 2 2 6" xfId="16675"/>
    <cellStyle name="Normal 12 2 2 2 2 6 2" xfId="36558"/>
    <cellStyle name="Normal 12 2 2 2 2 7" xfId="24253"/>
    <cellStyle name="Normal 12 2 2 2 3" xfId="4987"/>
    <cellStyle name="Normal 12 2 2 2 3 2" xfId="6612"/>
    <cellStyle name="Normal 12 2 2 2 3 2 2" xfId="9698"/>
    <cellStyle name="Normal 12 2 2 2 3 2 2 2" xfId="15891"/>
    <cellStyle name="Normal 12 2 2 2 3 2 2 2 2" xfId="35774"/>
    <cellStyle name="Normal 12 2 2 2 3 2 2 3" xfId="22043"/>
    <cellStyle name="Normal 12 2 2 2 3 2 2 3 2" xfId="41926"/>
    <cellStyle name="Normal 12 2 2 2 3 2 2 4" xfId="29621"/>
    <cellStyle name="Normal 12 2 2 2 3 2 3" xfId="12825"/>
    <cellStyle name="Normal 12 2 2 2 3 2 3 2" xfId="32708"/>
    <cellStyle name="Normal 12 2 2 2 3 2 4" xfId="18977"/>
    <cellStyle name="Normal 12 2 2 2 3 2 4 2" xfId="38860"/>
    <cellStyle name="Normal 12 2 2 2 3 2 5" xfId="26555"/>
    <cellStyle name="Normal 12 2 2 2 3 3" xfId="8163"/>
    <cellStyle name="Normal 12 2 2 2 3 3 2" xfId="14357"/>
    <cellStyle name="Normal 12 2 2 2 3 3 2 2" xfId="34240"/>
    <cellStyle name="Normal 12 2 2 2 3 3 3" xfId="20509"/>
    <cellStyle name="Normal 12 2 2 2 3 3 3 2" xfId="40392"/>
    <cellStyle name="Normal 12 2 2 2 3 3 4" xfId="28087"/>
    <cellStyle name="Normal 12 2 2 2 3 4" xfId="11291"/>
    <cellStyle name="Normal 12 2 2 2 3 4 2" xfId="31174"/>
    <cellStyle name="Normal 12 2 2 2 3 5" xfId="17443"/>
    <cellStyle name="Normal 12 2 2 2 3 5 2" xfId="37326"/>
    <cellStyle name="Normal 12 2 2 2 3 6" xfId="25021"/>
    <cellStyle name="Normal 12 2 2 2 4" xfId="5829"/>
    <cellStyle name="Normal 12 2 2 2 4 2" xfId="8929"/>
    <cellStyle name="Normal 12 2 2 2 4 2 2" xfId="15122"/>
    <cellStyle name="Normal 12 2 2 2 4 2 2 2" xfId="35005"/>
    <cellStyle name="Normal 12 2 2 2 4 2 3" xfId="21274"/>
    <cellStyle name="Normal 12 2 2 2 4 2 3 2" xfId="41157"/>
    <cellStyle name="Normal 12 2 2 2 4 2 4" xfId="28852"/>
    <cellStyle name="Normal 12 2 2 2 4 3" xfId="12056"/>
    <cellStyle name="Normal 12 2 2 2 4 3 2" xfId="31939"/>
    <cellStyle name="Normal 12 2 2 2 4 4" xfId="18208"/>
    <cellStyle name="Normal 12 2 2 2 4 4 2" xfId="38091"/>
    <cellStyle name="Normal 12 2 2 2 4 5" xfId="25786"/>
    <cellStyle name="Normal 12 2 2 2 5" xfId="7394"/>
    <cellStyle name="Normal 12 2 2 2 5 2" xfId="13588"/>
    <cellStyle name="Normal 12 2 2 2 5 2 2" xfId="33471"/>
    <cellStyle name="Normal 12 2 2 2 5 3" xfId="19740"/>
    <cellStyle name="Normal 12 2 2 2 5 3 2" xfId="39623"/>
    <cellStyle name="Normal 12 2 2 2 5 4" xfId="27318"/>
    <cellStyle name="Normal 12 2 2 2 6" xfId="10522"/>
    <cellStyle name="Normal 12 2 2 2 6 2" xfId="30405"/>
    <cellStyle name="Normal 12 2 2 2 7" xfId="16674"/>
    <cellStyle name="Normal 12 2 2 2 7 2" xfId="36557"/>
    <cellStyle name="Normal 12 2 2 2 8" xfId="24252"/>
    <cellStyle name="Normal 12 2 2 3" xfId="3460"/>
    <cellStyle name="Normal 12 2 2 3 2" xfId="3461"/>
    <cellStyle name="Normal 12 2 2 3 2 2" xfId="4990"/>
    <cellStyle name="Normal 12 2 2 3 2 2 2" xfId="6615"/>
    <cellStyle name="Normal 12 2 2 3 2 2 2 2" xfId="9701"/>
    <cellStyle name="Normal 12 2 2 3 2 2 2 2 2" xfId="15894"/>
    <cellStyle name="Normal 12 2 2 3 2 2 2 2 2 2" xfId="35777"/>
    <cellStyle name="Normal 12 2 2 3 2 2 2 2 3" xfId="22046"/>
    <cellStyle name="Normal 12 2 2 3 2 2 2 2 3 2" xfId="41929"/>
    <cellStyle name="Normal 12 2 2 3 2 2 2 2 4" xfId="29624"/>
    <cellStyle name="Normal 12 2 2 3 2 2 2 3" xfId="12828"/>
    <cellStyle name="Normal 12 2 2 3 2 2 2 3 2" xfId="32711"/>
    <cellStyle name="Normal 12 2 2 3 2 2 2 4" xfId="18980"/>
    <cellStyle name="Normal 12 2 2 3 2 2 2 4 2" xfId="38863"/>
    <cellStyle name="Normal 12 2 2 3 2 2 2 5" xfId="26558"/>
    <cellStyle name="Normal 12 2 2 3 2 2 3" xfId="8166"/>
    <cellStyle name="Normal 12 2 2 3 2 2 3 2" xfId="14360"/>
    <cellStyle name="Normal 12 2 2 3 2 2 3 2 2" xfId="34243"/>
    <cellStyle name="Normal 12 2 2 3 2 2 3 3" xfId="20512"/>
    <cellStyle name="Normal 12 2 2 3 2 2 3 3 2" xfId="40395"/>
    <cellStyle name="Normal 12 2 2 3 2 2 3 4" xfId="28090"/>
    <cellStyle name="Normal 12 2 2 3 2 2 4" xfId="11294"/>
    <cellStyle name="Normal 12 2 2 3 2 2 4 2" xfId="31177"/>
    <cellStyle name="Normal 12 2 2 3 2 2 5" xfId="17446"/>
    <cellStyle name="Normal 12 2 2 3 2 2 5 2" xfId="37329"/>
    <cellStyle name="Normal 12 2 2 3 2 2 6" xfId="25024"/>
    <cellStyle name="Normal 12 2 2 3 2 3" xfId="5832"/>
    <cellStyle name="Normal 12 2 2 3 2 3 2" xfId="8932"/>
    <cellStyle name="Normal 12 2 2 3 2 3 2 2" xfId="15125"/>
    <cellStyle name="Normal 12 2 2 3 2 3 2 2 2" xfId="35008"/>
    <cellStyle name="Normal 12 2 2 3 2 3 2 3" xfId="21277"/>
    <cellStyle name="Normal 12 2 2 3 2 3 2 3 2" xfId="41160"/>
    <cellStyle name="Normal 12 2 2 3 2 3 2 4" xfId="28855"/>
    <cellStyle name="Normal 12 2 2 3 2 3 3" xfId="12059"/>
    <cellStyle name="Normal 12 2 2 3 2 3 3 2" xfId="31942"/>
    <cellStyle name="Normal 12 2 2 3 2 3 4" xfId="18211"/>
    <cellStyle name="Normal 12 2 2 3 2 3 4 2" xfId="38094"/>
    <cellStyle name="Normal 12 2 2 3 2 3 5" xfId="25789"/>
    <cellStyle name="Normal 12 2 2 3 2 4" xfId="7397"/>
    <cellStyle name="Normal 12 2 2 3 2 4 2" xfId="13591"/>
    <cellStyle name="Normal 12 2 2 3 2 4 2 2" xfId="33474"/>
    <cellStyle name="Normal 12 2 2 3 2 4 3" xfId="19743"/>
    <cellStyle name="Normal 12 2 2 3 2 4 3 2" xfId="39626"/>
    <cellStyle name="Normal 12 2 2 3 2 4 4" xfId="27321"/>
    <cellStyle name="Normal 12 2 2 3 2 5" xfId="10525"/>
    <cellStyle name="Normal 12 2 2 3 2 5 2" xfId="30408"/>
    <cellStyle name="Normal 12 2 2 3 2 6" xfId="16677"/>
    <cellStyle name="Normal 12 2 2 3 2 6 2" xfId="36560"/>
    <cellStyle name="Normal 12 2 2 3 2 7" xfId="24255"/>
    <cellStyle name="Normal 12 2 2 3 3" xfId="4989"/>
    <cellStyle name="Normal 12 2 2 3 3 2" xfId="6614"/>
    <cellStyle name="Normal 12 2 2 3 3 2 2" xfId="9700"/>
    <cellStyle name="Normal 12 2 2 3 3 2 2 2" xfId="15893"/>
    <cellStyle name="Normal 12 2 2 3 3 2 2 2 2" xfId="35776"/>
    <cellStyle name="Normal 12 2 2 3 3 2 2 3" xfId="22045"/>
    <cellStyle name="Normal 12 2 2 3 3 2 2 3 2" xfId="41928"/>
    <cellStyle name="Normal 12 2 2 3 3 2 2 4" xfId="29623"/>
    <cellStyle name="Normal 12 2 2 3 3 2 3" xfId="12827"/>
    <cellStyle name="Normal 12 2 2 3 3 2 3 2" xfId="32710"/>
    <cellStyle name="Normal 12 2 2 3 3 2 4" xfId="18979"/>
    <cellStyle name="Normal 12 2 2 3 3 2 4 2" xfId="38862"/>
    <cellStyle name="Normal 12 2 2 3 3 2 5" xfId="26557"/>
    <cellStyle name="Normal 12 2 2 3 3 3" xfId="8165"/>
    <cellStyle name="Normal 12 2 2 3 3 3 2" xfId="14359"/>
    <cellStyle name="Normal 12 2 2 3 3 3 2 2" xfId="34242"/>
    <cellStyle name="Normal 12 2 2 3 3 3 3" xfId="20511"/>
    <cellStyle name="Normal 12 2 2 3 3 3 3 2" xfId="40394"/>
    <cellStyle name="Normal 12 2 2 3 3 3 4" xfId="28089"/>
    <cellStyle name="Normal 12 2 2 3 3 4" xfId="11293"/>
    <cellStyle name="Normal 12 2 2 3 3 4 2" xfId="31176"/>
    <cellStyle name="Normal 12 2 2 3 3 5" xfId="17445"/>
    <cellStyle name="Normal 12 2 2 3 3 5 2" xfId="37328"/>
    <cellStyle name="Normal 12 2 2 3 3 6" xfId="25023"/>
    <cellStyle name="Normal 12 2 2 3 4" xfId="5831"/>
    <cellStyle name="Normal 12 2 2 3 4 2" xfId="8931"/>
    <cellStyle name="Normal 12 2 2 3 4 2 2" xfId="15124"/>
    <cellStyle name="Normal 12 2 2 3 4 2 2 2" xfId="35007"/>
    <cellStyle name="Normal 12 2 2 3 4 2 3" xfId="21276"/>
    <cellStyle name="Normal 12 2 2 3 4 2 3 2" xfId="41159"/>
    <cellStyle name="Normal 12 2 2 3 4 2 4" xfId="28854"/>
    <cellStyle name="Normal 12 2 2 3 4 3" xfId="12058"/>
    <cellStyle name="Normal 12 2 2 3 4 3 2" xfId="31941"/>
    <cellStyle name="Normal 12 2 2 3 4 4" xfId="18210"/>
    <cellStyle name="Normal 12 2 2 3 4 4 2" xfId="38093"/>
    <cellStyle name="Normal 12 2 2 3 4 5" xfId="25788"/>
    <cellStyle name="Normal 12 2 2 3 5" xfId="7396"/>
    <cellStyle name="Normal 12 2 2 3 5 2" xfId="13590"/>
    <cellStyle name="Normal 12 2 2 3 5 2 2" xfId="33473"/>
    <cellStyle name="Normal 12 2 2 3 5 3" xfId="19742"/>
    <cellStyle name="Normal 12 2 2 3 5 3 2" xfId="39625"/>
    <cellStyle name="Normal 12 2 2 3 5 4" xfId="27320"/>
    <cellStyle name="Normal 12 2 2 3 6" xfId="10524"/>
    <cellStyle name="Normal 12 2 2 3 6 2" xfId="30407"/>
    <cellStyle name="Normal 12 2 2 3 7" xfId="16676"/>
    <cellStyle name="Normal 12 2 2 3 7 2" xfId="36559"/>
    <cellStyle name="Normal 12 2 2 3 8" xfId="24254"/>
    <cellStyle name="Normal 12 2 2 4" xfId="3462"/>
    <cellStyle name="Normal 12 2 2 4 2" xfId="4991"/>
    <cellStyle name="Normal 12 2 2 4 2 2" xfId="6616"/>
    <cellStyle name="Normal 12 2 2 4 2 2 2" xfId="9702"/>
    <cellStyle name="Normal 12 2 2 4 2 2 2 2" xfId="15895"/>
    <cellStyle name="Normal 12 2 2 4 2 2 2 2 2" xfId="35778"/>
    <cellStyle name="Normal 12 2 2 4 2 2 2 3" xfId="22047"/>
    <cellStyle name="Normal 12 2 2 4 2 2 2 3 2" xfId="41930"/>
    <cellStyle name="Normal 12 2 2 4 2 2 2 4" xfId="29625"/>
    <cellStyle name="Normal 12 2 2 4 2 2 3" xfId="12829"/>
    <cellStyle name="Normal 12 2 2 4 2 2 3 2" xfId="32712"/>
    <cellStyle name="Normal 12 2 2 4 2 2 4" xfId="18981"/>
    <cellStyle name="Normal 12 2 2 4 2 2 4 2" xfId="38864"/>
    <cellStyle name="Normal 12 2 2 4 2 2 5" xfId="26559"/>
    <cellStyle name="Normal 12 2 2 4 2 3" xfId="8167"/>
    <cellStyle name="Normal 12 2 2 4 2 3 2" xfId="14361"/>
    <cellStyle name="Normal 12 2 2 4 2 3 2 2" xfId="34244"/>
    <cellStyle name="Normal 12 2 2 4 2 3 3" xfId="20513"/>
    <cellStyle name="Normal 12 2 2 4 2 3 3 2" xfId="40396"/>
    <cellStyle name="Normal 12 2 2 4 2 3 4" xfId="28091"/>
    <cellStyle name="Normal 12 2 2 4 2 4" xfId="11295"/>
    <cellStyle name="Normal 12 2 2 4 2 4 2" xfId="31178"/>
    <cellStyle name="Normal 12 2 2 4 2 5" xfId="17447"/>
    <cellStyle name="Normal 12 2 2 4 2 5 2" xfId="37330"/>
    <cellStyle name="Normal 12 2 2 4 2 6" xfId="25025"/>
    <cellStyle name="Normal 12 2 2 4 3" xfId="5833"/>
    <cellStyle name="Normal 12 2 2 4 3 2" xfId="8933"/>
    <cellStyle name="Normal 12 2 2 4 3 2 2" xfId="15126"/>
    <cellStyle name="Normal 12 2 2 4 3 2 2 2" xfId="35009"/>
    <cellStyle name="Normal 12 2 2 4 3 2 3" xfId="21278"/>
    <cellStyle name="Normal 12 2 2 4 3 2 3 2" xfId="41161"/>
    <cellStyle name="Normal 12 2 2 4 3 2 4" xfId="28856"/>
    <cellStyle name="Normal 12 2 2 4 3 3" xfId="12060"/>
    <cellStyle name="Normal 12 2 2 4 3 3 2" xfId="31943"/>
    <cellStyle name="Normal 12 2 2 4 3 4" xfId="18212"/>
    <cellStyle name="Normal 12 2 2 4 3 4 2" xfId="38095"/>
    <cellStyle name="Normal 12 2 2 4 3 5" xfId="25790"/>
    <cellStyle name="Normal 12 2 2 4 4" xfId="7398"/>
    <cellStyle name="Normal 12 2 2 4 4 2" xfId="13592"/>
    <cellStyle name="Normal 12 2 2 4 4 2 2" xfId="33475"/>
    <cellStyle name="Normal 12 2 2 4 4 3" xfId="19744"/>
    <cellStyle name="Normal 12 2 2 4 4 3 2" xfId="39627"/>
    <cellStyle name="Normal 12 2 2 4 4 4" xfId="27322"/>
    <cellStyle name="Normal 12 2 2 4 5" xfId="10526"/>
    <cellStyle name="Normal 12 2 2 4 5 2" xfId="30409"/>
    <cellStyle name="Normal 12 2 2 4 6" xfId="16678"/>
    <cellStyle name="Normal 12 2 2 4 6 2" xfId="36561"/>
    <cellStyle name="Normal 12 2 2 4 7" xfId="24256"/>
    <cellStyle name="Normal 12 2 2 5" xfId="4986"/>
    <cellStyle name="Normal 12 2 2 5 2" xfId="6611"/>
    <cellStyle name="Normal 12 2 2 5 2 2" xfId="9697"/>
    <cellStyle name="Normal 12 2 2 5 2 2 2" xfId="15890"/>
    <cellStyle name="Normal 12 2 2 5 2 2 2 2" xfId="35773"/>
    <cellStyle name="Normal 12 2 2 5 2 2 3" xfId="22042"/>
    <cellStyle name="Normal 12 2 2 5 2 2 3 2" xfId="41925"/>
    <cellStyle name="Normal 12 2 2 5 2 2 4" xfId="29620"/>
    <cellStyle name="Normal 12 2 2 5 2 3" xfId="12824"/>
    <cellStyle name="Normal 12 2 2 5 2 3 2" xfId="32707"/>
    <cellStyle name="Normal 12 2 2 5 2 4" xfId="18976"/>
    <cellStyle name="Normal 12 2 2 5 2 4 2" xfId="38859"/>
    <cellStyle name="Normal 12 2 2 5 2 5" xfId="26554"/>
    <cellStyle name="Normal 12 2 2 5 3" xfId="8162"/>
    <cellStyle name="Normal 12 2 2 5 3 2" xfId="14356"/>
    <cellStyle name="Normal 12 2 2 5 3 2 2" xfId="34239"/>
    <cellStyle name="Normal 12 2 2 5 3 3" xfId="20508"/>
    <cellStyle name="Normal 12 2 2 5 3 3 2" xfId="40391"/>
    <cellStyle name="Normal 12 2 2 5 3 4" xfId="28086"/>
    <cellStyle name="Normal 12 2 2 5 4" xfId="11290"/>
    <cellStyle name="Normal 12 2 2 5 4 2" xfId="31173"/>
    <cellStyle name="Normal 12 2 2 5 5" xfId="17442"/>
    <cellStyle name="Normal 12 2 2 5 5 2" xfId="37325"/>
    <cellStyle name="Normal 12 2 2 5 6" xfId="25020"/>
    <cellStyle name="Normal 12 2 2 6" xfId="5828"/>
    <cellStyle name="Normal 12 2 2 6 2" xfId="8928"/>
    <cellStyle name="Normal 12 2 2 6 2 2" xfId="15121"/>
    <cellStyle name="Normal 12 2 2 6 2 2 2" xfId="35004"/>
    <cellStyle name="Normal 12 2 2 6 2 3" xfId="21273"/>
    <cellStyle name="Normal 12 2 2 6 2 3 2" xfId="41156"/>
    <cellStyle name="Normal 12 2 2 6 2 4" xfId="28851"/>
    <cellStyle name="Normal 12 2 2 6 3" xfId="12055"/>
    <cellStyle name="Normal 12 2 2 6 3 2" xfId="31938"/>
    <cellStyle name="Normal 12 2 2 6 4" xfId="18207"/>
    <cellStyle name="Normal 12 2 2 6 4 2" xfId="38090"/>
    <cellStyle name="Normal 12 2 2 6 5" xfId="25785"/>
    <cellStyle name="Normal 12 2 2 7" xfId="7393"/>
    <cellStyle name="Normal 12 2 2 7 2" xfId="13587"/>
    <cellStyle name="Normal 12 2 2 7 2 2" xfId="33470"/>
    <cellStyle name="Normal 12 2 2 7 3" xfId="19739"/>
    <cellStyle name="Normal 12 2 2 7 3 2" xfId="39622"/>
    <cellStyle name="Normal 12 2 2 7 4" xfId="27317"/>
    <cellStyle name="Normal 12 2 2 8" xfId="10521"/>
    <cellStyle name="Normal 12 2 2 8 2" xfId="30404"/>
    <cellStyle name="Normal 12 2 2 9" xfId="16673"/>
    <cellStyle name="Normal 12 2 2 9 2" xfId="36556"/>
    <cellStyle name="Normal 12 2 3" xfId="3463"/>
    <cellStyle name="Normal 12 2 3 2" xfId="3464"/>
    <cellStyle name="Normal 12 2 3 2 2" xfId="4993"/>
    <cellStyle name="Normal 12 2 3 2 2 2" xfId="6618"/>
    <cellStyle name="Normal 12 2 3 2 2 2 2" xfId="9704"/>
    <cellStyle name="Normal 12 2 3 2 2 2 2 2" xfId="15897"/>
    <cellStyle name="Normal 12 2 3 2 2 2 2 2 2" xfId="35780"/>
    <cellStyle name="Normal 12 2 3 2 2 2 2 3" xfId="22049"/>
    <cellStyle name="Normal 12 2 3 2 2 2 2 3 2" xfId="41932"/>
    <cellStyle name="Normal 12 2 3 2 2 2 2 4" xfId="29627"/>
    <cellStyle name="Normal 12 2 3 2 2 2 3" xfId="12831"/>
    <cellStyle name="Normal 12 2 3 2 2 2 3 2" xfId="32714"/>
    <cellStyle name="Normal 12 2 3 2 2 2 4" xfId="18983"/>
    <cellStyle name="Normal 12 2 3 2 2 2 4 2" xfId="38866"/>
    <cellStyle name="Normal 12 2 3 2 2 2 5" xfId="26561"/>
    <cellStyle name="Normal 12 2 3 2 2 3" xfId="8169"/>
    <cellStyle name="Normal 12 2 3 2 2 3 2" xfId="14363"/>
    <cellStyle name="Normal 12 2 3 2 2 3 2 2" xfId="34246"/>
    <cellStyle name="Normal 12 2 3 2 2 3 3" xfId="20515"/>
    <cellStyle name="Normal 12 2 3 2 2 3 3 2" xfId="40398"/>
    <cellStyle name="Normal 12 2 3 2 2 3 4" xfId="28093"/>
    <cellStyle name="Normal 12 2 3 2 2 4" xfId="11297"/>
    <cellStyle name="Normal 12 2 3 2 2 4 2" xfId="31180"/>
    <cellStyle name="Normal 12 2 3 2 2 5" xfId="17449"/>
    <cellStyle name="Normal 12 2 3 2 2 5 2" xfId="37332"/>
    <cellStyle name="Normal 12 2 3 2 2 6" xfId="25027"/>
    <cellStyle name="Normal 12 2 3 2 3" xfId="5835"/>
    <cellStyle name="Normal 12 2 3 2 3 2" xfId="8935"/>
    <cellStyle name="Normal 12 2 3 2 3 2 2" xfId="15128"/>
    <cellStyle name="Normal 12 2 3 2 3 2 2 2" xfId="35011"/>
    <cellStyle name="Normal 12 2 3 2 3 2 3" xfId="21280"/>
    <cellStyle name="Normal 12 2 3 2 3 2 3 2" xfId="41163"/>
    <cellStyle name="Normal 12 2 3 2 3 2 4" xfId="28858"/>
    <cellStyle name="Normal 12 2 3 2 3 3" xfId="12062"/>
    <cellStyle name="Normal 12 2 3 2 3 3 2" xfId="31945"/>
    <cellStyle name="Normal 12 2 3 2 3 4" xfId="18214"/>
    <cellStyle name="Normal 12 2 3 2 3 4 2" xfId="38097"/>
    <cellStyle name="Normal 12 2 3 2 3 5" xfId="25792"/>
    <cellStyle name="Normal 12 2 3 2 4" xfId="7400"/>
    <cellStyle name="Normal 12 2 3 2 4 2" xfId="13594"/>
    <cellStyle name="Normal 12 2 3 2 4 2 2" xfId="33477"/>
    <cellStyle name="Normal 12 2 3 2 4 3" xfId="19746"/>
    <cellStyle name="Normal 12 2 3 2 4 3 2" xfId="39629"/>
    <cellStyle name="Normal 12 2 3 2 4 4" xfId="27324"/>
    <cellStyle name="Normal 12 2 3 2 5" xfId="10528"/>
    <cellStyle name="Normal 12 2 3 2 5 2" xfId="30411"/>
    <cellStyle name="Normal 12 2 3 2 6" xfId="16680"/>
    <cellStyle name="Normal 12 2 3 2 6 2" xfId="36563"/>
    <cellStyle name="Normal 12 2 3 2 7" xfId="24258"/>
    <cellStyle name="Normal 12 2 3 3" xfId="4992"/>
    <cellStyle name="Normal 12 2 3 3 2" xfId="6617"/>
    <cellStyle name="Normal 12 2 3 3 2 2" xfId="9703"/>
    <cellStyle name="Normal 12 2 3 3 2 2 2" xfId="15896"/>
    <cellStyle name="Normal 12 2 3 3 2 2 2 2" xfId="35779"/>
    <cellStyle name="Normal 12 2 3 3 2 2 3" xfId="22048"/>
    <cellStyle name="Normal 12 2 3 3 2 2 3 2" xfId="41931"/>
    <cellStyle name="Normal 12 2 3 3 2 2 4" xfId="29626"/>
    <cellStyle name="Normal 12 2 3 3 2 3" xfId="12830"/>
    <cellStyle name="Normal 12 2 3 3 2 3 2" xfId="32713"/>
    <cellStyle name="Normal 12 2 3 3 2 4" xfId="18982"/>
    <cellStyle name="Normal 12 2 3 3 2 4 2" xfId="38865"/>
    <cellStyle name="Normal 12 2 3 3 2 5" xfId="26560"/>
    <cellStyle name="Normal 12 2 3 3 3" xfId="8168"/>
    <cellStyle name="Normal 12 2 3 3 3 2" xfId="14362"/>
    <cellStyle name="Normal 12 2 3 3 3 2 2" xfId="34245"/>
    <cellStyle name="Normal 12 2 3 3 3 3" xfId="20514"/>
    <cellStyle name="Normal 12 2 3 3 3 3 2" xfId="40397"/>
    <cellStyle name="Normal 12 2 3 3 3 4" xfId="28092"/>
    <cellStyle name="Normal 12 2 3 3 4" xfId="11296"/>
    <cellStyle name="Normal 12 2 3 3 4 2" xfId="31179"/>
    <cellStyle name="Normal 12 2 3 3 5" xfId="17448"/>
    <cellStyle name="Normal 12 2 3 3 5 2" xfId="37331"/>
    <cellStyle name="Normal 12 2 3 3 6" xfId="25026"/>
    <cellStyle name="Normal 12 2 3 4" xfId="5834"/>
    <cellStyle name="Normal 12 2 3 4 2" xfId="8934"/>
    <cellStyle name="Normal 12 2 3 4 2 2" xfId="15127"/>
    <cellStyle name="Normal 12 2 3 4 2 2 2" xfId="35010"/>
    <cellStyle name="Normal 12 2 3 4 2 3" xfId="21279"/>
    <cellStyle name="Normal 12 2 3 4 2 3 2" xfId="41162"/>
    <cellStyle name="Normal 12 2 3 4 2 4" xfId="28857"/>
    <cellStyle name="Normal 12 2 3 4 3" xfId="12061"/>
    <cellStyle name="Normal 12 2 3 4 3 2" xfId="31944"/>
    <cellStyle name="Normal 12 2 3 4 4" xfId="18213"/>
    <cellStyle name="Normal 12 2 3 4 4 2" xfId="38096"/>
    <cellStyle name="Normal 12 2 3 4 5" xfId="25791"/>
    <cellStyle name="Normal 12 2 3 5" xfId="7399"/>
    <cellStyle name="Normal 12 2 3 5 2" xfId="13593"/>
    <cellStyle name="Normal 12 2 3 5 2 2" xfId="33476"/>
    <cellStyle name="Normal 12 2 3 5 3" xfId="19745"/>
    <cellStyle name="Normal 12 2 3 5 3 2" xfId="39628"/>
    <cellStyle name="Normal 12 2 3 5 4" xfId="27323"/>
    <cellStyle name="Normal 12 2 3 6" xfId="10527"/>
    <cellStyle name="Normal 12 2 3 6 2" xfId="30410"/>
    <cellStyle name="Normal 12 2 3 7" xfId="16679"/>
    <cellStyle name="Normal 12 2 3 7 2" xfId="36562"/>
    <cellStyle name="Normal 12 2 3 8" xfId="24257"/>
    <cellStyle name="Normal 12 2 4" xfId="3465"/>
    <cellStyle name="Normal 12 2 4 2" xfId="3466"/>
    <cellStyle name="Normal 12 2 4 2 2" xfId="4995"/>
    <cellStyle name="Normal 12 2 4 2 2 2" xfId="6620"/>
    <cellStyle name="Normal 12 2 4 2 2 2 2" xfId="9706"/>
    <cellStyle name="Normal 12 2 4 2 2 2 2 2" xfId="15899"/>
    <cellStyle name="Normal 12 2 4 2 2 2 2 2 2" xfId="35782"/>
    <cellStyle name="Normal 12 2 4 2 2 2 2 3" xfId="22051"/>
    <cellStyle name="Normal 12 2 4 2 2 2 2 3 2" xfId="41934"/>
    <cellStyle name="Normal 12 2 4 2 2 2 2 4" xfId="29629"/>
    <cellStyle name="Normal 12 2 4 2 2 2 3" xfId="12833"/>
    <cellStyle name="Normal 12 2 4 2 2 2 3 2" xfId="32716"/>
    <cellStyle name="Normal 12 2 4 2 2 2 4" xfId="18985"/>
    <cellStyle name="Normal 12 2 4 2 2 2 4 2" xfId="38868"/>
    <cellStyle name="Normal 12 2 4 2 2 2 5" xfId="26563"/>
    <cellStyle name="Normal 12 2 4 2 2 3" xfId="8171"/>
    <cellStyle name="Normal 12 2 4 2 2 3 2" xfId="14365"/>
    <cellStyle name="Normal 12 2 4 2 2 3 2 2" xfId="34248"/>
    <cellStyle name="Normal 12 2 4 2 2 3 3" xfId="20517"/>
    <cellStyle name="Normal 12 2 4 2 2 3 3 2" xfId="40400"/>
    <cellStyle name="Normal 12 2 4 2 2 3 4" xfId="28095"/>
    <cellStyle name="Normal 12 2 4 2 2 4" xfId="11299"/>
    <cellStyle name="Normal 12 2 4 2 2 4 2" xfId="31182"/>
    <cellStyle name="Normal 12 2 4 2 2 5" xfId="17451"/>
    <cellStyle name="Normal 12 2 4 2 2 5 2" xfId="37334"/>
    <cellStyle name="Normal 12 2 4 2 2 6" xfId="25029"/>
    <cellStyle name="Normal 12 2 4 2 3" xfId="5837"/>
    <cellStyle name="Normal 12 2 4 2 3 2" xfId="8937"/>
    <cellStyle name="Normal 12 2 4 2 3 2 2" xfId="15130"/>
    <cellStyle name="Normal 12 2 4 2 3 2 2 2" xfId="35013"/>
    <cellStyle name="Normal 12 2 4 2 3 2 3" xfId="21282"/>
    <cellStyle name="Normal 12 2 4 2 3 2 3 2" xfId="41165"/>
    <cellStyle name="Normal 12 2 4 2 3 2 4" xfId="28860"/>
    <cellStyle name="Normal 12 2 4 2 3 3" xfId="12064"/>
    <cellStyle name="Normal 12 2 4 2 3 3 2" xfId="31947"/>
    <cellStyle name="Normal 12 2 4 2 3 4" xfId="18216"/>
    <cellStyle name="Normal 12 2 4 2 3 4 2" xfId="38099"/>
    <cellStyle name="Normal 12 2 4 2 3 5" xfId="25794"/>
    <cellStyle name="Normal 12 2 4 2 4" xfId="7402"/>
    <cellStyle name="Normal 12 2 4 2 4 2" xfId="13596"/>
    <cellStyle name="Normal 12 2 4 2 4 2 2" xfId="33479"/>
    <cellStyle name="Normal 12 2 4 2 4 3" xfId="19748"/>
    <cellStyle name="Normal 12 2 4 2 4 3 2" xfId="39631"/>
    <cellStyle name="Normal 12 2 4 2 4 4" xfId="27326"/>
    <cellStyle name="Normal 12 2 4 2 5" xfId="10530"/>
    <cellStyle name="Normal 12 2 4 2 5 2" xfId="30413"/>
    <cellStyle name="Normal 12 2 4 2 6" xfId="16682"/>
    <cellStyle name="Normal 12 2 4 2 6 2" xfId="36565"/>
    <cellStyle name="Normal 12 2 4 2 7" xfId="24260"/>
    <cellStyle name="Normal 12 2 4 3" xfId="4994"/>
    <cellStyle name="Normal 12 2 4 3 2" xfId="6619"/>
    <cellStyle name="Normal 12 2 4 3 2 2" xfId="9705"/>
    <cellStyle name="Normal 12 2 4 3 2 2 2" xfId="15898"/>
    <cellStyle name="Normal 12 2 4 3 2 2 2 2" xfId="35781"/>
    <cellStyle name="Normal 12 2 4 3 2 2 3" xfId="22050"/>
    <cellStyle name="Normal 12 2 4 3 2 2 3 2" xfId="41933"/>
    <cellStyle name="Normal 12 2 4 3 2 2 4" xfId="29628"/>
    <cellStyle name="Normal 12 2 4 3 2 3" xfId="12832"/>
    <cellStyle name="Normal 12 2 4 3 2 3 2" xfId="32715"/>
    <cellStyle name="Normal 12 2 4 3 2 4" xfId="18984"/>
    <cellStyle name="Normal 12 2 4 3 2 4 2" xfId="38867"/>
    <cellStyle name="Normal 12 2 4 3 2 5" xfId="26562"/>
    <cellStyle name="Normal 12 2 4 3 3" xfId="8170"/>
    <cellStyle name="Normal 12 2 4 3 3 2" xfId="14364"/>
    <cellStyle name="Normal 12 2 4 3 3 2 2" xfId="34247"/>
    <cellStyle name="Normal 12 2 4 3 3 3" xfId="20516"/>
    <cellStyle name="Normal 12 2 4 3 3 3 2" xfId="40399"/>
    <cellStyle name="Normal 12 2 4 3 3 4" xfId="28094"/>
    <cellStyle name="Normal 12 2 4 3 4" xfId="11298"/>
    <cellStyle name="Normal 12 2 4 3 4 2" xfId="31181"/>
    <cellStyle name="Normal 12 2 4 3 5" xfId="17450"/>
    <cellStyle name="Normal 12 2 4 3 5 2" xfId="37333"/>
    <cellStyle name="Normal 12 2 4 3 6" xfId="25028"/>
    <cellStyle name="Normal 12 2 4 4" xfId="5836"/>
    <cellStyle name="Normal 12 2 4 4 2" xfId="8936"/>
    <cellStyle name="Normal 12 2 4 4 2 2" xfId="15129"/>
    <cellStyle name="Normal 12 2 4 4 2 2 2" xfId="35012"/>
    <cellStyle name="Normal 12 2 4 4 2 3" xfId="21281"/>
    <cellStyle name="Normal 12 2 4 4 2 3 2" xfId="41164"/>
    <cellStyle name="Normal 12 2 4 4 2 4" xfId="28859"/>
    <cellStyle name="Normal 12 2 4 4 3" xfId="12063"/>
    <cellStyle name="Normal 12 2 4 4 3 2" xfId="31946"/>
    <cellStyle name="Normal 12 2 4 4 4" xfId="18215"/>
    <cellStyle name="Normal 12 2 4 4 4 2" xfId="38098"/>
    <cellStyle name="Normal 12 2 4 4 5" xfId="25793"/>
    <cellStyle name="Normal 12 2 4 5" xfId="7401"/>
    <cellStyle name="Normal 12 2 4 5 2" xfId="13595"/>
    <cellStyle name="Normal 12 2 4 5 2 2" xfId="33478"/>
    <cellStyle name="Normal 12 2 4 5 3" xfId="19747"/>
    <cellStyle name="Normal 12 2 4 5 3 2" xfId="39630"/>
    <cellStyle name="Normal 12 2 4 5 4" xfId="27325"/>
    <cellStyle name="Normal 12 2 4 6" xfId="10529"/>
    <cellStyle name="Normal 12 2 4 6 2" xfId="30412"/>
    <cellStyle name="Normal 12 2 4 7" xfId="16681"/>
    <cellStyle name="Normal 12 2 4 7 2" xfId="36564"/>
    <cellStyle name="Normal 12 2 4 8" xfId="24259"/>
    <cellStyle name="Normal 12 2 5" xfId="3467"/>
    <cellStyle name="Normal 12 2 5 2" xfId="3468"/>
    <cellStyle name="Normal 12 2 5 2 2" xfId="4996"/>
    <cellStyle name="Normal 12 2 5 2 2 2" xfId="6621"/>
    <cellStyle name="Normal 12 2 5 2 2 2 2" xfId="9707"/>
    <cellStyle name="Normal 12 2 5 2 2 2 2 2" xfId="15900"/>
    <cellStyle name="Normal 12 2 5 2 2 2 2 2 2" xfId="35783"/>
    <cellStyle name="Normal 12 2 5 2 2 2 2 3" xfId="22052"/>
    <cellStyle name="Normal 12 2 5 2 2 2 2 3 2" xfId="41935"/>
    <cellStyle name="Normal 12 2 5 2 2 2 2 4" xfId="29630"/>
    <cellStyle name="Normal 12 2 5 2 2 2 3" xfId="12834"/>
    <cellStyle name="Normal 12 2 5 2 2 2 3 2" xfId="32717"/>
    <cellStyle name="Normal 12 2 5 2 2 2 4" xfId="18986"/>
    <cellStyle name="Normal 12 2 5 2 2 2 4 2" xfId="38869"/>
    <cellStyle name="Normal 12 2 5 2 2 2 5" xfId="26564"/>
    <cellStyle name="Normal 12 2 5 2 2 3" xfId="8172"/>
    <cellStyle name="Normal 12 2 5 2 2 3 2" xfId="14366"/>
    <cellStyle name="Normal 12 2 5 2 2 3 2 2" xfId="34249"/>
    <cellStyle name="Normal 12 2 5 2 2 3 3" xfId="20518"/>
    <cellStyle name="Normal 12 2 5 2 2 3 3 2" xfId="40401"/>
    <cellStyle name="Normal 12 2 5 2 2 3 4" xfId="28096"/>
    <cellStyle name="Normal 12 2 5 2 2 4" xfId="11300"/>
    <cellStyle name="Normal 12 2 5 2 2 4 2" xfId="31183"/>
    <cellStyle name="Normal 12 2 5 2 2 5" xfId="17452"/>
    <cellStyle name="Normal 12 2 5 2 2 5 2" xfId="37335"/>
    <cellStyle name="Normal 12 2 5 2 2 6" xfId="25030"/>
    <cellStyle name="Normal 12 2 5 2 3" xfId="5838"/>
    <cellStyle name="Normal 12 2 5 2 3 2" xfId="8938"/>
    <cellStyle name="Normal 12 2 5 2 3 2 2" xfId="15131"/>
    <cellStyle name="Normal 12 2 5 2 3 2 2 2" xfId="35014"/>
    <cellStyle name="Normal 12 2 5 2 3 2 3" xfId="21283"/>
    <cellStyle name="Normal 12 2 5 2 3 2 3 2" xfId="41166"/>
    <cellStyle name="Normal 12 2 5 2 3 2 4" xfId="28861"/>
    <cellStyle name="Normal 12 2 5 2 3 3" xfId="12065"/>
    <cellStyle name="Normal 12 2 5 2 3 3 2" xfId="31948"/>
    <cellStyle name="Normal 12 2 5 2 3 4" xfId="18217"/>
    <cellStyle name="Normal 12 2 5 2 3 4 2" xfId="38100"/>
    <cellStyle name="Normal 12 2 5 2 3 5" xfId="25795"/>
    <cellStyle name="Normal 12 2 5 2 4" xfId="7403"/>
    <cellStyle name="Normal 12 2 5 2 4 2" xfId="13597"/>
    <cellStyle name="Normal 12 2 5 2 4 2 2" xfId="33480"/>
    <cellStyle name="Normal 12 2 5 2 4 3" xfId="19749"/>
    <cellStyle name="Normal 12 2 5 2 4 3 2" xfId="39632"/>
    <cellStyle name="Normal 12 2 5 2 4 4" xfId="27327"/>
    <cellStyle name="Normal 12 2 5 2 5" xfId="10531"/>
    <cellStyle name="Normal 12 2 5 2 5 2" xfId="30414"/>
    <cellStyle name="Normal 12 2 5 2 6" xfId="16683"/>
    <cellStyle name="Normal 12 2 5 2 6 2" xfId="36566"/>
    <cellStyle name="Normal 12 2 5 2 7" xfId="24261"/>
    <cellStyle name="Normal 12 2 6" xfId="3469"/>
    <cellStyle name="Normal 12 2 6 2" xfId="4997"/>
    <cellStyle name="Normal 12 2 6 2 2" xfId="6622"/>
    <cellStyle name="Normal 12 2 6 2 2 2" xfId="9708"/>
    <cellStyle name="Normal 12 2 6 2 2 2 2" xfId="15901"/>
    <cellStyle name="Normal 12 2 6 2 2 2 2 2" xfId="35784"/>
    <cellStyle name="Normal 12 2 6 2 2 2 3" xfId="22053"/>
    <cellStyle name="Normal 12 2 6 2 2 2 3 2" xfId="41936"/>
    <cellStyle name="Normal 12 2 6 2 2 2 4" xfId="29631"/>
    <cellStyle name="Normal 12 2 6 2 2 3" xfId="12835"/>
    <cellStyle name="Normal 12 2 6 2 2 3 2" xfId="32718"/>
    <cellStyle name="Normal 12 2 6 2 2 4" xfId="18987"/>
    <cellStyle name="Normal 12 2 6 2 2 4 2" xfId="38870"/>
    <cellStyle name="Normal 12 2 6 2 2 5" xfId="26565"/>
    <cellStyle name="Normal 12 2 6 2 3" xfId="8173"/>
    <cellStyle name="Normal 12 2 6 2 3 2" xfId="14367"/>
    <cellStyle name="Normal 12 2 6 2 3 2 2" xfId="34250"/>
    <cellStyle name="Normal 12 2 6 2 3 3" xfId="20519"/>
    <cellStyle name="Normal 12 2 6 2 3 3 2" xfId="40402"/>
    <cellStyle name="Normal 12 2 6 2 3 4" xfId="28097"/>
    <cellStyle name="Normal 12 2 6 2 4" xfId="11301"/>
    <cellStyle name="Normal 12 2 6 2 4 2" xfId="31184"/>
    <cellStyle name="Normal 12 2 6 2 5" xfId="17453"/>
    <cellStyle name="Normal 12 2 6 2 5 2" xfId="37336"/>
    <cellStyle name="Normal 12 2 6 2 6" xfId="25031"/>
    <cellStyle name="Normal 12 2 6 3" xfId="5839"/>
    <cellStyle name="Normal 12 2 6 3 2" xfId="8939"/>
    <cellStyle name="Normal 12 2 6 3 2 2" xfId="15132"/>
    <cellStyle name="Normal 12 2 6 3 2 2 2" xfId="35015"/>
    <cellStyle name="Normal 12 2 6 3 2 3" xfId="21284"/>
    <cellStyle name="Normal 12 2 6 3 2 3 2" xfId="41167"/>
    <cellStyle name="Normal 12 2 6 3 2 4" xfId="28862"/>
    <cellStyle name="Normal 12 2 6 3 3" xfId="12066"/>
    <cellStyle name="Normal 12 2 6 3 3 2" xfId="31949"/>
    <cellStyle name="Normal 12 2 6 3 4" xfId="18218"/>
    <cellStyle name="Normal 12 2 6 3 4 2" xfId="38101"/>
    <cellStyle name="Normal 12 2 6 3 5" xfId="25796"/>
    <cellStyle name="Normal 12 2 6 4" xfId="7404"/>
    <cellStyle name="Normal 12 2 6 4 2" xfId="13598"/>
    <cellStyle name="Normal 12 2 6 4 2 2" xfId="33481"/>
    <cellStyle name="Normal 12 2 6 4 3" xfId="19750"/>
    <cellStyle name="Normal 12 2 6 4 3 2" xfId="39633"/>
    <cellStyle name="Normal 12 2 6 4 4" xfId="27328"/>
    <cellStyle name="Normal 12 2 6 5" xfId="10532"/>
    <cellStyle name="Normal 12 2 6 5 2" xfId="30415"/>
    <cellStyle name="Normal 12 2 6 6" xfId="16684"/>
    <cellStyle name="Normal 12 2 6 6 2" xfId="36567"/>
    <cellStyle name="Normal 12 2 6 7" xfId="24262"/>
    <cellStyle name="Normal 12 2 7" xfId="3456"/>
    <cellStyle name="Normal 12 2 8" xfId="23219"/>
    <cellStyle name="Normal 12 2 9" xfId="23350"/>
    <cellStyle name="Normal 12 3" xfId="130"/>
    <cellStyle name="Normal 12 3 10" xfId="3470"/>
    <cellStyle name="Normal 12 3 10 2" xfId="24263"/>
    <cellStyle name="Normal 12 3 11" xfId="23220"/>
    <cellStyle name="Normal 12 3 12" xfId="23375"/>
    <cellStyle name="Normal 12 3 2" xfId="3471"/>
    <cellStyle name="Normal 12 3 2 2" xfId="3472"/>
    <cellStyle name="Normal 12 3 2 2 2" xfId="5000"/>
    <cellStyle name="Normal 12 3 2 2 2 2" xfId="6625"/>
    <cellStyle name="Normal 12 3 2 2 2 2 2" xfId="9711"/>
    <cellStyle name="Normal 12 3 2 2 2 2 2 2" xfId="15904"/>
    <cellStyle name="Normal 12 3 2 2 2 2 2 2 2" xfId="35787"/>
    <cellStyle name="Normal 12 3 2 2 2 2 2 3" xfId="22056"/>
    <cellStyle name="Normal 12 3 2 2 2 2 2 3 2" xfId="41939"/>
    <cellStyle name="Normal 12 3 2 2 2 2 2 4" xfId="29634"/>
    <cellStyle name="Normal 12 3 2 2 2 2 3" xfId="12838"/>
    <cellStyle name="Normal 12 3 2 2 2 2 3 2" xfId="32721"/>
    <cellStyle name="Normal 12 3 2 2 2 2 4" xfId="18990"/>
    <cellStyle name="Normal 12 3 2 2 2 2 4 2" xfId="38873"/>
    <cellStyle name="Normal 12 3 2 2 2 2 5" xfId="26568"/>
    <cellStyle name="Normal 12 3 2 2 2 3" xfId="8176"/>
    <cellStyle name="Normal 12 3 2 2 2 3 2" xfId="14370"/>
    <cellStyle name="Normal 12 3 2 2 2 3 2 2" xfId="34253"/>
    <cellStyle name="Normal 12 3 2 2 2 3 3" xfId="20522"/>
    <cellStyle name="Normal 12 3 2 2 2 3 3 2" xfId="40405"/>
    <cellStyle name="Normal 12 3 2 2 2 3 4" xfId="28100"/>
    <cellStyle name="Normal 12 3 2 2 2 4" xfId="11304"/>
    <cellStyle name="Normal 12 3 2 2 2 4 2" xfId="31187"/>
    <cellStyle name="Normal 12 3 2 2 2 5" xfId="17456"/>
    <cellStyle name="Normal 12 3 2 2 2 5 2" xfId="37339"/>
    <cellStyle name="Normal 12 3 2 2 2 6" xfId="25034"/>
    <cellStyle name="Normal 12 3 2 2 3" xfId="5842"/>
    <cellStyle name="Normal 12 3 2 2 3 2" xfId="8942"/>
    <cellStyle name="Normal 12 3 2 2 3 2 2" xfId="15135"/>
    <cellStyle name="Normal 12 3 2 2 3 2 2 2" xfId="35018"/>
    <cellStyle name="Normal 12 3 2 2 3 2 3" xfId="21287"/>
    <cellStyle name="Normal 12 3 2 2 3 2 3 2" xfId="41170"/>
    <cellStyle name="Normal 12 3 2 2 3 2 4" xfId="28865"/>
    <cellStyle name="Normal 12 3 2 2 3 3" xfId="12069"/>
    <cellStyle name="Normal 12 3 2 2 3 3 2" xfId="31952"/>
    <cellStyle name="Normal 12 3 2 2 3 4" xfId="18221"/>
    <cellStyle name="Normal 12 3 2 2 3 4 2" xfId="38104"/>
    <cellStyle name="Normal 12 3 2 2 3 5" xfId="25799"/>
    <cellStyle name="Normal 12 3 2 2 4" xfId="7407"/>
    <cellStyle name="Normal 12 3 2 2 4 2" xfId="13601"/>
    <cellStyle name="Normal 12 3 2 2 4 2 2" xfId="33484"/>
    <cellStyle name="Normal 12 3 2 2 4 3" xfId="19753"/>
    <cellStyle name="Normal 12 3 2 2 4 3 2" xfId="39636"/>
    <cellStyle name="Normal 12 3 2 2 4 4" xfId="27331"/>
    <cellStyle name="Normal 12 3 2 2 5" xfId="10535"/>
    <cellStyle name="Normal 12 3 2 2 5 2" xfId="30418"/>
    <cellStyle name="Normal 12 3 2 2 6" xfId="16687"/>
    <cellStyle name="Normal 12 3 2 2 6 2" xfId="36570"/>
    <cellStyle name="Normal 12 3 2 2 7" xfId="24265"/>
    <cellStyle name="Normal 12 3 2 3" xfId="4999"/>
    <cellStyle name="Normal 12 3 2 3 2" xfId="6624"/>
    <cellStyle name="Normal 12 3 2 3 2 2" xfId="9710"/>
    <cellStyle name="Normal 12 3 2 3 2 2 2" xfId="15903"/>
    <cellStyle name="Normal 12 3 2 3 2 2 2 2" xfId="35786"/>
    <cellStyle name="Normal 12 3 2 3 2 2 3" xfId="22055"/>
    <cellStyle name="Normal 12 3 2 3 2 2 3 2" xfId="41938"/>
    <cellStyle name="Normal 12 3 2 3 2 2 4" xfId="29633"/>
    <cellStyle name="Normal 12 3 2 3 2 3" xfId="12837"/>
    <cellStyle name="Normal 12 3 2 3 2 3 2" xfId="32720"/>
    <cellStyle name="Normal 12 3 2 3 2 4" xfId="18989"/>
    <cellStyle name="Normal 12 3 2 3 2 4 2" xfId="38872"/>
    <cellStyle name="Normal 12 3 2 3 2 5" xfId="26567"/>
    <cellStyle name="Normal 12 3 2 3 3" xfId="8175"/>
    <cellStyle name="Normal 12 3 2 3 3 2" xfId="14369"/>
    <cellStyle name="Normal 12 3 2 3 3 2 2" xfId="34252"/>
    <cellStyle name="Normal 12 3 2 3 3 3" xfId="20521"/>
    <cellStyle name="Normal 12 3 2 3 3 3 2" xfId="40404"/>
    <cellStyle name="Normal 12 3 2 3 3 4" xfId="28099"/>
    <cellStyle name="Normal 12 3 2 3 4" xfId="11303"/>
    <cellStyle name="Normal 12 3 2 3 4 2" xfId="31186"/>
    <cellStyle name="Normal 12 3 2 3 5" xfId="17455"/>
    <cellStyle name="Normal 12 3 2 3 5 2" xfId="37338"/>
    <cellStyle name="Normal 12 3 2 3 6" xfId="25033"/>
    <cellStyle name="Normal 12 3 2 4" xfId="5841"/>
    <cellStyle name="Normal 12 3 2 4 2" xfId="8941"/>
    <cellStyle name="Normal 12 3 2 4 2 2" xfId="15134"/>
    <cellStyle name="Normal 12 3 2 4 2 2 2" xfId="35017"/>
    <cellStyle name="Normal 12 3 2 4 2 3" xfId="21286"/>
    <cellStyle name="Normal 12 3 2 4 2 3 2" xfId="41169"/>
    <cellStyle name="Normal 12 3 2 4 2 4" xfId="28864"/>
    <cellStyle name="Normal 12 3 2 4 3" xfId="12068"/>
    <cellStyle name="Normal 12 3 2 4 3 2" xfId="31951"/>
    <cellStyle name="Normal 12 3 2 4 4" xfId="18220"/>
    <cellStyle name="Normal 12 3 2 4 4 2" xfId="38103"/>
    <cellStyle name="Normal 12 3 2 4 5" xfId="25798"/>
    <cellStyle name="Normal 12 3 2 5" xfId="7406"/>
    <cellStyle name="Normal 12 3 2 5 2" xfId="13600"/>
    <cellStyle name="Normal 12 3 2 5 2 2" xfId="33483"/>
    <cellStyle name="Normal 12 3 2 5 3" xfId="19752"/>
    <cellStyle name="Normal 12 3 2 5 3 2" xfId="39635"/>
    <cellStyle name="Normal 12 3 2 5 4" xfId="27330"/>
    <cellStyle name="Normal 12 3 2 6" xfId="10534"/>
    <cellStyle name="Normal 12 3 2 6 2" xfId="30417"/>
    <cellStyle name="Normal 12 3 2 7" xfId="16686"/>
    <cellStyle name="Normal 12 3 2 7 2" xfId="36569"/>
    <cellStyle name="Normal 12 3 2 8" xfId="24264"/>
    <cellStyle name="Normal 12 3 3" xfId="3473"/>
    <cellStyle name="Normal 12 3 3 2" xfId="3474"/>
    <cellStyle name="Normal 12 3 3 2 2" xfId="5002"/>
    <cellStyle name="Normal 12 3 3 2 2 2" xfId="6627"/>
    <cellStyle name="Normal 12 3 3 2 2 2 2" xfId="9713"/>
    <cellStyle name="Normal 12 3 3 2 2 2 2 2" xfId="15906"/>
    <cellStyle name="Normal 12 3 3 2 2 2 2 2 2" xfId="35789"/>
    <cellStyle name="Normal 12 3 3 2 2 2 2 3" xfId="22058"/>
    <cellStyle name="Normal 12 3 3 2 2 2 2 3 2" xfId="41941"/>
    <cellStyle name="Normal 12 3 3 2 2 2 2 4" xfId="29636"/>
    <cellStyle name="Normal 12 3 3 2 2 2 3" xfId="12840"/>
    <cellStyle name="Normal 12 3 3 2 2 2 3 2" xfId="32723"/>
    <cellStyle name="Normal 12 3 3 2 2 2 4" xfId="18992"/>
    <cellStyle name="Normal 12 3 3 2 2 2 4 2" xfId="38875"/>
    <cellStyle name="Normal 12 3 3 2 2 2 5" xfId="26570"/>
    <cellStyle name="Normal 12 3 3 2 2 3" xfId="8178"/>
    <cellStyle name="Normal 12 3 3 2 2 3 2" xfId="14372"/>
    <cellStyle name="Normal 12 3 3 2 2 3 2 2" xfId="34255"/>
    <cellStyle name="Normal 12 3 3 2 2 3 3" xfId="20524"/>
    <cellStyle name="Normal 12 3 3 2 2 3 3 2" xfId="40407"/>
    <cellStyle name="Normal 12 3 3 2 2 3 4" xfId="28102"/>
    <cellStyle name="Normal 12 3 3 2 2 4" xfId="11306"/>
    <cellStyle name="Normal 12 3 3 2 2 4 2" xfId="31189"/>
    <cellStyle name="Normal 12 3 3 2 2 5" xfId="17458"/>
    <cellStyle name="Normal 12 3 3 2 2 5 2" xfId="37341"/>
    <cellStyle name="Normal 12 3 3 2 2 6" xfId="25036"/>
    <cellStyle name="Normal 12 3 3 2 3" xfId="5844"/>
    <cellStyle name="Normal 12 3 3 2 3 2" xfId="8944"/>
    <cellStyle name="Normal 12 3 3 2 3 2 2" xfId="15137"/>
    <cellStyle name="Normal 12 3 3 2 3 2 2 2" xfId="35020"/>
    <cellStyle name="Normal 12 3 3 2 3 2 3" xfId="21289"/>
    <cellStyle name="Normal 12 3 3 2 3 2 3 2" xfId="41172"/>
    <cellStyle name="Normal 12 3 3 2 3 2 4" xfId="28867"/>
    <cellStyle name="Normal 12 3 3 2 3 3" xfId="12071"/>
    <cellStyle name="Normal 12 3 3 2 3 3 2" xfId="31954"/>
    <cellStyle name="Normal 12 3 3 2 3 4" xfId="18223"/>
    <cellStyle name="Normal 12 3 3 2 3 4 2" xfId="38106"/>
    <cellStyle name="Normal 12 3 3 2 3 5" xfId="25801"/>
    <cellStyle name="Normal 12 3 3 2 4" xfId="7409"/>
    <cellStyle name="Normal 12 3 3 2 4 2" xfId="13603"/>
    <cellStyle name="Normal 12 3 3 2 4 2 2" xfId="33486"/>
    <cellStyle name="Normal 12 3 3 2 4 3" xfId="19755"/>
    <cellStyle name="Normal 12 3 3 2 4 3 2" xfId="39638"/>
    <cellStyle name="Normal 12 3 3 2 4 4" xfId="27333"/>
    <cellStyle name="Normal 12 3 3 2 5" xfId="10537"/>
    <cellStyle name="Normal 12 3 3 2 5 2" xfId="30420"/>
    <cellStyle name="Normal 12 3 3 2 6" xfId="16689"/>
    <cellStyle name="Normal 12 3 3 2 6 2" xfId="36572"/>
    <cellStyle name="Normal 12 3 3 2 7" xfId="24267"/>
    <cellStyle name="Normal 12 3 3 3" xfId="5001"/>
    <cellStyle name="Normal 12 3 3 3 2" xfId="6626"/>
    <cellStyle name="Normal 12 3 3 3 2 2" xfId="9712"/>
    <cellStyle name="Normal 12 3 3 3 2 2 2" xfId="15905"/>
    <cellStyle name="Normal 12 3 3 3 2 2 2 2" xfId="35788"/>
    <cellStyle name="Normal 12 3 3 3 2 2 3" xfId="22057"/>
    <cellStyle name="Normal 12 3 3 3 2 2 3 2" xfId="41940"/>
    <cellStyle name="Normal 12 3 3 3 2 2 4" xfId="29635"/>
    <cellStyle name="Normal 12 3 3 3 2 3" xfId="12839"/>
    <cellStyle name="Normal 12 3 3 3 2 3 2" xfId="32722"/>
    <cellStyle name="Normal 12 3 3 3 2 4" xfId="18991"/>
    <cellStyle name="Normal 12 3 3 3 2 4 2" xfId="38874"/>
    <cellStyle name="Normal 12 3 3 3 2 5" xfId="26569"/>
    <cellStyle name="Normal 12 3 3 3 3" xfId="8177"/>
    <cellStyle name="Normal 12 3 3 3 3 2" xfId="14371"/>
    <cellStyle name="Normal 12 3 3 3 3 2 2" xfId="34254"/>
    <cellStyle name="Normal 12 3 3 3 3 3" xfId="20523"/>
    <cellStyle name="Normal 12 3 3 3 3 3 2" xfId="40406"/>
    <cellStyle name="Normal 12 3 3 3 3 4" xfId="28101"/>
    <cellStyle name="Normal 12 3 3 3 4" xfId="11305"/>
    <cellStyle name="Normal 12 3 3 3 4 2" xfId="31188"/>
    <cellStyle name="Normal 12 3 3 3 5" xfId="17457"/>
    <cellStyle name="Normal 12 3 3 3 5 2" xfId="37340"/>
    <cellStyle name="Normal 12 3 3 3 6" xfId="25035"/>
    <cellStyle name="Normal 12 3 3 4" xfId="5843"/>
    <cellStyle name="Normal 12 3 3 4 2" xfId="8943"/>
    <cellStyle name="Normal 12 3 3 4 2 2" xfId="15136"/>
    <cellStyle name="Normal 12 3 3 4 2 2 2" xfId="35019"/>
    <cellStyle name="Normal 12 3 3 4 2 3" xfId="21288"/>
    <cellStyle name="Normal 12 3 3 4 2 3 2" xfId="41171"/>
    <cellStyle name="Normal 12 3 3 4 2 4" xfId="28866"/>
    <cellStyle name="Normal 12 3 3 4 3" xfId="12070"/>
    <cellStyle name="Normal 12 3 3 4 3 2" xfId="31953"/>
    <cellStyle name="Normal 12 3 3 4 4" xfId="18222"/>
    <cellStyle name="Normal 12 3 3 4 4 2" xfId="38105"/>
    <cellStyle name="Normal 12 3 3 4 5" xfId="25800"/>
    <cellStyle name="Normal 12 3 3 5" xfId="7408"/>
    <cellStyle name="Normal 12 3 3 5 2" xfId="13602"/>
    <cellStyle name="Normal 12 3 3 5 2 2" xfId="33485"/>
    <cellStyle name="Normal 12 3 3 5 3" xfId="19754"/>
    <cellStyle name="Normal 12 3 3 5 3 2" xfId="39637"/>
    <cellStyle name="Normal 12 3 3 5 4" xfId="27332"/>
    <cellStyle name="Normal 12 3 3 6" xfId="10536"/>
    <cellStyle name="Normal 12 3 3 6 2" xfId="30419"/>
    <cellStyle name="Normal 12 3 3 7" xfId="16688"/>
    <cellStyle name="Normal 12 3 3 7 2" xfId="36571"/>
    <cellStyle name="Normal 12 3 3 8" xfId="24266"/>
    <cellStyle name="Normal 12 3 4" xfId="3475"/>
    <cellStyle name="Normal 12 3 4 2" xfId="5003"/>
    <cellStyle name="Normal 12 3 4 2 2" xfId="6628"/>
    <cellStyle name="Normal 12 3 4 2 2 2" xfId="9714"/>
    <cellStyle name="Normal 12 3 4 2 2 2 2" xfId="15907"/>
    <cellStyle name="Normal 12 3 4 2 2 2 2 2" xfId="35790"/>
    <cellStyle name="Normal 12 3 4 2 2 2 3" xfId="22059"/>
    <cellStyle name="Normal 12 3 4 2 2 2 3 2" xfId="41942"/>
    <cellStyle name="Normal 12 3 4 2 2 2 4" xfId="29637"/>
    <cellStyle name="Normal 12 3 4 2 2 3" xfId="12841"/>
    <cellStyle name="Normal 12 3 4 2 2 3 2" xfId="32724"/>
    <cellStyle name="Normal 12 3 4 2 2 4" xfId="18993"/>
    <cellStyle name="Normal 12 3 4 2 2 4 2" xfId="38876"/>
    <cellStyle name="Normal 12 3 4 2 2 5" xfId="26571"/>
    <cellStyle name="Normal 12 3 4 2 3" xfId="8179"/>
    <cellStyle name="Normal 12 3 4 2 3 2" xfId="14373"/>
    <cellStyle name="Normal 12 3 4 2 3 2 2" xfId="34256"/>
    <cellStyle name="Normal 12 3 4 2 3 3" xfId="20525"/>
    <cellStyle name="Normal 12 3 4 2 3 3 2" xfId="40408"/>
    <cellStyle name="Normal 12 3 4 2 3 4" xfId="28103"/>
    <cellStyle name="Normal 12 3 4 2 4" xfId="11307"/>
    <cellStyle name="Normal 12 3 4 2 4 2" xfId="31190"/>
    <cellStyle name="Normal 12 3 4 2 5" xfId="17459"/>
    <cellStyle name="Normal 12 3 4 2 5 2" xfId="37342"/>
    <cellStyle name="Normal 12 3 4 2 6" xfId="25037"/>
    <cellStyle name="Normal 12 3 4 3" xfId="5845"/>
    <cellStyle name="Normal 12 3 4 3 2" xfId="8945"/>
    <cellStyle name="Normal 12 3 4 3 2 2" xfId="15138"/>
    <cellStyle name="Normal 12 3 4 3 2 2 2" xfId="35021"/>
    <cellStyle name="Normal 12 3 4 3 2 3" xfId="21290"/>
    <cellStyle name="Normal 12 3 4 3 2 3 2" xfId="41173"/>
    <cellStyle name="Normal 12 3 4 3 2 4" xfId="28868"/>
    <cellStyle name="Normal 12 3 4 3 3" xfId="12072"/>
    <cellStyle name="Normal 12 3 4 3 3 2" xfId="31955"/>
    <cellStyle name="Normal 12 3 4 3 4" xfId="18224"/>
    <cellStyle name="Normal 12 3 4 3 4 2" xfId="38107"/>
    <cellStyle name="Normal 12 3 4 3 5" xfId="25802"/>
    <cellStyle name="Normal 12 3 4 4" xfId="7410"/>
    <cellStyle name="Normal 12 3 4 4 2" xfId="13604"/>
    <cellStyle name="Normal 12 3 4 4 2 2" xfId="33487"/>
    <cellStyle name="Normal 12 3 4 4 3" xfId="19756"/>
    <cellStyle name="Normal 12 3 4 4 3 2" xfId="39639"/>
    <cellStyle name="Normal 12 3 4 4 4" xfId="27334"/>
    <cellStyle name="Normal 12 3 4 5" xfId="10538"/>
    <cellStyle name="Normal 12 3 4 5 2" xfId="30421"/>
    <cellStyle name="Normal 12 3 4 6" xfId="16690"/>
    <cellStyle name="Normal 12 3 4 6 2" xfId="36573"/>
    <cellStyle name="Normal 12 3 4 7" xfId="24268"/>
    <cellStyle name="Normal 12 3 5" xfId="4998"/>
    <cellStyle name="Normal 12 3 5 2" xfId="6623"/>
    <cellStyle name="Normal 12 3 5 2 2" xfId="9709"/>
    <cellStyle name="Normal 12 3 5 2 2 2" xfId="15902"/>
    <cellStyle name="Normal 12 3 5 2 2 2 2" xfId="35785"/>
    <cellStyle name="Normal 12 3 5 2 2 3" xfId="22054"/>
    <cellStyle name="Normal 12 3 5 2 2 3 2" xfId="41937"/>
    <cellStyle name="Normal 12 3 5 2 2 4" xfId="29632"/>
    <cellStyle name="Normal 12 3 5 2 3" xfId="12836"/>
    <cellStyle name="Normal 12 3 5 2 3 2" xfId="32719"/>
    <cellStyle name="Normal 12 3 5 2 4" xfId="18988"/>
    <cellStyle name="Normal 12 3 5 2 4 2" xfId="38871"/>
    <cellStyle name="Normal 12 3 5 2 5" xfId="26566"/>
    <cellStyle name="Normal 12 3 5 3" xfId="8174"/>
    <cellStyle name="Normal 12 3 5 3 2" xfId="14368"/>
    <cellStyle name="Normal 12 3 5 3 2 2" xfId="34251"/>
    <cellStyle name="Normal 12 3 5 3 3" xfId="20520"/>
    <cellStyle name="Normal 12 3 5 3 3 2" xfId="40403"/>
    <cellStyle name="Normal 12 3 5 3 4" xfId="28098"/>
    <cellStyle name="Normal 12 3 5 4" xfId="11302"/>
    <cellStyle name="Normal 12 3 5 4 2" xfId="31185"/>
    <cellStyle name="Normal 12 3 5 5" xfId="17454"/>
    <cellStyle name="Normal 12 3 5 5 2" xfId="37337"/>
    <cellStyle name="Normal 12 3 5 6" xfId="25032"/>
    <cellStyle name="Normal 12 3 6" xfId="5840"/>
    <cellStyle name="Normal 12 3 6 2" xfId="8940"/>
    <cellStyle name="Normal 12 3 6 2 2" xfId="15133"/>
    <cellStyle name="Normal 12 3 6 2 2 2" xfId="35016"/>
    <cellStyle name="Normal 12 3 6 2 3" xfId="21285"/>
    <cellStyle name="Normal 12 3 6 2 3 2" xfId="41168"/>
    <cellStyle name="Normal 12 3 6 2 4" xfId="28863"/>
    <cellStyle name="Normal 12 3 6 3" xfId="12067"/>
    <cellStyle name="Normal 12 3 6 3 2" xfId="31950"/>
    <cellStyle name="Normal 12 3 6 4" xfId="18219"/>
    <cellStyle name="Normal 12 3 6 4 2" xfId="38102"/>
    <cellStyle name="Normal 12 3 6 5" xfId="25797"/>
    <cellStyle name="Normal 12 3 7" xfId="7405"/>
    <cellStyle name="Normal 12 3 7 2" xfId="13599"/>
    <cellStyle name="Normal 12 3 7 2 2" xfId="33482"/>
    <cellStyle name="Normal 12 3 7 3" xfId="19751"/>
    <cellStyle name="Normal 12 3 7 3 2" xfId="39634"/>
    <cellStyle name="Normal 12 3 7 4" xfId="27329"/>
    <cellStyle name="Normal 12 3 8" xfId="10533"/>
    <cellStyle name="Normal 12 3 8 2" xfId="30416"/>
    <cellStyle name="Normal 12 3 9" xfId="16685"/>
    <cellStyle name="Normal 12 3 9 2" xfId="36568"/>
    <cellStyle name="Normal 12 4" xfId="115"/>
    <cellStyle name="Normal 12 4 10" xfId="3476"/>
    <cellStyle name="Normal 12 4 10 2" xfId="24269"/>
    <cellStyle name="Normal 12 4 11" xfId="23221"/>
    <cellStyle name="Normal 12 4 12" xfId="23363"/>
    <cellStyle name="Normal 12 4 2" xfId="3477"/>
    <cellStyle name="Normal 12 4 2 2" xfId="3478"/>
    <cellStyle name="Normal 12 4 2 2 2" xfId="5006"/>
    <cellStyle name="Normal 12 4 2 2 2 2" xfId="6631"/>
    <cellStyle name="Normal 12 4 2 2 2 2 2" xfId="9717"/>
    <cellStyle name="Normal 12 4 2 2 2 2 2 2" xfId="15910"/>
    <cellStyle name="Normal 12 4 2 2 2 2 2 2 2" xfId="35793"/>
    <cellStyle name="Normal 12 4 2 2 2 2 2 3" xfId="22062"/>
    <cellStyle name="Normal 12 4 2 2 2 2 2 3 2" xfId="41945"/>
    <cellStyle name="Normal 12 4 2 2 2 2 2 4" xfId="29640"/>
    <cellStyle name="Normal 12 4 2 2 2 2 3" xfId="12844"/>
    <cellStyle name="Normal 12 4 2 2 2 2 3 2" xfId="32727"/>
    <cellStyle name="Normal 12 4 2 2 2 2 4" xfId="18996"/>
    <cellStyle name="Normal 12 4 2 2 2 2 4 2" xfId="38879"/>
    <cellStyle name="Normal 12 4 2 2 2 2 5" xfId="26574"/>
    <cellStyle name="Normal 12 4 2 2 2 3" xfId="8182"/>
    <cellStyle name="Normal 12 4 2 2 2 3 2" xfId="14376"/>
    <cellStyle name="Normal 12 4 2 2 2 3 2 2" xfId="34259"/>
    <cellStyle name="Normal 12 4 2 2 2 3 3" xfId="20528"/>
    <cellStyle name="Normal 12 4 2 2 2 3 3 2" xfId="40411"/>
    <cellStyle name="Normal 12 4 2 2 2 3 4" xfId="28106"/>
    <cellStyle name="Normal 12 4 2 2 2 4" xfId="11310"/>
    <cellStyle name="Normal 12 4 2 2 2 4 2" xfId="31193"/>
    <cellStyle name="Normal 12 4 2 2 2 5" xfId="17462"/>
    <cellStyle name="Normal 12 4 2 2 2 5 2" xfId="37345"/>
    <cellStyle name="Normal 12 4 2 2 2 6" xfId="25040"/>
    <cellStyle name="Normal 12 4 2 2 3" xfId="5848"/>
    <cellStyle name="Normal 12 4 2 2 3 2" xfId="8948"/>
    <cellStyle name="Normal 12 4 2 2 3 2 2" xfId="15141"/>
    <cellStyle name="Normal 12 4 2 2 3 2 2 2" xfId="35024"/>
    <cellStyle name="Normal 12 4 2 2 3 2 3" xfId="21293"/>
    <cellStyle name="Normal 12 4 2 2 3 2 3 2" xfId="41176"/>
    <cellStyle name="Normal 12 4 2 2 3 2 4" xfId="28871"/>
    <cellStyle name="Normal 12 4 2 2 3 3" xfId="12075"/>
    <cellStyle name="Normal 12 4 2 2 3 3 2" xfId="31958"/>
    <cellStyle name="Normal 12 4 2 2 3 4" xfId="18227"/>
    <cellStyle name="Normal 12 4 2 2 3 4 2" xfId="38110"/>
    <cellStyle name="Normal 12 4 2 2 3 5" xfId="25805"/>
    <cellStyle name="Normal 12 4 2 2 4" xfId="7413"/>
    <cellStyle name="Normal 12 4 2 2 4 2" xfId="13607"/>
    <cellStyle name="Normal 12 4 2 2 4 2 2" xfId="33490"/>
    <cellStyle name="Normal 12 4 2 2 4 3" xfId="19759"/>
    <cellStyle name="Normal 12 4 2 2 4 3 2" xfId="39642"/>
    <cellStyle name="Normal 12 4 2 2 4 4" xfId="27337"/>
    <cellStyle name="Normal 12 4 2 2 5" xfId="10541"/>
    <cellStyle name="Normal 12 4 2 2 5 2" xfId="30424"/>
    <cellStyle name="Normal 12 4 2 2 6" xfId="16693"/>
    <cellStyle name="Normal 12 4 2 2 6 2" xfId="36576"/>
    <cellStyle name="Normal 12 4 2 2 7" xfId="24271"/>
    <cellStyle name="Normal 12 4 2 3" xfId="5005"/>
    <cellStyle name="Normal 12 4 2 3 2" xfId="6630"/>
    <cellStyle name="Normal 12 4 2 3 2 2" xfId="9716"/>
    <cellStyle name="Normal 12 4 2 3 2 2 2" xfId="15909"/>
    <cellStyle name="Normal 12 4 2 3 2 2 2 2" xfId="35792"/>
    <cellStyle name="Normal 12 4 2 3 2 2 3" xfId="22061"/>
    <cellStyle name="Normal 12 4 2 3 2 2 3 2" xfId="41944"/>
    <cellStyle name="Normal 12 4 2 3 2 2 4" xfId="29639"/>
    <cellStyle name="Normal 12 4 2 3 2 3" xfId="12843"/>
    <cellStyle name="Normal 12 4 2 3 2 3 2" xfId="32726"/>
    <cellStyle name="Normal 12 4 2 3 2 4" xfId="18995"/>
    <cellStyle name="Normal 12 4 2 3 2 4 2" xfId="38878"/>
    <cellStyle name="Normal 12 4 2 3 2 5" xfId="26573"/>
    <cellStyle name="Normal 12 4 2 3 3" xfId="8181"/>
    <cellStyle name="Normal 12 4 2 3 3 2" xfId="14375"/>
    <cellStyle name="Normal 12 4 2 3 3 2 2" xfId="34258"/>
    <cellStyle name="Normal 12 4 2 3 3 3" xfId="20527"/>
    <cellStyle name="Normal 12 4 2 3 3 3 2" xfId="40410"/>
    <cellStyle name="Normal 12 4 2 3 3 4" xfId="28105"/>
    <cellStyle name="Normal 12 4 2 3 4" xfId="11309"/>
    <cellStyle name="Normal 12 4 2 3 4 2" xfId="31192"/>
    <cellStyle name="Normal 12 4 2 3 5" xfId="17461"/>
    <cellStyle name="Normal 12 4 2 3 5 2" xfId="37344"/>
    <cellStyle name="Normal 12 4 2 3 6" xfId="25039"/>
    <cellStyle name="Normal 12 4 2 4" xfId="5847"/>
    <cellStyle name="Normal 12 4 2 4 2" xfId="8947"/>
    <cellStyle name="Normal 12 4 2 4 2 2" xfId="15140"/>
    <cellStyle name="Normal 12 4 2 4 2 2 2" xfId="35023"/>
    <cellStyle name="Normal 12 4 2 4 2 3" xfId="21292"/>
    <cellStyle name="Normal 12 4 2 4 2 3 2" xfId="41175"/>
    <cellStyle name="Normal 12 4 2 4 2 4" xfId="28870"/>
    <cellStyle name="Normal 12 4 2 4 3" xfId="12074"/>
    <cellStyle name="Normal 12 4 2 4 3 2" xfId="31957"/>
    <cellStyle name="Normal 12 4 2 4 4" xfId="18226"/>
    <cellStyle name="Normal 12 4 2 4 4 2" xfId="38109"/>
    <cellStyle name="Normal 12 4 2 4 5" xfId="25804"/>
    <cellStyle name="Normal 12 4 2 5" xfId="7412"/>
    <cellStyle name="Normal 12 4 2 5 2" xfId="13606"/>
    <cellStyle name="Normal 12 4 2 5 2 2" xfId="33489"/>
    <cellStyle name="Normal 12 4 2 5 3" xfId="19758"/>
    <cellStyle name="Normal 12 4 2 5 3 2" xfId="39641"/>
    <cellStyle name="Normal 12 4 2 5 4" xfId="27336"/>
    <cellStyle name="Normal 12 4 2 6" xfId="10540"/>
    <cellStyle name="Normal 12 4 2 6 2" xfId="30423"/>
    <cellStyle name="Normal 12 4 2 7" xfId="16692"/>
    <cellStyle name="Normal 12 4 2 7 2" xfId="36575"/>
    <cellStyle name="Normal 12 4 2 8" xfId="24270"/>
    <cellStyle name="Normal 12 4 3" xfId="3479"/>
    <cellStyle name="Normal 12 4 3 2" xfId="3480"/>
    <cellStyle name="Normal 12 4 3 2 2" xfId="5008"/>
    <cellStyle name="Normal 12 4 3 2 2 2" xfId="6633"/>
    <cellStyle name="Normal 12 4 3 2 2 2 2" xfId="9719"/>
    <cellStyle name="Normal 12 4 3 2 2 2 2 2" xfId="15912"/>
    <cellStyle name="Normal 12 4 3 2 2 2 2 2 2" xfId="35795"/>
    <cellStyle name="Normal 12 4 3 2 2 2 2 3" xfId="22064"/>
    <cellStyle name="Normal 12 4 3 2 2 2 2 3 2" xfId="41947"/>
    <cellStyle name="Normal 12 4 3 2 2 2 2 4" xfId="29642"/>
    <cellStyle name="Normal 12 4 3 2 2 2 3" xfId="12846"/>
    <cellStyle name="Normal 12 4 3 2 2 2 3 2" xfId="32729"/>
    <cellStyle name="Normal 12 4 3 2 2 2 4" xfId="18998"/>
    <cellStyle name="Normal 12 4 3 2 2 2 4 2" xfId="38881"/>
    <cellStyle name="Normal 12 4 3 2 2 2 5" xfId="26576"/>
    <cellStyle name="Normal 12 4 3 2 2 3" xfId="8184"/>
    <cellStyle name="Normal 12 4 3 2 2 3 2" xfId="14378"/>
    <cellStyle name="Normal 12 4 3 2 2 3 2 2" xfId="34261"/>
    <cellStyle name="Normal 12 4 3 2 2 3 3" xfId="20530"/>
    <cellStyle name="Normal 12 4 3 2 2 3 3 2" xfId="40413"/>
    <cellStyle name="Normal 12 4 3 2 2 3 4" xfId="28108"/>
    <cellStyle name="Normal 12 4 3 2 2 4" xfId="11312"/>
    <cellStyle name="Normal 12 4 3 2 2 4 2" xfId="31195"/>
    <cellStyle name="Normal 12 4 3 2 2 5" xfId="17464"/>
    <cellStyle name="Normal 12 4 3 2 2 5 2" xfId="37347"/>
    <cellStyle name="Normal 12 4 3 2 2 6" xfId="25042"/>
    <cellStyle name="Normal 12 4 3 2 3" xfId="5850"/>
    <cellStyle name="Normal 12 4 3 2 3 2" xfId="8950"/>
    <cellStyle name="Normal 12 4 3 2 3 2 2" xfId="15143"/>
    <cellStyle name="Normal 12 4 3 2 3 2 2 2" xfId="35026"/>
    <cellStyle name="Normal 12 4 3 2 3 2 3" xfId="21295"/>
    <cellStyle name="Normal 12 4 3 2 3 2 3 2" xfId="41178"/>
    <cellStyle name="Normal 12 4 3 2 3 2 4" xfId="28873"/>
    <cellStyle name="Normal 12 4 3 2 3 3" xfId="12077"/>
    <cellStyle name="Normal 12 4 3 2 3 3 2" xfId="31960"/>
    <cellStyle name="Normal 12 4 3 2 3 4" xfId="18229"/>
    <cellStyle name="Normal 12 4 3 2 3 4 2" xfId="38112"/>
    <cellStyle name="Normal 12 4 3 2 3 5" xfId="25807"/>
    <cellStyle name="Normal 12 4 3 2 4" xfId="7415"/>
    <cellStyle name="Normal 12 4 3 2 4 2" xfId="13609"/>
    <cellStyle name="Normal 12 4 3 2 4 2 2" xfId="33492"/>
    <cellStyle name="Normal 12 4 3 2 4 3" xfId="19761"/>
    <cellStyle name="Normal 12 4 3 2 4 3 2" xfId="39644"/>
    <cellStyle name="Normal 12 4 3 2 4 4" xfId="27339"/>
    <cellStyle name="Normal 12 4 3 2 5" xfId="10543"/>
    <cellStyle name="Normal 12 4 3 2 5 2" xfId="30426"/>
    <cellStyle name="Normal 12 4 3 2 6" xfId="16695"/>
    <cellStyle name="Normal 12 4 3 2 6 2" xfId="36578"/>
    <cellStyle name="Normal 12 4 3 2 7" xfId="24273"/>
    <cellStyle name="Normal 12 4 3 3" xfId="5007"/>
    <cellStyle name="Normal 12 4 3 3 2" xfId="6632"/>
    <cellStyle name="Normal 12 4 3 3 2 2" xfId="9718"/>
    <cellStyle name="Normal 12 4 3 3 2 2 2" xfId="15911"/>
    <cellStyle name="Normal 12 4 3 3 2 2 2 2" xfId="35794"/>
    <cellStyle name="Normal 12 4 3 3 2 2 3" xfId="22063"/>
    <cellStyle name="Normal 12 4 3 3 2 2 3 2" xfId="41946"/>
    <cellStyle name="Normal 12 4 3 3 2 2 4" xfId="29641"/>
    <cellStyle name="Normal 12 4 3 3 2 3" xfId="12845"/>
    <cellStyle name="Normal 12 4 3 3 2 3 2" xfId="32728"/>
    <cellStyle name="Normal 12 4 3 3 2 4" xfId="18997"/>
    <cellStyle name="Normal 12 4 3 3 2 4 2" xfId="38880"/>
    <cellStyle name="Normal 12 4 3 3 2 5" xfId="26575"/>
    <cellStyle name="Normal 12 4 3 3 3" xfId="8183"/>
    <cellStyle name="Normal 12 4 3 3 3 2" xfId="14377"/>
    <cellStyle name="Normal 12 4 3 3 3 2 2" xfId="34260"/>
    <cellStyle name="Normal 12 4 3 3 3 3" xfId="20529"/>
    <cellStyle name="Normal 12 4 3 3 3 3 2" xfId="40412"/>
    <cellStyle name="Normal 12 4 3 3 3 4" xfId="28107"/>
    <cellStyle name="Normal 12 4 3 3 4" xfId="11311"/>
    <cellStyle name="Normal 12 4 3 3 4 2" xfId="31194"/>
    <cellStyle name="Normal 12 4 3 3 5" xfId="17463"/>
    <cellStyle name="Normal 12 4 3 3 5 2" xfId="37346"/>
    <cellStyle name="Normal 12 4 3 3 6" xfId="25041"/>
    <cellStyle name="Normal 12 4 3 4" xfId="5849"/>
    <cellStyle name="Normal 12 4 3 4 2" xfId="8949"/>
    <cellStyle name="Normal 12 4 3 4 2 2" xfId="15142"/>
    <cellStyle name="Normal 12 4 3 4 2 2 2" xfId="35025"/>
    <cellStyle name="Normal 12 4 3 4 2 3" xfId="21294"/>
    <cellStyle name="Normal 12 4 3 4 2 3 2" xfId="41177"/>
    <cellStyle name="Normal 12 4 3 4 2 4" xfId="28872"/>
    <cellStyle name="Normal 12 4 3 4 3" xfId="12076"/>
    <cellStyle name="Normal 12 4 3 4 3 2" xfId="31959"/>
    <cellStyle name="Normal 12 4 3 4 4" xfId="18228"/>
    <cellStyle name="Normal 12 4 3 4 4 2" xfId="38111"/>
    <cellStyle name="Normal 12 4 3 4 5" xfId="25806"/>
    <cellStyle name="Normal 12 4 3 5" xfId="7414"/>
    <cellStyle name="Normal 12 4 3 5 2" xfId="13608"/>
    <cellStyle name="Normal 12 4 3 5 2 2" xfId="33491"/>
    <cellStyle name="Normal 12 4 3 5 3" xfId="19760"/>
    <cellStyle name="Normal 12 4 3 5 3 2" xfId="39643"/>
    <cellStyle name="Normal 12 4 3 5 4" xfId="27338"/>
    <cellStyle name="Normal 12 4 3 6" xfId="10542"/>
    <cellStyle name="Normal 12 4 3 6 2" xfId="30425"/>
    <cellStyle name="Normal 12 4 3 7" xfId="16694"/>
    <cellStyle name="Normal 12 4 3 7 2" xfId="36577"/>
    <cellStyle name="Normal 12 4 3 8" xfId="24272"/>
    <cellStyle name="Normal 12 4 4" xfId="3481"/>
    <cellStyle name="Normal 12 4 4 2" xfId="5009"/>
    <cellStyle name="Normal 12 4 4 2 2" xfId="6634"/>
    <cellStyle name="Normal 12 4 4 2 2 2" xfId="9720"/>
    <cellStyle name="Normal 12 4 4 2 2 2 2" xfId="15913"/>
    <cellStyle name="Normal 12 4 4 2 2 2 2 2" xfId="35796"/>
    <cellStyle name="Normal 12 4 4 2 2 2 3" xfId="22065"/>
    <cellStyle name="Normal 12 4 4 2 2 2 3 2" xfId="41948"/>
    <cellStyle name="Normal 12 4 4 2 2 2 4" xfId="29643"/>
    <cellStyle name="Normal 12 4 4 2 2 3" xfId="12847"/>
    <cellStyle name="Normal 12 4 4 2 2 3 2" xfId="32730"/>
    <cellStyle name="Normal 12 4 4 2 2 4" xfId="18999"/>
    <cellStyle name="Normal 12 4 4 2 2 4 2" xfId="38882"/>
    <cellStyle name="Normal 12 4 4 2 2 5" xfId="26577"/>
    <cellStyle name="Normal 12 4 4 2 3" xfId="8185"/>
    <cellStyle name="Normal 12 4 4 2 3 2" xfId="14379"/>
    <cellStyle name="Normal 12 4 4 2 3 2 2" xfId="34262"/>
    <cellStyle name="Normal 12 4 4 2 3 3" xfId="20531"/>
    <cellStyle name="Normal 12 4 4 2 3 3 2" xfId="40414"/>
    <cellStyle name="Normal 12 4 4 2 3 4" xfId="28109"/>
    <cellStyle name="Normal 12 4 4 2 4" xfId="11313"/>
    <cellStyle name="Normal 12 4 4 2 4 2" xfId="31196"/>
    <cellStyle name="Normal 12 4 4 2 5" xfId="17465"/>
    <cellStyle name="Normal 12 4 4 2 5 2" xfId="37348"/>
    <cellStyle name="Normal 12 4 4 2 6" xfId="25043"/>
    <cellStyle name="Normal 12 4 4 3" xfId="5851"/>
    <cellStyle name="Normal 12 4 4 3 2" xfId="8951"/>
    <cellStyle name="Normal 12 4 4 3 2 2" xfId="15144"/>
    <cellStyle name="Normal 12 4 4 3 2 2 2" xfId="35027"/>
    <cellStyle name="Normal 12 4 4 3 2 3" xfId="21296"/>
    <cellStyle name="Normal 12 4 4 3 2 3 2" xfId="41179"/>
    <cellStyle name="Normal 12 4 4 3 2 4" xfId="28874"/>
    <cellStyle name="Normal 12 4 4 3 3" xfId="12078"/>
    <cellStyle name="Normal 12 4 4 3 3 2" xfId="31961"/>
    <cellStyle name="Normal 12 4 4 3 4" xfId="18230"/>
    <cellStyle name="Normal 12 4 4 3 4 2" xfId="38113"/>
    <cellStyle name="Normal 12 4 4 3 5" xfId="25808"/>
    <cellStyle name="Normal 12 4 4 4" xfId="7416"/>
    <cellStyle name="Normal 12 4 4 4 2" xfId="13610"/>
    <cellStyle name="Normal 12 4 4 4 2 2" xfId="33493"/>
    <cellStyle name="Normal 12 4 4 4 3" xfId="19762"/>
    <cellStyle name="Normal 12 4 4 4 3 2" xfId="39645"/>
    <cellStyle name="Normal 12 4 4 4 4" xfId="27340"/>
    <cellStyle name="Normal 12 4 4 5" xfId="10544"/>
    <cellStyle name="Normal 12 4 4 5 2" xfId="30427"/>
    <cellStyle name="Normal 12 4 4 6" xfId="16696"/>
    <cellStyle name="Normal 12 4 4 6 2" xfId="36579"/>
    <cellStyle name="Normal 12 4 4 7" xfId="24274"/>
    <cellStyle name="Normal 12 4 5" xfId="5004"/>
    <cellStyle name="Normal 12 4 5 2" xfId="6629"/>
    <cellStyle name="Normal 12 4 5 2 2" xfId="9715"/>
    <cellStyle name="Normal 12 4 5 2 2 2" xfId="15908"/>
    <cellStyle name="Normal 12 4 5 2 2 2 2" xfId="35791"/>
    <cellStyle name="Normal 12 4 5 2 2 3" xfId="22060"/>
    <cellStyle name="Normal 12 4 5 2 2 3 2" xfId="41943"/>
    <cellStyle name="Normal 12 4 5 2 2 4" xfId="29638"/>
    <cellStyle name="Normal 12 4 5 2 3" xfId="12842"/>
    <cellStyle name="Normal 12 4 5 2 3 2" xfId="32725"/>
    <cellStyle name="Normal 12 4 5 2 4" xfId="18994"/>
    <cellStyle name="Normal 12 4 5 2 4 2" xfId="38877"/>
    <cellStyle name="Normal 12 4 5 2 5" xfId="26572"/>
    <cellStyle name="Normal 12 4 5 3" xfId="8180"/>
    <cellStyle name="Normal 12 4 5 3 2" xfId="14374"/>
    <cellStyle name="Normal 12 4 5 3 2 2" xfId="34257"/>
    <cellStyle name="Normal 12 4 5 3 3" xfId="20526"/>
    <cellStyle name="Normal 12 4 5 3 3 2" xfId="40409"/>
    <cellStyle name="Normal 12 4 5 3 4" xfId="28104"/>
    <cellStyle name="Normal 12 4 5 4" xfId="11308"/>
    <cellStyle name="Normal 12 4 5 4 2" xfId="31191"/>
    <cellStyle name="Normal 12 4 5 5" xfId="17460"/>
    <cellStyle name="Normal 12 4 5 5 2" xfId="37343"/>
    <cellStyle name="Normal 12 4 5 6" xfId="25038"/>
    <cellStyle name="Normal 12 4 6" xfId="5846"/>
    <cellStyle name="Normal 12 4 6 2" xfId="8946"/>
    <cellStyle name="Normal 12 4 6 2 2" xfId="15139"/>
    <cellStyle name="Normal 12 4 6 2 2 2" xfId="35022"/>
    <cellStyle name="Normal 12 4 6 2 3" xfId="21291"/>
    <cellStyle name="Normal 12 4 6 2 3 2" xfId="41174"/>
    <cellStyle name="Normal 12 4 6 2 4" xfId="28869"/>
    <cellStyle name="Normal 12 4 6 3" xfId="12073"/>
    <cellStyle name="Normal 12 4 6 3 2" xfId="31956"/>
    <cellStyle name="Normal 12 4 6 4" xfId="18225"/>
    <cellStyle name="Normal 12 4 6 4 2" xfId="38108"/>
    <cellStyle name="Normal 12 4 6 5" xfId="25803"/>
    <cellStyle name="Normal 12 4 7" xfId="7411"/>
    <cellStyle name="Normal 12 4 7 2" xfId="13605"/>
    <cellStyle name="Normal 12 4 7 2 2" xfId="33488"/>
    <cellStyle name="Normal 12 4 7 3" xfId="19757"/>
    <cellStyle name="Normal 12 4 7 3 2" xfId="39640"/>
    <cellStyle name="Normal 12 4 7 4" xfId="27335"/>
    <cellStyle name="Normal 12 4 8" xfId="10539"/>
    <cellStyle name="Normal 12 4 8 2" xfId="30422"/>
    <cellStyle name="Normal 12 4 9" xfId="16691"/>
    <cellStyle name="Normal 12 4 9 2" xfId="36574"/>
    <cellStyle name="Normal 12 5" xfId="3482"/>
    <cellStyle name="Normal 12 5 2" xfId="3483"/>
    <cellStyle name="Normal 12 5 2 2" xfId="5011"/>
    <cellStyle name="Normal 12 5 2 2 2" xfId="6636"/>
    <cellStyle name="Normal 12 5 2 2 2 2" xfId="9722"/>
    <cellStyle name="Normal 12 5 2 2 2 2 2" xfId="15915"/>
    <cellStyle name="Normal 12 5 2 2 2 2 2 2" xfId="35798"/>
    <cellStyle name="Normal 12 5 2 2 2 2 3" xfId="22067"/>
    <cellStyle name="Normal 12 5 2 2 2 2 3 2" xfId="41950"/>
    <cellStyle name="Normal 12 5 2 2 2 2 4" xfId="29645"/>
    <cellStyle name="Normal 12 5 2 2 2 3" xfId="12849"/>
    <cellStyle name="Normal 12 5 2 2 2 3 2" xfId="32732"/>
    <cellStyle name="Normal 12 5 2 2 2 4" xfId="19001"/>
    <cellStyle name="Normal 12 5 2 2 2 4 2" xfId="38884"/>
    <cellStyle name="Normal 12 5 2 2 2 5" xfId="26579"/>
    <cellStyle name="Normal 12 5 2 2 3" xfId="8187"/>
    <cellStyle name="Normal 12 5 2 2 3 2" xfId="14381"/>
    <cellStyle name="Normal 12 5 2 2 3 2 2" xfId="34264"/>
    <cellStyle name="Normal 12 5 2 2 3 3" xfId="20533"/>
    <cellStyle name="Normal 12 5 2 2 3 3 2" xfId="40416"/>
    <cellStyle name="Normal 12 5 2 2 3 4" xfId="28111"/>
    <cellStyle name="Normal 12 5 2 2 4" xfId="11315"/>
    <cellStyle name="Normal 12 5 2 2 4 2" xfId="31198"/>
    <cellStyle name="Normal 12 5 2 2 5" xfId="17467"/>
    <cellStyle name="Normal 12 5 2 2 5 2" xfId="37350"/>
    <cellStyle name="Normal 12 5 2 2 6" xfId="25045"/>
    <cellStyle name="Normal 12 5 2 3" xfId="5853"/>
    <cellStyle name="Normal 12 5 2 3 2" xfId="8953"/>
    <cellStyle name="Normal 12 5 2 3 2 2" xfId="15146"/>
    <cellStyle name="Normal 12 5 2 3 2 2 2" xfId="35029"/>
    <cellStyle name="Normal 12 5 2 3 2 3" xfId="21298"/>
    <cellStyle name="Normal 12 5 2 3 2 3 2" xfId="41181"/>
    <cellStyle name="Normal 12 5 2 3 2 4" xfId="28876"/>
    <cellStyle name="Normal 12 5 2 3 3" xfId="12080"/>
    <cellStyle name="Normal 12 5 2 3 3 2" xfId="31963"/>
    <cellStyle name="Normal 12 5 2 3 4" xfId="18232"/>
    <cellStyle name="Normal 12 5 2 3 4 2" xfId="38115"/>
    <cellStyle name="Normal 12 5 2 3 5" xfId="25810"/>
    <cellStyle name="Normal 12 5 2 4" xfId="7418"/>
    <cellStyle name="Normal 12 5 2 4 2" xfId="13612"/>
    <cellStyle name="Normal 12 5 2 4 2 2" xfId="33495"/>
    <cellStyle name="Normal 12 5 2 4 3" xfId="19764"/>
    <cellStyle name="Normal 12 5 2 4 3 2" xfId="39647"/>
    <cellStyle name="Normal 12 5 2 4 4" xfId="27342"/>
    <cellStyle name="Normal 12 5 2 5" xfId="10546"/>
    <cellStyle name="Normal 12 5 2 5 2" xfId="30429"/>
    <cellStyle name="Normal 12 5 2 6" xfId="16698"/>
    <cellStyle name="Normal 12 5 2 6 2" xfId="36581"/>
    <cellStyle name="Normal 12 5 2 7" xfId="24276"/>
    <cellStyle name="Normal 12 5 3" xfId="5010"/>
    <cellStyle name="Normal 12 5 3 2" xfId="6635"/>
    <cellStyle name="Normal 12 5 3 2 2" xfId="9721"/>
    <cellStyle name="Normal 12 5 3 2 2 2" xfId="15914"/>
    <cellStyle name="Normal 12 5 3 2 2 2 2" xfId="35797"/>
    <cellStyle name="Normal 12 5 3 2 2 3" xfId="22066"/>
    <cellStyle name="Normal 12 5 3 2 2 3 2" xfId="41949"/>
    <cellStyle name="Normal 12 5 3 2 2 4" xfId="29644"/>
    <cellStyle name="Normal 12 5 3 2 3" xfId="12848"/>
    <cellStyle name="Normal 12 5 3 2 3 2" xfId="32731"/>
    <cellStyle name="Normal 12 5 3 2 4" xfId="19000"/>
    <cellStyle name="Normal 12 5 3 2 4 2" xfId="38883"/>
    <cellStyle name="Normal 12 5 3 2 5" xfId="26578"/>
    <cellStyle name="Normal 12 5 3 3" xfId="8186"/>
    <cellStyle name="Normal 12 5 3 3 2" xfId="14380"/>
    <cellStyle name="Normal 12 5 3 3 2 2" xfId="34263"/>
    <cellStyle name="Normal 12 5 3 3 3" xfId="20532"/>
    <cellStyle name="Normal 12 5 3 3 3 2" xfId="40415"/>
    <cellStyle name="Normal 12 5 3 3 4" xfId="28110"/>
    <cellStyle name="Normal 12 5 3 4" xfId="11314"/>
    <cellStyle name="Normal 12 5 3 4 2" xfId="31197"/>
    <cellStyle name="Normal 12 5 3 5" xfId="17466"/>
    <cellStyle name="Normal 12 5 3 5 2" xfId="37349"/>
    <cellStyle name="Normal 12 5 3 6" xfId="25044"/>
    <cellStyle name="Normal 12 5 4" xfId="5852"/>
    <cellStyle name="Normal 12 5 4 2" xfId="8952"/>
    <cellStyle name="Normal 12 5 4 2 2" xfId="15145"/>
    <cellStyle name="Normal 12 5 4 2 2 2" xfId="35028"/>
    <cellStyle name="Normal 12 5 4 2 3" xfId="21297"/>
    <cellStyle name="Normal 12 5 4 2 3 2" xfId="41180"/>
    <cellStyle name="Normal 12 5 4 2 4" xfId="28875"/>
    <cellStyle name="Normal 12 5 4 3" xfId="12079"/>
    <cellStyle name="Normal 12 5 4 3 2" xfId="31962"/>
    <cellStyle name="Normal 12 5 4 4" xfId="18231"/>
    <cellStyle name="Normal 12 5 4 4 2" xfId="38114"/>
    <cellStyle name="Normal 12 5 4 5" xfId="25809"/>
    <cellStyle name="Normal 12 5 5" xfId="7417"/>
    <cellStyle name="Normal 12 5 5 2" xfId="13611"/>
    <cellStyle name="Normal 12 5 5 2 2" xfId="33494"/>
    <cellStyle name="Normal 12 5 5 3" xfId="19763"/>
    <cellStyle name="Normal 12 5 5 3 2" xfId="39646"/>
    <cellStyle name="Normal 12 5 5 4" xfId="27341"/>
    <cellStyle name="Normal 12 5 6" xfId="10545"/>
    <cellStyle name="Normal 12 5 6 2" xfId="30428"/>
    <cellStyle name="Normal 12 5 7" xfId="16697"/>
    <cellStyle name="Normal 12 5 7 2" xfId="36580"/>
    <cellStyle name="Normal 12 5 8" xfId="23222"/>
    <cellStyle name="Normal 12 5 9" xfId="24275"/>
    <cellStyle name="Normal 12 6" xfId="3484"/>
    <cellStyle name="Normal 12 6 2" xfId="3485"/>
    <cellStyle name="Normal 12 6 2 2" xfId="5013"/>
    <cellStyle name="Normal 12 6 2 2 2" xfId="6638"/>
    <cellStyle name="Normal 12 6 2 2 2 2" xfId="9724"/>
    <cellStyle name="Normal 12 6 2 2 2 2 2" xfId="15917"/>
    <cellStyle name="Normal 12 6 2 2 2 2 2 2" xfId="35800"/>
    <cellStyle name="Normal 12 6 2 2 2 2 3" xfId="22069"/>
    <cellStyle name="Normal 12 6 2 2 2 2 3 2" xfId="41952"/>
    <cellStyle name="Normal 12 6 2 2 2 2 4" xfId="29647"/>
    <cellStyle name="Normal 12 6 2 2 2 3" xfId="12851"/>
    <cellStyle name="Normal 12 6 2 2 2 3 2" xfId="32734"/>
    <cellStyle name="Normal 12 6 2 2 2 4" xfId="19003"/>
    <cellStyle name="Normal 12 6 2 2 2 4 2" xfId="38886"/>
    <cellStyle name="Normal 12 6 2 2 2 5" xfId="26581"/>
    <cellStyle name="Normal 12 6 2 2 3" xfId="8189"/>
    <cellStyle name="Normal 12 6 2 2 3 2" xfId="14383"/>
    <cellStyle name="Normal 12 6 2 2 3 2 2" xfId="34266"/>
    <cellStyle name="Normal 12 6 2 2 3 3" xfId="20535"/>
    <cellStyle name="Normal 12 6 2 2 3 3 2" xfId="40418"/>
    <cellStyle name="Normal 12 6 2 2 3 4" xfId="28113"/>
    <cellStyle name="Normal 12 6 2 2 4" xfId="11317"/>
    <cellStyle name="Normal 12 6 2 2 4 2" xfId="31200"/>
    <cellStyle name="Normal 12 6 2 2 5" xfId="17469"/>
    <cellStyle name="Normal 12 6 2 2 5 2" xfId="37352"/>
    <cellStyle name="Normal 12 6 2 2 6" xfId="25047"/>
    <cellStyle name="Normal 12 6 2 3" xfId="5855"/>
    <cellStyle name="Normal 12 6 2 3 2" xfId="8955"/>
    <cellStyle name="Normal 12 6 2 3 2 2" xfId="15148"/>
    <cellStyle name="Normal 12 6 2 3 2 2 2" xfId="35031"/>
    <cellStyle name="Normal 12 6 2 3 2 3" xfId="21300"/>
    <cellStyle name="Normal 12 6 2 3 2 3 2" xfId="41183"/>
    <cellStyle name="Normal 12 6 2 3 2 4" xfId="28878"/>
    <cellStyle name="Normal 12 6 2 3 3" xfId="12082"/>
    <cellStyle name="Normal 12 6 2 3 3 2" xfId="31965"/>
    <cellStyle name="Normal 12 6 2 3 4" xfId="18234"/>
    <cellStyle name="Normal 12 6 2 3 4 2" xfId="38117"/>
    <cellStyle name="Normal 12 6 2 3 5" xfId="25812"/>
    <cellStyle name="Normal 12 6 2 4" xfId="7420"/>
    <cellStyle name="Normal 12 6 2 4 2" xfId="13614"/>
    <cellStyle name="Normal 12 6 2 4 2 2" xfId="33497"/>
    <cellStyle name="Normal 12 6 2 4 3" xfId="19766"/>
    <cellStyle name="Normal 12 6 2 4 3 2" xfId="39649"/>
    <cellStyle name="Normal 12 6 2 4 4" xfId="27344"/>
    <cellStyle name="Normal 12 6 2 5" xfId="10548"/>
    <cellStyle name="Normal 12 6 2 5 2" xfId="30431"/>
    <cellStyle name="Normal 12 6 2 6" xfId="16700"/>
    <cellStyle name="Normal 12 6 2 6 2" xfId="36583"/>
    <cellStyle name="Normal 12 6 2 7" xfId="24278"/>
    <cellStyle name="Normal 12 6 3" xfId="5012"/>
    <cellStyle name="Normal 12 6 3 2" xfId="6637"/>
    <cellStyle name="Normal 12 6 3 2 2" xfId="9723"/>
    <cellStyle name="Normal 12 6 3 2 2 2" xfId="15916"/>
    <cellStyle name="Normal 12 6 3 2 2 2 2" xfId="35799"/>
    <cellStyle name="Normal 12 6 3 2 2 3" xfId="22068"/>
    <cellStyle name="Normal 12 6 3 2 2 3 2" xfId="41951"/>
    <cellStyle name="Normal 12 6 3 2 2 4" xfId="29646"/>
    <cellStyle name="Normal 12 6 3 2 3" xfId="12850"/>
    <cellStyle name="Normal 12 6 3 2 3 2" xfId="32733"/>
    <cellStyle name="Normal 12 6 3 2 4" xfId="19002"/>
    <cellStyle name="Normal 12 6 3 2 4 2" xfId="38885"/>
    <cellStyle name="Normal 12 6 3 2 5" xfId="26580"/>
    <cellStyle name="Normal 12 6 3 3" xfId="8188"/>
    <cellStyle name="Normal 12 6 3 3 2" xfId="14382"/>
    <cellStyle name="Normal 12 6 3 3 2 2" xfId="34265"/>
    <cellStyle name="Normal 12 6 3 3 3" xfId="20534"/>
    <cellStyle name="Normal 12 6 3 3 3 2" xfId="40417"/>
    <cellStyle name="Normal 12 6 3 3 4" xfId="28112"/>
    <cellStyle name="Normal 12 6 3 4" xfId="11316"/>
    <cellStyle name="Normal 12 6 3 4 2" xfId="31199"/>
    <cellStyle name="Normal 12 6 3 5" xfId="17468"/>
    <cellStyle name="Normal 12 6 3 5 2" xfId="37351"/>
    <cellStyle name="Normal 12 6 3 6" xfId="25046"/>
    <cellStyle name="Normal 12 6 4" xfId="5854"/>
    <cellStyle name="Normal 12 6 4 2" xfId="8954"/>
    <cellStyle name="Normal 12 6 4 2 2" xfId="15147"/>
    <cellStyle name="Normal 12 6 4 2 2 2" xfId="35030"/>
    <cellStyle name="Normal 12 6 4 2 3" xfId="21299"/>
    <cellStyle name="Normal 12 6 4 2 3 2" xfId="41182"/>
    <cellStyle name="Normal 12 6 4 2 4" xfId="28877"/>
    <cellStyle name="Normal 12 6 4 3" xfId="12081"/>
    <cellStyle name="Normal 12 6 4 3 2" xfId="31964"/>
    <cellStyle name="Normal 12 6 4 4" xfId="18233"/>
    <cellStyle name="Normal 12 6 4 4 2" xfId="38116"/>
    <cellStyle name="Normal 12 6 4 5" xfId="25811"/>
    <cellStyle name="Normal 12 6 5" xfId="7419"/>
    <cellStyle name="Normal 12 6 5 2" xfId="13613"/>
    <cellStyle name="Normal 12 6 5 2 2" xfId="33496"/>
    <cellStyle name="Normal 12 6 5 3" xfId="19765"/>
    <cellStyle name="Normal 12 6 5 3 2" xfId="39648"/>
    <cellStyle name="Normal 12 6 5 4" xfId="27343"/>
    <cellStyle name="Normal 12 6 6" xfId="10547"/>
    <cellStyle name="Normal 12 6 6 2" xfId="30430"/>
    <cellStyle name="Normal 12 6 7" xfId="16699"/>
    <cellStyle name="Normal 12 6 7 2" xfId="36582"/>
    <cellStyle name="Normal 12 6 8" xfId="24277"/>
    <cellStyle name="Normal 12 7" xfId="3486"/>
    <cellStyle name="Normal 12 7 2" xfId="5014"/>
    <cellStyle name="Normal 12 7 2 2" xfId="6639"/>
    <cellStyle name="Normal 12 7 2 2 2" xfId="9725"/>
    <cellStyle name="Normal 12 7 2 2 2 2" xfId="15918"/>
    <cellStyle name="Normal 12 7 2 2 2 2 2" xfId="35801"/>
    <cellStyle name="Normal 12 7 2 2 2 3" xfId="22070"/>
    <cellStyle name="Normal 12 7 2 2 2 3 2" xfId="41953"/>
    <cellStyle name="Normal 12 7 2 2 2 4" xfId="29648"/>
    <cellStyle name="Normal 12 7 2 2 3" xfId="12852"/>
    <cellStyle name="Normal 12 7 2 2 3 2" xfId="32735"/>
    <cellStyle name="Normal 12 7 2 2 4" xfId="19004"/>
    <cellStyle name="Normal 12 7 2 2 4 2" xfId="38887"/>
    <cellStyle name="Normal 12 7 2 2 5" xfId="26582"/>
    <cellStyle name="Normal 12 7 2 3" xfId="8190"/>
    <cellStyle name="Normal 12 7 2 3 2" xfId="14384"/>
    <cellStyle name="Normal 12 7 2 3 2 2" xfId="34267"/>
    <cellStyle name="Normal 12 7 2 3 3" xfId="20536"/>
    <cellStyle name="Normal 12 7 2 3 3 2" xfId="40419"/>
    <cellStyle name="Normal 12 7 2 3 4" xfId="28114"/>
    <cellStyle name="Normal 12 7 2 4" xfId="11318"/>
    <cellStyle name="Normal 12 7 2 4 2" xfId="31201"/>
    <cellStyle name="Normal 12 7 2 5" xfId="17470"/>
    <cellStyle name="Normal 12 7 2 5 2" xfId="37353"/>
    <cellStyle name="Normal 12 7 2 6" xfId="25048"/>
    <cellStyle name="Normal 12 7 3" xfId="5856"/>
    <cellStyle name="Normal 12 7 3 2" xfId="8956"/>
    <cellStyle name="Normal 12 7 3 2 2" xfId="15149"/>
    <cellStyle name="Normal 12 7 3 2 2 2" xfId="35032"/>
    <cellStyle name="Normal 12 7 3 2 3" xfId="21301"/>
    <cellStyle name="Normal 12 7 3 2 3 2" xfId="41184"/>
    <cellStyle name="Normal 12 7 3 2 4" xfId="28879"/>
    <cellStyle name="Normal 12 7 3 3" xfId="12083"/>
    <cellStyle name="Normal 12 7 3 3 2" xfId="31966"/>
    <cellStyle name="Normal 12 7 3 4" xfId="18235"/>
    <cellStyle name="Normal 12 7 3 4 2" xfId="38118"/>
    <cellStyle name="Normal 12 7 3 5" xfId="25813"/>
    <cellStyle name="Normal 12 7 4" xfId="7421"/>
    <cellStyle name="Normal 12 7 4 2" xfId="13615"/>
    <cellStyle name="Normal 12 7 4 2 2" xfId="33498"/>
    <cellStyle name="Normal 12 7 4 3" xfId="19767"/>
    <cellStyle name="Normal 12 7 4 3 2" xfId="39650"/>
    <cellStyle name="Normal 12 7 4 4" xfId="27345"/>
    <cellStyle name="Normal 12 7 5" xfId="10549"/>
    <cellStyle name="Normal 12 7 5 2" xfId="30432"/>
    <cellStyle name="Normal 12 7 6" xfId="16701"/>
    <cellStyle name="Normal 12 7 6 2" xfId="36584"/>
    <cellStyle name="Normal 12 7 7" xfId="24279"/>
    <cellStyle name="Normal 12 8" xfId="4985"/>
    <cellStyle name="Normal 12 8 2" xfId="6610"/>
    <cellStyle name="Normal 12 8 2 2" xfId="9696"/>
    <cellStyle name="Normal 12 8 2 2 2" xfId="15889"/>
    <cellStyle name="Normal 12 8 2 2 2 2" xfId="35772"/>
    <cellStyle name="Normal 12 8 2 2 3" xfId="22041"/>
    <cellStyle name="Normal 12 8 2 2 3 2" xfId="41924"/>
    <cellStyle name="Normal 12 8 2 2 4" xfId="29619"/>
    <cellStyle name="Normal 12 8 2 3" xfId="12823"/>
    <cellStyle name="Normal 12 8 2 3 2" xfId="32706"/>
    <cellStyle name="Normal 12 8 2 4" xfId="18975"/>
    <cellStyle name="Normal 12 8 2 4 2" xfId="38858"/>
    <cellStyle name="Normal 12 8 2 5" xfId="26553"/>
    <cellStyle name="Normal 12 8 3" xfId="8161"/>
    <cellStyle name="Normal 12 8 3 2" xfId="14355"/>
    <cellStyle name="Normal 12 8 3 2 2" xfId="34238"/>
    <cellStyle name="Normal 12 8 3 3" xfId="20507"/>
    <cellStyle name="Normal 12 8 3 3 2" xfId="40390"/>
    <cellStyle name="Normal 12 8 3 4" xfId="28085"/>
    <cellStyle name="Normal 12 8 4" xfId="11289"/>
    <cellStyle name="Normal 12 8 4 2" xfId="31172"/>
    <cellStyle name="Normal 12 8 5" xfId="17441"/>
    <cellStyle name="Normal 12 8 5 2" xfId="37324"/>
    <cellStyle name="Normal 12 8 6" xfId="25019"/>
    <cellStyle name="Normal 12 9" xfId="5827"/>
    <cellStyle name="Normal 12 9 2" xfId="8927"/>
    <cellStyle name="Normal 12 9 2 2" xfId="15120"/>
    <cellStyle name="Normal 12 9 2 2 2" xfId="35003"/>
    <cellStyle name="Normal 12 9 2 3" xfId="21272"/>
    <cellStyle name="Normal 12 9 2 3 2" xfId="41155"/>
    <cellStyle name="Normal 12 9 2 4" xfId="28850"/>
    <cellStyle name="Normal 12 9 3" xfId="12054"/>
    <cellStyle name="Normal 12 9 3 2" xfId="31937"/>
    <cellStyle name="Normal 12 9 4" xfId="18206"/>
    <cellStyle name="Normal 12 9 4 2" xfId="38089"/>
    <cellStyle name="Normal 12 9 5" xfId="25784"/>
    <cellStyle name="Normal 13" xfId="485"/>
    <cellStyle name="Normal 13 2" xfId="23224"/>
    <cellStyle name="Normal 13 3" xfId="23225"/>
    <cellStyle name="Normal 13 4" xfId="23226"/>
    <cellStyle name="Normal 13 5" xfId="23223"/>
    <cellStyle name="Normal 14" xfId="848"/>
    <cellStyle name="Normal 14 2" xfId="3487"/>
    <cellStyle name="Normal 14 3" xfId="23227"/>
    <cellStyle name="Normal 15" xfId="849"/>
    <cellStyle name="Normal 15 10" xfId="16702"/>
    <cellStyle name="Normal 15 10 2" xfId="36585"/>
    <cellStyle name="Normal 15 11" xfId="3488"/>
    <cellStyle name="Normal 15 11 2" xfId="24280"/>
    <cellStyle name="Normal 15 12" xfId="23228"/>
    <cellStyle name="Normal 15 12 2" xfId="43004"/>
    <cellStyle name="Normal 15 2" xfId="3489"/>
    <cellStyle name="Normal 15 3" xfId="3490"/>
    <cellStyle name="Normal 15 3 2" xfId="5016"/>
    <cellStyle name="Normal 15 3 2 2" xfId="6641"/>
    <cellStyle name="Normal 15 3 2 2 2" xfId="9727"/>
    <cellStyle name="Normal 15 3 2 2 2 2" xfId="15920"/>
    <cellStyle name="Normal 15 3 2 2 2 2 2" xfId="35803"/>
    <cellStyle name="Normal 15 3 2 2 2 3" xfId="22072"/>
    <cellStyle name="Normal 15 3 2 2 2 3 2" xfId="41955"/>
    <cellStyle name="Normal 15 3 2 2 2 4" xfId="29650"/>
    <cellStyle name="Normal 15 3 2 2 3" xfId="12854"/>
    <cellStyle name="Normal 15 3 2 2 3 2" xfId="32737"/>
    <cellStyle name="Normal 15 3 2 2 4" xfId="19006"/>
    <cellStyle name="Normal 15 3 2 2 4 2" xfId="38889"/>
    <cellStyle name="Normal 15 3 2 2 5" xfId="26584"/>
    <cellStyle name="Normal 15 3 2 3" xfId="8192"/>
    <cellStyle name="Normal 15 3 2 3 2" xfId="14386"/>
    <cellStyle name="Normal 15 3 2 3 2 2" xfId="34269"/>
    <cellStyle name="Normal 15 3 2 3 3" xfId="20538"/>
    <cellStyle name="Normal 15 3 2 3 3 2" xfId="40421"/>
    <cellStyle name="Normal 15 3 2 3 4" xfId="28116"/>
    <cellStyle name="Normal 15 3 2 4" xfId="11320"/>
    <cellStyle name="Normal 15 3 2 4 2" xfId="31203"/>
    <cellStyle name="Normal 15 3 2 5" xfId="17472"/>
    <cellStyle name="Normal 15 3 2 5 2" xfId="37355"/>
    <cellStyle name="Normal 15 3 2 6" xfId="25050"/>
    <cellStyle name="Normal 15 3 3" xfId="5858"/>
    <cellStyle name="Normal 15 3 3 2" xfId="8958"/>
    <cellStyle name="Normal 15 3 3 2 2" xfId="15151"/>
    <cellStyle name="Normal 15 3 3 2 2 2" xfId="35034"/>
    <cellStyle name="Normal 15 3 3 2 3" xfId="21303"/>
    <cellStyle name="Normal 15 3 3 2 3 2" xfId="41186"/>
    <cellStyle name="Normal 15 3 3 2 4" xfId="28881"/>
    <cellStyle name="Normal 15 3 3 3" xfId="12085"/>
    <cellStyle name="Normal 15 3 3 3 2" xfId="31968"/>
    <cellStyle name="Normal 15 3 3 4" xfId="18237"/>
    <cellStyle name="Normal 15 3 3 4 2" xfId="38120"/>
    <cellStyle name="Normal 15 3 3 5" xfId="25815"/>
    <cellStyle name="Normal 15 3 4" xfId="7423"/>
    <cellStyle name="Normal 15 3 4 2" xfId="13617"/>
    <cellStyle name="Normal 15 3 4 2 2" xfId="33500"/>
    <cellStyle name="Normal 15 3 4 3" xfId="19769"/>
    <cellStyle name="Normal 15 3 4 3 2" xfId="39652"/>
    <cellStyle name="Normal 15 3 4 4" xfId="27347"/>
    <cellStyle name="Normal 15 3 5" xfId="10551"/>
    <cellStyle name="Normal 15 3 5 2" xfId="30434"/>
    <cellStyle name="Normal 15 3 6" xfId="16703"/>
    <cellStyle name="Normal 15 3 6 2" xfId="36586"/>
    <cellStyle name="Normal 15 3 7" xfId="24281"/>
    <cellStyle name="Normal 15 4" xfId="3491"/>
    <cellStyle name="Normal 15 4 2" xfId="3492"/>
    <cellStyle name="Normal 15 5" xfId="3493"/>
    <cellStyle name="Normal 15 5 2" xfId="3494"/>
    <cellStyle name="Normal 15 6" xfId="5015"/>
    <cellStyle name="Normal 15 6 2" xfId="6640"/>
    <cellStyle name="Normal 15 6 2 2" xfId="9726"/>
    <cellStyle name="Normal 15 6 2 2 2" xfId="15919"/>
    <cellStyle name="Normal 15 6 2 2 2 2" xfId="35802"/>
    <cellStyle name="Normal 15 6 2 2 3" xfId="22071"/>
    <cellStyle name="Normal 15 6 2 2 3 2" xfId="41954"/>
    <cellStyle name="Normal 15 6 2 2 4" xfId="29649"/>
    <cellStyle name="Normal 15 6 2 3" xfId="12853"/>
    <cellStyle name="Normal 15 6 2 3 2" xfId="32736"/>
    <cellStyle name="Normal 15 6 2 4" xfId="19005"/>
    <cellStyle name="Normal 15 6 2 4 2" xfId="38888"/>
    <cellStyle name="Normal 15 6 2 5" xfId="26583"/>
    <cellStyle name="Normal 15 6 3" xfId="8191"/>
    <cellStyle name="Normal 15 6 3 2" xfId="14385"/>
    <cellStyle name="Normal 15 6 3 2 2" xfId="34268"/>
    <cellStyle name="Normal 15 6 3 3" xfId="20537"/>
    <cellStyle name="Normal 15 6 3 3 2" xfId="40420"/>
    <cellStyle name="Normal 15 6 3 4" xfId="28115"/>
    <cellStyle name="Normal 15 6 4" xfId="11319"/>
    <cellStyle name="Normal 15 6 4 2" xfId="31202"/>
    <cellStyle name="Normal 15 6 5" xfId="17471"/>
    <cellStyle name="Normal 15 6 5 2" xfId="37354"/>
    <cellStyle name="Normal 15 6 6" xfId="25049"/>
    <cellStyle name="Normal 15 7" xfId="5857"/>
    <cellStyle name="Normal 15 7 2" xfId="8957"/>
    <cellStyle name="Normal 15 7 2 2" xfId="15150"/>
    <cellStyle name="Normal 15 7 2 2 2" xfId="35033"/>
    <cellStyle name="Normal 15 7 2 3" xfId="21302"/>
    <cellStyle name="Normal 15 7 2 3 2" xfId="41185"/>
    <cellStyle name="Normal 15 7 2 4" xfId="28880"/>
    <cellStyle name="Normal 15 7 3" xfId="12084"/>
    <cellStyle name="Normal 15 7 3 2" xfId="31967"/>
    <cellStyle name="Normal 15 7 4" xfId="18236"/>
    <cellStyle name="Normal 15 7 4 2" xfId="38119"/>
    <cellStyle name="Normal 15 7 5" xfId="25814"/>
    <cellStyle name="Normal 15 8" xfId="7422"/>
    <cellStyle name="Normal 15 8 2" xfId="13616"/>
    <cellStyle name="Normal 15 8 2 2" xfId="33499"/>
    <cellStyle name="Normal 15 8 3" xfId="19768"/>
    <cellStyle name="Normal 15 8 3 2" xfId="39651"/>
    <cellStyle name="Normal 15 8 4" xfId="27346"/>
    <cellStyle name="Normal 15 9" xfId="10550"/>
    <cellStyle name="Normal 15 9 2" xfId="30433"/>
    <cellStyle name="Normal 16" xfId="3495"/>
    <cellStyle name="Normal 16 2" xfId="3496"/>
    <cellStyle name="Normal 16 2 10" xfId="23230"/>
    <cellStyle name="Normal 16 2 11" xfId="24282"/>
    <cellStyle name="Normal 16 2 2" xfId="3497"/>
    <cellStyle name="Normal 16 2 2 2" xfId="3498"/>
    <cellStyle name="Normal 16 2 2 2 2" xfId="5019"/>
    <cellStyle name="Normal 16 2 2 2 2 2" xfId="6644"/>
    <cellStyle name="Normal 16 2 2 2 2 2 2" xfId="9730"/>
    <cellStyle name="Normal 16 2 2 2 2 2 2 2" xfId="15923"/>
    <cellStyle name="Normal 16 2 2 2 2 2 2 2 2" xfId="35806"/>
    <cellStyle name="Normal 16 2 2 2 2 2 2 3" xfId="22075"/>
    <cellStyle name="Normal 16 2 2 2 2 2 2 3 2" xfId="41958"/>
    <cellStyle name="Normal 16 2 2 2 2 2 2 4" xfId="29653"/>
    <cellStyle name="Normal 16 2 2 2 2 2 3" xfId="12857"/>
    <cellStyle name="Normal 16 2 2 2 2 2 3 2" xfId="32740"/>
    <cellStyle name="Normal 16 2 2 2 2 2 4" xfId="19009"/>
    <cellStyle name="Normal 16 2 2 2 2 2 4 2" xfId="38892"/>
    <cellStyle name="Normal 16 2 2 2 2 2 5" xfId="26587"/>
    <cellStyle name="Normal 16 2 2 2 2 3" xfId="8195"/>
    <cellStyle name="Normal 16 2 2 2 2 3 2" xfId="14389"/>
    <cellStyle name="Normal 16 2 2 2 2 3 2 2" xfId="34272"/>
    <cellStyle name="Normal 16 2 2 2 2 3 3" xfId="20541"/>
    <cellStyle name="Normal 16 2 2 2 2 3 3 2" xfId="40424"/>
    <cellStyle name="Normal 16 2 2 2 2 3 4" xfId="28119"/>
    <cellStyle name="Normal 16 2 2 2 2 4" xfId="11323"/>
    <cellStyle name="Normal 16 2 2 2 2 4 2" xfId="31206"/>
    <cellStyle name="Normal 16 2 2 2 2 5" xfId="17475"/>
    <cellStyle name="Normal 16 2 2 2 2 5 2" xfId="37358"/>
    <cellStyle name="Normal 16 2 2 2 2 6" xfId="25053"/>
    <cellStyle name="Normal 16 2 2 2 3" xfId="5861"/>
    <cellStyle name="Normal 16 2 2 2 3 2" xfId="8961"/>
    <cellStyle name="Normal 16 2 2 2 3 2 2" xfId="15154"/>
    <cellStyle name="Normal 16 2 2 2 3 2 2 2" xfId="35037"/>
    <cellStyle name="Normal 16 2 2 2 3 2 3" xfId="21306"/>
    <cellStyle name="Normal 16 2 2 2 3 2 3 2" xfId="41189"/>
    <cellStyle name="Normal 16 2 2 2 3 2 4" xfId="28884"/>
    <cellStyle name="Normal 16 2 2 2 3 3" xfId="12088"/>
    <cellStyle name="Normal 16 2 2 2 3 3 2" xfId="31971"/>
    <cellStyle name="Normal 16 2 2 2 3 4" xfId="18240"/>
    <cellStyle name="Normal 16 2 2 2 3 4 2" xfId="38123"/>
    <cellStyle name="Normal 16 2 2 2 3 5" xfId="25818"/>
    <cellStyle name="Normal 16 2 2 2 4" xfId="7426"/>
    <cellStyle name="Normal 16 2 2 2 4 2" xfId="13620"/>
    <cellStyle name="Normal 16 2 2 2 4 2 2" xfId="33503"/>
    <cellStyle name="Normal 16 2 2 2 4 3" xfId="19772"/>
    <cellStyle name="Normal 16 2 2 2 4 3 2" xfId="39655"/>
    <cellStyle name="Normal 16 2 2 2 4 4" xfId="27350"/>
    <cellStyle name="Normal 16 2 2 2 5" xfId="10554"/>
    <cellStyle name="Normal 16 2 2 2 5 2" xfId="30437"/>
    <cellStyle name="Normal 16 2 2 2 6" xfId="16706"/>
    <cellStyle name="Normal 16 2 2 2 6 2" xfId="36589"/>
    <cellStyle name="Normal 16 2 2 2 7" xfId="24284"/>
    <cellStyle name="Normal 16 2 2 3" xfId="5018"/>
    <cellStyle name="Normal 16 2 2 3 2" xfId="6643"/>
    <cellStyle name="Normal 16 2 2 3 2 2" xfId="9729"/>
    <cellStyle name="Normal 16 2 2 3 2 2 2" xfId="15922"/>
    <cellStyle name="Normal 16 2 2 3 2 2 2 2" xfId="35805"/>
    <cellStyle name="Normal 16 2 2 3 2 2 3" xfId="22074"/>
    <cellStyle name="Normal 16 2 2 3 2 2 3 2" xfId="41957"/>
    <cellStyle name="Normal 16 2 2 3 2 2 4" xfId="29652"/>
    <cellStyle name="Normal 16 2 2 3 2 3" xfId="12856"/>
    <cellStyle name="Normal 16 2 2 3 2 3 2" xfId="32739"/>
    <cellStyle name="Normal 16 2 2 3 2 4" xfId="19008"/>
    <cellStyle name="Normal 16 2 2 3 2 4 2" xfId="38891"/>
    <cellStyle name="Normal 16 2 2 3 2 5" xfId="26586"/>
    <cellStyle name="Normal 16 2 2 3 3" xfId="8194"/>
    <cellStyle name="Normal 16 2 2 3 3 2" xfId="14388"/>
    <cellStyle name="Normal 16 2 2 3 3 2 2" xfId="34271"/>
    <cellStyle name="Normal 16 2 2 3 3 3" xfId="20540"/>
    <cellStyle name="Normal 16 2 2 3 3 3 2" xfId="40423"/>
    <cellStyle name="Normal 16 2 2 3 3 4" xfId="28118"/>
    <cellStyle name="Normal 16 2 2 3 4" xfId="11322"/>
    <cellStyle name="Normal 16 2 2 3 4 2" xfId="31205"/>
    <cellStyle name="Normal 16 2 2 3 5" xfId="17474"/>
    <cellStyle name="Normal 16 2 2 3 5 2" xfId="37357"/>
    <cellStyle name="Normal 16 2 2 3 6" xfId="25052"/>
    <cellStyle name="Normal 16 2 2 4" xfId="5860"/>
    <cellStyle name="Normal 16 2 2 4 2" xfId="8960"/>
    <cellStyle name="Normal 16 2 2 4 2 2" xfId="15153"/>
    <cellStyle name="Normal 16 2 2 4 2 2 2" xfId="35036"/>
    <cellStyle name="Normal 16 2 2 4 2 3" xfId="21305"/>
    <cellStyle name="Normal 16 2 2 4 2 3 2" xfId="41188"/>
    <cellStyle name="Normal 16 2 2 4 2 4" xfId="28883"/>
    <cellStyle name="Normal 16 2 2 4 3" xfId="12087"/>
    <cellStyle name="Normal 16 2 2 4 3 2" xfId="31970"/>
    <cellStyle name="Normal 16 2 2 4 4" xfId="18239"/>
    <cellStyle name="Normal 16 2 2 4 4 2" xfId="38122"/>
    <cellStyle name="Normal 16 2 2 4 5" xfId="25817"/>
    <cellStyle name="Normal 16 2 2 5" xfId="7425"/>
    <cellStyle name="Normal 16 2 2 5 2" xfId="13619"/>
    <cellStyle name="Normal 16 2 2 5 2 2" xfId="33502"/>
    <cellStyle name="Normal 16 2 2 5 3" xfId="19771"/>
    <cellStyle name="Normal 16 2 2 5 3 2" xfId="39654"/>
    <cellStyle name="Normal 16 2 2 5 4" xfId="27349"/>
    <cellStyle name="Normal 16 2 2 6" xfId="10553"/>
    <cellStyle name="Normal 16 2 2 6 2" xfId="30436"/>
    <cellStyle name="Normal 16 2 2 7" xfId="16705"/>
    <cellStyle name="Normal 16 2 2 7 2" xfId="36588"/>
    <cellStyle name="Normal 16 2 2 8" xfId="24283"/>
    <cellStyle name="Normal 16 2 3" xfId="3499"/>
    <cellStyle name="Normal 16 2 3 2" xfId="3500"/>
    <cellStyle name="Normal 16 2 3 2 2" xfId="5021"/>
    <cellStyle name="Normal 16 2 3 2 2 2" xfId="6646"/>
    <cellStyle name="Normal 16 2 3 2 2 2 2" xfId="9732"/>
    <cellStyle name="Normal 16 2 3 2 2 2 2 2" xfId="15925"/>
    <cellStyle name="Normal 16 2 3 2 2 2 2 2 2" xfId="35808"/>
    <cellStyle name="Normal 16 2 3 2 2 2 2 3" xfId="22077"/>
    <cellStyle name="Normal 16 2 3 2 2 2 2 3 2" xfId="41960"/>
    <cellStyle name="Normal 16 2 3 2 2 2 2 4" xfId="29655"/>
    <cellStyle name="Normal 16 2 3 2 2 2 3" xfId="12859"/>
    <cellStyle name="Normal 16 2 3 2 2 2 3 2" xfId="32742"/>
    <cellStyle name="Normal 16 2 3 2 2 2 4" xfId="19011"/>
    <cellStyle name="Normal 16 2 3 2 2 2 4 2" xfId="38894"/>
    <cellStyle name="Normal 16 2 3 2 2 2 5" xfId="26589"/>
    <cellStyle name="Normal 16 2 3 2 2 3" xfId="8197"/>
    <cellStyle name="Normal 16 2 3 2 2 3 2" xfId="14391"/>
    <cellStyle name="Normal 16 2 3 2 2 3 2 2" xfId="34274"/>
    <cellStyle name="Normal 16 2 3 2 2 3 3" xfId="20543"/>
    <cellStyle name="Normal 16 2 3 2 2 3 3 2" xfId="40426"/>
    <cellStyle name="Normal 16 2 3 2 2 3 4" xfId="28121"/>
    <cellStyle name="Normal 16 2 3 2 2 4" xfId="11325"/>
    <cellStyle name="Normal 16 2 3 2 2 4 2" xfId="31208"/>
    <cellStyle name="Normal 16 2 3 2 2 5" xfId="17477"/>
    <cellStyle name="Normal 16 2 3 2 2 5 2" xfId="37360"/>
    <cellStyle name="Normal 16 2 3 2 2 6" xfId="25055"/>
    <cellStyle name="Normal 16 2 3 2 3" xfId="5863"/>
    <cellStyle name="Normal 16 2 3 2 3 2" xfId="8963"/>
    <cellStyle name="Normal 16 2 3 2 3 2 2" xfId="15156"/>
    <cellStyle name="Normal 16 2 3 2 3 2 2 2" xfId="35039"/>
    <cellStyle name="Normal 16 2 3 2 3 2 3" xfId="21308"/>
    <cellStyle name="Normal 16 2 3 2 3 2 3 2" xfId="41191"/>
    <cellStyle name="Normal 16 2 3 2 3 2 4" xfId="28886"/>
    <cellStyle name="Normal 16 2 3 2 3 3" xfId="12090"/>
    <cellStyle name="Normal 16 2 3 2 3 3 2" xfId="31973"/>
    <cellStyle name="Normal 16 2 3 2 3 4" xfId="18242"/>
    <cellStyle name="Normal 16 2 3 2 3 4 2" xfId="38125"/>
    <cellStyle name="Normal 16 2 3 2 3 5" xfId="25820"/>
    <cellStyle name="Normal 16 2 3 2 4" xfId="7428"/>
    <cellStyle name="Normal 16 2 3 2 4 2" xfId="13622"/>
    <cellStyle name="Normal 16 2 3 2 4 2 2" xfId="33505"/>
    <cellStyle name="Normal 16 2 3 2 4 3" xfId="19774"/>
    <cellStyle name="Normal 16 2 3 2 4 3 2" xfId="39657"/>
    <cellStyle name="Normal 16 2 3 2 4 4" xfId="27352"/>
    <cellStyle name="Normal 16 2 3 2 5" xfId="10556"/>
    <cellStyle name="Normal 16 2 3 2 5 2" xfId="30439"/>
    <cellStyle name="Normal 16 2 3 2 6" xfId="16708"/>
    <cellStyle name="Normal 16 2 3 2 6 2" xfId="36591"/>
    <cellStyle name="Normal 16 2 3 2 7" xfId="24286"/>
    <cellStyle name="Normal 16 2 3 3" xfId="5020"/>
    <cellStyle name="Normal 16 2 3 3 2" xfId="6645"/>
    <cellStyle name="Normal 16 2 3 3 2 2" xfId="9731"/>
    <cellStyle name="Normal 16 2 3 3 2 2 2" xfId="15924"/>
    <cellStyle name="Normal 16 2 3 3 2 2 2 2" xfId="35807"/>
    <cellStyle name="Normal 16 2 3 3 2 2 3" xfId="22076"/>
    <cellStyle name="Normal 16 2 3 3 2 2 3 2" xfId="41959"/>
    <cellStyle name="Normal 16 2 3 3 2 2 4" xfId="29654"/>
    <cellStyle name="Normal 16 2 3 3 2 3" xfId="12858"/>
    <cellStyle name="Normal 16 2 3 3 2 3 2" xfId="32741"/>
    <cellStyle name="Normal 16 2 3 3 2 4" xfId="19010"/>
    <cellStyle name="Normal 16 2 3 3 2 4 2" xfId="38893"/>
    <cellStyle name="Normal 16 2 3 3 2 5" xfId="26588"/>
    <cellStyle name="Normal 16 2 3 3 3" xfId="8196"/>
    <cellStyle name="Normal 16 2 3 3 3 2" xfId="14390"/>
    <cellStyle name="Normal 16 2 3 3 3 2 2" xfId="34273"/>
    <cellStyle name="Normal 16 2 3 3 3 3" xfId="20542"/>
    <cellStyle name="Normal 16 2 3 3 3 3 2" xfId="40425"/>
    <cellStyle name="Normal 16 2 3 3 3 4" xfId="28120"/>
    <cellStyle name="Normal 16 2 3 3 4" xfId="11324"/>
    <cellStyle name="Normal 16 2 3 3 4 2" xfId="31207"/>
    <cellStyle name="Normal 16 2 3 3 5" xfId="17476"/>
    <cellStyle name="Normal 16 2 3 3 5 2" xfId="37359"/>
    <cellStyle name="Normal 16 2 3 3 6" xfId="25054"/>
    <cellStyle name="Normal 16 2 3 4" xfId="5862"/>
    <cellStyle name="Normal 16 2 3 4 2" xfId="8962"/>
    <cellStyle name="Normal 16 2 3 4 2 2" xfId="15155"/>
    <cellStyle name="Normal 16 2 3 4 2 2 2" xfId="35038"/>
    <cellStyle name="Normal 16 2 3 4 2 3" xfId="21307"/>
    <cellStyle name="Normal 16 2 3 4 2 3 2" xfId="41190"/>
    <cellStyle name="Normal 16 2 3 4 2 4" xfId="28885"/>
    <cellStyle name="Normal 16 2 3 4 3" xfId="12089"/>
    <cellStyle name="Normal 16 2 3 4 3 2" xfId="31972"/>
    <cellStyle name="Normal 16 2 3 4 4" xfId="18241"/>
    <cellStyle name="Normal 16 2 3 4 4 2" xfId="38124"/>
    <cellStyle name="Normal 16 2 3 4 5" xfId="25819"/>
    <cellStyle name="Normal 16 2 3 5" xfId="7427"/>
    <cellStyle name="Normal 16 2 3 5 2" xfId="13621"/>
    <cellStyle name="Normal 16 2 3 5 2 2" xfId="33504"/>
    <cellStyle name="Normal 16 2 3 5 3" xfId="19773"/>
    <cellStyle name="Normal 16 2 3 5 3 2" xfId="39656"/>
    <cellStyle name="Normal 16 2 3 5 4" xfId="27351"/>
    <cellStyle name="Normal 16 2 3 6" xfId="10555"/>
    <cellStyle name="Normal 16 2 3 6 2" xfId="30438"/>
    <cellStyle name="Normal 16 2 3 7" xfId="16707"/>
    <cellStyle name="Normal 16 2 3 7 2" xfId="36590"/>
    <cellStyle name="Normal 16 2 3 8" xfId="24285"/>
    <cellStyle name="Normal 16 2 4" xfId="3501"/>
    <cellStyle name="Normal 16 2 4 2" xfId="5022"/>
    <cellStyle name="Normal 16 2 4 2 2" xfId="6647"/>
    <cellStyle name="Normal 16 2 4 2 2 2" xfId="9733"/>
    <cellStyle name="Normal 16 2 4 2 2 2 2" xfId="15926"/>
    <cellStyle name="Normal 16 2 4 2 2 2 2 2" xfId="35809"/>
    <cellStyle name="Normal 16 2 4 2 2 2 3" xfId="22078"/>
    <cellStyle name="Normal 16 2 4 2 2 2 3 2" xfId="41961"/>
    <cellStyle name="Normal 16 2 4 2 2 2 4" xfId="29656"/>
    <cellStyle name="Normal 16 2 4 2 2 3" xfId="12860"/>
    <cellStyle name="Normal 16 2 4 2 2 3 2" xfId="32743"/>
    <cellStyle name="Normal 16 2 4 2 2 4" xfId="19012"/>
    <cellStyle name="Normal 16 2 4 2 2 4 2" xfId="38895"/>
    <cellStyle name="Normal 16 2 4 2 2 5" xfId="26590"/>
    <cellStyle name="Normal 16 2 4 2 3" xfId="8198"/>
    <cellStyle name="Normal 16 2 4 2 3 2" xfId="14392"/>
    <cellStyle name="Normal 16 2 4 2 3 2 2" xfId="34275"/>
    <cellStyle name="Normal 16 2 4 2 3 3" xfId="20544"/>
    <cellStyle name="Normal 16 2 4 2 3 3 2" xfId="40427"/>
    <cellStyle name="Normal 16 2 4 2 3 4" xfId="28122"/>
    <cellStyle name="Normal 16 2 4 2 4" xfId="11326"/>
    <cellStyle name="Normal 16 2 4 2 4 2" xfId="31209"/>
    <cellStyle name="Normal 16 2 4 2 5" xfId="17478"/>
    <cellStyle name="Normal 16 2 4 2 5 2" xfId="37361"/>
    <cellStyle name="Normal 16 2 4 2 6" xfId="25056"/>
    <cellStyle name="Normal 16 2 4 3" xfId="5864"/>
    <cellStyle name="Normal 16 2 4 3 2" xfId="8964"/>
    <cellStyle name="Normal 16 2 4 3 2 2" xfId="15157"/>
    <cellStyle name="Normal 16 2 4 3 2 2 2" xfId="35040"/>
    <cellStyle name="Normal 16 2 4 3 2 3" xfId="21309"/>
    <cellStyle name="Normal 16 2 4 3 2 3 2" xfId="41192"/>
    <cellStyle name="Normal 16 2 4 3 2 4" xfId="28887"/>
    <cellStyle name="Normal 16 2 4 3 3" xfId="12091"/>
    <cellStyle name="Normal 16 2 4 3 3 2" xfId="31974"/>
    <cellStyle name="Normal 16 2 4 3 4" xfId="18243"/>
    <cellStyle name="Normal 16 2 4 3 4 2" xfId="38126"/>
    <cellStyle name="Normal 16 2 4 3 5" xfId="25821"/>
    <cellStyle name="Normal 16 2 4 4" xfId="7429"/>
    <cellStyle name="Normal 16 2 4 4 2" xfId="13623"/>
    <cellStyle name="Normal 16 2 4 4 2 2" xfId="33506"/>
    <cellStyle name="Normal 16 2 4 4 3" xfId="19775"/>
    <cellStyle name="Normal 16 2 4 4 3 2" xfId="39658"/>
    <cellStyle name="Normal 16 2 4 4 4" xfId="27353"/>
    <cellStyle name="Normal 16 2 4 5" xfId="10557"/>
    <cellStyle name="Normal 16 2 4 5 2" xfId="30440"/>
    <cellStyle name="Normal 16 2 4 6" xfId="16709"/>
    <cellStyle name="Normal 16 2 4 6 2" xfId="36592"/>
    <cellStyle name="Normal 16 2 4 7" xfId="24287"/>
    <cellStyle name="Normal 16 2 5" xfId="5017"/>
    <cellStyle name="Normal 16 2 5 2" xfId="6642"/>
    <cellStyle name="Normal 16 2 5 2 2" xfId="9728"/>
    <cellStyle name="Normal 16 2 5 2 2 2" xfId="15921"/>
    <cellStyle name="Normal 16 2 5 2 2 2 2" xfId="35804"/>
    <cellStyle name="Normal 16 2 5 2 2 3" xfId="22073"/>
    <cellStyle name="Normal 16 2 5 2 2 3 2" xfId="41956"/>
    <cellStyle name="Normal 16 2 5 2 2 4" xfId="29651"/>
    <cellStyle name="Normal 16 2 5 2 3" xfId="12855"/>
    <cellStyle name="Normal 16 2 5 2 3 2" xfId="32738"/>
    <cellStyle name="Normal 16 2 5 2 4" xfId="19007"/>
    <cellStyle name="Normal 16 2 5 2 4 2" xfId="38890"/>
    <cellStyle name="Normal 16 2 5 2 5" xfId="26585"/>
    <cellStyle name="Normal 16 2 5 3" xfId="8193"/>
    <cellStyle name="Normal 16 2 5 3 2" xfId="14387"/>
    <cellStyle name="Normal 16 2 5 3 2 2" xfId="34270"/>
    <cellStyle name="Normal 16 2 5 3 3" xfId="20539"/>
    <cellStyle name="Normal 16 2 5 3 3 2" xfId="40422"/>
    <cellStyle name="Normal 16 2 5 3 4" xfId="28117"/>
    <cellStyle name="Normal 16 2 5 4" xfId="11321"/>
    <cellStyle name="Normal 16 2 5 4 2" xfId="31204"/>
    <cellStyle name="Normal 16 2 5 5" xfId="17473"/>
    <cellStyle name="Normal 16 2 5 5 2" xfId="37356"/>
    <cellStyle name="Normal 16 2 5 6" xfId="25051"/>
    <cellStyle name="Normal 16 2 6" xfId="5859"/>
    <cellStyle name="Normal 16 2 6 2" xfId="8959"/>
    <cellStyle name="Normal 16 2 6 2 2" xfId="15152"/>
    <cellStyle name="Normal 16 2 6 2 2 2" xfId="35035"/>
    <cellStyle name="Normal 16 2 6 2 3" xfId="21304"/>
    <cellStyle name="Normal 16 2 6 2 3 2" xfId="41187"/>
    <cellStyle name="Normal 16 2 6 2 4" xfId="28882"/>
    <cellStyle name="Normal 16 2 6 3" xfId="12086"/>
    <cellStyle name="Normal 16 2 6 3 2" xfId="31969"/>
    <cellStyle name="Normal 16 2 6 4" xfId="18238"/>
    <cellStyle name="Normal 16 2 6 4 2" xfId="38121"/>
    <cellStyle name="Normal 16 2 6 5" xfId="25816"/>
    <cellStyle name="Normal 16 2 7" xfId="7424"/>
    <cellStyle name="Normal 16 2 7 2" xfId="13618"/>
    <cellStyle name="Normal 16 2 7 2 2" xfId="33501"/>
    <cellStyle name="Normal 16 2 7 3" xfId="19770"/>
    <cellStyle name="Normal 16 2 7 3 2" xfId="39653"/>
    <cellStyle name="Normal 16 2 7 4" xfId="27348"/>
    <cellStyle name="Normal 16 2 8" xfId="10552"/>
    <cellStyle name="Normal 16 2 8 2" xfId="30435"/>
    <cellStyle name="Normal 16 2 9" xfId="16704"/>
    <cellStyle name="Normal 16 2 9 2" xfId="36587"/>
    <cellStyle name="Normal 16 3" xfId="3502"/>
    <cellStyle name="Normal 16 3 2" xfId="3503"/>
    <cellStyle name="Normal 16 3 2 2" xfId="5024"/>
    <cellStyle name="Normal 16 3 2 2 2" xfId="6649"/>
    <cellStyle name="Normal 16 3 2 2 2 2" xfId="9735"/>
    <cellStyle name="Normal 16 3 2 2 2 2 2" xfId="15928"/>
    <cellStyle name="Normal 16 3 2 2 2 2 2 2" xfId="35811"/>
    <cellStyle name="Normal 16 3 2 2 2 2 3" xfId="22080"/>
    <cellStyle name="Normal 16 3 2 2 2 2 3 2" xfId="41963"/>
    <cellStyle name="Normal 16 3 2 2 2 2 4" xfId="29658"/>
    <cellStyle name="Normal 16 3 2 2 2 3" xfId="12862"/>
    <cellStyle name="Normal 16 3 2 2 2 3 2" xfId="32745"/>
    <cellStyle name="Normal 16 3 2 2 2 4" xfId="19014"/>
    <cellStyle name="Normal 16 3 2 2 2 4 2" xfId="38897"/>
    <cellStyle name="Normal 16 3 2 2 2 5" xfId="26592"/>
    <cellStyle name="Normal 16 3 2 2 3" xfId="8200"/>
    <cellStyle name="Normal 16 3 2 2 3 2" xfId="14394"/>
    <cellStyle name="Normal 16 3 2 2 3 2 2" xfId="34277"/>
    <cellStyle name="Normal 16 3 2 2 3 3" xfId="20546"/>
    <cellStyle name="Normal 16 3 2 2 3 3 2" xfId="40429"/>
    <cellStyle name="Normal 16 3 2 2 3 4" xfId="28124"/>
    <cellStyle name="Normal 16 3 2 2 4" xfId="11328"/>
    <cellStyle name="Normal 16 3 2 2 4 2" xfId="31211"/>
    <cellStyle name="Normal 16 3 2 2 5" xfId="17480"/>
    <cellStyle name="Normal 16 3 2 2 5 2" xfId="37363"/>
    <cellStyle name="Normal 16 3 2 2 6" xfId="25058"/>
    <cellStyle name="Normal 16 3 2 3" xfId="5866"/>
    <cellStyle name="Normal 16 3 2 3 2" xfId="8966"/>
    <cellStyle name="Normal 16 3 2 3 2 2" xfId="15159"/>
    <cellStyle name="Normal 16 3 2 3 2 2 2" xfId="35042"/>
    <cellStyle name="Normal 16 3 2 3 2 3" xfId="21311"/>
    <cellStyle name="Normal 16 3 2 3 2 3 2" xfId="41194"/>
    <cellStyle name="Normal 16 3 2 3 2 4" xfId="28889"/>
    <cellStyle name="Normal 16 3 2 3 3" xfId="12093"/>
    <cellStyle name="Normal 16 3 2 3 3 2" xfId="31976"/>
    <cellStyle name="Normal 16 3 2 3 4" xfId="18245"/>
    <cellStyle name="Normal 16 3 2 3 4 2" xfId="38128"/>
    <cellStyle name="Normal 16 3 2 3 5" xfId="25823"/>
    <cellStyle name="Normal 16 3 2 4" xfId="7431"/>
    <cellStyle name="Normal 16 3 2 4 2" xfId="13625"/>
    <cellStyle name="Normal 16 3 2 4 2 2" xfId="33508"/>
    <cellStyle name="Normal 16 3 2 4 3" xfId="19777"/>
    <cellStyle name="Normal 16 3 2 4 3 2" xfId="39660"/>
    <cellStyle name="Normal 16 3 2 4 4" xfId="27355"/>
    <cellStyle name="Normal 16 3 2 5" xfId="10559"/>
    <cellStyle name="Normal 16 3 2 5 2" xfId="30442"/>
    <cellStyle name="Normal 16 3 2 6" xfId="16711"/>
    <cellStyle name="Normal 16 3 2 6 2" xfId="36594"/>
    <cellStyle name="Normal 16 3 2 7" xfId="24289"/>
    <cellStyle name="Normal 16 3 3" xfId="5023"/>
    <cellStyle name="Normal 16 3 3 2" xfId="6648"/>
    <cellStyle name="Normal 16 3 3 2 2" xfId="9734"/>
    <cellStyle name="Normal 16 3 3 2 2 2" xfId="15927"/>
    <cellStyle name="Normal 16 3 3 2 2 2 2" xfId="35810"/>
    <cellStyle name="Normal 16 3 3 2 2 3" xfId="22079"/>
    <cellStyle name="Normal 16 3 3 2 2 3 2" xfId="41962"/>
    <cellStyle name="Normal 16 3 3 2 2 4" xfId="29657"/>
    <cellStyle name="Normal 16 3 3 2 3" xfId="12861"/>
    <cellStyle name="Normal 16 3 3 2 3 2" xfId="32744"/>
    <cellStyle name="Normal 16 3 3 2 4" xfId="19013"/>
    <cellStyle name="Normal 16 3 3 2 4 2" xfId="38896"/>
    <cellStyle name="Normal 16 3 3 2 5" xfId="26591"/>
    <cellStyle name="Normal 16 3 3 3" xfId="8199"/>
    <cellStyle name="Normal 16 3 3 3 2" xfId="14393"/>
    <cellStyle name="Normal 16 3 3 3 2 2" xfId="34276"/>
    <cellStyle name="Normal 16 3 3 3 3" xfId="20545"/>
    <cellStyle name="Normal 16 3 3 3 3 2" xfId="40428"/>
    <cellStyle name="Normal 16 3 3 3 4" xfId="28123"/>
    <cellStyle name="Normal 16 3 3 4" xfId="11327"/>
    <cellStyle name="Normal 16 3 3 4 2" xfId="31210"/>
    <cellStyle name="Normal 16 3 3 5" xfId="17479"/>
    <cellStyle name="Normal 16 3 3 5 2" xfId="37362"/>
    <cellStyle name="Normal 16 3 3 6" xfId="25057"/>
    <cellStyle name="Normal 16 3 4" xfId="5865"/>
    <cellStyle name="Normal 16 3 4 2" xfId="8965"/>
    <cellStyle name="Normal 16 3 4 2 2" xfId="15158"/>
    <cellStyle name="Normal 16 3 4 2 2 2" xfId="35041"/>
    <cellStyle name="Normal 16 3 4 2 3" xfId="21310"/>
    <cellStyle name="Normal 16 3 4 2 3 2" xfId="41193"/>
    <cellStyle name="Normal 16 3 4 2 4" xfId="28888"/>
    <cellStyle name="Normal 16 3 4 3" xfId="12092"/>
    <cellStyle name="Normal 16 3 4 3 2" xfId="31975"/>
    <cellStyle name="Normal 16 3 4 4" xfId="18244"/>
    <cellStyle name="Normal 16 3 4 4 2" xfId="38127"/>
    <cellStyle name="Normal 16 3 4 5" xfId="25822"/>
    <cellStyle name="Normal 16 3 5" xfId="7430"/>
    <cellStyle name="Normal 16 3 5 2" xfId="13624"/>
    <cellStyle name="Normal 16 3 5 2 2" xfId="33507"/>
    <cellStyle name="Normal 16 3 5 3" xfId="19776"/>
    <cellStyle name="Normal 16 3 5 3 2" xfId="39659"/>
    <cellStyle name="Normal 16 3 5 4" xfId="27354"/>
    <cellStyle name="Normal 16 3 6" xfId="10558"/>
    <cellStyle name="Normal 16 3 6 2" xfId="30441"/>
    <cellStyle name="Normal 16 3 7" xfId="16710"/>
    <cellStyle name="Normal 16 3 7 2" xfId="36593"/>
    <cellStyle name="Normal 16 3 8" xfId="24288"/>
    <cellStyle name="Normal 16 4" xfId="3504"/>
    <cellStyle name="Normal 16 4 2" xfId="3505"/>
    <cellStyle name="Normal 16 4 2 2" xfId="5026"/>
    <cellStyle name="Normal 16 4 2 2 2" xfId="6651"/>
    <cellStyle name="Normal 16 4 2 2 2 2" xfId="9737"/>
    <cellStyle name="Normal 16 4 2 2 2 2 2" xfId="15930"/>
    <cellStyle name="Normal 16 4 2 2 2 2 2 2" xfId="35813"/>
    <cellStyle name="Normal 16 4 2 2 2 2 3" xfId="22082"/>
    <cellStyle name="Normal 16 4 2 2 2 2 3 2" xfId="41965"/>
    <cellStyle name="Normal 16 4 2 2 2 2 4" xfId="29660"/>
    <cellStyle name="Normal 16 4 2 2 2 3" xfId="12864"/>
    <cellStyle name="Normal 16 4 2 2 2 3 2" xfId="32747"/>
    <cellStyle name="Normal 16 4 2 2 2 4" xfId="19016"/>
    <cellStyle name="Normal 16 4 2 2 2 4 2" xfId="38899"/>
    <cellStyle name="Normal 16 4 2 2 2 5" xfId="26594"/>
    <cellStyle name="Normal 16 4 2 2 3" xfId="8202"/>
    <cellStyle name="Normal 16 4 2 2 3 2" xfId="14396"/>
    <cellStyle name="Normal 16 4 2 2 3 2 2" xfId="34279"/>
    <cellStyle name="Normal 16 4 2 2 3 3" xfId="20548"/>
    <cellStyle name="Normal 16 4 2 2 3 3 2" xfId="40431"/>
    <cellStyle name="Normal 16 4 2 2 3 4" xfId="28126"/>
    <cellStyle name="Normal 16 4 2 2 4" xfId="11330"/>
    <cellStyle name="Normal 16 4 2 2 4 2" xfId="31213"/>
    <cellStyle name="Normal 16 4 2 2 5" xfId="17482"/>
    <cellStyle name="Normal 16 4 2 2 5 2" xfId="37365"/>
    <cellStyle name="Normal 16 4 2 2 6" xfId="25060"/>
    <cellStyle name="Normal 16 4 2 3" xfId="5868"/>
    <cellStyle name="Normal 16 4 2 3 2" xfId="8968"/>
    <cellStyle name="Normal 16 4 2 3 2 2" xfId="15161"/>
    <cellStyle name="Normal 16 4 2 3 2 2 2" xfId="35044"/>
    <cellStyle name="Normal 16 4 2 3 2 3" xfId="21313"/>
    <cellStyle name="Normal 16 4 2 3 2 3 2" xfId="41196"/>
    <cellStyle name="Normal 16 4 2 3 2 4" xfId="28891"/>
    <cellStyle name="Normal 16 4 2 3 3" xfId="12095"/>
    <cellStyle name="Normal 16 4 2 3 3 2" xfId="31978"/>
    <cellStyle name="Normal 16 4 2 3 4" xfId="18247"/>
    <cellStyle name="Normal 16 4 2 3 4 2" xfId="38130"/>
    <cellStyle name="Normal 16 4 2 3 5" xfId="25825"/>
    <cellStyle name="Normal 16 4 2 4" xfId="7433"/>
    <cellStyle name="Normal 16 4 2 4 2" xfId="13627"/>
    <cellStyle name="Normal 16 4 2 4 2 2" xfId="33510"/>
    <cellStyle name="Normal 16 4 2 4 3" xfId="19779"/>
    <cellStyle name="Normal 16 4 2 4 3 2" xfId="39662"/>
    <cellStyle name="Normal 16 4 2 4 4" xfId="27357"/>
    <cellStyle name="Normal 16 4 2 5" xfId="10561"/>
    <cellStyle name="Normal 16 4 2 5 2" xfId="30444"/>
    <cellStyle name="Normal 16 4 2 6" xfId="16713"/>
    <cellStyle name="Normal 16 4 2 6 2" xfId="36596"/>
    <cellStyle name="Normal 16 4 2 7" xfId="24291"/>
    <cellStyle name="Normal 16 4 3" xfId="5025"/>
    <cellStyle name="Normal 16 4 3 2" xfId="6650"/>
    <cellStyle name="Normal 16 4 3 2 2" xfId="9736"/>
    <cellStyle name="Normal 16 4 3 2 2 2" xfId="15929"/>
    <cellStyle name="Normal 16 4 3 2 2 2 2" xfId="35812"/>
    <cellStyle name="Normal 16 4 3 2 2 3" xfId="22081"/>
    <cellStyle name="Normal 16 4 3 2 2 3 2" xfId="41964"/>
    <cellStyle name="Normal 16 4 3 2 2 4" xfId="29659"/>
    <cellStyle name="Normal 16 4 3 2 3" xfId="12863"/>
    <cellStyle name="Normal 16 4 3 2 3 2" xfId="32746"/>
    <cellStyle name="Normal 16 4 3 2 4" xfId="19015"/>
    <cellStyle name="Normal 16 4 3 2 4 2" xfId="38898"/>
    <cellStyle name="Normal 16 4 3 2 5" xfId="26593"/>
    <cellStyle name="Normal 16 4 3 3" xfId="8201"/>
    <cellStyle name="Normal 16 4 3 3 2" xfId="14395"/>
    <cellStyle name="Normal 16 4 3 3 2 2" xfId="34278"/>
    <cellStyle name="Normal 16 4 3 3 3" xfId="20547"/>
    <cellStyle name="Normal 16 4 3 3 3 2" xfId="40430"/>
    <cellStyle name="Normal 16 4 3 3 4" xfId="28125"/>
    <cellStyle name="Normal 16 4 3 4" xfId="11329"/>
    <cellStyle name="Normal 16 4 3 4 2" xfId="31212"/>
    <cellStyle name="Normal 16 4 3 5" xfId="17481"/>
    <cellStyle name="Normal 16 4 3 5 2" xfId="37364"/>
    <cellStyle name="Normal 16 4 3 6" xfId="25059"/>
    <cellStyle name="Normal 16 4 4" xfId="5867"/>
    <cellStyle name="Normal 16 4 4 2" xfId="8967"/>
    <cellStyle name="Normal 16 4 4 2 2" xfId="15160"/>
    <cellStyle name="Normal 16 4 4 2 2 2" xfId="35043"/>
    <cellStyle name="Normal 16 4 4 2 3" xfId="21312"/>
    <cellStyle name="Normal 16 4 4 2 3 2" xfId="41195"/>
    <cellStyle name="Normal 16 4 4 2 4" xfId="28890"/>
    <cellStyle name="Normal 16 4 4 3" xfId="12094"/>
    <cellStyle name="Normal 16 4 4 3 2" xfId="31977"/>
    <cellStyle name="Normal 16 4 4 4" xfId="18246"/>
    <cellStyle name="Normal 16 4 4 4 2" xfId="38129"/>
    <cellStyle name="Normal 16 4 4 5" xfId="25824"/>
    <cellStyle name="Normal 16 4 5" xfId="7432"/>
    <cellStyle name="Normal 16 4 5 2" xfId="13626"/>
    <cellStyle name="Normal 16 4 5 2 2" xfId="33509"/>
    <cellStyle name="Normal 16 4 5 3" xfId="19778"/>
    <cellStyle name="Normal 16 4 5 3 2" xfId="39661"/>
    <cellStyle name="Normal 16 4 5 4" xfId="27356"/>
    <cellStyle name="Normal 16 4 6" xfId="10560"/>
    <cellStyle name="Normal 16 4 6 2" xfId="30443"/>
    <cellStyle name="Normal 16 4 7" xfId="16712"/>
    <cellStyle name="Normal 16 4 7 2" xfId="36595"/>
    <cellStyle name="Normal 16 4 8" xfId="24290"/>
    <cellStyle name="Normal 16 5" xfId="3506"/>
    <cellStyle name="Normal 16 5 2" xfId="3507"/>
    <cellStyle name="Normal 16 5 2 2" xfId="5027"/>
    <cellStyle name="Normal 16 5 2 2 2" xfId="6652"/>
    <cellStyle name="Normal 16 5 2 2 2 2" xfId="9738"/>
    <cellStyle name="Normal 16 5 2 2 2 2 2" xfId="15931"/>
    <cellStyle name="Normal 16 5 2 2 2 2 2 2" xfId="35814"/>
    <cellStyle name="Normal 16 5 2 2 2 2 3" xfId="22083"/>
    <cellStyle name="Normal 16 5 2 2 2 2 3 2" xfId="41966"/>
    <cellStyle name="Normal 16 5 2 2 2 2 4" xfId="29661"/>
    <cellStyle name="Normal 16 5 2 2 2 3" xfId="12865"/>
    <cellStyle name="Normal 16 5 2 2 2 3 2" xfId="32748"/>
    <cellStyle name="Normal 16 5 2 2 2 4" xfId="19017"/>
    <cellStyle name="Normal 16 5 2 2 2 4 2" xfId="38900"/>
    <cellStyle name="Normal 16 5 2 2 2 5" xfId="26595"/>
    <cellStyle name="Normal 16 5 2 2 3" xfId="8203"/>
    <cellStyle name="Normal 16 5 2 2 3 2" xfId="14397"/>
    <cellStyle name="Normal 16 5 2 2 3 2 2" xfId="34280"/>
    <cellStyle name="Normal 16 5 2 2 3 3" xfId="20549"/>
    <cellStyle name="Normal 16 5 2 2 3 3 2" xfId="40432"/>
    <cellStyle name="Normal 16 5 2 2 3 4" xfId="28127"/>
    <cellStyle name="Normal 16 5 2 2 4" xfId="11331"/>
    <cellStyle name="Normal 16 5 2 2 4 2" xfId="31214"/>
    <cellStyle name="Normal 16 5 2 2 5" xfId="17483"/>
    <cellStyle name="Normal 16 5 2 2 5 2" xfId="37366"/>
    <cellStyle name="Normal 16 5 2 2 6" xfId="25061"/>
    <cellStyle name="Normal 16 5 2 3" xfId="5869"/>
    <cellStyle name="Normal 16 5 2 3 2" xfId="8969"/>
    <cellStyle name="Normal 16 5 2 3 2 2" xfId="15162"/>
    <cellStyle name="Normal 16 5 2 3 2 2 2" xfId="35045"/>
    <cellStyle name="Normal 16 5 2 3 2 3" xfId="21314"/>
    <cellStyle name="Normal 16 5 2 3 2 3 2" xfId="41197"/>
    <cellStyle name="Normal 16 5 2 3 2 4" xfId="28892"/>
    <cellStyle name="Normal 16 5 2 3 3" xfId="12096"/>
    <cellStyle name="Normal 16 5 2 3 3 2" xfId="31979"/>
    <cellStyle name="Normal 16 5 2 3 4" xfId="18248"/>
    <cellStyle name="Normal 16 5 2 3 4 2" xfId="38131"/>
    <cellStyle name="Normal 16 5 2 3 5" xfId="25826"/>
    <cellStyle name="Normal 16 5 2 4" xfId="7434"/>
    <cellStyle name="Normal 16 5 2 4 2" xfId="13628"/>
    <cellStyle name="Normal 16 5 2 4 2 2" xfId="33511"/>
    <cellStyle name="Normal 16 5 2 4 3" xfId="19780"/>
    <cellStyle name="Normal 16 5 2 4 3 2" xfId="39663"/>
    <cellStyle name="Normal 16 5 2 4 4" xfId="27358"/>
    <cellStyle name="Normal 16 5 2 5" xfId="10562"/>
    <cellStyle name="Normal 16 5 2 5 2" xfId="30445"/>
    <cellStyle name="Normal 16 5 2 6" xfId="16714"/>
    <cellStyle name="Normal 16 5 2 6 2" xfId="36597"/>
    <cellStyle name="Normal 16 5 2 7" xfId="24292"/>
    <cellStyle name="Normal 16 6" xfId="3508"/>
    <cellStyle name="Normal 16 6 2" xfId="5028"/>
    <cellStyle name="Normal 16 6 2 2" xfId="6653"/>
    <cellStyle name="Normal 16 6 2 2 2" xfId="9739"/>
    <cellStyle name="Normal 16 6 2 2 2 2" xfId="15932"/>
    <cellStyle name="Normal 16 6 2 2 2 2 2" xfId="35815"/>
    <cellStyle name="Normal 16 6 2 2 2 3" xfId="22084"/>
    <cellStyle name="Normal 16 6 2 2 2 3 2" xfId="41967"/>
    <cellStyle name="Normal 16 6 2 2 2 4" xfId="29662"/>
    <cellStyle name="Normal 16 6 2 2 3" xfId="12866"/>
    <cellStyle name="Normal 16 6 2 2 3 2" xfId="32749"/>
    <cellStyle name="Normal 16 6 2 2 4" xfId="19018"/>
    <cellStyle name="Normal 16 6 2 2 4 2" xfId="38901"/>
    <cellStyle name="Normal 16 6 2 2 5" xfId="26596"/>
    <cellStyle name="Normal 16 6 2 3" xfId="8204"/>
    <cellStyle name="Normal 16 6 2 3 2" xfId="14398"/>
    <cellStyle name="Normal 16 6 2 3 2 2" xfId="34281"/>
    <cellStyle name="Normal 16 6 2 3 3" xfId="20550"/>
    <cellStyle name="Normal 16 6 2 3 3 2" xfId="40433"/>
    <cellStyle name="Normal 16 6 2 3 4" xfId="28128"/>
    <cellStyle name="Normal 16 6 2 4" xfId="11332"/>
    <cellStyle name="Normal 16 6 2 4 2" xfId="31215"/>
    <cellStyle name="Normal 16 6 2 5" xfId="17484"/>
    <cellStyle name="Normal 16 6 2 5 2" xfId="37367"/>
    <cellStyle name="Normal 16 6 2 6" xfId="25062"/>
    <cellStyle name="Normal 16 6 3" xfId="5870"/>
    <cellStyle name="Normal 16 6 3 2" xfId="8970"/>
    <cellStyle name="Normal 16 6 3 2 2" xfId="15163"/>
    <cellStyle name="Normal 16 6 3 2 2 2" xfId="35046"/>
    <cellStyle name="Normal 16 6 3 2 3" xfId="21315"/>
    <cellStyle name="Normal 16 6 3 2 3 2" xfId="41198"/>
    <cellStyle name="Normal 16 6 3 2 4" xfId="28893"/>
    <cellStyle name="Normal 16 6 3 3" xfId="12097"/>
    <cellStyle name="Normal 16 6 3 3 2" xfId="31980"/>
    <cellStyle name="Normal 16 6 3 4" xfId="18249"/>
    <cellStyle name="Normal 16 6 3 4 2" xfId="38132"/>
    <cellStyle name="Normal 16 6 3 5" xfId="25827"/>
    <cellStyle name="Normal 16 6 4" xfId="7435"/>
    <cellStyle name="Normal 16 6 4 2" xfId="13629"/>
    <cellStyle name="Normal 16 6 4 2 2" xfId="33512"/>
    <cellStyle name="Normal 16 6 4 3" xfId="19781"/>
    <cellStyle name="Normal 16 6 4 3 2" xfId="39664"/>
    <cellStyle name="Normal 16 6 4 4" xfId="27359"/>
    <cellStyle name="Normal 16 6 5" xfId="10563"/>
    <cellStyle name="Normal 16 6 5 2" xfId="30446"/>
    <cellStyle name="Normal 16 6 6" xfId="16715"/>
    <cellStyle name="Normal 16 6 6 2" xfId="36598"/>
    <cellStyle name="Normal 16 6 7" xfId="24293"/>
    <cellStyle name="Normal 16 7" xfId="23229"/>
    <cellStyle name="Normal 16 7 2" xfId="43005"/>
    <cellStyle name="Normal 17" xfId="362"/>
    <cellStyle name="Normal 17 2" xfId="3509"/>
    <cellStyle name="Normal 17 2 10" xfId="23231"/>
    <cellStyle name="Normal 17 2 11" xfId="24294"/>
    <cellStyle name="Normal 17 2 2" xfId="3510"/>
    <cellStyle name="Normal 17 2 2 2" xfId="3511"/>
    <cellStyle name="Normal 17 2 2 2 2" xfId="5031"/>
    <cellStyle name="Normal 17 2 2 2 2 2" xfId="6656"/>
    <cellStyle name="Normal 17 2 2 2 2 2 2" xfId="9742"/>
    <cellStyle name="Normal 17 2 2 2 2 2 2 2" xfId="15935"/>
    <cellStyle name="Normal 17 2 2 2 2 2 2 2 2" xfId="35818"/>
    <cellStyle name="Normal 17 2 2 2 2 2 2 3" xfId="22087"/>
    <cellStyle name="Normal 17 2 2 2 2 2 2 3 2" xfId="41970"/>
    <cellStyle name="Normal 17 2 2 2 2 2 2 4" xfId="29665"/>
    <cellStyle name="Normal 17 2 2 2 2 2 3" xfId="12869"/>
    <cellStyle name="Normal 17 2 2 2 2 2 3 2" xfId="32752"/>
    <cellStyle name="Normal 17 2 2 2 2 2 4" xfId="19021"/>
    <cellStyle name="Normal 17 2 2 2 2 2 4 2" xfId="38904"/>
    <cellStyle name="Normal 17 2 2 2 2 2 5" xfId="26599"/>
    <cellStyle name="Normal 17 2 2 2 2 3" xfId="8207"/>
    <cellStyle name="Normal 17 2 2 2 2 3 2" xfId="14401"/>
    <cellStyle name="Normal 17 2 2 2 2 3 2 2" xfId="34284"/>
    <cellStyle name="Normal 17 2 2 2 2 3 3" xfId="20553"/>
    <cellStyle name="Normal 17 2 2 2 2 3 3 2" xfId="40436"/>
    <cellStyle name="Normal 17 2 2 2 2 3 4" xfId="28131"/>
    <cellStyle name="Normal 17 2 2 2 2 4" xfId="11335"/>
    <cellStyle name="Normal 17 2 2 2 2 4 2" xfId="31218"/>
    <cellStyle name="Normal 17 2 2 2 2 5" xfId="17487"/>
    <cellStyle name="Normal 17 2 2 2 2 5 2" xfId="37370"/>
    <cellStyle name="Normal 17 2 2 2 2 6" xfId="25065"/>
    <cellStyle name="Normal 17 2 2 2 3" xfId="5873"/>
    <cellStyle name="Normal 17 2 2 2 3 2" xfId="8973"/>
    <cellStyle name="Normal 17 2 2 2 3 2 2" xfId="15166"/>
    <cellStyle name="Normal 17 2 2 2 3 2 2 2" xfId="35049"/>
    <cellStyle name="Normal 17 2 2 2 3 2 3" xfId="21318"/>
    <cellStyle name="Normal 17 2 2 2 3 2 3 2" xfId="41201"/>
    <cellStyle name="Normal 17 2 2 2 3 2 4" xfId="28896"/>
    <cellStyle name="Normal 17 2 2 2 3 3" xfId="12100"/>
    <cellStyle name="Normal 17 2 2 2 3 3 2" xfId="31983"/>
    <cellStyle name="Normal 17 2 2 2 3 4" xfId="18252"/>
    <cellStyle name="Normal 17 2 2 2 3 4 2" xfId="38135"/>
    <cellStyle name="Normal 17 2 2 2 3 5" xfId="25830"/>
    <cellStyle name="Normal 17 2 2 2 4" xfId="7438"/>
    <cellStyle name="Normal 17 2 2 2 4 2" xfId="13632"/>
    <cellStyle name="Normal 17 2 2 2 4 2 2" xfId="33515"/>
    <cellStyle name="Normal 17 2 2 2 4 3" xfId="19784"/>
    <cellStyle name="Normal 17 2 2 2 4 3 2" xfId="39667"/>
    <cellStyle name="Normal 17 2 2 2 4 4" xfId="27362"/>
    <cellStyle name="Normal 17 2 2 2 5" xfId="10566"/>
    <cellStyle name="Normal 17 2 2 2 5 2" xfId="30449"/>
    <cellStyle name="Normal 17 2 2 2 6" xfId="16718"/>
    <cellStyle name="Normal 17 2 2 2 6 2" xfId="36601"/>
    <cellStyle name="Normal 17 2 2 2 7" xfId="24296"/>
    <cellStyle name="Normal 17 2 2 3" xfId="5030"/>
    <cellStyle name="Normal 17 2 2 3 2" xfId="6655"/>
    <cellStyle name="Normal 17 2 2 3 2 2" xfId="9741"/>
    <cellStyle name="Normal 17 2 2 3 2 2 2" xfId="15934"/>
    <cellStyle name="Normal 17 2 2 3 2 2 2 2" xfId="35817"/>
    <cellStyle name="Normal 17 2 2 3 2 2 3" xfId="22086"/>
    <cellStyle name="Normal 17 2 2 3 2 2 3 2" xfId="41969"/>
    <cellStyle name="Normal 17 2 2 3 2 2 4" xfId="29664"/>
    <cellStyle name="Normal 17 2 2 3 2 3" xfId="12868"/>
    <cellStyle name="Normal 17 2 2 3 2 3 2" xfId="32751"/>
    <cellStyle name="Normal 17 2 2 3 2 4" xfId="19020"/>
    <cellStyle name="Normal 17 2 2 3 2 4 2" xfId="38903"/>
    <cellStyle name="Normal 17 2 2 3 2 5" xfId="26598"/>
    <cellStyle name="Normal 17 2 2 3 3" xfId="8206"/>
    <cellStyle name="Normal 17 2 2 3 3 2" xfId="14400"/>
    <cellStyle name="Normal 17 2 2 3 3 2 2" xfId="34283"/>
    <cellStyle name="Normal 17 2 2 3 3 3" xfId="20552"/>
    <cellStyle name="Normal 17 2 2 3 3 3 2" xfId="40435"/>
    <cellStyle name="Normal 17 2 2 3 3 4" xfId="28130"/>
    <cellStyle name="Normal 17 2 2 3 4" xfId="11334"/>
    <cellStyle name="Normal 17 2 2 3 4 2" xfId="31217"/>
    <cellStyle name="Normal 17 2 2 3 5" xfId="17486"/>
    <cellStyle name="Normal 17 2 2 3 5 2" xfId="37369"/>
    <cellStyle name="Normal 17 2 2 3 6" xfId="25064"/>
    <cellStyle name="Normal 17 2 2 4" xfId="5872"/>
    <cellStyle name="Normal 17 2 2 4 2" xfId="8972"/>
    <cellStyle name="Normal 17 2 2 4 2 2" xfId="15165"/>
    <cellStyle name="Normal 17 2 2 4 2 2 2" xfId="35048"/>
    <cellStyle name="Normal 17 2 2 4 2 3" xfId="21317"/>
    <cellStyle name="Normal 17 2 2 4 2 3 2" xfId="41200"/>
    <cellStyle name="Normal 17 2 2 4 2 4" xfId="28895"/>
    <cellStyle name="Normal 17 2 2 4 3" xfId="12099"/>
    <cellStyle name="Normal 17 2 2 4 3 2" xfId="31982"/>
    <cellStyle name="Normal 17 2 2 4 4" xfId="18251"/>
    <cellStyle name="Normal 17 2 2 4 4 2" xfId="38134"/>
    <cellStyle name="Normal 17 2 2 4 5" xfId="25829"/>
    <cellStyle name="Normal 17 2 2 5" xfId="7437"/>
    <cellStyle name="Normal 17 2 2 5 2" xfId="13631"/>
    <cellStyle name="Normal 17 2 2 5 2 2" xfId="33514"/>
    <cellStyle name="Normal 17 2 2 5 3" xfId="19783"/>
    <cellStyle name="Normal 17 2 2 5 3 2" xfId="39666"/>
    <cellStyle name="Normal 17 2 2 5 4" xfId="27361"/>
    <cellStyle name="Normal 17 2 2 6" xfId="10565"/>
    <cellStyle name="Normal 17 2 2 6 2" xfId="30448"/>
    <cellStyle name="Normal 17 2 2 7" xfId="16717"/>
    <cellStyle name="Normal 17 2 2 7 2" xfId="36600"/>
    <cellStyle name="Normal 17 2 2 8" xfId="24295"/>
    <cellStyle name="Normal 17 2 3" xfId="3512"/>
    <cellStyle name="Normal 17 2 3 2" xfId="3513"/>
    <cellStyle name="Normal 17 2 3 2 2" xfId="5033"/>
    <cellStyle name="Normal 17 2 3 2 2 2" xfId="6658"/>
    <cellStyle name="Normal 17 2 3 2 2 2 2" xfId="9744"/>
    <cellStyle name="Normal 17 2 3 2 2 2 2 2" xfId="15937"/>
    <cellStyle name="Normal 17 2 3 2 2 2 2 2 2" xfId="35820"/>
    <cellStyle name="Normal 17 2 3 2 2 2 2 3" xfId="22089"/>
    <cellStyle name="Normal 17 2 3 2 2 2 2 3 2" xfId="41972"/>
    <cellStyle name="Normal 17 2 3 2 2 2 2 4" xfId="29667"/>
    <cellStyle name="Normal 17 2 3 2 2 2 3" xfId="12871"/>
    <cellStyle name="Normal 17 2 3 2 2 2 3 2" xfId="32754"/>
    <cellStyle name="Normal 17 2 3 2 2 2 4" xfId="19023"/>
    <cellStyle name="Normal 17 2 3 2 2 2 4 2" xfId="38906"/>
    <cellStyle name="Normal 17 2 3 2 2 2 5" xfId="26601"/>
    <cellStyle name="Normal 17 2 3 2 2 3" xfId="8209"/>
    <cellStyle name="Normal 17 2 3 2 2 3 2" xfId="14403"/>
    <cellStyle name="Normal 17 2 3 2 2 3 2 2" xfId="34286"/>
    <cellStyle name="Normal 17 2 3 2 2 3 3" xfId="20555"/>
    <cellStyle name="Normal 17 2 3 2 2 3 3 2" xfId="40438"/>
    <cellStyle name="Normal 17 2 3 2 2 3 4" xfId="28133"/>
    <cellStyle name="Normal 17 2 3 2 2 4" xfId="11337"/>
    <cellStyle name="Normal 17 2 3 2 2 4 2" xfId="31220"/>
    <cellStyle name="Normal 17 2 3 2 2 5" xfId="17489"/>
    <cellStyle name="Normal 17 2 3 2 2 5 2" xfId="37372"/>
    <cellStyle name="Normal 17 2 3 2 2 6" xfId="25067"/>
    <cellStyle name="Normal 17 2 3 2 3" xfId="5875"/>
    <cellStyle name="Normal 17 2 3 2 3 2" xfId="8975"/>
    <cellStyle name="Normal 17 2 3 2 3 2 2" xfId="15168"/>
    <cellStyle name="Normal 17 2 3 2 3 2 2 2" xfId="35051"/>
    <cellStyle name="Normal 17 2 3 2 3 2 3" xfId="21320"/>
    <cellStyle name="Normal 17 2 3 2 3 2 3 2" xfId="41203"/>
    <cellStyle name="Normal 17 2 3 2 3 2 4" xfId="28898"/>
    <cellStyle name="Normal 17 2 3 2 3 3" xfId="12102"/>
    <cellStyle name="Normal 17 2 3 2 3 3 2" xfId="31985"/>
    <cellStyle name="Normal 17 2 3 2 3 4" xfId="18254"/>
    <cellStyle name="Normal 17 2 3 2 3 4 2" xfId="38137"/>
    <cellStyle name="Normal 17 2 3 2 3 5" xfId="25832"/>
    <cellStyle name="Normal 17 2 3 2 4" xfId="7440"/>
    <cellStyle name="Normal 17 2 3 2 4 2" xfId="13634"/>
    <cellStyle name="Normal 17 2 3 2 4 2 2" xfId="33517"/>
    <cellStyle name="Normal 17 2 3 2 4 3" xfId="19786"/>
    <cellStyle name="Normal 17 2 3 2 4 3 2" xfId="39669"/>
    <cellStyle name="Normal 17 2 3 2 4 4" xfId="27364"/>
    <cellStyle name="Normal 17 2 3 2 5" xfId="10568"/>
    <cellStyle name="Normal 17 2 3 2 5 2" xfId="30451"/>
    <cellStyle name="Normal 17 2 3 2 6" xfId="16720"/>
    <cellStyle name="Normal 17 2 3 2 6 2" xfId="36603"/>
    <cellStyle name="Normal 17 2 3 2 7" xfId="24298"/>
    <cellStyle name="Normal 17 2 3 3" xfId="5032"/>
    <cellStyle name="Normal 17 2 3 3 2" xfId="6657"/>
    <cellStyle name="Normal 17 2 3 3 2 2" xfId="9743"/>
    <cellStyle name="Normal 17 2 3 3 2 2 2" xfId="15936"/>
    <cellStyle name="Normal 17 2 3 3 2 2 2 2" xfId="35819"/>
    <cellStyle name="Normal 17 2 3 3 2 2 3" xfId="22088"/>
    <cellStyle name="Normal 17 2 3 3 2 2 3 2" xfId="41971"/>
    <cellStyle name="Normal 17 2 3 3 2 2 4" xfId="29666"/>
    <cellStyle name="Normal 17 2 3 3 2 3" xfId="12870"/>
    <cellStyle name="Normal 17 2 3 3 2 3 2" xfId="32753"/>
    <cellStyle name="Normal 17 2 3 3 2 4" xfId="19022"/>
    <cellStyle name="Normal 17 2 3 3 2 4 2" xfId="38905"/>
    <cellStyle name="Normal 17 2 3 3 2 5" xfId="26600"/>
    <cellStyle name="Normal 17 2 3 3 3" xfId="8208"/>
    <cellStyle name="Normal 17 2 3 3 3 2" xfId="14402"/>
    <cellStyle name="Normal 17 2 3 3 3 2 2" xfId="34285"/>
    <cellStyle name="Normal 17 2 3 3 3 3" xfId="20554"/>
    <cellStyle name="Normal 17 2 3 3 3 3 2" xfId="40437"/>
    <cellStyle name="Normal 17 2 3 3 3 4" xfId="28132"/>
    <cellStyle name="Normal 17 2 3 3 4" xfId="11336"/>
    <cellStyle name="Normal 17 2 3 3 4 2" xfId="31219"/>
    <cellStyle name="Normal 17 2 3 3 5" xfId="17488"/>
    <cellStyle name="Normal 17 2 3 3 5 2" xfId="37371"/>
    <cellStyle name="Normal 17 2 3 3 6" xfId="25066"/>
    <cellStyle name="Normal 17 2 3 4" xfId="5874"/>
    <cellStyle name="Normal 17 2 3 4 2" xfId="8974"/>
    <cellStyle name="Normal 17 2 3 4 2 2" xfId="15167"/>
    <cellStyle name="Normal 17 2 3 4 2 2 2" xfId="35050"/>
    <cellStyle name="Normal 17 2 3 4 2 3" xfId="21319"/>
    <cellStyle name="Normal 17 2 3 4 2 3 2" xfId="41202"/>
    <cellStyle name="Normal 17 2 3 4 2 4" xfId="28897"/>
    <cellStyle name="Normal 17 2 3 4 3" xfId="12101"/>
    <cellStyle name="Normal 17 2 3 4 3 2" xfId="31984"/>
    <cellStyle name="Normal 17 2 3 4 4" xfId="18253"/>
    <cellStyle name="Normal 17 2 3 4 4 2" xfId="38136"/>
    <cellStyle name="Normal 17 2 3 4 5" xfId="25831"/>
    <cellStyle name="Normal 17 2 3 5" xfId="7439"/>
    <cellStyle name="Normal 17 2 3 5 2" xfId="13633"/>
    <cellStyle name="Normal 17 2 3 5 2 2" xfId="33516"/>
    <cellStyle name="Normal 17 2 3 5 3" xfId="19785"/>
    <cellStyle name="Normal 17 2 3 5 3 2" xfId="39668"/>
    <cellStyle name="Normal 17 2 3 5 4" xfId="27363"/>
    <cellStyle name="Normal 17 2 3 6" xfId="10567"/>
    <cellStyle name="Normal 17 2 3 6 2" xfId="30450"/>
    <cellStyle name="Normal 17 2 3 7" xfId="16719"/>
    <cellStyle name="Normal 17 2 3 7 2" xfId="36602"/>
    <cellStyle name="Normal 17 2 3 8" xfId="24297"/>
    <cellStyle name="Normal 17 2 4" xfId="3514"/>
    <cellStyle name="Normal 17 2 4 2" xfId="5034"/>
    <cellStyle name="Normal 17 2 4 2 2" xfId="6659"/>
    <cellStyle name="Normal 17 2 4 2 2 2" xfId="9745"/>
    <cellStyle name="Normal 17 2 4 2 2 2 2" xfId="15938"/>
    <cellStyle name="Normal 17 2 4 2 2 2 2 2" xfId="35821"/>
    <cellStyle name="Normal 17 2 4 2 2 2 3" xfId="22090"/>
    <cellStyle name="Normal 17 2 4 2 2 2 3 2" xfId="41973"/>
    <cellStyle name="Normal 17 2 4 2 2 2 4" xfId="29668"/>
    <cellStyle name="Normal 17 2 4 2 2 3" xfId="12872"/>
    <cellStyle name="Normal 17 2 4 2 2 3 2" xfId="32755"/>
    <cellStyle name="Normal 17 2 4 2 2 4" xfId="19024"/>
    <cellStyle name="Normal 17 2 4 2 2 4 2" xfId="38907"/>
    <cellStyle name="Normal 17 2 4 2 2 5" xfId="26602"/>
    <cellStyle name="Normal 17 2 4 2 3" xfId="8210"/>
    <cellStyle name="Normal 17 2 4 2 3 2" xfId="14404"/>
    <cellStyle name="Normal 17 2 4 2 3 2 2" xfId="34287"/>
    <cellStyle name="Normal 17 2 4 2 3 3" xfId="20556"/>
    <cellStyle name="Normal 17 2 4 2 3 3 2" xfId="40439"/>
    <cellStyle name="Normal 17 2 4 2 3 4" xfId="28134"/>
    <cellStyle name="Normal 17 2 4 2 4" xfId="11338"/>
    <cellStyle name="Normal 17 2 4 2 4 2" xfId="31221"/>
    <cellStyle name="Normal 17 2 4 2 5" xfId="17490"/>
    <cellStyle name="Normal 17 2 4 2 5 2" xfId="37373"/>
    <cellStyle name="Normal 17 2 4 2 6" xfId="25068"/>
    <cellStyle name="Normal 17 2 4 3" xfId="5876"/>
    <cellStyle name="Normal 17 2 4 3 2" xfId="8976"/>
    <cellStyle name="Normal 17 2 4 3 2 2" xfId="15169"/>
    <cellStyle name="Normal 17 2 4 3 2 2 2" xfId="35052"/>
    <cellStyle name="Normal 17 2 4 3 2 3" xfId="21321"/>
    <cellStyle name="Normal 17 2 4 3 2 3 2" xfId="41204"/>
    <cellStyle name="Normal 17 2 4 3 2 4" xfId="28899"/>
    <cellStyle name="Normal 17 2 4 3 3" xfId="12103"/>
    <cellStyle name="Normal 17 2 4 3 3 2" xfId="31986"/>
    <cellStyle name="Normal 17 2 4 3 4" xfId="18255"/>
    <cellStyle name="Normal 17 2 4 3 4 2" xfId="38138"/>
    <cellStyle name="Normal 17 2 4 3 5" xfId="25833"/>
    <cellStyle name="Normal 17 2 4 4" xfId="7441"/>
    <cellStyle name="Normal 17 2 4 4 2" xfId="13635"/>
    <cellStyle name="Normal 17 2 4 4 2 2" xfId="33518"/>
    <cellStyle name="Normal 17 2 4 4 3" xfId="19787"/>
    <cellStyle name="Normal 17 2 4 4 3 2" xfId="39670"/>
    <cellStyle name="Normal 17 2 4 4 4" xfId="27365"/>
    <cellStyle name="Normal 17 2 4 5" xfId="10569"/>
    <cellStyle name="Normal 17 2 4 5 2" xfId="30452"/>
    <cellStyle name="Normal 17 2 4 6" xfId="16721"/>
    <cellStyle name="Normal 17 2 4 6 2" xfId="36604"/>
    <cellStyle name="Normal 17 2 4 7" xfId="24299"/>
    <cellStyle name="Normal 17 2 5" xfId="5029"/>
    <cellStyle name="Normal 17 2 5 2" xfId="6654"/>
    <cellStyle name="Normal 17 2 5 2 2" xfId="9740"/>
    <cellStyle name="Normal 17 2 5 2 2 2" xfId="15933"/>
    <cellStyle name="Normal 17 2 5 2 2 2 2" xfId="35816"/>
    <cellStyle name="Normal 17 2 5 2 2 3" xfId="22085"/>
    <cellStyle name="Normal 17 2 5 2 2 3 2" xfId="41968"/>
    <cellStyle name="Normal 17 2 5 2 2 4" xfId="29663"/>
    <cellStyle name="Normal 17 2 5 2 3" xfId="12867"/>
    <cellStyle name="Normal 17 2 5 2 3 2" xfId="32750"/>
    <cellStyle name="Normal 17 2 5 2 4" xfId="19019"/>
    <cellStyle name="Normal 17 2 5 2 4 2" xfId="38902"/>
    <cellStyle name="Normal 17 2 5 2 5" xfId="26597"/>
    <cellStyle name="Normal 17 2 5 3" xfId="8205"/>
    <cellStyle name="Normal 17 2 5 3 2" xfId="14399"/>
    <cellStyle name="Normal 17 2 5 3 2 2" xfId="34282"/>
    <cellStyle name="Normal 17 2 5 3 3" xfId="20551"/>
    <cellStyle name="Normal 17 2 5 3 3 2" xfId="40434"/>
    <cellStyle name="Normal 17 2 5 3 4" xfId="28129"/>
    <cellStyle name="Normal 17 2 5 4" xfId="11333"/>
    <cellStyle name="Normal 17 2 5 4 2" xfId="31216"/>
    <cellStyle name="Normal 17 2 5 5" xfId="17485"/>
    <cellStyle name="Normal 17 2 5 5 2" xfId="37368"/>
    <cellStyle name="Normal 17 2 5 6" xfId="25063"/>
    <cellStyle name="Normal 17 2 6" xfId="5871"/>
    <cellStyle name="Normal 17 2 6 2" xfId="8971"/>
    <cellStyle name="Normal 17 2 6 2 2" xfId="15164"/>
    <cellStyle name="Normal 17 2 6 2 2 2" xfId="35047"/>
    <cellStyle name="Normal 17 2 6 2 3" xfId="21316"/>
    <cellStyle name="Normal 17 2 6 2 3 2" xfId="41199"/>
    <cellStyle name="Normal 17 2 6 2 4" xfId="28894"/>
    <cellStyle name="Normal 17 2 6 3" xfId="12098"/>
    <cellStyle name="Normal 17 2 6 3 2" xfId="31981"/>
    <cellStyle name="Normal 17 2 6 4" xfId="18250"/>
    <cellStyle name="Normal 17 2 6 4 2" xfId="38133"/>
    <cellStyle name="Normal 17 2 6 5" xfId="25828"/>
    <cellStyle name="Normal 17 2 7" xfId="7436"/>
    <cellStyle name="Normal 17 2 7 2" xfId="13630"/>
    <cellStyle name="Normal 17 2 7 2 2" xfId="33513"/>
    <cellStyle name="Normal 17 2 7 3" xfId="19782"/>
    <cellStyle name="Normal 17 2 7 3 2" xfId="39665"/>
    <cellStyle name="Normal 17 2 7 4" xfId="27360"/>
    <cellStyle name="Normal 17 2 8" xfId="10564"/>
    <cellStyle name="Normal 17 2 8 2" xfId="30447"/>
    <cellStyle name="Normal 17 2 9" xfId="16716"/>
    <cellStyle name="Normal 17 2 9 2" xfId="36599"/>
    <cellStyle name="Normal 17 3" xfId="3515"/>
    <cellStyle name="Normal 17 3 2" xfId="3516"/>
    <cellStyle name="Normal 17 3 2 2" xfId="5036"/>
    <cellStyle name="Normal 17 3 2 2 2" xfId="6661"/>
    <cellStyle name="Normal 17 3 2 2 2 2" xfId="9747"/>
    <cellStyle name="Normal 17 3 2 2 2 2 2" xfId="15940"/>
    <cellStyle name="Normal 17 3 2 2 2 2 2 2" xfId="35823"/>
    <cellStyle name="Normal 17 3 2 2 2 2 3" xfId="22092"/>
    <cellStyle name="Normal 17 3 2 2 2 2 3 2" xfId="41975"/>
    <cellStyle name="Normal 17 3 2 2 2 2 4" xfId="29670"/>
    <cellStyle name="Normal 17 3 2 2 2 3" xfId="12874"/>
    <cellStyle name="Normal 17 3 2 2 2 3 2" xfId="32757"/>
    <cellStyle name="Normal 17 3 2 2 2 4" xfId="19026"/>
    <cellStyle name="Normal 17 3 2 2 2 4 2" xfId="38909"/>
    <cellStyle name="Normal 17 3 2 2 2 5" xfId="26604"/>
    <cellStyle name="Normal 17 3 2 2 3" xfId="8212"/>
    <cellStyle name="Normal 17 3 2 2 3 2" xfId="14406"/>
    <cellStyle name="Normal 17 3 2 2 3 2 2" xfId="34289"/>
    <cellStyle name="Normal 17 3 2 2 3 3" xfId="20558"/>
    <cellStyle name="Normal 17 3 2 2 3 3 2" xfId="40441"/>
    <cellStyle name="Normal 17 3 2 2 3 4" xfId="28136"/>
    <cellStyle name="Normal 17 3 2 2 4" xfId="11340"/>
    <cellStyle name="Normal 17 3 2 2 4 2" xfId="31223"/>
    <cellStyle name="Normal 17 3 2 2 5" xfId="17492"/>
    <cellStyle name="Normal 17 3 2 2 5 2" xfId="37375"/>
    <cellStyle name="Normal 17 3 2 2 6" xfId="25070"/>
    <cellStyle name="Normal 17 3 2 3" xfId="5878"/>
    <cellStyle name="Normal 17 3 2 3 2" xfId="8978"/>
    <cellStyle name="Normal 17 3 2 3 2 2" xfId="15171"/>
    <cellStyle name="Normal 17 3 2 3 2 2 2" xfId="35054"/>
    <cellStyle name="Normal 17 3 2 3 2 3" xfId="21323"/>
    <cellStyle name="Normal 17 3 2 3 2 3 2" xfId="41206"/>
    <cellStyle name="Normal 17 3 2 3 2 4" xfId="28901"/>
    <cellStyle name="Normal 17 3 2 3 3" xfId="12105"/>
    <cellStyle name="Normal 17 3 2 3 3 2" xfId="31988"/>
    <cellStyle name="Normal 17 3 2 3 4" xfId="18257"/>
    <cellStyle name="Normal 17 3 2 3 4 2" xfId="38140"/>
    <cellStyle name="Normal 17 3 2 3 5" xfId="25835"/>
    <cellStyle name="Normal 17 3 2 4" xfId="7443"/>
    <cellStyle name="Normal 17 3 2 4 2" xfId="13637"/>
    <cellStyle name="Normal 17 3 2 4 2 2" xfId="33520"/>
    <cellStyle name="Normal 17 3 2 4 3" xfId="19789"/>
    <cellStyle name="Normal 17 3 2 4 3 2" xfId="39672"/>
    <cellStyle name="Normal 17 3 2 4 4" xfId="27367"/>
    <cellStyle name="Normal 17 3 2 5" xfId="10571"/>
    <cellStyle name="Normal 17 3 2 5 2" xfId="30454"/>
    <cellStyle name="Normal 17 3 2 6" xfId="16723"/>
    <cellStyle name="Normal 17 3 2 6 2" xfId="36606"/>
    <cellStyle name="Normal 17 3 2 7" xfId="24301"/>
    <cellStyle name="Normal 17 3 3" xfId="5035"/>
    <cellStyle name="Normal 17 3 3 2" xfId="6660"/>
    <cellStyle name="Normal 17 3 3 2 2" xfId="9746"/>
    <cellStyle name="Normal 17 3 3 2 2 2" xfId="15939"/>
    <cellStyle name="Normal 17 3 3 2 2 2 2" xfId="35822"/>
    <cellStyle name="Normal 17 3 3 2 2 3" xfId="22091"/>
    <cellStyle name="Normal 17 3 3 2 2 3 2" xfId="41974"/>
    <cellStyle name="Normal 17 3 3 2 2 4" xfId="29669"/>
    <cellStyle name="Normal 17 3 3 2 3" xfId="12873"/>
    <cellStyle name="Normal 17 3 3 2 3 2" xfId="32756"/>
    <cellStyle name="Normal 17 3 3 2 4" xfId="19025"/>
    <cellStyle name="Normal 17 3 3 2 4 2" xfId="38908"/>
    <cellStyle name="Normal 17 3 3 2 5" xfId="26603"/>
    <cellStyle name="Normal 17 3 3 3" xfId="8211"/>
    <cellStyle name="Normal 17 3 3 3 2" xfId="14405"/>
    <cellStyle name="Normal 17 3 3 3 2 2" xfId="34288"/>
    <cellStyle name="Normal 17 3 3 3 3" xfId="20557"/>
    <cellStyle name="Normal 17 3 3 3 3 2" xfId="40440"/>
    <cellStyle name="Normal 17 3 3 3 4" xfId="28135"/>
    <cellStyle name="Normal 17 3 3 4" xfId="11339"/>
    <cellStyle name="Normal 17 3 3 4 2" xfId="31222"/>
    <cellStyle name="Normal 17 3 3 5" xfId="17491"/>
    <cellStyle name="Normal 17 3 3 5 2" xfId="37374"/>
    <cellStyle name="Normal 17 3 3 6" xfId="25069"/>
    <cellStyle name="Normal 17 3 4" xfId="5877"/>
    <cellStyle name="Normal 17 3 4 2" xfId="8977"/>
    <cellStyle name="Normal 17 3 4 2 2" xfId="15170"/>
    <cellStyle name="Normal 17 3 4 2 2 2" xfId="35053"/>
    <cellStyle name="Normal 17 3 4 2 3" xfId="21322"/>
    <cellStyle name="Normal 17 3 4 2 3 2" xfId="41205"/>
    <cellStyle name="Normal 17 3 4 2 4" xfId="28900"/>
    <cellStyle name="Normal 17 3 4 3" xfId="12104"/>
    <cellStyle name="Normal 17 3 4 3 2" xfId="31987"/>
    <cellStyle name="Normal 17 3 4 4" xfId="18256"/>
    <cellStyle name="Normal 17 3 4 4 2" xfId="38139"/>
    <cellStyle name="Normal 17 3 4 5" xfId="25834"/>
    <cellStyle name="Normal 17 3 5" xfId="7442"/>
    <cellStyle name="Normal 17 3 5 2" xfId="13636"/>
    <cellStyle name="Normal 17 3 5 2 2" xfId="33519"/>
    <cellStyle name="Normal 17 3 5 3" xfId="19788"/>
    <cellStyle name="Normal 17 3 5 3 2" xfId="39671"/>
    <cellStyle name="Normal 17 3 5 4" xfId="27366"/>
    <cellStyle name="Normal 17 3 6" xfId="10570"/>
    <cellStyle name="Normal 17 3 6 2" xfId="30453"/>
    <cellStyle name="Normal 17 3 7" xfId="16722"/>
    <cellStyle name="Normal 17 3 7 2" xfId="36605"/>
    <cellStyle name="Normal 17 3 8" xfId="24300"/>
    <cellStyle name="Normal 17 4" xfId="3517"/>
    <cellStyle name="Normal 17 4 2" xfId="3518"/>
    <cellStyle name="Normal 17 4 2 2" xfId="5038"/>
    <cellStyle name="Normal 17 4 2 2 2" xfId="6663"/>
    <cellStyle name="Normal 17 4 2 2 2 2" xfId="9749"/>
    <cellStyle name="Normal 17 4 2 2 2 2 2" xfId="15942"/>
    <cellStyle name="Normal 17 4 2 2 2 2 2 2" xfId="35825"/>
    <cellStyle name="Normal 17 4 2 2 2 2 3" xfId="22094"/>
    <cellStyle name="Normal 17 4 2 2 2 2 3 2" xfId="41977"/>
    <cellStyle name="Normal 17 4 2 2 2 2 4" xfId="29672"/>
    <cellStyle name="Normal 17 4 2 2 2 3" xfId="12876"/>
    <cellStyle name="Normal 17 4 2 2 2 3 2" xfId="32759"/>
    <cellStyle name="Normal 17 4 2 2 2 4" xfId="19028"/>
    <cellStyle name="Normal 17 4 2 2 2 4 2" xfId="38911"/>
    <cellStyle name="Normal 17 4 2 2 2 5" xfId="26606"/>
    <cellStyle name="Normal 17 4 2 2 3" xfId="8214"/>
    <cellStyle name="Normal 17 4 2 2 3 2" xfId="14408"/>
    <cellStyle name="Normal 17 4 2 2 3 2 2" xfId="34291"/>
    <cellStyle name="Normal 17 4 2 2 3 3" xfId="20560"/>
    <cellStyle name="Normal 17 4 2 2 3 3 2" xfId="40443"/>
    <cellStyle name="Normal 17 4 2 2 3 4" xfId="28138"/>
    <cellStyle name="Normal 17 4 2 2 4" xfId="11342"/>
    <cellStyle name="Normal 17 4 2 2 4 2" xfId="31225"/>
    <cellStyle name="Normal 17 4 2 2 5" xfId="17494"/>
    <cellStyle name="Normal 17 4 2 2 5 2" xfId="37377"/>
    <cellStyle name="Normal 17 4 2 2 6" xfId="25072"/>
    <cellStyle name="Normal 17 4 2 3" xfId="5880"/>
    <cellStyle name="Normal 17 4 2 3 2" xfId="8980"/>
    <cellStyle name="Normal 17 4 2 3 2 2" xfId="15173"/>
    <cellStyle name="Normal 17 4 2 3 2 2 2" xfId="35056"/>
    <cellStyle name="Normal 17 4 2 3 2 3" xfId="21325"/>
    <cellStyle name="Normal 17 4 2 3 2 3 2" xfId="41208"/>
    <cellStyle name="Normal 17 4 2 3 2 4" xfId="28903"/>
    <cellStyle name="Normal 17 4 2 3 3" xfId="12107"/>
    <cellStyle name="Normal 17 4 2 3 3 2" xfId="31990"/>
    <cellStyle name="Normal 17 4 2 3 4" xfId="18259"/>
    <cellStyle name="Normal 17 4 2 3 4 2" xfId="38142"/>
    <cellStyle name="Normal 17 4 2 3 5" xfId="25837"/>
    <cellStyle name="Normal 17 4 2 4" xfId="7445"/>
    <cellStyle name="Normal 17 4 2 4 2" xfId="13639"/>
    <cellStyle name="Normal 17 4 2 4 2 2" xfId="33522"/>
    <cellStyle name="Normal 17 4 2 4 3" xfId="19791"/>
    <cellStyle name="Normal 17 4 2 4 3 2" xfId="39674"/>
    <cellStyle name="Normal 17 4 2 4 4" xfId="27369"/>
    <cellStyle name="Normal 17 4 2 5" xfId="10573"/>
    <cellStyle name="Normal 17 4 2 5 2" xfId="30456"/>
    <cellStyle name="Normal 17 4 2 6" xfId="16725"/>
    <cellStyle name="Normal 17 4 2 6 2" xfId="36608"/>
    <cellStyle name="Normal 17 4 2 7" xfId="24303"/>
    <cellStyle name="Normal 17 4 3" xfId="5037"/>
    <cellStyle name="Normal 17 4 3 2" xfId="6662"/>
    <cellStyle name="Normal 17 4 3 2 2" xfId="9748"/>
    <cellStyle name="Normal 17 4 3 2 2 2" xfId="15941"/>
    <cellStyle name="Normal 17 4 3 2 2 2 2" xfId="35824"/>
    <cellStyle name="Normal 17 4 3 2 2 3" xfId="22093"/>
    <cellStyle name="Normal 17 4 3 2 2 3 2" xfId="41976"/>
    <cellStyle name="Normal 17 4 3 2 2 4" xfId="29671"/>
    <cellStyle name="Normal 17 4 3 2 3" xfId="12875"/>
    <cellStyle name="Normal 17 4 3 2 3 2" xfId="32758"/>
    <cellStyle name="Normal 17 4 3 2 4" xfId="19027"/>
    <cellStyle name="Normal 17 4 3 2 4 2" xfId="38910"/>
    <cellStyle name="Normal 17 4 3 2 5" xfId="26605"/>
    <cellStyle name="Normal 17 4 3 3" xfId="8213"/>
    <cellStyle name="Normal 17 4 3 3 2" xfId="14407"/>
    <cellStyle name="Normal 17 4 3 3 2 2" xfId="34290"/>
    <cellStyle name="Normal 17 4 3 3 3" xfId="20559"/>
    <cellStyle name="Normal 17 4 3 3 3 2" xfId="40442"/>
    <cellStyle name="Normal 17 4 3 3 4" xfId="28137"/>
    <cellStyle name="Normal 17 4 3 4" xfId="11341"/>
    <cellStyle name="Normal 17 4 3 4 2" xfId="31224"/>
    <cellStyle name="Normal 17 4 3 5" xfId="17493"/>
    <cellStyle name="Normal 17 4 3 5 2" xfId="37376"/>
    <cellStyle name="Normal 17 4 3 6" xfId="25071"/>
    <cellStyle name="Normal 17 4 4" xfId="5879"/>
    <cellStyle name="Normal 17 4 4 2" xfId="8979"/>
    <cellStyle name="Normal 17 4 4 2 2" xfId="15172"/>
    <cellStyle name="Normal 17 4 4 2 2 2" xfId="35055"/>
    <cellStyle name="Normal 17 4 4 2 3" xfId="21324"/>
    <cellStyle name="Normal 17 4 4 2 3 2" xfId="41207"/>
    <cellStyle name="Normal 17 4 4 2 4" xfId="28902"/>
    <cellStyle name="Normal 17 4 4 3" xfId="12106"/>
    <cellStyle name="Normal 17 4 4 3 2" xfId="31989"/>
    <cellStyle name="Normal 17 4 4 4" xfId="18258"/>
    <cellStyle name="Normal 17 4 4 4 2" xfId="38141"/>
    <cellStyle name="Normal 17 4 4 5" xfId="25836"/>
    <cellStyle name="Normal 17 4 5" xfId="7444"/>
    <cellStyle name="Normal 17 4 5 2" xfId="13638"/>
    <cellStyle name="Normal 17 4 5 2 2" xfId="33521"/>
    <cellStyle name="Normal 17 4 5 3" xfId="19790"/>
    <cellStyle name="Normal 17 4 5 3 2" xfId="39673"/>
    <cellStyle name="Normal 17 4 5 4" xfId="27368"/>
    <cellStyle name="Normal 17 4 6" xfId="10572"/>
    <cellStyle name="Normal 17 4 6 2" xfId="30455"/>
    <cellStyle name="Normal 17 4 7" xfId="16724"/>
    <cellStyle name="Normal 17 4 7 2" xfId="36607"/>
    <cellStyle name="Normal 17 4 8" xfId="24302"/>
    <cellStyle name="Normal 17 5" xfId="3519"/>
    <cellStyle name="Normal 17 5 2" xfId="3520"/>
    <cellStyle name="Normal 17 5 2 2" xfId="5039"/>
    <cellStyle name="Normal 17 5 2 2 2" xfId="6664"/>
    <cellStyle name="Normal 17 5 2 2 2 2" xfId="9750"/>
    <cellStyle name="Normal 17 5 2 2 2 2 2" xfId="15943"/>
    <cellStyle name="Normal 17 5 2 2 2 2 2 2" xfId="35826"/>
    <cellStyle name="Normal 17 5 2 2 2 2 3" xfId="22095"/>
    <cellStyle name="Normal 17 5 2 2 2 2 3 2" xfId="41978"/>
    <cellStyle name="Normal 17 5 2 2 2 2 4" xfId="29673"/>
    <cellStyle name="Normal 17 5 2 2 2 3" xfId="12877"/>
    <cellStyle name="Normal 17 5 2 2 2 3 2" xfId="32760"/>
    <cellStyle name="Normal 17 5 2 2 2 4" xfId="19029"/>
    <cellStyle name="Normal 17 5 2 2 2 4 2" xfId="38912"/>
    <cellStyle name="Normal 17 5 2 2 2 5" xfId="26607"/>
    <cellStyle name="Normal 17 5 2 2 3" xfId="8215"/>
    <cellStyle name="Normal 17 5 2 2 3 2" xfId="14409"/>
    <cellStyle name="Normal 17 5 2 2 3 2 2" xfId="34292"/>
    <cellStyle name="Normal 17 5 2 2 3 3" xfId="20561"/>
    <cellStyle name="Normal 17 5 2 2 3 3 2" xfId="40444"/>
    <cellStyle name="Normal 17 5 2 2 3 4" xfId="28139"/>
    <cellStyle name="Normal 17 5 2 2 4" xfId="11343"/>
    <cellStyle name="Normal 17 5 2 2 4 2" xfId="31226"/>
    <cellStyle name="Normal 17 5 2 2 5" xfId="17495"/>
    <cellStyle name="Normal 17 5 2 2 5 2" xfId="37378"/>
    <cellStyle name="Normal 17 5 2 2 6" xfId="25073"/>
    <cellStyle name="Normal 17 5 2 3" xfId="5881"/>
    <cellStyle name="Normal 17 5 2 3 2" xfId="8981"/>
    <cellStyle name="Normal 17 5 2 3 2 2" xfId="15174"/>
    <cellStyle name="Normal 17 5 2 3 2 2 2" xfId="35057"/>
    <cellStyle name="Normal 17 5 2 3 2 3" xfId="21326"/>
    <cellStyle name="Normal 17 5 2 3 2 3 2" xfId="41209"/>
    <cellStyle name="Normal 17 5 2 3 2 4" xfId="28904"/>
    <cellStyle name="Normal 17 5 2 3 3" xfId="12108"/>
    <cellStyle name="Normal 17 5 2 3 3 2" xfId="31991"/>
    <cellStyle name="Normal 17 5 2 3 4" xfId="18260"/>
    <cellStyle name="Normal 17 5 2 3 4 2" xfId="38143"/>
    <cellStyle name="Normal 17 5 2 3 5" xfId="25838"/>
    <cellStyle name="Normal 17 5 2 4" xfId="7446"/>
    <cellStyle name="Normal 17 5 2 4 2" xfId="13640"/>
    <cellStyle name="Normal 17 5 2 4 2 2" xfId="33523"/>
    <cellStyle name="Normal 17 5 2 4 3" xfId="19792"/>
    <cellStyle name="Normal 17 5 2 4 3 2" xfId="39675"/>
    <cellStyle name="Normal 17 5 2 4 4" xfId="27370"/>
    <cellStyle name="Normal 17 5 2 5" xfId="10574"/>
    <cellStyle name="Normal 17 5 2 5 2" xfId="30457"/>
    <cellStyle name="Normal 17 5 2 6" xfId="16726"/>
    <cellStyle name="Normal 17 5 2 6 2" xfId="36609"/>
    <cellStyle name="Normal 17 5 2 7" xfId="24304"/>
    <cellStyle name="Normal 17 6" xfId="3521"/>
    <cellStyle name="Normal 17 6 2" xfId="5040"/>
    <cellStyle name="Normal 17 6 2 2" xfId="6665"/>
    <cellStyle name="Normal 17 6 2 2 2" xfId="9751"/>
    <cellStyle name="Normal 17 6 2 2 2 2" xfId="15944"/>
    <cellStyle name="Normal 17 6 2 2 2 2 2" xfId="35827"/>
    <cellStyle name="Normal 17 6 2 2 2 3" xfId="22096"/>
    <cellStyle name="Normal 17 6 2 2 2 3 2" xfId="41979"/>
    <cellStyle name="Normal 17 6 2 2 2 4" xfId="29674"/>
    <cellStyle name="Normal 17 6 2 2 3" xfId="12878"/>
    <cellStyle name="Normal 17 6 2 2 3 2" xfId="32761"/>
    <cellStyle name="Normal 17 6 2 2 4" xfId="19030"/>
    <cellStyle name="Normal 17 6 2 2 4 2" xfId="38913"/>
    <cellStyle name="Normal 17 6 2 2 5" xfId="26608"/>
    <cellStyle name="Normal 17 6 2 3" xfId="8216"/>
    <cellStyle name="Normal 17 6 2 3 2" xfId="14410"/>
    <cellStyle name="Normal 17 6 2 3 2 2" xfId="34293"/>
    <cellStyle name="Normal 17 6 2 3 3" xfId="20562"/>
    <cellStyle name="Normal 17 6 2 3 3 2" xfId="40445"/>
    <cellStyle name="Normal 17 6 2 3 4" xfId="28140"/>
    <cellStyle name="Normal 17 6 2 4" xfId="11344"/>
    <cellStyle name="Normal 17 6 2 4 2" xfId="31227"/>
    <cellStyle name="Normal 17 6 2 5" xfId="17496"/>
    <cellStyle name="Normal 17 6 2 5 2" xfId="37379"/>
    <cellStyle name="Normal 17 6 2 6" xfId="25074"/>
    <cellStyle name="Normal 17 6 3" xfId="5882"/>
    <cellStyle name="Normal 17 6 3 2" xfId="8982"/>
    <cellStyle name="Normal 17 6 3 2 2" xfId="15175"/>
    <cellStyle name="Normal 17 6 3 2 2 2" xfId="35058"/>
    <cellStyle name="Normal 17 6 3 2 3" xfId="21327"/>
    <cellStyle name="Normal 17 6 3 2 3 2" xfId="41210"/>
    <cellStyle name="Normal 17 6 3 2 4" xfId="28905"/>
    <cellStyle name="Normal 17 6 3 3" xfId="12109"/>
    <cellStyle name="Normal 17 6 3 3 2" xfId="31992"/>
    <cellStyle name="Normal 17 6 3 4" xfId="18261"/>
    <cellStyle name="Normal 17 6 3 4 2" xfId="38144"/>
    <cellStyle name="Normal 17 6 3 5" xfId="25839"/>
    <cellStyle name="Normal 17 6 4" xfId="7447"/>
    <cellStyle name="Normal 17 6 4 2" xfId="13641"/>
    <cellStyle name="Normal 17 6 4 2 2" xfId="33524"/>
    <cellStyle name="Normal 17 6 4 3" xfId="19793"/>
    <cellStyle name="Normal 17 6 4 3 2" xfId="39676"/>
    <cellStyle name="Normal 17 6 4 4" xfId="27371"/>
    <cellStyle name="Normal 17 6 5" xfId="10575"/>
    <cellStyle name="Normal 17 6 5 2" xfId="30458"/>
    <cellStyle name="Normal 17 6 6" xfId="16727"/>
    <cellStyle name="Normal 17 6 6 2" xfId="36610"/>
    <cellStyle name="Normal 17 6 7" xfId="24305"/>
    <cellStyle name="Normal 18" xfId="377"/>
    <cellStyle name="Normal 18 2" xfId="3522"/>
    <cellStyle name="Normal 19" xfId="393"/>
    <cellStyle name="Normal 19 2" xfId="3523"/>
    <cellStyle name="Normal 19 2 2" xfId="3524"/>
    <cellStyle name="Normal 19 2 2 2" xfId="3525"/>
    <cellStyle name="Normal 19 2 3" xfId="3526"/>
    <cellStyle name="Normal 19 2 4" xfId="23233"/>
    <cellStyle name="Normal 19 3" xfId="3527"/>
    <cellStyle name="Normal 2" xfId="21"/>
    <cellStyle name="Normal 2 10" xfId="1228"/>
    <cellStyle name="Normal 2 10 2" xfId="4665"/>
    <cellStyle name="Normal 2 10 3" xfId="3528"/>
    <cellStyle name="Normal 2 10 3 2" xfId="5041"/>
    <cellStyle name="Normal 2 10 3 2 2" xfId="6666"/>
    <cellStyle name="Normal 2 10 3 2 2 2" xfId="9752"/>
    <cellStyle name="Normal 2 10 3 2 2 2 2" xfId="15945"/>
    <cellStyle name="Normal 2 10 3 2 2 2 2 2" xfId="35828"/>
    <cellStyle name="Normal 2 10 3 2 2 2 3" xfId="22097"/>
    <cellStyle name="Normal 2 10 3 2 2 2 3 2" xfId="41980"/>
    <cellStyle name="Normal 2 10 3 2 2 2 4" xfId="29675"/>
    <cellStyle name="Normal 2 10 3 2 2 3" xfId="12879"/>
    <cellStyle name="Normal 2 10 3 2 2 3 2" xfId="32762"/>
    <cellStyle name="Normal 2 10 3 2 2 4" xfId="19031"/>
    <cellStyle name="Normal 2 10 3 2 2 4 2" xfId="38914"/>
    <cellStyle name="Normal 2 10 3 2 2 5" xfId="26609"/>
    <cellStyle name="Normal 2 10 3 2 3" xfId="8217"/>
    <cellStyle name="Normal 2 10 3 2 3 2" xfId="14411"/>
    <cellStyle name="Normal 2 10 3 2 3 2 2" xfId="34294"/>
    <cellStyle name="Normal 2 10 3 2 3 3" xfId="20563"/>
    <cellStyle name="Normal 2 10 3 2 3 3 2" xfId="40446"/>
    <cellStyle name="Normal 2 10 3 2 3 4" xfId="28141"/>
    <cellStyle name="Normal 2 10 3 2 4" xfId="11345"/>
    <cellStyle name="Normal 2 10 3 2 4 2" xfId="31228"/>
    <cellStyle name="Normal 2 10 3 2 5" xfId="17497"/>
    <cellStyle name="Normal 2 10 3 2 5 2" xfId="37380"/>
    <cellStyle name="Normal 2 10 3 2 6" xfId="25075"/>
    <cellStyle name="Normal 2 10 3 3" xfId="5883"/>
    <cellStyle name="Normal 2 10 3 3 2" xfId="8983"/>
    <cellStyle name="Normal 2 10 3 3 2 2" xfId="15176"/>
    <cellStyle name="Normal 2 10 3 3 2 2 2" xfId="35059"/>
    <cellStyle name="Normal 2 10 3 3 2 3" xfId="21328"/>
    <cellStyle name="Normal 2 10 3 3 2 3 2" xfId="41211"/>
    <cellStyle name="Normal 2 10 3 3 2 4" xfId="28906"/>
    <cellStyle name="Normal 2 10 3 3 3" xfId="12110"/>
    <cellStyle name="Normal 2 10 3 3 3 2" xfId="31993"/>
    <cellStyle name="Normal 2 10 3 3 4" xfId="18262"/>
    <cellStyle name="Normal 2 10 3 3 4 2" xfId="38145"/>
    <cellStyle name="Normal 2 10 3 3 5" xfId="25840"/>
    <cellStyle name="Normal 2 10 3 4" xfId="7448"/>
    <cellStyle name="Normal 2 10 3 4 2" xfId="13642"/>
    <cellStyle name="Normal 2 10 3 4 2 2" xfId="33525"/>
    <cellStyle name="Normal 2 10 3 4 3" xfId="19794"/>
    <cellStyle name="Normal 2 10 3 4 3 2" xfId="39677"/>
    <cellStyle name="Normal 2 10 3 4 4" xfId="27372"/>
    <cellStyle name="Normal 2 10 3 5" xfId="10576"/>
    <cellStyle name="Normal 2 10 3 5 2" xfId="30459"/>
    <cellStyle name="Normal 2 10 3 6" xfId="16728"/>
    <cellStyle name="Normal 2 10 3 6 2" xfId="36611"/>
    <cellStyle name="Normal 2 10 3 7" xfId="24306"/>
    <cellStyle name="Normal 2 10 3 8" xfId="43039"/>
    <cellStyle name="Normal 2 11" xfId="1229"/>
    <cellStyle name="Normal 2 11 2" xfId="4666"/>
    <cellStyle name="Normal 2 11 3" xfId="3529"/>
    <cellStyle name="Normal 2 11 3 2" xfId="5042"/>
    <cellStyle name="Normal 2 11 3 2 2" xfId="6667"/>
    <cellStyle name="Normal 2 11 3 2 2 2" xfId="9753"/>
    <cellStyle name="Normal 2 11 3 2 2 2 2" xfId="15946"/>
    <cellStyle name="Normal 2 11 3 2 2 2 2 2" xfId="35829"/>
    <cellStyle name="Normal 2 11 3 2 2 2 3" xfId="22098"/>
    <cellStyle name="Normal 2 11 3 2 2 2 3 2" xfId="41981"/>
    <cellStyle name="Normal 2 11 3 2 2 2 4" xfId="29676"/>
    <cellStyle name="Normal 2 11 3 2 2 3" xfId="12880"/>
    <cellStyle name="Normal 2 11 3 2 2 3 2" xfId="32763"/>
    <cellStyle name="Normal 2 11 3 2 2 4" xfId="19032"/>
    <cellStyle name="Normal 2 11 3 2 2 4 2" xfId="38915"/>
    <cellStyle name="Normal 2 11 3 2 2 5" xfId="26610"/>
    <cellStyle name="Normal 2 11 3 2 3" xfId="8218"/>
    <cellStyle name="Normal 2 11 3 2 3 2" xfId="14412"/>
    <cellStyle name="Normal 2 11 3 2 3 2 2" xfId="34295"/>
    <cellStyle name="Normal 2 11 3 2 3 3" xfId="20564"/>
    <cellStyle name="Normal 2 11 3 2 3 3 2" xfId="40447"/>
    <cellStyle name="Normal 2 11 3 2 3 4" xfId="28142"/>
    <cellStyle name="Normal 2 11 3 2 4" xfId="11346"/>
    <cellStyle name="Normal 2 11 3 2 4 2" xfId="31229"/>
    <cellStyle name="Normal 2 11 3 2 5" xfId="17498"/>
    <cellStyle name="Normal 2 11 3 2 5 2" xfId="37381"/>
    <cellStyle name="Normal 2 11 3 2 6" xfId="25076"/>
    <cellStyle name="Normal 2 11 3 3" xfId="5884"/>
    <cellStyle name="Normal 2 11 3 3 2" xfId="8984"/>
    <cellStyle name="Normal 2 11 3 3 2 2" xfId="15177"/>
    <cellStyle name="Normal 2 11 3 3 2 2 2" xfId="35060"/>
    <cellStyle name="Normal 2 11 3 3 2 3" xfId="21329"/>
    <cellStyle name="Normal 2 11 3 3 2 3 2" xfId="41212"/>
    <cellStyle name="Normal 2 11 3 3 2 4" xfId="28907"/>
    <cellStyle name="Normal 2 11 3 3 3" xfId="12111"/>
    <cellStyle name="Normal 2 11 3 3 3 2" xfId="31994"/>
    <cellStyle name="Normal 2 11 3 3 4" xfId="18263"/>
    <cellStyle name="Normal 2 11 3 3 4 2" xfId="38146"/>
    <cellStyle name="Normal 2 11 3 3 5" xfId="25841"/>
    <cellStyle name="Normal 2 11 3 4" xfId="7449"/>
    <cellStyle name="Normal 2 11 3 4 2" xfId="13643"/>
    <cellStyle name="Normal 2 11 3 4 2 2" xfId="33526"/>
    <cellStyle name="Normal 2 11 3 4 3" xfId="19795"/>
    <cellStyle name="Normal 2 11 3 4 3 2" xfId="39678"/>
    <cellStyle name="Normal 2 11 3 4 4" xfId="27373"/>
    <cellStyle name="Normal 2 11 3 5" xfId="10577"/>
    <cellStyle name="Normal 2 11 3 5 2" xfId="30460"/>
    <cellStyle name="Normal 2 11 3 6" xfId="16729"/>
    <cellStyle name="Normal 2 11 3 6 2" xfId="36612"/>
    <cellStyle name="Normal 2 11 3 7" xfId="24307"/>
    <cellStyle name="Normal 2 12" xfId="1230"/>
    <cellStyle name="Normal 2 12 2" xfId="4667"/>
    <cellStyle name="Normal 2 12 3" xfId="3530"/>
    <cellStyle name="Normal 2 12 3 2" xfId="5043"/>
    <cellStyle name="Normal 2 12 3 2 2" xfId="6668"/>
    <cellStyle name="Normal 2 12 3 2 2 2" xfId="9754"/>
    <cellStyle name="Normal 2 12 3 2 2 2 2" xfId="15947"/>
    <cellStyle name="Normal 2 12 3 2 2 2 2 2" xfId="35830"/>
    <cellStyle name="Normal 2 12 3 2 2 2 3" xfId="22099"/>
    <cellStyle name="Normal 2 12 3 2 2 2 3 2" xfId="41982"/>
    <cellStyle name="Normal 2 12 3 2 2 2 4" xfId="29677"/>
    <cellStyle name="Normal 2 12 3 2 2 3" xfId="12881"/>
    <cellStyle name="Normal 2 12 3 2 2 3 2" xfId="32764"/>
    <cellStyle name="Normal 2 12 3 2 2 4" xfId="19033"/>
    <cellStyle name="Normal 2 12 3 2 2 4 2" xfId="38916"/>
    <cellStyle name="Normal 2 12 3 2 2 5" xfId="26611"/>
    <cellStyle name="Normal 2 12 3 2 3" xfId="8219"/>
    <cellStyle name="Normal 2 12 3 2 3 2" xfId="14413"/>
    <cellStyle name="Normal 2 12 3 2 3 2 2" xfId="34296"/>
    <cellStyle name="Normal 2 12 3 2 3 3" xfId="20565"/>
    <cellStyle name="Normal 2 12 3 2 3 3 2" xfId="40448"/>
    <cellStyle name="Normal 2 12 3 2 3 4" xfId="28143"/>
    <cellStyle name="Normal 2 12 3 2 4" xfId="11347"/>
    <cellStyle name="Normal 2 12 3 2 4 2" xfId="31230"/>
    <cellStyle name="Normal 2 12 3 2 5" xfId="17499"/>
    <cellStyle name="Normal 2 12 3 2 5 2" xfId="37382"/>
    <cellStyle name="Normal 2 12 3 2 6" xfId="25077"/>
    <cellStyle name="Normal 2 12 3 3" xfId="5885"/>
    <cellStyle name="Normal 2 12 3 3 2" xfId="8985"/>
    <cellStyle name="Normal 2 12 3 3 2 2" xfId="15178"/>
    <cellStyle name="Normal 2 12 3 3 2 2 2" xfId="35061"/>
    <cellStyle name="Normal 2 12 3 3 2 3" xfId="21330"/>
    <cellStyle name="Normal 2 12 3 3 2 3 2" xfId="41213"/>
    <cellStyle name="Normal 2 12 3 3 2 4" xfId="28908"/>
    <cellStyle name="Normal 2 12 3 3 3" xfId="12112"/>
    <cellStyle name="Normal 2 12 3 3 3 2" xfId="31995"/>
    <cellStyle name="Normal 2 12 3 3 4" xfId="18264"/>
    <cellStyle name="Normal 2 12 3 3 4 2" xfId="38147"/>
    <cellStyle name="Normal 2 12 3 3 5" xfId="25842"/>
    <cellStyle name="Normal 2 12 3 4" xfId="7450"/>
    <cellStyle name="Normal 2 12 3 4 2" xfId="13644"/>
    <cellStyle name="Normal 2 12 3 4 2 2" xfId="33527"/>
    <cellStyle name="Normal 2 12 3 4 3" xfId="19796"/>
    <cellStyle name="Normal 2 12 3 4 3 2" xfId="39679"/>
    <cellStyle name="Normal 2 12 3 4 4" xfId="27374"/>
    <cellStyle name="Normal 2 12 3 5" xfId="10578"/>
    <cellStyle name="Normal 2 12 3 5 2" xfId="30461"/>
    <cellStyle name="Normal 2 12 3 6" xfId="16730"/>
    <cellStyle name="Normal 2 12 3 6 2" xfId="36613"/>
    <cellStyle name="Normal 2 12 3 7" xfId="24308"/>
    <cellStyle name="Normal 2 13" xfId="1231"/>
    <cellStyle name="Normal 2 13 2" xfId="4668"/>
    <cellStyle name="Normal 2 13 3" xfId="3531"/>
    <cellStyle name="Normal 2 13 3 2" xfId="5044"/>
    <cellStyle name="Normal 2 13 3 2 2" xfId="6669"/>
    <cellStyle name="Normal 2 13 3 2 2 2" xfId="9755"/>
    <cellStyle name="Normal 2 13 3 2 2 2 2" xfId="15948"/>
    <cellStyle name="Normal 2 13 3 2 2 2 2 2" xfId="35831"/>
    <cellStyle name="Normal 2 13 3 2 2 2 3" xfId="22100"/>
    <cellStyle name="Normal 2 13 3 2 2 2 3 2" xfId="41983"/>
    <cellStyle name="Normal 2 13 3 2 2 2 4" xfId="29678"/>
    <cellStyle name="Normal 2 13 3 2 2 3" xfId="12882"/>
    <cellStyle name="Normal 2 13 3 2 2 3 2" xfId="32765"/>
    <cellStyle name="Normal 2 13 3 2 2 4" xfId="19034"/>
    <cellStyle name="Normal 2 13 3 2 2 4 2" xfId="38917"/>
    <cellStyle name="Normal 2 13 3 2 2 5" xfId="26612"/>
    <cellStyle name="Normal 2 13 3 2 3" xfId="8220"/>
    <cellStyle name="Normal 2 13 3 2 3 2" xfId="14414"/>
    <cellStyle name="Normal 2 13 3 2 3 2 2" xfId="34297"/>
    <cellStyle name="Normal 2 13 3 2 3 3" xfId="20566"/>
    <cellStyle name="Normal 2 13 3 2 3 3 2" xfId="40449"/>
    <cellStyle name="Normal 2 13 3 2 3 4" xfId="28144"/>
    <cellStyle name="Normal 2 13 3 2 4" xfId="11348"/>
    <cellStyle name="Normal 2 13 3 2 4 2" xfId="31231"/>
    <cellStyle name="Normal 2 13 3 2 5" xfId="17500"/>
    <cellStyle name="Normal 2 13 3 2 5 2" xfId="37383"/>
    <cellStyle name="Normal 2 13 3 2 6" xfId="25078"/>
    <cellStyle name="Normal 2 13 3 3" xfId="5886"/>
    <cellStyle name="Normal 2 13 3 3 2" xfId="8986"/>
    <cellStyle name="Normal 2 13 3 3 2 2" xfId="15179"/>
    <cellStyle name="Normal 2 13 3 3 2 2 2" xfId="35062"/>
    <cellStyle name="Normal 2 13 3 3 2 3" xfId="21331"/>
    <cellStyle name="Normal 2 13 3 3 2 3 2" xfId="41214"/>
    <cellStyle name="Normal 2 13 3 3 2 4" xfId="28909"/>
    <cellStyle name="Normal 2 13 3 3 3" xfId="12113"/>
    <cellStyle name="Normal 2 13 3 3 3 2" xfId="31996"/>
    <cellStyle name="Normal 2 13 3 3 4" xfId="18265"/>
    <cellStyle name="Normal 2 13 3 3 4 2" xfId="38148"/>
    <cellStyle name="Normal 2 13 3 3 5" xfId="25843"/>
    <cellStyle name="Normal 2 13 3 4" xfId="7451"/>
    <cellStyle name="Normal 2 13 3 4 2" xfId="13645"/>
    <cellStyle name="Normal 2 13 3 4 2 2" xfId="33528"/>
    <cellStyle name="Normal 2 13 3 4 3" xfId="19797"/>
    <cellStyle name="Normal 2 13 3 4 3 2" xfId="39680"/>
    <cellStyle name="Normal 2 13 3 4 4" xfId="27375"/>
    <cellStyle name="Normal 2 13 3 5" xfId="10579"/>
    <cellStyle name="Normal 2 13 3 5 2" xfId="30462"/>
    <cellStyle name="Normal 2 13 3 6" xfId="16731"/>
    <cellStyle name="Normal 2 13 3 6 2" xfId="36614"/>
    <cellStyle name="Normal 2 13 3 7" xfId="24309"/>
    <cellStyle name="Normal 2 14" xfId="1232"/>
    <cellStyle name="Normal 2 14 2" xfId="4669"/>
    <cellStyle name="Normal 2 14 3" xfId="3532"/>
    <cellStyle name="Normal 2 14 3 2" xfId="5045"/>
    <cellStyle name="Normal 2 14 3 2 2" xfId="6670"/>
    <cellStyle name="Normal 2 14 3 2 2 2" xfId="9756"/>
    <cellStyle name="Normal 2 14 3 2 2 2 2" xfId="15949"/>
    <cellStyle name="Normal 2 14 3 2 2 2 2 2" xfId="35832"/>
    <cellStyle name="Normal 2 14 3 2 2 2 3" xfId="22101"/>
    <cellStyle name="Normal 2 14 3 2 2 2 3 2" xfId="41984"/>
    <cellStyle name="Normal 2 14 3 2 2 2 4" xfId="29679"/>
    <cellStyle name="Normal 2 14 3 2 2 3" xfId="12883"/>
    <cellStyle name="Normal 2 14 3 2 2 3 2" xfId="32766"/>
    <cellStyle name="Normal 2 14 3 2 2 4" xfId="19035"/>
    <cellStyle name="Normal 2 14 3 2 2 4 2" xfId="38918"/>
    <cellStyle name="Normal 2 14 3 2 2 5" xfId="26613"/>
    <cellStyle name="Normal 2 14 3 2 3" xfId="8221"/>
    <cellStyle name="Normal 2 14 3 2 3 2" xfId="14415"/>
    <cellStyle name="Normal 2 14 3 2 3 2 2" xfId="34298"/>
    <cellStyle name="Normal 2 14 3 2 3 3" xfId="20567"/>
    <cellStyle name="Normal 2 14 3 2 3 3 2" xfId="40450"/>
    <cellStyle name="Normal 2 14 3 2 3 4" xfId="28145"/>
    <cellStyle name="Normal 2 14 3 2 4" xfId="11349"/>
    <cellStyle name="Normal 2 14 3 2 4 2" xfId="31232"/>
    <cellStyle name="Normal 2 14 3 2 5" xfId="17501"/>
    <cellStyle name="Normal 2 14 3 2 5 2" xfId="37384"/>
    <cellStyle name="Normal 2 14 3 2 6" xfId="25079"/>
    <cellStyle name="Normal 2 14 3 3" xfId="5887"/>
    <cellStyle name="Normal 2 14 3 3 2" xfId="8987"/>
    <cellStyle name="Normal 2 14 3 3 2 2" xfId="15180"/>
    <cellStyle name="Normal 2 14 3 3 2 2 2" xfId="35063"/>
    <cellStyle name="Normal 2 14 3 3 2 3" xfId="21332"/>
    <cellStyle name="Normal 2 14 3 3 2 3 2" xfId="41215"/>
    <cellStyle name="Normal 2 14 3 3 2 4" xfId="28910"/>
    <cellStyle name="Normal 2 14 3 3 3" xfId="12114"/>
    <cellStyle name="Normal 2 14 3 3 3 2" xfId="31997"/>
    <cellStyle name="Normal 2 14 3 3 4" xfId="18266"/>
    <cellStyle name="Normal 2 14 3 3 4 2" xfId="38149"/>
    <cellStyle name="Normal 2 14 3 3 5" xfId="25844"/>
    <cellStyle name="Normal 2 14 3 4" xfId="7452"/>
    <cellStyle name="Normal 2 14 3 4 2" xfId="13646"/>
    <cellStyle name="Normal 2 14 3 4 2 2" xfId="33529"/>
    <cellStyle name="Normal 2 14 3 4 3" xfId="19798"/>
    <cellStyle name="Normal 2 14 3 4 3 2" xfId="39681"/>
    <cellStyle name="Normal 2 14 3 4 4" xfId="27376"/>
    <cellStyle name="Normal 2 14 3 5" xfId="10580"/>
    <cellStyle name="Normal 2 14 3 5 2" xfId="30463"/>
    <cellStyle name="Normal 2 14 3 6" xfId="16732"/>
    <cellStyle name="Normal 2 14 3 6 2" xfId="36615"/>
    <cellStyle name="Normal 2 14 3 7" xfId="24310"/>
    <cellStyle name="Normal 2 15" xfId="1233"/>
    <cellStyle name="Normal 2 15 2" xfId="4670"/>
    <cellStyle name="Normal 2 15 3" xfId="3533"/>
    <cellStyle name="Normal 2 15 3 2" xfId="5046"/>
    <cellStyle name="Normal 2 15 3 2 2" xfId="6671"/>
    <cellStyle name="Normal 2 15 3 2 2 2" xfId="9757"/>
    <cellStyle name="Normal 2 15 3 2 2 2 2" xfId="15950"/>
    <cellStyle name="Normal 2 15 3 2 2 2 2 2" xfId="35833"/>
    <cellStyle name="Normal 2 15 3 2 2 2 3" xfId="22102"/>
    <cellStyle name="Normal 2 15 3 2 2 2 3 2" xfId="41985"/>
    <cellStyle name="Normal 2 15 3 2 2 2 4" xfId="29680"/>
    <cellStyle name="Normal 2 15 3 2 2 3" xfId="12884"/>
    <cellStyle name="Normal 2 15 3 2 2 3 2" xfId="32767"/>
    <cellStyle name="Normal 2 15 3 2 2 4" xfId="19036"/>
    <cellStyle name="Normal 2 15 3 2 2 4 2" xfId="38919"/>
    <cellStyle name="Normal 2 15 3 2 2 5" xfId="26614"/>
    <cellStyle name="Normal 2 15 3 2 3" xfId="8222"/>
    <cellStyle name="Normal 2 15 3 2 3 2" xfId="14416"/>
    <cellStyle name="Normal 2 15 3 2 3 2 2" xfId="34299"/>
    <cellStyle name="Normal 2 15 3 2 3 3" xfId="20568"/>
    <cellStyle name="Normal 2 15 3 2 3 3 2" xfId="40451"/>
    <cellStyle name="Normal 2 15 3 2 3 4" xfId="28146"/>
    <cellStyle name="Normal 2 15 3 2 4" xfId="11350"/>
    <cellStyle name="Normal 2 15 3 2 4 2" xfId="31233"/>
    <cellStyle name="Normal 2 15 3 2 5" xfId="17502"/>
    <cellStyle name="Normal 2 15 3 2 5 2" xfId="37385"/>
    <cellStyle name="Normal 2 15 3 2 6" xfId="25080"/>
    <cellStyle name="Normal 2 15 3 3" xfId="5888"/>
    <cellStyle name="Normal 2 15 3 3 2" xfId="8988"/>
    <cellStyle name="Normal 2 15 3 3 2 2" xfId="15181"/>
    <cellStyle name="Normal 2 15 3 3 2 2 2" xfId="35064"/>
    <cellStyle name="Normal 2 15 3 3 2 3" xfId="21333"/>
    <cellStyle name="Normal 2 15 3 3 2 3 2" xfId="41216"/>
    <cellStyle name="Normal 2 15 3 3 2 4" xfId="28911"/>
    <cellStyle name="Normal 2 15 3 3 3" xfId="12115"/>
    <cellStyle name="Normal 2 15 3 3 3 2" xfId="31998"/>
    <cellStyle name="Normal 2 15 3 3 4" xfId="18267"/>
    <cellStyle name="Normal 2 15 3 3 4 2" xfId="38150"/>
    <cellStyle name="Normal 2 15 3 3 5" xfId="25845"/>
    <cellStyle name="Normal 2 15 3 4" xfId="7453"/>
    <cellStyle name="Normal 2 15 3 4 2" xfId="13647"/>
    <cellStyle name="Normal 2 15 3 4 2 2" xfId="33530"/>
    <cellStyle name="Normal 2 15 3 4 3" xfId="19799"/>
    <cellStyle name="Normal 2 15 3 4 3 2" xfId="39682"/>
    <cellStyle name="Normal 2 15 3 4 4" xfId="27377"/>
    <cellStyle name="Normal 2 15 3 5" xfId="10581"/>
    <cellStyle name="Normal 2 15 3 5 2" xfId="30464"/>
    <cellStyle name="Normal 2 15 3 6" xfId="16733"/>
    <cellStyle name="Normal 2 15 3 6 2" xfId="36616"/>
    <cellStyle name="Normal 2 15 3 7" xfId="24311"/>
    <cellStyle name="Normal 2 16" xfId="1234"/>
    <cellStyle name="Normal 2 16 2" xfId="4671"/>
    <cellStyle name="Normal 2 16 3" xfId="3534"/>
    <cellStyle name="Normal 2 16 3 2" xfId="5047"/>
    <cellStyle name="Normal 2 16 3 2 2" xfId="6672"/>
    <cellStyle name="Normal 2 16 3 2 2 2" xfId="9758"/>
    <cellStyle name="Normal 2 16 3 2 2 2 2" xfId="15951"/>
    <cellStyle name="Normal 2 16 3 2 2 2 2 2" xfId="35834"/>
    <cellStyle name="Normal 2 16 3 2 2 2 3" xfId="22103"/>
    <cellStyle name="Normal 2 16 3 2 2 2 3 2" xfId="41986"/>
    <cellStyle name="Normal 2 16 3 2 2 2 4" xfId="29681"/>
    <cellStyle name="Normal 2 16 3 2 2 3" xfId="12885"/>
    <cellStyle name="Normal 2 16 3 2 2 3 2" xfId="32768"/>
    <cellStyle name="Normal 2 16 3 2 2 4" xfId="19037"/>
    <cellStyle name="Normal 2 16 3 2 2 4 2" xfId="38920"/>
    <cellStyle name="Normal 2 16 3 2 2 5" xfId="26615"/>
    <cellStyle name="Normal 2 16 3 2 3" xfId="8223"/>
    <cellStyle name="Normal 2 16 3 2 3 2" xfId="14417"/>
    <cellStyle name="Normal 2 16 3 2 3 2 2" xfId="34300"/>
    <cellStyle name="Normal 2 16 3 2 3 3" xfId="20569"/>
    <cellStyle name="Normal 2 16 3 2 3 3 2" xfId="40452"/>
    <cellStyle name="Normal 2 16 3 2 3 4" xfId="28147"/>
    <cellStyle name="Normal 2 16 3 2 4" xfId="11351"/>
    <cellStyle name="Normal 2 16 3 2 4 2" xfId="31234"/>
    <cellStyle name="Normal 2 16 3 2 5" xfId="17503"/>
    <cellStyle name="Normal 2 16 3 2 5 2" xfId="37386"/>
    <cellStyle name="Normal 2 16 3 2 6" xfId="25081"/>
    <cellStyle name="Normal 2 16 3 3" xfId="5889"/>
    <cellStyle name="Normal 2 16 3 3 2" xfId="8989"/>
    <cellStyle name="Normal 2 16 3 3 2 2" xfId="15182"/>
    <cellStyle name="Normal 2 16 3 3 2 2 2" xfId="35065"/>
    <cellStyle name="Normal 2 16 3 3 2 3" xfId="21334"/>
    <cellStyle name="Normal 2 16 3 3 2 3 2" xfId="41217"/>
    <cellStyle name="Normal 2 16 3 3 2 4" xfId="28912"/>
    <cellStyle name="Normal 2 16 3 3 3" xfId="12116"/>
    <cellStyle name="Normal 2 16 3 3 3 2" xfId="31999"/>
    <cellStyle name="Normal 2 16 3 3 4" xfId="18268"/>
    <cellStyle name="Normal 2 16 3 3 4 2" xfId="38151"/>
    <cellStyle name="Normal 2 16 3 3 5" xfId="25846"/>
    <cellStyle name="Normal 2 16 3 4" xfId="7454"/>
    <cellStyle name="Normal 2 16 3 4 2" xfId="13648"/>
    <cellStyle name="Normal 2 16 3 4 2 2" xfId="33531"/>
    <cellStyle name="Normal 2 16 3 4 3" xfId="19800"/>
    <cellStyle name="Normal 2 16 3 4 3 2" xfId="39683"/>
    <cellStyle name="Normal 2 16 3 4 4" xfId="27378"/>
    <cellStyle name="Normal 2 16 3 5" xfId="10582"/>
    <cellStyle name="Normal 2 16 3 5 2" xfId="30465"/>
    <cellStyle name="Normal 2 16 3 6" xfId="16734"/>
    <cellStyle name="Normal 2 16 3 6 2" xfId="36617"/>
    <cellStyle name="Normal 2 16 3 7" xfId="24312"/>
    <cellStyle name="Normal 2 17" xfId="1235"/>
    <cellStyle name="Normal 2 17 2" xfId="4672"/>
    <cellStyle name="Normal 2 17 3" xfId="3535"/>
    <cellStyle name="Normal 2 17 3 2" xfId="5048"/>
    <cellStyle name="Normal 2 17 3 2 2" xfId="6673"/>
    <cellStyle name="Normal 2 17 3 2 2 2" xfId="9759"/>
    <cellStyle name="Normal 2 17 3 2 2 2 2" xfId="15952"/>
    <cellStyle name="Normal 2 17 3 2 2 2 2 2" xfId="35835"/>
    <cellStyle name="Normal 2 17 3 2 2 2 3" xfId="22104"/>
    <cellStyle name="Normal 2 17 3 2 2 2 3 2" xfId="41987"/>
    <cellStyle name="Normal 2 17 3 2 2 2 4" xfId="29682"/>
    <cellStyle name="Normal 2 17 3 2 2 3" xfId="12886"/>
    <cellStyle name="Normal 2 17 3 2 2 3 2" xfId="32769"/>
    <cellStyle name="Normal 2 17 3 2 2 4" xfId="19038"/>
    <cellStyle name="Normal 2 17 3 2 2 4 2" xfId="38921"/>
    <cellStyle name="Normal 2 17 3 2 2 5" xfId="26616"/>
    <cellStyle name="Normal 2 17 3 2 3" xfId="8224"/>
    <cellStyle name="Normal 2 17 3 2 3 2" xfId="14418"/>
    <cellStyle name="Normal 2 17 3 2 3 2 2" xfId="34301"/>
    <cellStyle name="Normal 2 17 3 2 3 3" xfId="20570"/>
    <cellStyle name="Normal 2 17 3 2 3 3 2" xfId="40453"/>
    <cellStyle name="Normal 2 17 3 2 3 4" xfId="28148"/>
    <cellStyle name="Normal 2 17 3 2 4" xfId="11352"/>
    <cellStyle name="Normal 2 17 3 2 4 2" xfId="31235"/>
    <cellStyle name="Normal 2 17 3 2 5" xfId="17504"/>
    <cellStyle name="Normal 2 17 3 2 5 2" xfId="37387"/>
    <cellStyle name="Normal 2 17 3 2 6" xfId="25082"/>
    <cellStyle name="Normal 2 17 3 3" xfId="5890"/>
    <cellStyle name="Normal 2 17 3 3 2" xfId="8990"/>
    <cellStyle name="Normal 2 17 3 3 2 2" xfId="15183"/>
    <cellStyle name="Normal 2 17 3 3 2 2 2" xfId="35066"/>
    <cellStyle name="Normal 2 17 3 3 2 3" xfId="21335"/>
    <cellStyle name="Normal 2 17 3 3 2 3 2" xfId="41218"/>
    <cellStyle name="Normal 2 17 3 3 2 4" xfId="28913"/>
    <cellStyle name="Normal 2 17 3 3 3" xfId="12117"/>
    <cellStyle name="Normal 2 17 3 3 3 2" xfId="32000"/>
    <cellStyle name="Normal 2 17 3 3 4" xfId="18269"/>
    <cellStyle name="Normal 2 17 3 3 4 2" xfId="38152"/>
    <cellStyle name="Normal 2 17 3 3 5" xfId="25847"/>
    <cellStyle name="Normal 2 17 3 4" xfId="7455"/>
    <cellStyle name="Normal 2 17 3 4 2" xfId="13649"/>
    <cellStyle name="Normal 2 17 3 4 2 2" xfId="33532"/>
    <cellStyle name="Normal 2 17 3 4 3" xfId="19801"/>
    <cellStyle name="Normal 2 17 3 4 3 2" xfId="39684"/>
    <cellStyle name="Normal 2 17 3 4 4" xfId="27379"/>
    <cellStyle name="Normal 2 17 3 5" xfId="10583"/>
    <cellStyle name="Normal 2 17 3 5 2" xfId="30466"/>
    <cellStyle name="Normal 2 17 3 6" xfId="16735"/>
    <cellStyle name="Normal 2 17 3 6 2" xfId="36618"/>
    <cellStyle name="Normal 2 17 3 7" xfId="24313"/>
    <cellStyle name="Normal 2 18" xfId="1236"/>
    <cellStyle name="Normal 2 18 2" xfId="4673"/>
    <cellStyle name="Normal 2 18 3" xfId="3536"/>
    <cellStyle name="Normal 2 18 3 2" xfId="5049"/>
    <cellStyle name="Normal 2 18 3 2 2" xfId="6674"/>
    <cellStyle name="Normal 2 18 3 2 2 2" xfId="9760"/>
    <cellStyle name="Normal 2 18 3 2 2 2 2" xfId="15953"/>
    <cellStyle name="Normal 2 18 3 2 2 2 2 2" xfId="35836"/>
    <cellStyle name="Normal 2 18 3 2 2 2 3" xfId="22105"/>
    <cellStyle name="Normal 2 18 3 2 2 2 3 2" xfId="41988"/>
    <cellStyle name="Normal 2 18 3 2 2 2 4" xfId="29683"/>
    <cellStyle name="Normal 2 18 3 2 2 3" xfId="12887"/>
    <cellStyle name="Normal 2 18 3 2 2 3 2" xfId="32770"/>
    <cellStyle name="Normal 2 18 3 2 2 4" xfId="19039"/>
    <cellStyle name="Normal 2 18 3 2 2 4 2" xfId="38922"/>
    <cellStyle name="Normal 2 18 3 2 2 5" xfId="26617"/>
    <cellStyle name="Normal 2 18 3 2 3" xfId="8225"/>
    <cellStyle name="Normal 2 18 3 2 3 2" xfId="14419"/>
    <cellStyle name="Normal 2 18 3 2 3 2 2" xfId="34302"/>
    <cellStyle name="Normal 2 18 3 2 3 3" xfId="20571"/>
    <cellStyle name="Normal 2 18 3 2 3 3 2" xfId="40454"/>
    <cellStyle name="Normal 2 18 3 2 3 4" xfId="28149"/>
    <cellStyle name="Normal 2 18 3 2 4" xfId="11353"/>
    <cellStyle name="Normal 2 18 3 2 4 2" xfId="31236"/>
    <cellStyle name="Normal 2 18 3 2 5" xfId="17505"/>
    <cellStyle name="Normal 2 18 3 2 5 2" xfId="37388"/>
    <cellStyle name="Normal 2 18 3 2 6" xfId="25083"/>
    <cellStyle name="Normal 2 18 3 3" xfId="5891"/>
    <cellStyle name="Normal 2 18 3 3 2" xfId="8991"/>
    <cellStyle name="Normal 2 18 3 3 2 2" xfId="15184"/>
    <cellStyle name="Normal 2 18 3 3 2 2 2" xfId="35067"/>
    <cellStyle name="Normal 2 18 3 3 2 3" xfId="21336"/>
    <cellStyle name="Normal 2 18 3 3 2 3 2" xfId="41219"/>
    <cellStyle name="Normal 2 18 3 3 2 4" xfId="28914"/>
    <cellStyle name="Normal 2 18 3 3 3" xfId="12118"/>
    <cellStyle name="Normal 2 18 3 3 3 2" xfId="32001"/>
    <cellStyle name="Normal 2 18 3 3 4" xfId="18270"/>
    <cellStyle name="Normal 2 18 3 3 4 2" xfId="38153"/>
    <cellStyle name="Normal 2 18 3 3 5" xfId="25848"/>
    <cellStyle name="Normal 2 18 3 4" xfId="7456"/>
    <cellStyle name="Normal 2 18 3 4 2" xfId="13650"/>
    <cellStyle name="Normal 2 18 3 4 2 2" xfId="33533"/>
    <cellStyle name="Normal 2 18 3 4 3" xfId="19802"/>
    <cellStyle name="Normal 2 18 3 4 3 2" xfId="39685"/>
    <cellStyle name="Normal 2 18 3 4 4" xfId="27380"/>
    <cellStyle name="Normal 2 18 3 5" xfId="10584"/>
    <cellStyle name="Normal 2 18 3 5 2" xfId="30467"/>
    <cellStyle name="Normal 2 18 3 6" xfId="16736"/>
    <cellStyle name="Normal 2 18 3 6 2" xfId="36619"/>
    <cellStyle name="Normal 2 18 3 7" xfId="24314"/>
    <cellStyle name="Normal 2 19" xfId="1237"/>
    <cellStyle name="Normal 2 19 2" xfId="4674"/>
    <cellStyle name="Normal 2 19 3" xfId="3537"/>
    <cellStyle name="Normal 2 19 3 2" xfId="5050"/>
    <cellStyle name="Normal 2 19 3 2 2" xfId="6675"/>
    <cellStyle name="Normal 2 19 3 2 2 2" xfId="9761"/>
    <cellStyle name="Normal 2 19 3 2 2 2 2" xfId="15954"/>
    <cellStyle name="Normal 2 19 3 2 2 2 2 2" xfId="35837"/>
    <cellStyle name="Normal 2 19 3 2 2 2 3" xfId="22106"/>
    <cellStyle name="Normal 2 19 3 2 2 2 3 2" xfId="41989"/>
    <cellStyle name="Normal 2 19 3 2 2 2 4" xfId="29684"/>
    <cellStyle name="Normal 2 19 3 2 2 3" xfId="12888"/>
    <cellStyle name="Normal 2 19 3 2 2 3 2" xfId="32771"/>
    <cellStyle name="Normal 2 19 3 2 2 4" xfId="19040"/>
    <cellStyle name="Normal 2 19 3 2 2 4 2" xfId="38923"/>
    <cellStyle name="Normal 2 19 3 2 2 5" xfId="26618"/>
    <cellStyle name="Normal 2 19 3 2 3" xfId="8226"/>
    <cellStyle name="Normal 2 19 3 2 3 2" xfId="14420"/>
    <cellStyle name="Normal 2 19 3 2 3 2 2" xfId="34303"/>
    <cellStyle name="Normal 2 19 3 2 3 3" xfId="20572"/>
    <cellStyle name="Normal 2 19 3 2 3 3 2" xfId="40455"/>
    <cellStyle name="Normal 2 19 3 2 3 4" xfId="28150"/>
    <cellStyle name="Normal 2 19 3 2 4" xfId="11354"/>
    <cellStyle name="Normal 2 19 3 2 4 2" xfId="31237"/>
    <cellStyle name="Normal 2 19 3 2 5" xfId="17506"/>
    <cellStyle name="Normal 2 19 3 2 5 2" xfId="37389"/>
    <cellStyle name="Normal 2 19 3 2 6" xfId="25084"/>
    <cellStyle name="Normal 2 19 3 3" xfId="5892"/>
    <cellStyle name="Normal 2 19 3 3 2" xfId="8992"/>
    <cellStyle name="Normal 2 19 3 3 2 2" xfId="15185"/>
    <cellStyle name="Normal 2 19 3 3 2 2 2" xfId="35068"/>
    <cellStyle name="Normal 2 19 3 3 2 3" xfId="21337"/>
    <cellStyle name="Normal 2 19 3 3 2 3 2" xfId="41220"/>
    <cellStyle name="Normal 2 19 3 3 2 4" xfId="28915"/>
    <cellStyle name="Normal 2 19 3 3 3" xfId="12119"/>
    <cellStyle name="Normal 2 19 3 3 3 2" xfId="32002"/>
    <cellStyle name="Normal 2 19 3 3 4" xfId="18271"/>
    <cellStyle name="Normal 2 19 3 3 4 2" xfId="38154"/>
    <cellStyle name="Normal 2 19 3 3 5" xfId="25849"/>
    <cellStyle name="Normal 2 19 3 4" xfId="7457"/>
    <cellStyle name="Normal 2 19 3 4 2" xfId="13651"/>
    <cellStyle name="Normal 2 19 3 4 2 2" xfId="33534"/>
    <cellStyle name="Normal 2 19 3 4 3" xfId="19803"/>
    <cellStyle name="Normal 2 19 3 4 3 2" xfId="39686"/>
    <cellStyle name="Normal 2 19 3 4 4" xfId="27381"/>
    <cellStyle name="Normal 2 19 3 5" xfId="10585"/>
    <cellStyle name="Normal 2 19 3 5 2" xfId="30468"/>
    <cellStyle name="Normal 2 19 3 6" xfId="16737"/>
    <cellStyle name="Normal 2 19 3 6 2" xfId="36620"/>
    <cellStyle name="Normal 2 19 3 7" xfId="24315"/>
    <cellStyle name="Normal 2 2" xfId="22"/>
    <cellStyle name="Normal 2 2 10" xfId="331"/>
    <cellStyle name="Normal 2 2 10 2" xfId="5051"/>
    <cellStyle name="Normal 2 2 10 2 2" xfId="6676"/>
    <cellStyle name="Normal 2 2 10 2 2 2" xfId="9762"/>
    <cellStyle name="Normal 2 2 10 2 2 2 2" xfId="15955"/>
    <cellStyle name="Normal 2 2 10 2 2 2 2 2" xfId="35838"/>
    <cellStyle name="Normal 2 2 10 2 2 2 3" xfId="22107"/>
    <cellStyle name="Normal 2 2 10 2 2 2 3 2" xfId="41990"/>
    <cellStyle name="Normal 2 2 10 2 2 2 4" xfId="29685"/>
    <cellStyle name="Normal 2 2 10 2 2 3" xfId="12889"/>
    <cellStyle name="Normal 2 2 10 2 2 3 2" xfId="32772"/>
    <cellStyle name="Normal 2 2 10 2 2 4" xfId="19041"/>
    <cellStyle name="Normal 2 2 10 2 2 4 2" xfId="38924"/>
    <cellStyle name="Normal 2 2 10 2 2 5" xfId="26619"/>
    <cellStyle name="Normal 2 2 10 2 3" xfId="8227"/>
    <cellStyle name="Normal 2 2 10 2 3 2" xfId="14421"/>
    <cellStyle name="Normal 2 2 10 2 3 2 2" xfId="34304"/>
    <cellStyle name="Normal 2 2 10 2 3 3" xfId="20573"/>
    <cellStyle name="Normal 2 2 10 2 3 3 2" xfId="40456"/>
    <cellStyle name="Normal 2 2 10 2 3 4" xfId="28151"/>
    <cellStyle name="Normal 2 2 10 2 4" xfId="11355"/>
    <cellStyle name="Normal 2 2 10 2 4 2" xfId="31238"/>
    <cellStyle name="Normal 2 2 10 2 5" xfId="17507"/>
    <cellStyle name="Normal 2 2 10 2 5 2" xfId="37390"/>
    <cellStyle name="Normal 2 2 10 2 6" xfId="25085"/>
    <cellStyle name="Normal 2 2 10 3" xfId="5893"/>
    <cellStyle name="Normal 2 2 10 3 2" xfId="8993"/>
    <cellStyle name="Normal 2 2 10 3 2 2" xfId="15186"/>
    <cellStyle name="Normal 2 2 10 3 2 2 2" xfId="35069"/>
    <cellStyle name="Normal 2 2 10 3 2 3" xfId="21338"/>
    <cellStyle name="Normal 2 2 10 3 2 3 2" xfId="41221"/>
    <cellStyle name="Normal 2 2 10 3 2 4" xfId="28916"/>
    <cellStyle name="Normal 2 2 10 3 3" xfId="12120"/>
    <cellStyle name="Normal 2 2 10 3 3 2" xfId="32003"/>
    <cellStyle name="Normal 2 2 10 3 4" xfId="18272"/>
    <cellStyle name="Normal 2 2 10 3 4 2" xfId="38155"/>
    <cellStyle name="Normal 2 2 10 3 5" xfId="25850"/>
    <cellStyle name="Normal 2 2 10 4" xfId="7458"/>
    <cellStyle name="Normal 2 2 10 4 2" xfId="13652"/>
    <cellStyle name="Normal 2 2 10 4 2 2" xfId="33535"/>
    <cellStyle name="Normal 2 2 10 4 3" xfId="19804"/>
    <cellStyle name="Normal 2 2 10 4 3 2" xfId="39687"/>
    <cellStyle name="Normal 2 2 10 4 4" xfId="27382"/>
    <cellStyle name="Normal 2 2 10 5" xfId="10586"/>
    <cellStyle name="Normal 2 2 10 5 2" xfId="30469"/>
    <cellStyle name="Normal 2 2 10 6" xfId="16738"/>
    <cellStyle name="Normal 2 2 10 6 2" xfId="36621"/>
    <cellStyle name="Normal 2 2 10 7" xfId="3538"/>
    <cellStyle name="Normal 2 2 10 7 2" xfId="24316"/>
    <cellStyle name="Normal 2 2 11" xfId="352"/>
    <cellStyle name="Normal 2 2 11 2" xfId="5052"/>
    <cellStyle name="Normal 2 2 11 2 2" xfId="6677"/>
    <cellStyle name="Normal 2 2 11 2 2 2" xfId="9763"/>
    <cellStyle name="Normal 2 2 11 2 2 2 2" xfId="15956"/>
    <cellStyle name="Normal 2 2 11 2 2 2 2 2" xfId="35839"/>
    <cellStyle name="Normal 2 2 11 2 2 2 3" xfId="22108"/>
    <cellStyle name="Normal 2 2 11 2 2 2 3 2" xfId="41991"/>
    <cellStyle name="Normal 2 2 11 2 2 2 4" xfId="29686"/>
    <cellStyle name="Normal 2 2 11 2 2 3" xfId="12890"/>
    <cellStyle name="Normal 2 2 11 2 2 3 2" xfId="32773"/>
    <cellStyle name="Normal 2 2 11 2 2 4" xfId="19042"/>
    <cellStyle name="Normal 2 2 11 2 2 4 2" xfId="38925"/>
    <cellStyle name="Normal 2 2 11 2 2 5" xfId="26620"/>
    <cellStyle name="Normal 2 2 11 2 3" xfId="8228"/>
    <cellStyle name="Normal 2 2 11 2 3 2" xfId="14422"/>
    <cellStyle name="Normal 2 2 11 2 3 2 2" xfId="34305"/>
    <cellStyle name="Normal 2 2 11 2 3 3" xfId="20574"/>
    <cellStyle name="Normal 2 2 11 2 3 3 2" xfId="40457"/>
    <cellStyle name="Normal 2 2 11 2 3 4" xfId="28152"/>
    <cellStyle name="Normal 2 2 11 2 4" xfId="11356"/>
    <cellStyle name="Normal 2 2 11 2 4 2" xfId="31239"/>
    <cellStyle name="Normal 2 2 11 2 5" xfId="17508"/>
    <cellStyle name="Normal 2 2 11 2 5 2" xfId="37391"/>
    <cellStyle name="Normal 2 2 11 2 6" xfId="25086"/>
    <cellStyle name="Normal 2 2 11 3" xfId="5894"/>
    <cellStyle name="Normal 2 2 11 3 2" xfId="8994"/>
    <cellStyle name="Normal 2 2 11 3 2 2" xfId="15187"/>
    <cellStyle name="Normal 2 2 11 3 2 2 2" xfId="35070"/>
    <cellStyle name="Normal 2 2 11 3 2 3" xfId="21339"/>
    <cellStyle name="Normal 2 2 11 3 2 3 2" xfId="41222"/>
    <cellStyle name="Normal 2 2 11 3 2 4" xfId="28917"/>
    <cellStyle name="Normal 2 2 11 3 3" xfId="12121"/>
    <cellStyle name="Normal 2 2 11 3 3 2" xfId="32004"/>
    <cellStyle name="Normal 2 2 11 3 4" xfId="18273"/>
    <cellStyle name="Normal 2 2 11 3 4 2" xfId="38156"/>
    <cellStyle name="Normal 2 2 11 3 5" xfId="25851"/>
    <cellStyle name="Normal 2 2 11 4" xfId="7459"/>
    <cellStyle name="Normal 2 2 11 4 2" xfId="13653"/>
    <cellStyle name="Normal 2 2 11 4 2 2" xfId="33536"/>
    <cellStyle name="Normal 2 2 11 4 3" xfId="19805"/>
    <cellStyle name="Normal 2 2 11 4 3 2" xfId="39688"/>
    <cellStyle name="Normal 2 2 11 4 4" xfId="27383"/>
    <cellStyle name="Normal 2 2 11 5" xfId="10587"/>
    <cellStyle name="Normal 2 2 11 5 2" xfId="30470"/>
    <cellStyle name="Normal 2 2 11 6" xfId="16739"/>
    <cellStyle name="Normal 2 2 11 6 2" xfId="36622"/>
    <cellStyle name="Normal 2 2 11 7" xfId="3539"/>
    <cellStyle name="Normal 2 2 11 7 2" xfId="24317"/>
    <cellStyle name="Normal 2 2 12" xfId="316"/>
    <cellStyle name="Normal 2 2 12 2" xfId="5053"/>
    <cellStyle name="Normal 2 2 12 2 2" xfId="6678"/>
    <cellStyle name="Normal 2 2 12 2 2 2" xfId="9764"/>
    <cellStyle name="Normal 2 2 12 2 2 2 2" xfId="15957"/>
    <cellStyle name="Normal 2 2 12 2 2 2 2 2" xfId="35840"/>
    <cellStyle name="Normal 2 2 12 2 2 2 3" xfId="22109"/>
    <cellStyle name="Normal 2 2 12 2 2 2 3 2" xfId="41992"/>
    <cellStyle name="Normal 2 2 12 2 2 2 4" xfId="29687"/>
    <cellStyle name="Normal 2 2 12 2 2 3" xfId="12891"/>
    <cellStyle name="Normal 2 2 12 2 2 3 2" xfId="32774"/>
    <cellStyle name="Normal 2 2 12 2 2 4" xfId="19043"/>
    <cellStyle name="Normal 2 2 12 2 2 4 2" xfId="38926"/>
    <cellStyle name="Normal 2 2 12 2 2 5" xfId="26621"/>
    <cellStyle name="Normal 2 2 12 2 3" xfId="8229"/>
    <cellStyle name="Normal 2 2 12 2 3 2" xfId="14423"/>
    <cellStyle name="Normal 2 2 12 2 3 2 2" xfId="34306"/>
    <cellStyle name="Normal 2 2 12 2 3 3" xfId="20575"/>
    <cellStyle name="Normal 2 2 12 2 3 3 2" xfId="40458"/>
    <cellStyle name="Normal 2 2 12 2 3 4" xfId="28153"/>
    <cellStyle name="Normal 2 2 12 2 4" xfId="11357"/>
    <cellStyle name="Normal 2 2 12 2 4 2" xfId="31240"/>
    <cellStyle name="Normal 2 2 12 2 5" xfId="17509"/>
    <cellStyle name="Normal 2 2 12 2 5 2" xfId="37392"/>
    <cellStyle name="Normal 2 2 12 2 6" xfId="25087"/>
    <cellStyle name="Normal 2 2 12 3" xfId="5895"/>
    <cellStyle name="Normal 2 2 12 3 2" xfId="8995"/>
    <cellStyle name="Normal 2 2 12 3 2 2" xfId="15188"/>
    <cellStyle name="Normal 2 2 12 3 2 2 2" xfId="35071"/>
    <cellStyle name="Normal 2 2 12 3 2 3" xfId="21340"/>
    <cellStyle name="Normal 2 2 12 3 2 3 2" xfId="41223"/>
    <cellStyle name="Normal 2 2 12 3 2 4" xfId="28918"/>
    <cellStyle name="Normal 2 2 12 3 3" xfId="12122"/>
    <cellStyle name="Normal 2 2 12 3 3 2" xfId="32005"/>
    <cellStyle name="Normal 2 2 12 3 4" xfId="18274"/>
    <cellStyle name="Normal 2 2 12 3 4 2" xfId="38157"/>
    <cellStyle name="Normal 2 2 12 3 5" xfId="25852"/>
    <cellStyle name="Normal 2 2 12 4" xfId="7460"/>
    <cellStyle name="Normal 2 2 12 4 2" xfId="13654"/>
    <cellStyle name="Normal 2 2 12 4 2 2" xfId="33537"/>
    <cellStyle name="Normal 2 2 12 4 3" xfId="19806"/>
    <cellStyle name="Normal 2 2 12 4 3 2" xfId="39689"/>
    <cellStyle name="Normal 2 2 12 4 4" xfId="27384"/>
    <cellStyle name="Normal 2 2 12 5" xfId="10588"/>
    <cellStyle name="Normal 2 2 12 5 2" xfId="30471"/>
    <cellStyle name="Normal 2 2 12 6" xfId="16740"/>
    <cellStyle name="Normal 2 2 12 6 2" xfId="36623"/>
    <cellStyle name="Normal 2 2 12 7" xfId="3540"/>
    <cellStyle name="Normal 2 2 12 7 2" xfId="24318"/>
    <cellStyle name="Normal 2 2 13" xfId="355"/>
    <cellStyle name="Normal 2 2 13 2" xfId="5054"/>
    <cellStyle name="Normal 2 2 13 2 2" xfId="6679"/>
    <cellStyle name="Normal 2 2 13 2 2 2" xfId="9765"/>
    <cellStyle name="Normal 2 2 13 2 2 2 2" xfId="15958"/>
    <cellStyle name="Normal 2 2 13 2 2 2 2 2" xfId="35841"/>
    <cellStyle name="Normal 2 2 13 2 2 2 3" xfId="22110"/>
    <cellStyle name="Normal 2 2 13 2 2 2 3 2" xfId="41993"/>
    <cellStyle name="Normal 2 2 13 2 2 2 4" xfId="29688"/>
    <cellStyle name="Normal 2 2 13 2 2 3" xfId="12892"/>
    <cellStyle name="Normal 2 2 13 2 2 3 2" xfId="32775"/>
    <cellStyle name="Normal 2 2 13 2 2 4" xfId="19044"/>
    <cellStyle name="Normal 2 2 13 2 2 4 2" xfId="38927"/>
    <cellStyle name="Normal 2 2 13 2 2 5" xfId="26622"/>
    <cellStyle name="Normal 2 2 13 2 3" xfId="8230"/>
    <cellStyle name="Normal 2 2 13 2 3 2" xfId="14424"/>
    <cellStyle name="Normal 2 2 13 2 3 2 2" xfId="34307"/>
    <cellStyle name="Normal 2 2 13 2 3 3" xfId="20576"/>
    <cellStyle name="Normal 2 2 13 2 3 3 2" xfId="40459"/>
    <cellStyle name="Normal 2 2 13 2 3 4" xfId="28154"/>
    <cellStyle name="Normal 2 2 13 2 4" xfId="11358"/>
    <cellStyle name="Normal 2 2 13 2 4 2" xfId="31241"/>
    <cellStyle name="Normal 2 2 13 2 5" xfId="17510"/>
    <cellStyle name="Normal 2 2 13 2 5 2" xfId="37393"/>
    <cellStyle name="Normal 2 2 13 2 6" xfId="25088"/>
    <cellStyle name="Normal 2 2 13 3" xfId="5896"/>
    <cellStyle name="Normal 2 2 13 3 2" xfId="8996"/>
    <cellStyle name="Normal 2 2 13 3 2 2" xfId="15189"/>
    <cellStyle name="Normal 2 2 13 3 2 2 2" xfId="35072"/>
    <cellStyle name="Normal 2 2 13 3 2 3" xfId="21341"/>
    <cellStyle name="Normal 2 2 13 3 2 3 2" xfId="41224"/>
    <cellStyle name="Normal 2 2 13 3 2 4" xfId="28919"/>
    <cellStyle name="Normal 2 2 13 3 3" xfId="12123"/>
    <cellStyle name="Normal 2 2 13 3 3 2" xfId="32006"/>
    <cellStyle name="Normal 2 2 13 3 4" xfId="18275"/>
    <cellStyle name="Normal 2 2 13 3 4 2" xfId="38158"/>
    <cellStyle name="Normal 2 2 13 3 5" xfId="25853"/>
    <cellStyle name="Normal 2 2 13 4" xfId="7461"/>
    <cellStyle name="Normal 2 2 13 4 2" xfId="13655"/>
    <cellStyle name="Normal 2 2 13 4 2 2" xfId="33538"/>
    <cellStyle name="Normal 2 2 13 4 3" xfId="19807"/>
    <cellStyle name="Normal 2 2 13 4 3 2" xfId="39690"/>
    <cellStyle name="Normal 2 2 13 4 4" xfId="27385"/>
    <cellStyle name="Normal 2 2 13 5" xfId="10589"/>
    <cellStyle name="Normal 2 2 13 5 2" xfId="30472"/>
    <cellStyle name="Normal 2 2 13 6" xfId="16741"/>
    <cellStyle name="Normal 2 2 13 6 2" xfId="36624"/>
    <cellStyle name="Normal 2 2 13 7" xfId="3541"/>
    <cellStyle name="Normal 2 2 13 7 2" xfId="24319"/>
    <cellStyle name="Normal 2 2 14" xfId="370"/>
    <cellStyle name="Normal 2 2 14 2" xfId="5055"/>
    <cellStyle name="Normal 2 2 14 2 2" xfId="6680"/>
    <cellStyle name="Normal 2 2 14 2 2 2" xfId="9766"/>
    <cellStyle name="Normal 2 2 14 2 2 2 2" xfId="15959"/>
    <cellStyle name="Normal 2 2 14 2 2 2 2 2" xfId="35842"/>
    <cellStyle name="Normal 2 2 14 2 2 2 3" xfId="22111"/>
    <cellStyle name="Normal 2 2 14 2 2 2 3 2" xfId="41994"/>
    <cellStyle name="Normal 2 2 14 2 2 2 4" xfId="29689"/>
    <cellStyle name="Normal 2 2 14 2 2 3" xfId="12893"/>
    <cellStyle name="Normal 2 2 14 2 2 3 2" xfId="32776"/>
    <cellStyle name="Normal 2 2 14 2 2 4" xfId="19045"/>
    <cellStyle name="Normal 2 2 14 2 2 4 2" xfId="38928"/>
    <cellStyle name="Normal 2 2 14 2 2 5" xfId="26623"/>
    <cellStyle name="Normal 2 2 14 2 3" xfId="8231"/>
    <cellStyle name="Normal 2 2 14 2 3 2" xfId="14425"/>
    <cellStyle name="Normal 2 2 14 2 3 2 2" xfId="34308"/>
    <cellStyle name="Normal 2 2 14 2 3 3" xfId="20577"/>
    <cellStyle name="Normal 2 2 14 2 3 3 2" xfId="40460"/>
    <cellStyle name="Normal 2 2 14 2 3 4" xfId="28155"/>
    <cellStyle name="Normal 2 2 14 2 4" xfId="11359"/>
    <cellStyle name="Normal 2 2 14 2 4 2" xfId="31242"/>
    <cellStyle name="Normal 2 2 14 2 5" xfId="17511"/>
    <cellStyle name="Normal 2 2 14 2 5 2" xfId="37394"/>
    <cellStyle name="Normal 2 2 14 2 6" xfId="25089"/>
    <cellStyle name="Normal 2 2 14 3" xfId="5897"/>
    <cellStyle name="Normal 2 2 14 3 2" xfId="8997"/>
    <cellStyle name="Normal 2 2 14 3 2 2" xfId="15190"/>
    <cellStyle name="Normal 2 2 14 3 2 2 2" xfId="35073"/>
    <cellStyle name="Normal 2 2 14 3 2 3" xfId="21342"/>
    <cellStyle name="Normal 2 2 14 3 2 3 2" xfId="41225"/>
    <cellStyle name="Normal 2 2 14 3 2 4" xfId="28920"/>
    <cellStyle name="Normal 2 2 14 3 3" xfId="12124"/>
    <cellStyle name="Normal 2 2 14 3 3 2" xfId="32007"/>
    <cellStyle name="Normal 2 2 14 3 4" xfId="18276"/>
    <cellStyle name="Normal 2 2 14 3 4 2" xfId="38159"/>
    <cellStyle name="Normal 2 2 14 3 5" xfId="25854"/>
    <cellStyle name="Normal 2 2 14 4" xfId="7462"/>
    <cellStyle name="Normal 2 2 14 4 2" xfId="13656"/>
    <cellStyle name="Normal 2 2 14 4 2 2" xfId="33539"/>
    <cellStyle name="Normal 2 2 14 4 3" xfId="19808"/>
    <cellStyle name="Normal 2 2 14 4 3 2" xfId="39691"/>
    <cellStyle name="Normal 2 2 14 4 4" xfId="27386"/>
    <cellStyle name="Normal 2 2 14 5" xfId="10590"/>
    <cellStyle name="Normal 2 2 14 5 2" xfId="30473"/>
    <cellStyle name="Normal 2 2 14 6" xfId="16742"/>
    <cellStyle name="Normal 2 2 14 6 2" xfId="36625"/>
    <cellStyle name="Normal 2 2 14 7" xfId="3542"/>
    <cellStyle name="Normal 2 2 14 7 2" xfId="24320"/>
    <cellStyle name="Normal 2 2 15" xfId="436"/>
    <cellStyle name="Normal 2 2 15 2" xfId="5056"/>
    <cellStyle name="Normal 2 2 15 2 2" xfId="6681"/>
    <cellStyle name="Normal 2 2 15 2 2 2" xfId="9767"/>
    <cellStyle name="Normal 2 2 15 2 2 2 2" xfId="15960"/>
    <cellStyle name="Normal 2 2 15 2 2 2 2 2" xfId="35843"/>
    <cellStyle name="Normal 2 2 15 2 2 2 3" xfId="22112"/>
    <cellStyle name="Normal 2 2 15 2 2 2 3 2" xfId="41995"/>
    <cellStyle name="Normal 2 2 15 2 2 2 4" xfId="29690"/>
    <cellStyle name="Normal 2 2 15 2 2 3" xfId="12894"/>
    <cellStyle name="Normal 2 2 15 2 2 3 2" xfId="32777"/>
    <cellStyle name="Normal 2 2 15 2 2 4" xfId="19046"/>
    <cellStyle name="Normal 2 2 15 2 2 4 2" xfId="38929"/>
    <cellStyle name="Normal 2 2 15 2 2 5" xfId="26624"/>
    <cellStyle name="Normal 2 2 15 2 3" xfId="8232"/>
    <cellStyle name="Normal 2 2 15 2 3 2" xfId="14426"/>
    <cellStyle name="Normal 2 2 15 2 3 2 2" xfId="34309"/>
    <cellStyle name="Normal 2 2 15 2 3 3" xfId="20578"/>
    <cellStyle name="Normal 2 2 15 2 3 3 2" xfId="40461"/>
    <cellStyle name="Normal 2 2 15 2 3 4" xfId="28156"/>
    <cellStyle name="Normal 2 2 15 2 4" xfId="11360"/>
    <cellStyle name="Normal 2 2 15 2 4 2" xfId="31243"/>
    <cellStyle name="Normal 2 2 15 2 5" xfId="17512"/>
    <cellStyle name="Normal 2 2 15 2 5 2" xfId="37395"/>
    <cellStyle name="Normal 2 2 15 2 6" xfId="25090"/>
    <cellStyle name="Normal 2 2 15 3" xfId="5898"/>
    <cellStyle name="Normal 2 2 15 3 2" xfId="8998"/>
    <cellStyle name="Normal 2 2 15 3 2 2" xfId="15191"/>
    <cellStyle name="Normal 2 2 15 3 2 2 2" xfId="35074"/>
    <cellStyle name="Normal 2 2 15 3 2 3" xfId="21343"/>
    <cellStyle name="Normal 2 2 15 3 2 3 2" xfId="41226"/>
    <cellStyle name="Normal 2 2 15 3 2 4" xfId="28921"/>
    <cellStyle name="Normal 2 2 15 3 3" xfId="12125"/>
    <cellStyle name="Normal 2 2 15 3 3 2" xfId="32008"/>
    <cellStyle name="Normal 2 2 15 3 4" xfId="18277"/>
    <cellStyle name="Normal 2 2 15 3 4 2" xfId="38160"/>
    <cellStyle name="Normal 2 2 15 3 5" xfId="25855"/>
    <cellStyle name="Normal 2 2 15 4" xfId="7463"/>
    <cellStyle name="Normal 2 2 15 4 2" xfId="13657"/>
    <cellStyle name="Normal 2 2 15 4 2 2" xfId="33540"/>
    <cellStyle name="Normal 2 2 15 4 3" xfId="19809"/>
    <cellStyle name="Normal 2 2 15 4 3 2" xfId="39692"/>
    <cellStyle name="Normal 2 2 15 4 4" xfId="27387"/>
    <cellStyle name="Normal 2 2 15 5" xfId="10591"/>
    <cellStyle name="Normal 2 2 15 5 2" xfId="30474"/>
    <cellStyle name="Normal 2 2 15 6" xfId="16743"/>
    <cellStyle name="Normal 2 2 15 6 2" xfId="36626"/>
    <cellStyle name="Normal 2 2 15 7" xfId="3543"/>
    <cellStyle name="Normal 2 2 15 7 2" xfId="24321"/>
    <cellStyle name="Normal 2 2 16" xfId="456"/>
    <cellStyle name="Normal 2 2 16 2" xfId="5057"/>
    <cellStyle name="Normal 2 2 16 2 2" xfId="6682"/>
    <cellStyle name="Normal 2 2 16 2 2 2" xfId="9768"/>
    <cellStyle name="Normal 2 2 16 2 2 2 2" xfId="15961"/>
    <cellStyle name="Normal 2 2 16 2 2 2 2 2" xfId="35844"/>
    <cellStyle name="Normal 2 2 16 2 2 2 3" xfId="22113"/>
    <cellStyle name="Normal 2 2 16 2 2 2 3 2" xfId="41996"/>
    <cellStyle name="Normal 2 2 16 2 2 2 4" xfId="29691"/>
    <cellStyle name="Normal 2 2 16 2 2 3" xfId="12895"/>
    <cellStyle name="Normal 2 2 16 2 2 3 2" xfId="32778"/>
    <cellStyle name="Normal 2 2 16 2 2 4" xfId="19047"/>
    <cellStyle name="Normal 2 2 16 2 2 4 2" xfId="38930"/>
    <cellStyle name="Normal 2 2 16 2 2 5" xfId="26625"/>
    <cellStyle name="Normal 2 2 16 2 3" xfId="8233"/>
    <cellStyle name="Normal 2 2 16 2 3 2" xfId="14427"/>
    <cellStyle name="Normal 2 2 16 2 3 2 2" xfId="34310"/>
    <cellStyle name="Normal 2 2 16 2 3 3" xfId="20579"/>
    <cellStyle name="Normal 2 2 16 2 3 3 2" xfId="40462"/>
    <cellStyle name="Normal 2 2 16 2 3 4" xfId="28157"/>
    <cellStyle name="Normal 2 2 16 2 4" xfId="11361"/>
    <cellStyle name="Normal 2 2 16 2 4 2" xfId="31244"/>
    <cellStyle name="Normal 2 2 16 2 5" xfId="17513"/>
    <cellStyle name="Normal 2 2 16 2 5 2" xfId="37396"/>
    <cellStyle name="Normal 2 2 16 2 6" xfId="25091"/>
    <cellStyle name="Normal 2 2 16 3" xfId="5899"/>
    <cellStyle name="Normal 2 2 16 3 2" xfId="8999"/>
    <cellStyle name="Normal 2 2 16 3 2 2" xfId="15192"/>
    <cellStyle name="Normal 2 2 16 3 2 2 2" xfId="35075"/>
    <cellStyle name="Normal 2 2 16 3 2 3" xfId="21344"/>
    <cellStyle name="Normal 2 2 16 3 2 3 2" xfId="41227"/>
    <cellStyle name="Normal 2 2 16 3 2 4" xfId="28922"/>
    <cellStyle name="Normal 2 2 16 3 3" xfId="12126"/>
    <cellStyle name="Normal 2 2 16 3 3 2" xfId="32009"/>
    <cellStyle name="Normal 2 2 16 3 4" xfId="18278"/>
    <cellStyle name="Normal 2 2 16 3 4 2" xfId="38161"/>
    <cellStyle name="Normal 2 2 16 3 5" xfId="25856"/>
    <cellStyle name="Normal 2 2 16 4" xfId="7464"/>
    <cellStyle name="Normal 2 2 16 4 2" xfId="13658"/>
    <cellStyle name="Normal 2 2 16 4 2 2" xfId="33541"/>
    <cellStyle name="Normal 2 2 16 4 3" xfId="19810"/>
    <cellStyle name="Normal 2 2 16 4 3 2" xfId="39693"/>
    <cellStyle name="Normal 2 2 16 4 4" xfId="27388"/>
    <cellStyle name="Normal 2 2 16 5" xfId="10592"/>
    <cellStyle name="Normal 2 2 16 5 2" xfId="30475"/>
    <cellStyle name="Normal 2 2 16 6" xfId="16744"/>
    <cellStyle name="Normal 2 2 16 6 2" xfId="36627"/>
    <cellStyle name="Normal 2 2 16 7" xfId="3544"/>
    <cellStyle name="Normal 2 2 16 7 2" xfId="24322"/>
    <cellStyle name="Normal 2 2 17" xfId="479"/>
    <cellStyle name="Normal 2 2 17 2" xfId="5058"/>
    <cellStyle name="Normal 2 2 17 2 2" xfId="6683"/>
    <cellStyle name="Normal 2 2 17 2 2 2" xfId="9769"/>
    <cellStyle name="Normal 2 2 17 2 2 2 2" xfId="15962"/>
    <cellStyle name="Normal 2 2 17 2 2 2 2 2" xfId="35845"/>
    <cellStyle name="Normal 2 2 17 2 2 2 3" xfId="22114"/>
    <cellStyle name="Normal 2 2 17 2 2 2 3 2" xfId="41997"/>
    <cellStyle name="Normal 2 2 17 2 2 2 4" xfId="29692"/>
    <cellStyle name="Normal 2 2 17 2 2 3" xfId="12896"/>
    <cellStyle name="Normal 2 2 17 2 2 3 2" xfId="32779"/>
    <cellStyle name="Normal 2 2 17 2 2 4" xfId="19048"/>
    <cellStyle name="Normal 2 2 17 2 2 4 2" xfId="38931"/>
    <cellStyle name="Normal 2 2 17 2 2 5" xfId="26626"/>
    <cellStyle name="Normal 2 2 17 2 3" xfId="8234"/>
    <cellStyle name="Normal 2 2 17 2 3 2" xfId="14428"/>
    <cellStyle name="Normal 2 2 17 2 3 2 2" xfId="34311"/>
    <cellStyle name="Normal 2 2 17 2 3 3" xfId="20580"/>
    <cellStyle name="Normal 2 2 17 2 3 3 2" xfId="40463"/>
    <cellStyle name="Normal 2 2 17 2 3 4" xfId="28158"/>
    <cellStyle name="Normal 2 2 17 2 4" xfId="11362"/>
    <cellStyle name="Normal 2 2 17 2 4 2" xfId="31245"/>
    <cellStyle name="Normal 2 2 17 2 5" xfId="17514"/>
    <cellStyle name="Normal 2 2 17 2 5 2" xfId="37397"/>
    <cellStyle name="Normal 2 2 17 2 6" xfId="25092"/>
    <cellStyle name="Normal 2 2 17 3" xfId="5900"/>
    <cellStyle name="Normal 2 2 17 3 2" xfId="9000"/>
    <cellStyle name="Normal 2 2 17 3 2 2" xfId="15193"/>
    <cellStyle name="Normal 2 2 17 3 2 2 2" xfId="35076"/>
    <cellStyle name="Normal 2 2 17 3 2 3" xfId="21345"/>
    <cellStyle name="Normal 2 2 17 3 2 3 2" xfId="41228"/>
    <cellStyle name="Normal 2 2 17 3 2 4" xfId="28923"/>
    <cellStyle name="Normal 2 2 17 3 3" xfId="12127"/>
    <cellStyle name="Normal 2 2 17 3 3 2" xfId="32010"/>
    <cellStyle name="Normal 2 2 17 3 4" xfId="18279"/>
    <cellStyle name="Normal 2 2 17 3 4 2" xfId="38162"/>
    <cellStyle name="Normal 2 2 17 3 5" xfId="25857"/>
    <cellStyle name="Normal 2 2 17 4" xfId="7465"/>
    <cellStyle name="Normal 2 2 17 4 2" xfId="13659"/>
    <cellStyle name="Normal 2 2 17 4 2 2" xfId="33542"/>
    <cellStyle name="Normal 2 2 17 4 3" xfId="19811"/>
    <cellStyle name="Normal 2 2 17 4 3 2" xfId="39694"/>
    <cellStyle name="Normal 2 2 17 4 4" xfId="27389"/>
    <cellStyle name="Normal 2 2 17 5" xfId="10593"/>
    <cellStyle name="Normal 2 2 17 5 2" xfId="30476"/>
    <cellStyle name="Normal 2 2 17 6" xfId="16745"/>
    <cellStyle name="Normal 2 2 17 6 2" xfId="36628"/>
    <cellStyle name="Normal 2 2 17 7" xfId="3545"/>
    <cellStyle name="Normal 2 2 17 7 2" xfId="24323"/>
    <cellStyle name="Normal 2 2 18" xfId="514"/>
    <cellStyle name="Normal 2 2 18 2" xfId="5059"/>
    <cellStyle name="Normal 2 2 18 2 2" xfId="6684"/>
    <cellStyle name="Normal 2 2 18 2 2 2" xfId="9770"/>
    <cellStyle name="Normal 2 2 18 2 2 2 2" xfId="15963"/>
    <cellStyle name="Normal 2 2 18 2 2 2 2 2" xfId="35846"/>
    <cellStyle name="Normal 2 2 18 2 2 2 3" xfId="22115"/>
    <cellStyle name="Normal 2 2 18 2 2 2 3 2" xfId="41998"/>
    <cellStyle name="Normal 2 2 18 2 2 2 4" xfId="29693"/>
    <cellStyle name="Normal 2 2 18 2 2 3" xfId="12897"/>
    <cellStyle name="Normal 2 2 18 2 2 3 2" xfId="32780"/>
    <cellStyle name="Normal 2 2 18 2 2 4" xfId="19049"/>
    <cellStyle name="Normal 2 2 18 2 2 4 2" xfId="38932"/>
    <cellStyle name="Normal 2 2 18 2 2 5" xfId="26627"/>
    <cellStyle name="Normal 2 2 18 2 3" xfId="8235"/>
    <cellStyle name="Normal 2 2 18 2 3 2" xfId="14429"/>
    <cellStyle name="Normal 2 2 18 2 3 2 2" xfId="34312"/>
    <cellStyle name="Normal 2 2 18 2 3 3" xfId="20581"/>
    <cellStyle name="Normal 2 2 18 2 3 3 2" xfId="40464"/>
    <cellStyle name="Normal 2 2 18 2 3 4" xfId="28159"/>
    <cellStyle name="Normal 2 2 18 2 4" xfId="11363"/>
    <cellStyle name="Normal 2 2 18 2 4 2" xfId="31246"/>
    <cellStyle name="Normal 2 2 18 2 5" xfId="17515"/>
    <cellStyle name="Normal 2 2 18 2 5 2" xfId="37398"/>
    <cellStyle name="Normal 2 2 18 2 6" xfId="25093"/>
    <cellStyle name="Normal 2 2 18 3" xfId="5901"/>
    <cellStyle name="Normal 2 2 18 3 2" xfId="9001"/>
    <cellStyle name="Normal 2 2 18 3 2 2" xfId="15194"/>
    <cellStyle name="Normal 2 2 18 3 2 2 2" xfId="35077"/>
    <cellStyle name="Normal 2 2 18 3 2 3" xfId="21346"/>
    <cellStyle name="Normal 2 2 18 3 2 3 2" xfId="41229"/>
    <cellStyle name="Normal 2 2 18 3 2 4" xfId="28924"/>
    <cellStyle name="Normal 2 2 18 3 3" xfId="12128"/>
    <cellStyle name="Normal 2 2 18 3 3 2" xfId="32011"/>
    <cellStyle name="Normal 2 2 18 3 4" xfId="18280"/>
    <cellStyle name="Normal 2 2 18 3 4 2" xfId="38163"/>
    <cellStyle name="Normal 2 2 18 3 5" xfId="25858"/>
    <cellStyle name="Normal 2 2 18 4" xfId="7466"/>
    <cellStyle name="Normal 2 2 18 4 2" xfId="13660"/>
    <cellStyle name="Normal 2 2 18 4 2 2" xfId="33543"/>
    <cellStyle name="Normal 2 2 18 4 3" xfId="19812"/>
    <cellStyle name="Normal 2 2 18 4 3 2" xfId="39695"/>
    <cellStyle name="Normal 2 2 18 4 4" xfId="27390"/>
    <cellStyle name="Normal 2 2 18 5" xfId="10594"/>
    <cellStyle name="Normal 2 2 18 5 2" xfId="30477"/>
    <cellStyle name="Normal 2 2 18 6" xfId="16746"/>
    <cellStyle name="Normal 2 2 18 6 2" xfId="36629"/>
    <cellStyle name="Normal 2 2 18 7" xfId="3546"/>
    <cellStyle name="Normal 2 2 18 7 2" xfId="24324"/>
    <cellStyle name="Normal 2 2 19" xfId="527"/>
    <cellStyle name="Normal 2 2 19 2" xfId="5060"/>
    <cellStyle name="Normal 2 2 19 2 2" xfId="6685"/>
    <cellStyle name="Normal 2 2 19 2 2 2" xfId="9771"/>
    <cellStyle name="Normal 2 2 19 2 2 2 2" xfId="15964"/>
    <cellStyle name="Normal 2 2 19 2 2 2 2 2" xfId="35847"/>
    <cellStyle name="Normal 2 2 19 2 2 2 3" xfId="22116"/>
    <cellStyle name="Normal 2 2 19 2 2 2 3 2" xfId="41999"/>
    <cellStyle name="Normal 2 2 19 2 2 2 4" xfId="29694"/>
    <cellStyle name="Normal 2 2 19 2 2 3" xfId="12898"/>
    <cellStyle name="Normal 2 2 19 2 2 3 2" xfId="32781"/>
    <cellStyle name="Normal 2 2 19 2 2 4" xfId="19050"/>
    <cellStyle name="Normal 2 2 19 2 2 4 2" xfId="38933"/>
    <cellStyle name="Normal 2 2 19 2 2 5" xfId="26628"/>
    <cellStyle name="Normal 2 2 19 2 3" xfId="8236"/>
    <cellStyle name="Normal 2 2 19 2 3 2" xfId="14430"/>
    <cellStyle name="Normal 2 2 19 2 3 2 2" xfId="34313"/>
    <cellStyle name="Normal 2 2 19 2 3 3" xfId="20582"/>
    <cellStyle name="Normal 2 2 19 2 3 3 2" xfId="40465"/>
    <cellStyle name="Normal 2 2 19 2 3 4" xfId="28160"/>
    <cellStyle name="Normal 2 2 19 2 4" xfId="11364"/>
    <cellStyle name="Normal 2 2 19 2 4 2" xfId="31247"/>
    <cellStyle name="Normal 2 2 19 2 5" xfId="17516"/>
    <cellStyle name="Normal 2 2 19 2 5 2" xfId="37399"/>
    <cellStyle name="Normal 2 2 19 2 6" xfId="25094"/>
    <cellStyle name="Normal 2 2 19 3" xfId="5902"/>
    <cellStyle name="Normal 2 2 19 3 2" xfId="9002"/>
    <cellStyle name="Normal 2 2 19 3 2 2" xfId="15195"/>
    <cellStyle name="Normal 2 2 19 3 2 2 2" xfId="35078"/>
    <cellStyle name="Normal 2 2 19 3 2 3" xfId="21347"/>
    <cellStyle name="Normal 2 2 19 3 2 3 2" xfId="41230"/>
    <cellStyle name="Normal 2 2 19 3 2 4" xfId="28925"/>
    <cellStyle name="Normal 2 2 19 3 3" xfId="12129"/>
    <cellStyle name="Normal 2 2 19 3 3 2" xfId="32012"/>
    <cellStyle name="Normal 2 2 19 3 4" xfId="18281"/>
    <cellStyle name="Normal 2 2 19 3 4 2" xfId="38164"/>
    <cellStyle name="Normal 2 2 19 3 5" xfId="25859"/>
    <cellStyle name="Normal 2 2 19 4" xfId="7467"/>
    <cellStyle name="Normal 2 2 19 4 2" xfId="13661"/>
    <cellStyle name="Normal 2 2 19 4 2 2" xfId="33544"/>
    <cellStyle name="Normal 2 2 19 4 3" xfId="19813"/>
    <cellStyle name="Normal 2 2 19 4 3 2" xfId="39696"/>
    <cellStyle name="Normal 2 2 19 4 4" xfId="27391"/>
    <cellStyle name="Normal 2 2 19 5" xfId="10595"/>
    <cellStyle name="Normal 2 2 19 5 2" xfId="30478"/>
    <cellStyle name="Normal 2 2 19 6" xfId="16747"/>
    <cellStyle name="Normal 2 2 19 6 2" xfId="36630"/>
    <cellStyle name="Normal 2 2 19 7" xfId="3547"/>
    <cellStyle name="Normal 2 2 19 7 2" xfId="24325"/>
    <cellStyle name="Normal 2 2 2" xfId="75"/>
    <cellStyle name="Normal 2 2 2 2" xfId="222"/>
    <cellStyle name="Normal 2 2 2 2 10" xfId="16748"/>
    <cellStyle name="Normal 2 2 2 2 10 2" xfId="36631"/>
    <cellStyle name="Normal 2 2 2 2 11" xfId="3549"/>
    <cellStyle name="Normal 2 2 2 2 11 2" xfId="24326"/>
    <cellStyle name="Normal 2 2 2 2 2" xfId="3550"/>
    <cellStyle name="Normal 2 2 2 2 2 2" xfId="3551"/>
    <cellStyle name="Normal 2 2 2 2 2 2 2" xfId="5063"/>
    <cellStyle name="Normal 2 2 2 2 2 2 2 2" xfId="6688"/>
    <cellStyle name="Normal 2 2 2 2 2 2 2 2 2" xfId="9774"/>
    <cellStyle name="Normal 2 2 2 2 2 2 2 2 2 2" xfId="15967"/>
    <cellStyle name="Normal 2 2 2 2 2 2 2 2 2 2 2" xfId="35850"/>
    <cellStyle name="Normal 2 2 2 2 2 2 2 2 2 3" xfId="22119"/>
    <cellStyle name="Normal 2 2 2 2 2 2 2 2 2 3 2" xfId="42002"/>
    <cellStyle name="Normal 2 2 2 2 2 2 2 2 2 4" xfId="29697"/>
    <cellStyle name="Normal 2 2 2 2 2 2 2 2 3" xfId="12901"/>
    <cellStyle name="Normal 2 2 2 2 2 2 2 2 3 2" xfId="32784"/>
    <cellStyle name="Normal 2 2 2 2 2 2 2 2 4" xfId="19053"/>
    <cellStyle name="Normal 2 2 2 2 2 2 2 2 4 2" xfId="38936"/>
    <cellStyle name="Normal 2 2 2 2 2 2 2 2 5" xfId="26631"/>
    <cellStyle name="Normal 2 2 2 2 2 2 2 3" xfId="8239"/>
    <cellStyle name="Normal 2 2 2 2 2 2 2 3 2" xfId="14433"/>
    <cellStyle name="Normal 2 2 2 2 2 2 2 3 2 2" xfId="34316"/>
    <cellStyle name="Normal 2 2 2 2 2 2 2 3 3" xfId="20585"/>
    <cellStyle name="Normal 2 2 2 2 2 2 2 3 3 2" xfId="40468"/>
    <cellStyle name="Normal 2 2 2 2 2 2 2 3 4" xfId="28163"/>
    <cellStyle name="Normal 2 2 2 2 2 2 2 4" xfId="11367"/>
    <cellStyle name="Normal 2 2 2 2 2 2 2 4 2" xfId="31250"/>
    <cellStyle name="Normal 2 2 2 2 2 2 2 5" xfId="17519"/>
    <cellStyle name="Normal 2 2 2 2 2 2 2 5 2" xfId="37402"/>
    <cellStyle name="Normal 2 2 2 2 2 2 2 6" xfId="25097"/>
    <cellStyle name="Normal 2 2 2 2 2 2 3" xfId="5905"/>
    <cellStyle name="Normal 2 2 2 2 2 2 3 2" xfId="9005"/>
    <cellStyle name="Normal 2 2 2 2 2 2 3 2 2" xfId="15198"/>
    <cellStyle name="Normal 2 2 2 2 2 2 3 2 2 2" xfId="35081"/>
    <cellStyle name="Normal 2 2 2 2 2 2 3 2 3" xfId="21350"/>
    <cellStyle name="Normal 2 2 2 2 2 2 3 2 3 2" xfId="41233"/>
    <cellStyle name="Normal 2 2 2 2 2 2 3 2 4" xfId="28928"/>
    <cellStyle name="Normal 2 2 2 2 2 2 3 3" xfId="12132"/>
    <cellStyle name="Normal 2 2 2 2 2 2 3 3 2" xfId="32015"/>
    <cellStyle name="Normal 2 2 2 2 2 2 3 4" xfId="18284"/>
    <cellStyle name="Normal 2 2 2 2 2 2 3 4 2" xfId="38167"/>
    <cellStyle name="Normal 2 2 2 2 2 2 3 5" xfId="25862"/>
    <cellStyle name="Normal 2 2 2 2 2 2 4" xfId="7470"/>
    <cellStyle name="Normal 2 2 2 2 2 2 4 2" xfId="13664"/>
    <cellStyle name="Normal 2 2 2 2 2 2 4 2 2" xfId="33547"/>
    <cellStyle name="Normal 2 2 2 2 2 2 4 3" xfId="19816"/>
    <cellStyle name="Normal 2 2 2 2 2 2 4 3 2" xfId="39699"/>
    <cellStyle name="Normal 2 2 2 2 2 2 4 4" xfId="27394"/>
    <cellStyle name="Normal 2 2 2 2 2 2 5" xfId="10598"/>
    <cellStyle name="Normal 2 2 2 2 2 2 5 2" xfId="30481"/>
    <cellStyle name="Normal 2 2 2 2 2 2 6" xfId="16750"/>
    <cellStyle name="Normal 2 2 2 2 2 2 6 2" xfId="36633"/>
    <cellStyle name="Normal 2 2 2 2 2 2 7" xfId="24328"/>
    <cellStyle name="Normal 2 2 2 2 2 3" xfId="5062"/>
    <cellStyle name="Normal 2 2 2 2 2 3 2" xfId="6687"/>
    <cellStyle name="Normal 2 2 2 2 2 3 2 2" xfId="9773"/>
    <cellStyle name="Normal 2 2 2 2 2 3 2 2 2" xfId="15966"/>
    <cellStyle name="Normal 2 2 2 2 2 3 2 2 2 2" xfId="35849"/>
    <cellStyle name="Normal 2 2 2 2 2 3 2 2 3" xfId="22118"/>
    <cellStyle name="Normal 2 2 2 2 2 3 2 2 3 2" xfId="42001"/>
    <cellStyle name="Normal 2 2 2 2 2 3 2 2 4" xfId="29696"/>
    <cellStyle name="Normal 2 2 2 2 2 3 2 3" xfId="12900"/>
    <cellStyle name="Normal 2 2 2 2 2 3 2 3 2" xfId="32783"/>
    <cellStyle name="Normal 2 2 2 2 2 3 2 4" xfId="19052"/>
    <cellStyle name="Normal 2 2 2 2 2 3 2 4 2" xfId="38935"/>
    <cellStyle name="Normal 2 2 2 2 2 3 2 5" xfId="26630"/>
    <cellStyle name="Normal 2 2 2 2 2 3 3" xfId="8238"/>
    <cellStyle name="Normal 2 2 2 2 2 3 3 2" xfId="14432"/>
    <cellStyle name="Normal 2 2 2 2 2 3 3 2 2" xfId="34315"/>
    <cellStyle name="Normal 2 2 2 2 2 3 3 3" xfId="20584"/>
    <cellStyle name="Normal 2 2 2 2 2 3 3 3 2" xfId="40467"/>
    <cellStyle name="Normal 2 2 2 2 2 3 3 4" xfId="28162"/>
    <cellStyle name="Normal 2 2 2 2 2 3 4" xfId="11366"/>
    <cellStyle name="Normal 2 2 2 2 2 3 4 2" xfId="31249"/>
    <cellStyle name="Normal 2 2 2 2 2 3 5" xfId="17518"/>
    <cellStyle name="Normal 2 2 2 2 2 3 5 2" xfId="37401"/>
    <cellStyle name="Normal 2 2 2 2 2 3 6" xfId="25096"/>
    <cellStyle name="Normal 2 2 2 2 2 4" xfId="5904"/>
    <cellStyle name="Normal 2 2 2 2 2 4 2" xfId="9004"/>
    <cellStyle name="Normal 2 2 2 2 2 4 2 2" xfId="15197"/>
    <cellStyle name="Normal 2 2 2 2 2 4 2 2 2" xfId="35080"/>
    <cellStyle name="Normal 2 2 2 2 2 4 2 3" xfId="21349"/>
    <cellStyle name="Normal 2 2 2 2 2 4 2 3 2" xfId="41232"/>
    <cellStyle name="Normal 2 2 2 2 2 4 2 4" xfId="28927"/>
    <cellStyle name="Normal 2 2 2 2 2 4 3" xfId="12131"/>
    <cellStyle name="Normal 2 2 2 2 2 4 3 2" xfId="32014"/>
    <cellStyle name="Normal 2 2 2 2 2 4 4" xfId="18283"/>
    <cellStyle name="Normal 2 2 2 2 2 4 4 2" xfId="38166"/>
    <cellStyle name="Normal 2 2 2 2 2 4 5" xfId="25861"/>
    <cellStyle name="Normal 2 2 2 2 2 5" xfId="7469"/>
    <cellStyle name="Normal 2 2 2 2 2 5 2" xfId="13663"/>
    <cellStyle name="Normal 2 2 2 2 2 5 2 2" xfId="33546"/>
    <cellStyle name="Normal 2 2 2 2 2 5 3" xfId="19815"/>
    <cellStyle name="Normal 2 2 2 2 2 5 3 2" xfId="39698"/>
    <cellStyle name="Normal 2 2 2 2 2 5 4" xfId="27393"/>
    <cellStyle name="Normal 2 2 2 2 2 6" xfId="10597"/>
    <cellStyle name="Normal 2 2 2 2 2 6 2" xfId="30480"/>
    <cellStyle name="Normal 2 2 2 2 2 7" xfId="16749"/>
    <cellStyle name="Normal 2 2 2 2 2 7 2" xfId="36632"/>
    <cellStyle name="Normal 2 2 2 2 2 8" xfId="24327"/>
    <cellStyle name="Normal 2 2 2 2 3" xfId="3552"/>
    <cellStyle name="Normal 2 2 2 2 3 2" xfId="5064"/>
    <cellStyle name="Normal 2 2 2 2 3 2 2" xfId="6689"/>
    <cellStyle name="Normal 2 2 2 2 3 2 2 2" xfId="9775"/>
    <cellStyle name="Normal 2 2 2 2 3 2 2 2 2" xfId="15968"/>
    <cellStyle name="Normal 2 2 2 2 3 2 2 2 2 2" xfId="35851"/>
    <cellStyle name="Normal 2 2 2 2 3 2 2 2 3" xfId="22120"/>
    <cellStyle name="Normal 2 2 2 2 3 2 2 2 3 2" xfId="42003"/>
    <cellStyle name="Normal 2 2 2 2 3 2 2 2 4" xfId="29698"/>
    <cellStyle name="Normal 2 2 2 2 3 2 2 3" xfId="12902"/>
    <cellStyle name="Normal 2 2 2 2 3 2 2 3 2" xfId="32785"/>
    <cellStyle name="Normal 2 2 2 2 3 2 2 4" xfId="19054"/>
    <cellStyle name="Normal 2 2 2 2 3 2 2 4 2" xfId="38937"/>
    <cellStyle name="Normal 2 2 2 2 3 2 2 5" xfId="26632"/>
    <cellStyle name="Normal 2 2 2 2 3 2 3" xfId="8240"/>
    <cellStyle name="Normal 2 2 2 2 3 2 3 2" xfId="14434"/>
    <cellStyle name="Normal 2 2 2 2 3 2 3 2 2" xfId="34317"/>
    <cellStyle name="Normal 2 2 2 2 3 2 3 3" xfId="20586"/>
    <cellStyle name="Normal 2 2 2 2 3 2 3 3 2" xfId="40469"/>
    <cellStyle name="Normal 2 2 2 2 3 2 3 4" xfId="28164"/>
    <cellStyle name="Normal 2 2 2 2 3 2 4" xfId="11368"/>
    <cellStyle name="Normal 2 2 2 2 3 2 4 2" xfId="31251"/>
    <cellStyle name="Normal 2 2 2 2 3 2 5" xfId="17520"/>
    <cellStyle name="Normal 2 2 2 2 3 2 5 2" xfId="37403"/>
    <cellStyle name="Normal 2 2 2 2 3 2 6" xfId="25098"/>
    <cellStyle name="Normal 2 2 2 2 3 3" xfId="5906"/>
    <cellStyle name="Normal 2 2 2 2 3 3 2" xfId="9006"/>
    <cellStyle name="Normal 2 2 2 2 3 3 2 2" xfId="15199"/>
    <cellStyle name="Normal 2 2 2 2 3 3 2 2 2" xfId="35082"/>
    <cellStyle name="Normal 2 2 2 2 3 3 2 3" xfId="21351"/>
    <cellStyle name="Normal 2 2 2 2 3 3 2 3 2" xfId="41234"/>
    <cellStyle name="Normal 2 2 2 2 3 3 2 4" xfId="28929"/>
    <cellStyle name="Normal 2 2 2 2 3 3 3" xfId="12133"/>
    <cellStyle name="Normal 2 2 2 2 3 3 3 2" xfId="32016"/>
    <cellStyle name="Normal 2 2 2 2 3 3 4" xfId="18285"/>
    <cellStyle name="Normal 2 2 2 2 3 3 4 2" xfId="38168"/>
    <cellStyle name="Normal 2 2 2 2 3 3 5" xfId="25863"/>
    <cellStyle name="Normal 2 2 2 2 3 4" xfId="7471"/>
    <cellStyle name="Normal 2 2 2 2 3 4 2" xfId="13665"/>
    <cellStyle name="Normal 2 2 2 2 3 4 2 2" xfId="33548"/>
    <cellStyle name="Normal 2 2 2 2 3 4 3" xfId="19817"/>
    <cellStyle name="Normal 2 2 2 2 3 4 3 2" xfId="39700"/>
    <cellStyle name="Normal 2 2 2 2 3 4 4" xfId="27395"/>
    <cellStyle name="Normal 2 2 2 2 3 5" xfId="10599"/>
    <cellStyle name="Normal 2 2 2 2 3 5 2" xfId="30482"/>
    <cellStyle name="Normal 2 2 2 2 3 6" xfId="16751"/>
    <cellStyle name="Normal 2 2 2 2 3 6 2" xfId="36634"/>
    <cellStyle name="Normal 2 2 2 2 3 7" xfId="24329"/>
    <cellStyle name="Normal 2 2 2 2 4" xfId="3553"/>
    <cellStyle name="Normal 2 2 2 2 4 2" xfId="5065"/>
    <cellStyle name="Normal 2 2 2 2 4 2 2" xfId="6690"/>
    <cellStyle name="Normal 2 2 2 2 4 2 2 2" xfId="9776"/>
    <cellStyle name="Normal 2 2 2 2 4 2 2 2 2" xfId="15969"/>
    <cellStyle name="Normal 2 2 2 2 4 2 2 2 2 2" xfId="35852"/>
    <cellStyle name="Normal 2 2 2 2 4 2 2 2 3" xfId="22121"/>
    <cellStyle name="Normal 2 2 2 2 4 2 2 2 3 2" xfId="42004"/>
    <cellStyle name="Normal 2 2 2 2 4 2 2 2 4" xfId="29699"/>
    <cellStyle name="Normal 2 2 2 2 4 2 2 3" xfId="12903"/>
    <cellStyle name="Normal 2 2 2 2 4 2 2 3 2" xfId="32786"/>
    <cellStyle name="Normal 2 2 2 2 4 2 2 4" xfId="19055"/>
    <cellStyle name="Normal 2 2 2 2 4 2 2 4 2" xfId="38938"/>
    <cellStyle name="Normal 2 2 2 2 4 2 2 5" xfId="26633"/>
    <cellStyle name="Normal 2 2 2 2 4 2 3" xfId="8241"/>
    <cellStyle name="Normal 2 2 2 2 4 2 3 2" xfId="14435"/>
    <cellStyle name="Normal 2 2 2 2 4 2 3 2 2" xfId="34318"/>
    <cellStyle name="Normal 2 2 2 2 4 2 3 3" xfId="20587"/>
    <cellStyle name="Normal 2 2 2 2 4 2 3 3 2" xfId="40470"/>
    <cellStyle name="Normal 2 2 2 2 4 2 3 4" xfId="28165"/>
    <cellStyle name="Normal 2 2 2 2 4 2 4" xfId="11369"/>
    <cellStyle name="Normal 2 2 2 2 4 2 4 2" xfId="31252"/>
    <cellStyle name="Normal 2 2 2 2 4 2 5" xfId="17521"/>
    <cellStyle name="Normal 2 2 2 2 4 2 5 2" xfId="37404"/>
    <cellStyle name="Normal 2 2 2 2 4 2 6" xfId="25099"/>
    <cellStyle name="Normal 2 2 2 2 4 3" xfId="5907"/>
    <cellStyle name="Normal 2 2 2 2 4 3 2" xfId="9007"/>
    <cellStyle name="Normal 2 2 2 2 4 3 2 2" xfId="15200"/>
    <cellStyle name="Normal 2 2 2 2 4 3 2 2 2" xfId="35083"/>
    <cellStyle name="Normal 2 2 2 2 4 3 2 3" xfId="21352"/>
    <cellStyle name="Normal 2 2 2 2 4 3 2 3 2" xfId="41235"/>
    <cellStyle name="Normal 2 2 2 2 4 3 2 4" xfId="28930"/>
    <cellStyle name="Normal 2 2 2 2 4 3 3" xfId="12134"/>
    <cellStyle name="Normal 2 2 2 2 4 3 3 2" xfId="32017"/>
    <cellStyle name="Normal 2 2 2 2 4 3 4" xfId="18286"/>
    <cellStyle name="Normal 2 2 2 2 4 3 4 2" xfId="38169"/>
    <cellStyle name="Normal 2 2 2 2 4 3 5" xfId="25864"/>
    <cellStyle name="Normal 2 2 2 2 4 4" xfId="7472"/>
    <cellStyle name="Normal 2 2 2 2 4 4 2" xfId="13666"/>
    <cellStyle name="Normal 2 2 2 2 4 4 2 2" xfId="33549"/>
    <cellStyle name="Normal 2 2 2 2 4 4 3" xfId="19818"/>
    <cellStyle name="Normal 2 2 2 2 4 4 3 2" xfId="39701"/>
    <cellStyle name="Normal 2 2 2 2 4 4 4" xfId="27396"/>
    <cellStyle name="Normal 2 2 2 2 4 5" xfId="10600"/>
    <cellStyle name="Normal 2 2 2 2 4 5 2" xfId="30483"/>
    <cellStyle name="Normal 2 2 2 2 4 6" xfId="16752"/>
    <cellStyle name="Normal 2 2 2 2 4 6 2" xfId="36635"/>
    <cellStyle name="Normal 2 2 2 2 4 7" xfId="24330"/>
    <cellStyle name="Normal 2 2 2 2 5" xfId="3554"/>
    <cellStyle name="Normal 2 2 2 2 5 2" xfId="5066"/>
    <cellStyle name="Normal 2 2 2 2 5 2 2" xfId="6691"/>
    <cellStyle name="Normal 2 2 2 2 5 2 2 2" xfId="9777"/>
    <cellStyle name="Normal 2 2 2 2 5 2 2 2 2" xfId="15970"/>
    <cellStyle name="Normal 2 2 2 2 5 2 2 2 2 2" xfId="35853"/>
    <cellStyle name="Normal 2 2 2 2 5 2 2 2 3" xfId="22122"/>
    <cellStyle name="Normal 2 2 2 2 5 2 2 2 3 2" xfId="42005"/>
    <cellStyle name="Normal 2 2 2 2 5 2 2 2 4" xfId="29700"/>
    <cellStyle name="Normal 2 2 2 2 5 2 2 3" xfId="12904"/>
    <cellStyle name="Normal 2 2 2 2 5 2 2 3 2" xfId="32787"/>
    <cellStyle name="Normal 2 2 2 2 5 2 2 4" xfId="19056"/>
    <cellStyle name="Normal 2 2 2 2 5 2 2 4 2" xfId="38939"/>
    <cellStyle name="Normal 2 2 2 2 5 2 2 5" xfId="26634"/>
    <cellStyle name="Normal 2 2 2 2 5 2 3" xfId="8242"/>
    <cellStyle name="Normal 2 2 2 2 5 2 3 2" xfId="14436"/>
    <cellStyle name="Normal 2 2 2 2 5 2 3 2 2" xfId="34319"/>
    <cellStyle name="Normal 2 2 2 2 5 2 3 3" xfId="20588"/>
    <cellStyle name="Normal 2 2 2 2 5 2 3 3 2" xfId="40471"/>
    <cellStyle name="Normal 2 2 2 2 5 2 3 4" xfId="28166"/>
    <cellStyle name="Normal 2 2 2 2 5 2 4" xfId="11370"/>
    <cellStyle name="Normal 2 2 2 2 5 2 4 2" xfId="31253"/>
    <cellStyle name="Normal 2 2 2 2 5 2 5" xfId="17522"/>
    <cellStyle name="Normal 2 2 2 2 5 2 5 2" xfId="37405"/>
    <cellStyle name="Normal 2 2 2 2 5 2 6" xfId="25100"/>
    <cellStyle name="Normal 2 2 2 2 5 3" xfId="5908"/>
    <cellStyle name="Normal 2 2 2 2 5 3 2" xfId="9008"/>
    <cellStyle name="Normal 2 2 2 2 5 3 2 2" xfId="15201"/>
    <cellStyle name="Normal 2 2 2 2 5 3 2 2 2" xfId="35084"/>
    <cellStyle name="Normal 2 2 2 2 5 3 2 3" xfId="21353"/>
    <cellStyle name="Normal 2 2 2 2 5 3 2 3 2" xfId="41236"/>
    <cellStyle name="Normal 2 2 2 2 5 3 2 4" xfId="28931"/>
    <cellStyle name="Normal 2 2 2 2 5 3 3" xfId="12135"/>
    <cellStyle name="Normal 2 2 2 2 5 3 3 2" xfId="32018"/>
    <cellStyle name="Normal 2 2 2 2 5 3 4" xfId="18287"/>
    <cellStyle name="Normal 2 2 2 2 5 3 4 2" xfId="38170"/>
    <cellStyle name="Normal 2 2 2 2 5 3 5" xfId="25865"/>
    <cellStyle name="Normal 2 2 2 2 5 4" xfId="7473"/>
    <cellStyle name="Normal 2 2 2 2 5 4 2" xfId="13667"/>
    <cellStyle name="Normal 2 2 2 2 5 4 2 2" xfId="33550"/>
    <cellStyle name="Normal 2 2 2 2 5 4 3" xfId="19819"/>
    <cellStyle name="Normal 2 2 2 2 5 4 3 2" xfId="39702"/>
    <cellStyle name="Normal 2 2 2 2 5 4 4" xfId="27397"/>
    <cellStyle name="Normal 2 2 2 2 5 5" xfId="10601"/>
    <cellStyle name="Normal 2 2 2 2 5 5 2" xfId="30484"/>
    <cellStyle name="Normal 2 2 2 2 5 6" xfId="16753"/>
    <cellStyle name="Normal 2 2 2 2 5 6 2" xfId="36636"/>
    <cellStyle name="Normal 2 2 2 2 5 7" xfId="24331"/>
    <cellStyle name="Normal 2 2 2 2 6" xfId="5061"/>
    <cellStyle name="Normal 2 2 2 2 6 2" xfId="6686"/>
    <cellStyle name="Normal 2 2 2 2 6 2 2" xfId="9772"/>
    <cellStyle name="Normal 2 2 2 2 6 2 2 2" xfId="15965"/>
    <cellStyle name="Normal 2 2 2 2 6 2 2 2 2" xfId="35848"/>
    <cellStyle name="Normal 2 2 2 2 6 2 2 3" xfId="22117"/>
    <cellStyle name="Normal 2 2 2 2 6 2 2 3 2" xfId="42000"/>
    <cellStyle name="Normal 2 2 2 2 6 2 2 4" xfId="29695"/>
    <cellStyle name="Normal 2 2 2 2 6 2 3" xfId="12899"/>
    <cellStyle name="Normal 2 2 2 2 6 2 3 2" xfId="32782"/>
    <cellStyle name="Normal 2 2 2 2 6 2 4" xfId="19051"/>
    <cellStyle name="Normal 2 2 2 2 6 2 4 2" xfId="38934"/>
    <cellStyle name="Normal 2 2 2 2 6 2 5" xfId="26629"/>
    <cellStyle name="Normal 2 2 2 2 6 3" xfId="8237"/>
    <cellStyle name="Normal 2 2 2 2 6 3 2" xfId="14431"/>
    <cellStyle name="Normal 2 2 2 2 6 3 2 2" xfId="34314"/>
    <cellStyle name="Normal 2 2 2 2 6 3 3" xfId="20583"/>
    <cellStyle name="Normal 2 2 2 2 6 3 3 2" xfId="40466"/>
    <cellStyle name="Normal 2 2 2 2 6 3 4" xfId="28161"/>
    <cellStyle name="Normal 2 2 2 2 6 4" xfId="11365"/>
    <cellStyle name="Normal 2 2 2 2 6 4 2" xfId="31248"/>
    <cellStyle name="Normal 2 2 2 2 6 5" xfId="17517"/>
    <cellStyle name="Normal 2 2 2 2 6 5 2" xfId="37400"/>
    <cellStyle name="Normal 2 2 2 2 6 6" xfId="25095"/>
    <cellStyle name="Normal 2 2 2 2 7" xfId="5903"/>
    <cellStyle name="Normal 2 2 2 2 7 2" xfId="9003"/>
    <cellStyle name="Normal 2 2 2 2 7 2 2" xfId="15196"/>
    <cellStyle name="Normal 2 2 2 2 7 2 2 2" xfId="35079"/>
    <cellStyle name="Normal 2 2 2 2 7 2 3" xfId="21348"/>
    <cellStyle name="Normal 2 2 2 2 7 2 3 2" xfId="41231"/>
    <cellStyle name="Normal 2 2 2 2 7 2 4" xfId="28926"/>
    <cellStyle name="Normal 2 2 2 2 7 3" xfId="12130"/>
    <cellStyle name="Normal 2 2 2 2 7 3 2" xfId="32013"/>
    <cellStyle name="Normal 2 2 2 2 7 4" xfId="18282"/>
    <cellStyle name="Normal 2 2 2 2 7 4 2" xfId="38165"/>
    <cellStyle name="Normal 2 2 2 2 7 5" xfId="25860"/>
    <cellStyle name="Normal 2 2 2 2 8" xfId="7468"/>
    <cellStyle name="Normal 2 2 2 2 8 2" xfId="13662"/>
    <cellStyle name="Normal 2 2 2 2 8 2 2" xfId="33545"/>
    <cellStyle name="Normal 2 2 2 2 8 3" xfId="19814"/>
    <cellStyle name="Normal 2 2 2 2 8 3 2" xfId="39697"/>
    <cellStyle name="Normal 2 2 2 2 8 4" xfId="27392"/>
    <cellStyle name="Normal 2 2 2 2 9" xfId="10596"/>
    <cellStyle name="Normal 2 2 2 2 9 2" xfId="30479"/>
    <cellStyle name="Normal 2 2 2 3" xfId="3555"/>
    <cellStyle name="Normal 2 2 2 4" xfId="3556"/>
    <cellStyle name="Normal 2 2 2 4 2" xfId="3557"/>
    <cellStyle name="Normal 2 2 2 5" xfId="3558"/>
    <cellStyle name="Normal 2 2 2 5 2" xfId="3559"/>
    <cellStyle name="Normal 2 2 2 6" xfId="3548"/>
    <cellStyle name="Normal 2 2 2 7" xfId="1170"/>
    <cellStyle name="Normal 2 2 2 8" xfId="212"/>
    <cellStyle name="Normal 2 2 2 9" xfId="23235"/>
    <cellStyle name="Normal 2 2 20" xfId="554"/>
    <cellStyle name="Normal 2 2 20 2" xfId="5067"/>
    <cellStyle name="Normal 2 2 20 2 2" xfId="6692"/>
    <cellStyle name="Normal 2 2 20 2 2 2" xfId="9778"/>
    <cellStyle name="Normal 2 2 20 2 2 2 2" xfId="15971"/>
    <cellStyle name="Normal 2 2 20 2 2 2 2 2" xfId="35854"/>
    <cellStyle name="Normal 2 2 20 2 2 2 3" xfId="22123"/>
    <cellStyle name="Normal 2 2 20 2 2 2 3 2" xfId="42006"/>
    <cellStyle name="Normal 2 2 20 2 2 2 4" xfId="29701"/>
    <cellStyle name="Normal 2 2 20 2 2 3" xfId="12905"/>
    <cellStyle name="Normal 2 2 20 2 2 3 2" xfId="32788"/>
    <cellStyle name="Normal 2 2 20 2 2 4" xfId="19057"/>
    <cellStyle name="Normal 2 2 20 2 2 4 2" xfId="38940"/>
    <cellStyle name="Normal 2 2 20 2 2 5" xfId="26635"/>
    <cellStyle name="Normal 2 2 20 2 3" xfId="8243"/>
    <cellStyle name="Normal 2 2 20 2 3 2" xfId="14437"/>
    <cellStyle name="Normal 2 2 20 2 3 2 2" xfId="34320"/>
    <cellStyle name="Normal 2 2 20 2 3 3" xfId="20589"/>
    <cellStyle name="Normal 2 2 20 2 3 3 2" xfId="40472"/>
    <cellStyle name="Normal 2 2 20 2 3 4" xfId="28167"/>
    <cellStyle name="Normal 2 2 20 2 4" xfId="11371"/>
    <cellStyle name="Normal 2 2 20 2 4 2" xfId="31254"/>
    <cellStyle name="Normal 2 2 20 2 5" xfId="17523"/>
    <cellStyle name="Normal 2 2 20 2 5 2" xfId="37406"/>
    <cellStyle name="Normal 2 2 20 2 6" xfId="25101"/>
    <cellStyle name="Normal 2 2 20 3" xfId="5909"/>
    <cellStyle name="Normal 2 2 20 3 2" xfId="9009"/>
    <cellStyle name="Normal 2 2 20 3 2 2" xfId="15202"/>
    <cellStyle name="Normal 2 2 20 3 2 2 2" xfId="35085"/>
    <cellStyle name="Normal 2 2 20 3 2 3" xfId="21354"/>
    <cellStyle name="Normal 2 2 20 3 2 3 2" xfId="41237"/>
    <cellStyle name="Normal 2 2 20 3 2 4" xfId="28932"/>
    <cellStyle name="Normal 2 2 20 3 3" xfId="12136"/>
    <cellStyle name="Normal 2 2 20 3 3 2" xfId="32019"/>
    <cellStyle name="Normal 2 2 20 3 4" xfId="18288"/>
    <cellStyle name="Normal 2 2 20 3 4 2" xfId="38171"/>
    <cellStyle name="Normal 2 2 20 3 5" xfId="25866"/>
    <cellStyle name="Normal 2 2 20 4" xfId="7474"/>
    <cellStyle name="Normal 2 2 20 4 2" xfId="13668"/>
    <cellStyle name="Normal 2 2 20 4 2 2" xfId="33551"/>
    <cellStyle name="Normal 2 2 20 4 3" xfId="19820"/>
    <cellStyle name="Normal 2 2 20 4 3 2" xfId="39703"/>
    <cellStyle name="Normal 2 2 20 4 4" xfId="27398"/>
    <cellStyle name="Normal 2 2 20 5" xfId="10602"/>
    <cellStyle name="Normal 2 2 20 5 2" xfId="30485"/>
    <cellStyle name="Normal 2 2 20 6" xfId="16754"/>
    <cellStyle name="Normal 2 2 20 6 2" xfId="36637"/>
    <cellStyle name="Normal 2 2 20 7" xfId="3560"/>
    <cellStyle name="Normal 2 2 20 7 2" xfId="24332"/>
    <cellStyle name="Normal 2 2 21" xfId="582"/>
    <cellStyle name="Normal 2 2 21 2" xfId="5068"/>
    <cellStyle name="Normal 2 2 21 2 2" xfId="6693"/>
    <cellStyle name="Normal 2 2 21 2 2 2" xfId="9779"/>
    <cellStyle name="Normal 2 2 21 2 2 2 2" xfId="15972"/>
    <cellStyle name="Normal 2 2 21 2 2 2 2 2" xfId="35855"/>
    <cellStyle name="Normal 2 2 21 2 2 2 3" xfId="22124"/>
    <cellStyle name="Normal 2 2 21 2 2 2 3 2" xfId="42007"/>
    <cellStyle name="Normal 2 2 21 2 2 2 4" xfId="29702"/>
    <cellStyle name="Normal 2 2 21 2 2 3" xfId="12906"/>
    <cellStyle name="Normal 2 2 21 2 2 3 2" xfId="32789"/>
    <cellStyle name="Normal 2 2 21 2 2 4" xfId="19058"/>
    <cellStyle name="Normal 2 2 21 2 2 4 2" xfId="38941"/>
    <cellStyle name="Normal 2 2 21 2 2 5" xfId="26636"/>
    <cellStyle name="Normal 2 2 21 2 3" xfId="8244"/>
    <cellStyle name="Normal 2 2 21 2 3 2" xfId="14438"/>
    <cellStyle name="Normal 2 2 21 2 3 2 2" xfId="34321"/>
    <cellStyle name="Normal 2 2 21 2 3 3" xfId="20590"/>
    <cellStyle name="Normal 2 2 21 2 3 3 2" xfId="40473"/>
    <cellStyle name="Normal 2 2 21 2 3 4" xfId="28168"/>
    <cellStyle name="Normal 2 2 21 2 4" xfId="11372"/>
    <cellStyle name="Normal 2 2 21 2 4 2" xfId="31255"/>
    <cellStyle name="Normal 2 2 21 2 5" xfId="17524"/>
    <cellStyle name="Normal 2 2 21 2 5 2" xfId="37407"/>
    <cellStyle name="Normal 2 2 21 2 6" xfId="25102"/>
    <cellStyle name="Normal 2 2 21 3" xfId="5910"/>
    <cellStyle name="Normal 2 2 21 3 2" xfId="9010"/>
    <cellStyle name="Normal 2 2 21 3 2 2" xfId="15203"/>
    <cellStyle name="Normal 2 2 21 3 2 2 2" xfId="35086"/>
    <cellStyle name="Normal 2 2 21 3 2 3" xfId="21355"/>
    <cellStyle name="Normal 2 2 21 3 2 3 2" xfId="41238"/>
    <cellStyle name="Normal 2 2 21 3 2 4" xfId="28933"/>
    <cellStyle name="Normal 2 2 21 3 3" xfId="12137"/>
    <cellStyle name="Normal 2 2 21 3 3 2" xfId="32020"/>
    <cellStyle name="Normal 2 2 21 3 4" xfId="18289"/>
    <cellStyle name="Normal 2 2 21 3 4 2" xfId="38172"/>
    <cellStyle name="Normal 2 2 21 3 5" xfId="25867"/>
    <cellStyle name="Normal 2 2 21 4" xfId="7475"/>
    <cellStyle name="Normal 2 2 21 4 2" xfId="13669"/>
    <cellStyle name="Normal 2 2 21 4 2 2" xfId="33552"/>
    <cellStyle name="Normal 2 2 21 4 3" xfId="19821"/>
    <cellStyle name="Normal 2 2 21 4 3 2" xfId="39704"/>
    <cellStyle name="Normal 2 2 21 4 4" xfId="27399"/>
    <cellStyle name="Normal 2 2 21 5" xfId="10603"/>
    <cellStyle name="Normal 2 2 21 5 2" xfId="30486"/>
    <cellStyle name="Normal 2 2 21 6" xfId="16755"/>
    <cellStyle name="Normal 2 2 21 6 2" xfId="36638"/>
    <cellStyle name="Normal 2 2 21 7" xfId="3561"/>
    <cellStyle name="Normal 2 2 21 7 2" xfId="24333"/>
    <cellStyle name="Normal 2 2 22" xfId="599"/>
    <cellStyle name="Normal 2 2 22 2" xfId="5069"/>
    <cellStyle name="Normal 2 2 22 2 2" xfId="6694"/>
    <cellStyle name="Normal 2 2 22 2 2 2" xfId="9780"/>
    <cellStyle name="Normal 2 2 22 2 2 2 2" xfId="15973"/>
    <cellStyle name="Normal 2 2 22 2 2 2 2 2" xfId="35856"/>
    <cellStyle name="Normal 2 2 22 2 2 2 3" xfId="22125"/>
    <cellStyle name="Normal 2 2 22 2 2 2 3 2" xfId="42008"/>
    <cellStyle name="Normal 2 2 22 2 2 2 4" xfId="29703"/>
    <cellStyle name="Normal 2 2 22 2 2 3" xfId="12907"/>
    <cellStyle name="Normal 2 2 22 2 2 3 2" xfId="32790"/>
    <cellStyle name="Normal 2 2 22 2 2 4" xfId="19059"/>
    <cellStyle name="Normal 2 2 22 2 2 4 2" xfId="38942"/>
    <cellStyle name="Normal 2 2 22 2 2 5" xfId="26637"/>
    <cellStyle name="Normal 2 2 22 2 3" xfId="8245"/>
    <cellStyle name="Normal 2 2 22 2 3 2" xfId="14439"/>
    <cellStyle name="Normal 2 2 22 2 3 2 2" xfId="34322"/>
    <cellStyle name="Normal 2 2 22 2 3 3" xfId="20591"/>
    <cellStyle name="Normal 2 2 22 2 3 3 2" xfId="40474"/>
    <cellStyle name="Normal 2 2 22 2 3 4" xfId="28169"/>
    <cellStyle name="Normal 2 2 22 2 4" xfId="11373"/>
    <cellStyle name="Normal 2 2 22 2 4 2" xfId="31256"/>
    <cellStyle name="Normal 2 2 22 2 5" xfId="17525"/>
    <cellStyle name="Normal 2 2 22 2 5 2" xfId="37408"/>
    <cellStyle name="Normal 2 2 22 2 6" xfId="25103"/>
    <cellStyle name="Normal 2 2 22 3" xfId="5911"/>
    <cellStyle name="Normal 2 2 22 3 2" xfId="9011"/>
    <cellStyle name="Normal 2 2 22 3 2 2" xfId="15204"/>
    <cellStyle name="Normal 2 2 22 3 2 2 2" xfId="35087"/>
    <cellStyle name="Normal 2 2 22 3 2 3" xfId="21356"/>
    <cellStyle name="Normal 2 2 22 3 2 3 2" xfId="41239"/>
    <cellStyle name="Normal 2 2 22 3 2 4" xfId="28934"/>
    <cellStyle name="Normal 2 2 22 3 3" xfId="12138"/>
    <cellStyle name="Normal 2 2 22 3 3 2" xfId="32021"/>
    <cellStyle name="Normal 2 2 22 3 4" xfId="18290"/>
    <cellStyle name="Normal 2 2 22 3 4 2" xfId="38173"/>
    <cellStyle name="Normal 2 2 22 3 5" xfId="25868"/>
    <cellStyle name="Normal 2 2 22 4" xfId="7476"/>
    <cellStyle name="Normal 2 2 22 4 2" xfId="13670"/>
    <cellStyle name="Normal 2 2 22 4 2 2" xfId="33553"/>
    <cellStyle name="Normal 2 2 22 4 3" xfId="19822"/>
    <cellStyle name="Normal 2 2 22 4 3 2" xfId="39705"/>
    <cellStyle name="Normal 2 2 22 4 4" xfId="27400"/>
    <cellStyle name="Normal 2 2 22 5" xfId="10604"/>
    <cellStyle name="Normal 2 2 22 5 2" xfId="30487"/>
    <cellStyle name="Normal 2 2 22 6" xfId="16756"/>
    <cellStyle name="Normal 2 2 22 6 2" xfId="36639"/>
    <cellStyle name="Normal 2 2 22 7" xfId="3562"/>
    <cellStyle name="Normal 2 2 22 7 2" xfId="24334"/>
    <cellStyle name="Normal 2 2 23" xfId="623"/>
    <cellStyle name="Normal 2 2 23 2" xfId="3564"/>
    <cellStyle name="Normal 2 2 23 3" xfId="3563"/>
    <cellStyle name="Normal 2 2 24" xfId="664"/>
    <cellStyle name="Normal 2 2 24 2" xfId="3566"/>
    <cellStyle name="Normal 2 2 24 3" xfId="3565"/>
    <cellStyle name="Normal 2 2 25" xfId="692"/>
    <cellStyle name="Normal 2 2 25 2" xfId="10243"/>
    <cellStyle name="Normal 2 2 26" xfId="724"/>
    <cellStyle name="Normal 2 2 27" xfId="751"/>
    <cellStyle name="Normal 2 2 28" xfId="777"/>
    <cellStyle name="Normal 2 2 29" xfId="801"/>
    <cellStyle name="Normal 2 2 3" xfId="94"/>
    <cellStyle name="Normal 2 2 3 10" xfId="5912"/>
    <cellStyle name="Normal 2 2 3 10 2" xfId="9012"/>
    <cellStyle name="Normal 2 2 3 10 2 2" xfId="15205"/>
    <cellStyle name="Normal 2 2 3 10 2 2 2" xfId="35088"/>
    <cellStyle name="Normal 2 2 3 10 2 3" xfId="21357"/>
    <cellStyle name="Normal 2 2 3 10 2 3 2" xfId="41240"/>
    <cellStyle name="Normal 2 2 3 10 2 4" xfId="28935"/>
    <cellStyle name="Normal 2 2 3 10 3" xfId="12139"/>
    <cellStyle name="Normal 2 2 3 10 3 2" xfId="32022"/>
    <cellStyle name="Normal 2 2 3 10 4" xfId="18291"/>
    <cellStyle name="Normal 2 2 3 10 4 2" xfId="38174"/>
    <cellStyle name="Normal 2 2 3 10 5" xfId="25869"/>
    <cellStyle name="Normal 2 2 3 11" xfId="7477"/>
    <cellStyle name="Normal 2 2 3 11 2" xfId="13671"/>
    <cellStyle name="Normal 2 2 3 11 2 2" xfId="33554"/>
    <cellStyle name="Normal 2 2 3 11 3" xfId="19823"/>
    <cellStyle name="Normal 2 2 3 11 3 2" xfId="39706"/>
    <cellStyle name="Normal 2 2 3 11 4" xfId="27401"/>
    <cellStyle name="Normal 2 2 3 12" xfId="10605"/>
    <cellStyle name="Normal 2 2 3 12 2" xfId="30488"/>
    <cellStyle name="Normal 2 2 3 13" xfId="16757"/>
    <cellStyle name="Normal 2 2 3 13 2" xfId="36640"/>
    <cellStyle name="Normal 2 2 3 14" xfId="3567"/>
    <cellStyle name="Normal 2 2 3 14 2" xfId="24335"/>
    <cellStyle name="Normal 2 2 3 15" xfId="247"/>
    <cellStyle name="Normal 2 2 3 16" xfId="23345"/>
    <cellStyle name="Normal 2 2 3 2" xfId="140"/>
    <cellStyle name="Normal 2 2 3 2 2" xfId="5071"/>
    <cellStyle name="Normal 2 2 3 2 2 2" xfId="6696"/>
    <cellStyle name="Normal 2 2 3 2 2 2 2" xfId="9782"/>
    <cellStyle name="Normal 2 2 3 2 2 2 2 2" xfId="15975"/>
    <cellStyle name="Normal 2 2 3 2 2 2 2 2 2" xfId="35858"/>
    <cellStyle name="Normal 2 2 3 2 2 2 2 3" xfId="22127"/>
    <cellStyle name="Normal 2 2 3 2 2 2 2 3 2" xfId="42010"/>
    <cellStyle name="Normal 2 2 3 2 2 2 2 4" xfId="29705"/>
    <cellStyle name="Normal 2 2 3 2 2 2 3" xfId="12909"/>
    <cellStyle name="Normal 2 2 3 2 2 2 3 2" xfId="32792"/>
    <cellStyle name="Normal 2 2 3 2 2 2 4" xfId="19061"/>
    <cellStyle name="Normal 2 2 3 2 2 2 4 2" xfId="38944"/>
    <cellStyle name="Normal 2 2 3 2 2 2 5" xfId="26639"/>
    <cellStyle name="Normal 2 2 3 2 2 3" xfId="8247"/>
    <cellStyle name="Normal 2 2 3 2 2 3 2" xfId="14441"/>
    <cellStyle name="Normal 2 2 3 2 2 3 2 2" xfId="34324"/>
    <cellStyle name="Normal 2 2 3 2 2 3 3" xfId="20593"/>
    <cellStyle name="Normal 2 2 3 2 2 3 3 2" xfId="40476"/>
    <cellStyle name="Normal 2 2 3 2 2 3 4" xfId="28171"/>
    <cellStyle name="Normal 2 2 3 2 2 4" xfId="11375"/>
    <cellStyle name="Normal 2 2 3 2 2 4 2" xfId="31258"/>
    <cellStyle name="Normal 2 2 3 2 2 5" xfId="17527"/>
    <cellStyle name="Normal 2 2 3 2 2 5 2" xfId="37410"/>
    <cellStyle name="Normal 2 2 3 2 2 6" xfId="25105"/>
    <cellStyle name="Normal 2 2 3 2 3" xfId="5913"/>
    <cellStyle name="Normal 2 2 3 2 3 2" xfId="9013"/>
    <cellStyle name="Normal 2 2 3 2 3 2 2" xfId="15206"/>
    <cellStyle name="Normal 2 2 3 2 3 2 2 2" xfId="35089"/>
    <cellStyle name="Normal 2 2 3 2 3 2 3" xfId="21358"/>
    <cellStyle name="Normal 2 2 3 2 3 2 3 2" xfId="41241"/>
    <cellStyle name="Normal 2 2 3 2 3 2 4" xfId="28936"/>
    <cellStyle name="Normal 2 2 3 2 3 3" xfId="12140"/>
    <cellStyle name="Normal 2 2 3 2 3 3 2" xfId="32023"/>
    <cellStyle name="Normal 2 2 3 2 3 4" xfId="18292"/>
    <cellStyle name="Normal 2 2 3 2 3 4 2" xfId="38175"/>
    <cellStyle name="Normal 2 2 3 2 3 5" xfId="25870"/>
    <cellStyle name="Normal 2 2 3 2 4" xfId="7478"/>
    <cellStyle name="Normal 2 2 3 2 4 2" xfId="13672"/>
    <cellStyle name="Normal 2 2 3 2 4 2 2" xfId="33555"/>
    <cellStyle name="Normal 2 2 3 2 4 3" xfId="19824"/>
    <cellStyle name="Normal 2 2 3 2 4 3 2" xfId="39707"/>
    <cellStyle name="Normal 2 2 3 2 4 4" xfId="27402"/>
    <cellStyle name="Normal 2 2 3 2 5" xfId="10606"/>
    <cellStyle name="Normal 2 2 3 2 5 2" xfId="30489"/>
    <cellStyle name="Normal 2 2 3 2 6" xfId="16758"/>
    <cellStyle name="Normal 2 2 3 2 6 2" xfId="36641"/>
    <cellStyle name="Normal 2 2 3 2 7" xfId="3568"/>
    <cellStyle name="Normal 2 2 3 2 7 2" xfId="24336"/>
    <cellStyle name="Normal 2 2 3 2 8" xfId="23383"/>
    <cellStyle name="Normal 2 2 3 3" xfId="110"/>
    <cellStyle name="Normal 2 2 3 3 2" xfId="5072"/>
    <cellStyle name="Normal 2 2 3 3 2 2" xfId="6697"/>
    <cellStyle name="Normal 2 2 3 3 2 2 2" xfId="9783"/>
    <cellStyle name="Normal 2 2 3 3 2 2 2 2" xfId="15976"/>
    <cellStyle name="Normal 2 2 3 3 2 2 2 2 2" xfId="35859"/>
    <cellStyle name="Normal 2 2 3 3 2 2 2 3" xfId="22128"/>
    <cellStyle name="Normal 2 2 3 3 2 2 2 3 2" xfId="42011"/>
    <cellStyle name="Normal 2 2 3 3 2 2 2 4" xfId="29706"/>
    <cellStyle name="Normal 2 2 3 3 2 2 3" xfId="12910"/>
    <cellStyle name="Normal 2 2 3 3 2 2 3 2" xfId="32793"/>
    <cellStyle name="Normal 2 2 3 3 2 2 4" xfId="19062"/>
    <cellStyle name="Normal 2 2 3 3 2 2 4 2" xfId="38945"/>
    <cellStyle name="Normal 2 2 3 3 2 2 5" xfId="26640"/>
    <cellStyle name="Normal 2 2 3 3 2 3" xfId="8248"/>
    <cellStyle name="Normal 2 2 3 3 2 3 2" xfId="14442"/>
    <cellStyle name="Normal 2 2 3 3 2 3 2 2" xfId="34325"/>
    <cellStyle name="Normal 2 2 3 3 2 3 3" xfId="20594"/>
    <cellStyle name="Normal 2 2 3 3 2 3 3 2" xfId="40477"/>
    <cellStyle name="Normal 2 2 3 3 2 3 4" xfId="28172"/>
    <cellStyle name="Normal 2 2 3 3 2 4" xfId="11376"/>
    <cellStyle name="Normal 2 2 3 3 2 4 2" xfId="31259"/>
    <cellStyle name="Normal 2 2 3 3 2 5" xfId="17528"/>
    <cellStyle name="Normal 2 2 3 3 2 5 2" xfId="37411"/>
    <cellStyle name="Normal 2 2 3 3 2 6" xfId="25106"/>
    <cellStyle name="Normal 2 2 3 3 3" xfId="5914"/>
    <cellStyle name="Normal 2 2 3 3 3 2" xfId="9014"/>
    <cellStyle name="Normal 2 2 3 3 3 2 2" xfId="15207"/>
    <cellStyle name="Normal 2 2 3 3 3 2 2 2" xfId="35090"/>
    <cellStyle name="Normal 2 2 3 3 3 2 3" xfId="21359"/>
    <cellStyle name="Normal 2 2 3 3 3 2 3 2" xfId="41242"/>
    <cellStyle name="Normal 2 2 3 3 3 2 4" xfId="28937"/>
    <cellStyle name="Normal 2 2 3 3 3 3" xfId="12141"/>
    <cellStyle name="Normal 2 2 3 3 3 3 2" xfId="32024"/>
    <cellStyle name="Normal 2 2 3 3 3 4" xfId="18293"/>
    <cellStyle name="Normal 2 2 3 3 3 4 2" xfId="38176"/>
    <cellStyle name="Normal 2 2 3 3 3 5" xfId="25871"/>
    <cellStyle name="Normal 2 2 3 3 4" xfId="7479"/>
    <cellStyle name="Normal 2 2 3 3 4 2" xfId="13673"/>
    <cellStyle name="Normal 2 2 3 3 4 2 2" xfId="33556"/>
    <cellStyle name="Normal 2 2 3 3 4 3" xfId="19825"/>
    <cellStyle name="Normal 2 2 3 3 4 3 2" xfId="39708"/>
    <cellStyle name="Normal 2 2 3 3 4 4" xfId="27403"/>
    <cellStyle name="Normal 2 2 3 3 5" xfId="10607"/>
    <cellStyle name="Normal 2 2 3 3 5 2" xfId="30490"/>
    <cellStyle name="Normal 2 2 3 3 6" xfId="16759"/>
    <cellStyle name="Normal 2 2 3 3 6 2" xfId="36642"/>
    <cellStyle name="Normal 2 2 3 3 7" xfId="3569"/>
    <cellStyle name="Normal 2 2 3 3 7 2" xfId="24337"/>
    <cellStyle name="Normal 2 2 3 3 8" xfId="23358"/>
    <cellStyle name="Normal 2 2 3 4" xfId="3570"/>
    <cellStyle name="Normal 2 2 3 4 2" xfId="5073"/>
    <cellStyle name="Normal 2 2 3 4 2 2" xfId="6698"/>
    <cellStyle name="Normal 2 2 3 4 2 2 2" xfId="9784"/>
    <cellStyle name="Normal 2 2 3 4 2 2 2 2" xfId="15977"/>
    <cellStyle name="Normal 2 2 3 4 2 2 2 2 2" xfId="35860"/>
    <cellStyle name="Normal 2 2 3 4 2 2 2 3" xfId="22129"/>
    <cellStyle name="Normal 2 2 3 4 2 2 2 3 2" xfId="42012"/>
    <cellStyle name="Normal 2 2 3 4 2 2 2 4" xfId="29707"/>
    <cellStyle name="Normal 2 2 3 4 2 2 3" xfId="12911"/>
    <cellStyle name="Normal 2 2 3 4 2 2 3 2" xfId="32794"/>
    <cellStyle name="Normal 2 2 3 4 2 2 4" xfId="19063"/>
    <cellStyle name="Normal 2 2 3 4 2 2 4 2" xfId="38946"/>
    <cellStyle name="Normal 2 2 3 4 2 2 5" xfId="26641"/>
    <cellStyle name="Normal 2 2 3 4 2 3" xfId="8249"/>
    <cellStyle name="Normal 2 2 3 4 2 3 2" xfId="14443"/>
    <cellStyle name="Normal 2 2 3 4 2 3 2 2" xfId="34326"/>
    <cellStyle name="Normal 2 2 3 4 2 3 3" xfId="20595"/>
    <cellStyle name="Normal 2 2 3 4 2 3 3 2" xfId="40478"/>
    <cellStyle name="Normal 2 2 3 4 2 3 4" xfId="28173"/>
    <cellStyle name="Normal 2 2 3 4 2 4" xfId="11377"/>
    <cellStyle name="Normal 2 2 3 4 2 4 2" xfId="31260"/>
    <cellStyle name="Normal 2 2 3 4 2 5" xfId="17529"/>
    <cellStyle name="Normal 2 2 3 4 2 5 2" xfId="37412"/>
    <cellStyle name="Normal 2 2 3 4 2 6" xfId="25107"/>
    <cellStyle name="Normal 2 2 3 4 3" xfId="5915"/>
    <cellStyle name="Normal 2 2 3 4 3 2" xfId="9015"/>
    <cellStyle name="Normal 2 2 3 4 3 2 2" xfId="15208"/>
    <cellStyle name="Normal 2 2 3 4 3 2 2 2" xfId="35091"/>
    <cellStyle name="Normal 2 2 3 4 3 2 3" xfId="21360"/>
    <cellStyle name="Normal 2 2 3 4 3 2 3 2" xfId="41243"/>
    <cellStyle name="Normal 2 2 3 4 3 2 4" xfId="28938"/>
    <cellStyle name="Normal 2 2 3 4 3 3" xfId="12142"/>
    <cellStyle name="Normal 2 2 3 4 3 3 2" xfId="32025"/>
    <cellStyle name="Normal 2 2 3 4 3 4" xfId="18294"/>
    <cellStyle name="Normal 2 2 3 4 3 4 2" xfId="38177"/>
    <cellStyle name="Normal 2 2 3 4 3 5" xfId="25872"/>
    <cellStyle name="Normal 2 2 3 4 4" xfId="7480"/>
    <cellStyle name="Normal 2 2 3 4 4 2" xfId="13674"/>
    <cellStyle name="Normal 2 2 3 4 4 2 2" xfId="33557"/>
    <cellStyle name="Normal 2 2 3 4 4 3" xfId="19826"/>
    <cellStyle name="Normal 2 2 3 4 4 3 2" xfId="39709"/>
    <cellStyle name="Normal 2 2 3 4 4 4" xfId="27404"/>
    <cellStyle name="Normal 2 2 3 4 5" xfId="10608"/>
    <cellStyle name="Normal 2 2 3 4 5 2" xfId="30491"/>
    <cellStyle name="Normal 2 2 3 4 6" xfId="16760"/>
    <cellStyle name="Normal 2 2 3 4 6 2" xfId="36643"/>
    <cellStyle name="Normal 2 2 3 4 7" xfId="24338"/>
    <cellStyle name="Normal 2 2 3 5" xfId="3571"/>
    <cellStyle name="Normal 2 2 3 5 2" xfId="5074"/>
    <cellStyle name="Normal 2 2 3 5 2 2" xfId="6699"/>
    <cellStyle name="Normal 2 2 3 5 2 2 2" xfId="9785"/>
    <cellStyle name="Normal 2 2 3 5 2 2 2 2" xfId="15978"/>
    <cellStyle name="Normal 2 2 3 5 2 2 2 2 2" xfId="35861"/>
    <cellStyle name="Normal 2 2 3 5 2 2 2 3" xfId="22130"/>
    <cellStyle name="Normal 2 2 3 5 2 2 2 3 2" xfId="42013"/>
    <cellStyle name="Normal 2 2 3 5 2 2 2 4" xfId="29708"/>
    <cellStyle name="Normal 2 2 3 5 2 2 3" xfId="12912"/>
    <cellStyle name="Normal 2 2 3 5 2 2 3 2" xfId="32795"/>
    <cellStyle name="Normal 2 2 3 5 2 2 4" xfId="19064"/>
    <cellStyle name="Normal 2 2 3 5 2 2 4 2" xfId="38947"/>
    <cellStyle name="Normal 2 2 3 5 2 2 5" xfId="26642"/>
    <cellStyle name="Normal 2 2 3 5 2 3" xfId="8250"/>
    <cellStyle name="Normal 2 2 3 5 2 3 2" xfId="14444"/>
    <cellStyle name="Normal 2 2 3 5 2 3 2 2" xfId="34327"/>
    <cellStyle name="Normal 2 2 3 5 2 3 3" xfId="20596"/>
    <cellStyle name="Normal 2 2 3 5 2 3 3 2" xfId="40479"/>
    <cellStyle name="Normal 2 2 3 5 2 3 4" xfId="28174"/>
    <cellStyle name="Normal 2 2 3 5 2 4" xfId="11378"/>
    <cellStyle name="Normal 2 2 3 5 2 4 2" xfId="31261"/>
    <cellStyle name="Normal 2 2 3 5 2 5" xfId="17530"/>
    <cellStyle name="Normal 2 2 3 5 2 5 2" xfId="37413"/>
    <cellStyle name="Normal 2 2 3 5 2 6" xfId="25108"/>
    <cellStyle name="Normal 2 2 3 5 3" xfId="5916"/>
    <cellStyle name="Normal 2 2 3 5 3 2" xfId="9016"/>
    <cellStyle name="Normal 2 2 3 5 3 2 2" xfId="15209"/>
    <cellStyle name="Normal 2 2 3 5 3 2 2 2" xfId="35092"/>
    <cellStyle name="Normal 2 2 3 5 3 2 3" xfId="21361"/>
    <cellStyle name="Normal 2 2 3 5 3 2 3 2" xfId="41244"/>
    <cellStyle name="Normal 2 2 3 5 3 2 4" xfId="28939"/>
    <cellStyle name="Normal 2 2 3 5 3 3" xfId="12143"/>
    <cellStyle name="Normal 2 2 3 5 3 3 2" xfId="32026"/>
    <cellStyle name="Normal 2 2 3 5 3 4" xfId="18295"/>
    <cellStyle name="Normal 2 2 3 5 3 4 2" xfId="38178"/>
    <cellStyle name="Normal 2 2 3 5 3 5" xfId="25873"/>
    <cellStyle name="Normal 2 2 3 5 4" xfId="7481"/>
    <cellStyle name="Normal 2 2 3 5 4 2" xfId="13675"/>
    <cellStyle name="Normal 2 2 3 5 4 2 2" xfId="33558"/>
    <cellStyle name="Normal 2 2 3 5 4 3" xfId="19827"/>
    <cellStyle name="Normal 2 2 3 5 4 3 2" xfId="39710"/>
    <cellStyle name="Normal 2 2 3 5 4 4" xfId="27405"/>
    <cellStyle name="Normal 2 2 3 5 5" xfId="10609"/>
    <cellStyle name="Normal 2 2 3 5 5 2" xfId="30492"/>
    <cellStyle name="Normal 2 2 3 5 6" xfId="16761"/>
    <cellStyle name="Normal 2 2 3 5 6 2" xfId="36644"/>
    <cellStyle name="Normal 2 2 3 5 7" xfId="24339"/>
    <cellStyle name="Normal 2 2 3 6" xfId="3572"/>
    <cellStyle name="Normal 2 2 3 6 2" xfId="5075"/>
    <cellStyle name="Normal 2 2 3 6 2 2" xfId="6700"/>
    <cellStyle name="Normal 2 2 3 6 2 2 2" xfId="9786"/>
    <cellStyle name="Normal 2 2 3 6 2 2 2 2" xfId="15979"/>
    <cellStyle name="Normal 2 2 3 6 2 2 2 2 2" xfId="35862"/>
    <cellStyle name="Normal 2 2 3 6 2 2 2 3" xfId="22131"/>
    <cellStyle name="Normal 2 2 3 6 2 2 2 3 2" xfId="42014"/>
    <cellStyle name="Normal 2 2 3 6 2 2 2 4" xfId="29709"/>
    <cellStyle name="Normal 2 2 3 6 2 2 3" xfId="12913"/>
    <cellStyle name="Normal 2 2 3 6 2 2 3 2" xfId="32796"/>
    <cellStyle name="Normal 2 2 3 6 2 2 4" xfId="19065"/>
    <cellStyle name="Normal 2 2 3 6 2 2 4 2" xfId="38948"/>
    <cellStyle name="Normal 2 2 3 6 2 2 5" xfId="26643"/>
    <cellStyle name="Normal 2 2 3 6 2 3" xfId="8251"/>
    <cellStyle name="Normal 2 2 3 6 2 3 2" xfId="14445"/>
    <cellStyle name="Normal 2 2 3 6 2 3 2 2" xfId="34328"/>
    <cellStyle name="Normal 2 2 3 6 2 3 3" xfId="20597"/>
    <cellStyle name="Normal 2 2 3 6 2 3 3 2" xfId="40480"/>
    <cellStyle name="Normal 2 2 3 6 2 3 4" xfId="28175"/>
    <cellStyle name="Normal 2 2 3 6 2 4" xfId="11379"/>
    <cellStyle name="Normal 2 2 3 6 2 4 2" xfId="31262"/>
    <cellStyle name="Normal 2 2 3 6 2 5" xfId="17531"/>
    <cellStyle name="Normal 2 2 3 6 2 5 2" xfId="37414"/>
    <cellStyle name="Normal 2 2 3 6 2 6" xfId="25109"/>
    <cellStyle name="Normal 2 2 3 6 3" xfId="5917"/>
    <cellStyle name="Normal 2 2 3 6 3 2" xfId="9017"/>
    <cellStyle name="Normal 2 2 3 6 3 2 2" xfId="15210"/>
    <cellStyle name="Normal 2 2 3 6 3 2 2 2" xfId="35093"/>
    <cellStyle name="Normal 2 2 3 6 3 2 3" xfId="21362"/>
    <cellStyle name="Normal 2 2 3 6 3 2 3 2" xfId="41245"/>
    <cellStyle name="Normal 2 2 3 6 3 2 4" xfId="28940"/>
    <cellStyle name="Normal 2 2 3 6 3 3" xfId="12144"/>
    <cellStyle name="Normal 2 2 3 6 3 3 2" xfId="32027"/>
    <cellStyle name="Normal 2 2 3 6 3 4" xfId="18296"/>
    <cellStyle name="Normal 2 2 3 6 3 4 2" xfId="38179"/>
    <cellStyle name="Normal 2 2 3 6 3 5" xfId="25874"/>
    <cellStyle name="Normal 2 2 3 6 4" xfId="7482"/>
    <cellStyle name="Normal 2 2 3 6 4 2" xfId="13676"/>
    <cellStyle name="Normal 2 2 3 6 4 2 2" xfId="33559"/>
    <cellStyle name="Normal 2 2 3 6 4 3" xfId="19828"/>
    <cellStyle name="Normal 2 2 3 6 4 3 2" xfId="39711"/>
    <cellStyle name="Normal 2 2 3 6 4 4" xfId="27406"/>
    <cellStyle name="Normal 2 2 3 6 5" xfId="10610"/>
    <cellStyle name="Normal 2 2 3 6 5 2" xfId="30493"/>
    <cellStyle name="Normal 2 2 3 6 6" xfId="16762"/>
    <cellStyle name="Normal 2 2 3 6 6 2" xfId="36645"/>
    <cellStyle name="Normal 2 2 3 6 7" xfId="24340"/>
    <cellStyle name="Normal 2 2 3 7" xfId="3573"/>
    <cellStyle name="Normal 2 2 3 7 2" xfId="3574"/>
    <cellStyle name="Normal 2 2 3 8" xfId="3575"/>
    <cellStyle name="Normal 2 2 3 8 2" xfId="3576"/>
    <cellStyle name="Normal 2 2 3 9" xfId="5070"/>
    <cellStyle name="Normal 2 2 3 9 2" xfId="6695"/>
    <cellStyle name="Normal 2 2 3 9 2 2" xfId="9781"/>
    <cellStyle name="Normal 2 2 3 9 2 2 2" xfId="15974"/>
    <cellStyle name="Normal 2 2 3 9 2 2 2 2" xfId="35857"/>
    <cellStyle name="Normal 2 2 3 9 2 2 3" xfId="22126"/>
    <cellStyle name="Normal 2 2 3 9 2 2 3 2" xfId="42009"/>
    <cellStyle name="Normal 2 2 3 9 2 2 4" xfId="29704"/>
    <cellStyle name="Normal 2 2 3 9 2 3" xfId="12908"/>
    <cellStyle name="Normal 2 2 3 9 2 3 2" xfId="32791"/>
    <cellStyle name="Normal 2 2 3 9 2 4" xfId="19060"/>
    <cellStyle name="Normal 2 2 3 9 2 4 2" xfId="38943"/>
    <cellStyle name="Normal 2 2 3 9 2 5" xfId="26638"/>
    <cellStyle name="Normal 2 2 3 9 3" xfId="8246"/>
    <cellStyle name="Normal 2 2 3 9 3 2" xfId="14440"/>
    <cellStyle name="Normal 2 2 3 9 3 2 2" xfId="34323"/>
    <cellStyle name="Normal 2 2 3 9 3 3" xfId="20592"/>
    <cellStyle name="Normal 2 2 3 9 3 3 2" xfId="40475"/>
    <cellStyle name="Normal 2 2 3 9 3 4" xfId="28170"/>
    <cellStyle name="Normal 2 2 3 9 4" xfId="11374"/>
    <cellStyle name="Normal 2 2 3 9 4 2" xfId="31257"/>
    <cellStyle name="Normal 2 2 3 9 5" xfId="17526"/>
    <cellStyle name="Normal 2 2 3 9 5 2" xfId="37409"/>
    <cellStyle name="Normal 2 2 3 9 6" xfId="25104"/>
    <cellStyle name="Normal 2 2 30" xfId="1160"/>
    <cellStyle name="Normal 2 2 30 2" xfId="24002"/>
    <cellStyle name="Normal 2 2 31" xfId="200"/>
    <cellStyle name="Normal 2 2 32" xfId="23332"/>
    <cellStyle name="Normal 2 2 4" xfId="123"/>
    <cellStyle name="Normal 2 2 4 10" xfId="3577"/>
    <cellStyle name="Normal 2 2 4 10 2" xfId="24341"/>
    <cellStyle name="Normal 2 2 4 11" xfId="266"/>
    <cellStyle name="Normal 2 2 4 12" xfId="23370"/>
    <cellStyle name="Normal 2 2 4 2" xfId="3578"/>
    <cellStyle name="Normal 2 2 4 2 2" xfId="5077"/>
    <cellStyle name="Normal 2 2 4 2 2 2" xfId="6702"/>
    <cellStyle name="Normal 2 2 4 2 2 2 2" xfId="9788"/>
    <cellStyle name="Normal 2 2 4 2 2 2 2 2" xfId="15981"/>
    <cellStyle name="Normal 2 2 4 2 2 2 2 2 2" xfId="35864"/>
    <cellStyle name="Normal 2 2 4 2 2 2 2 3" xfId="22133"/>
    <cellStyle name="Normal 2 2 4 2 2 2 2 3 2" xfId="42016"/>
    <cellStyle name="Normal 2 2 4 2 2 2 2 4" xfId="29711"/>
    <cellStyle name="Normal 2 2 4 2 2 2 3" xfId="12915"/>
    <cellStyle name="Normal 2 2 4 2 2 2 3 2" xfId="32798"/>
    <cellStyle name="Normal 2 2 4 2 2 2 4" xfId="19067"/>
    <cellStyle name="Normal 2 2 4 2 2 2 4 2" xfId="38950"/>
    <cellStyle name="Normal 2 2 4 2 2 2 5" xfId="26645"/>
    <cellStyle name="Normal 2 2 4 2 2 3" xfId="8253"/>
    <cellStyle name="Normal 2 2 4 2 2 3 2" xfId="14447"/>
    <cellStyle name="Normal 2 2 4 2 2 3 2 2" xfId="34330"/>
    <cellStyle name="Normal 2 2 4 2 2 3 3" xfId="20599"/>
    <cellStyle name="Normal 2 2 4 2 2 3 3 2" xfId="40482"/>
    <cellStyle name="Normal 2 2 4 2 2 3 4" xfId="28177"/>
    <cellStyle name="Normal 2 2 4 2 2 4" xfId="11381"/>
    <cellStyle name="Normal 2 2 4 2 2 4 2" xfId="31264"/>
    <cellStyle name="Normal 2 2 4 2 2 5" xfId="17533"/>
    <cellStyle name="Normal 2 2 4 2 2 5 2" xfId="37416"/>
    <cellStyle name="Normal 2 2 4 2 2 6" xfId="25111"/>
    <cellStyle name="Normal 2 2 4 2 3" xfId="5919"/>
    <cellStyle name="Normal 2 2 4 2 3 2" xfId="9019"/>
    <cellStyle name="Normal 2 2 4 2 3 2 2" xfId="15212"/>
    <cellStyle name="Normal 2 2 4 2 3 2 2 2" xfId="35095"/>
    <cellStyle name="Normal 2 2 4 2 3 2 3" xfId="21364"/>
    <cellStyle name="Normal 2 2 4 2 3 2 3 2" xfId="41247"/>
    <cellStyle name="Normal 2 2 4 2 3 2 4" xfId="28942"/>
    <cellStyle name="Normal 2 2 4 2 3 3" xfId="12146"/>
    <cellStyle name="Normal 2 2 4 2 3 3 2" xfId="32029"/>
    <cellStyle name="Normal 2 2 4 2 3 4" xfId="18298"/>
    <cellStyle name="Normal 2 2 4 2 3 4 2" xfId="38181"/>
    <cellStyle name="Normal 2 2 4 2 3 5" xfId="25876"/>
    <cellStyle name="Normal 2 2 4 2 4" xfId="7484"/>
    <cellStyle name="Normal 2 2 4 2 4 2" xfId="13678"/>
    <cellStyle name="Normal 2 2 4 2 4 2 2" xfId="33561"/>
    <cellStyle name="Normal 2 2 4 2 4 3" xfId="19830"/>
    <cellStyle name="Normal 2 2 4 2 4 3 2" xfId="39713"/>
    <cellStyle name="Normal 2 2 4 2 4 4" xfId="27408"/>
    <cellStyle name="Normal 2 2 4 2 5" xfId="10612"/>
    <cellStyle name="Normal 2 2 4 2 5 2" xfId="30495"/>
    <cellStyle name="Normal 2 2 4 2 6" xfId="16764"/>
    <cellStyle name="Normal 2 2 4 2 6 2" xfId="36647"/>
    <cellStyle name="Normal 2 2 4 2 7" xfId="24342"/>
    <cellStyle name="Normal 2 2 4 3" xfId="3579"/>
    <cellStyle name="Normal 2 2 4 3 2" xfId="3580"/>
    <cellStyle name="Normal 2 2 4 4" xfId="3581"/>
    <cellStyle name="Normal 2 2 4 4 2" xfId="3582"/>
    <cellStyle name="Normal 2 2 4 5" xfId="5076"/>
    <cellStyle name="Normal 2 2 4 5 2" xfId="6701"/>
    <cellStyle name="Normal 2 2 4 5 2 2" xfId="9787"/>
    <cellStyle name="Normal 2 2 4 5 2 2 2" xfId="15980"/>
    <cellStyle name="Normal 2 2 4 5 2 2 2 2" xfId="35863"/>
    <cellStyle name="Normal 2 2 4 5 2 2 3" xfId="22132"/>
    <cellStyle name="Normal 2 2 4 5 2 2 3 2" xfId="42015"/>
    <cellStyle name="Normal 2 2 4 5 2 2 4" xfId="29710"/>
    <cellStyle name="Normal 2 2 4 5 2 3" xfId="12914"/>
    <cellStyle name="Normal 2 2 4 5 2 3 2" xfId="32797"/>
    <cellStyle name="Normal 2 2 4 5 2 4" xfId="19066"/>
    <cellStyle name="Normal 2 2 4 5 2 4 2" xfId="38949"/>
    <cellStyle name="Normal 2 2 4 5 2 5" xfId="26644"/>
    <cellStyle name="Normal 2 2 4 5 3" xfId="8252"/>
    <cellStyle name="Normal 2 2 4 5 3 2" xfId="14446"/>
    <cellStyle name="Normal 2 2 4 5 3 2 2" xfId="34329"/>
    <cellStyle name="Normal 2 2 4 5 3 3" xfId="20598"/>
    <cellStyle name="Normal 2 2 4 5 3 3 2" xfId="40481"/>
    <cellStyle name="Normal 2 2 4 5 3 4" xfId="28176"/>
    <cellStyle name="Normal 2 2 4 5 4" xfId="11380"/>
    <cellStyle name="Normal 2 2 4 5 4 2" xfId="31263"/>
    <cellStyle name="Normal 2 2 4 5 5" xfId="17532"/>
    <cellStyle name="Normal 2 2 4 5 5 2" xfId="37415"/>
    <cellStyle name="Normal 2 2 4 5 6" xfId="25110"/>
    <cellStyle name="Normal 2 2 4 6" xfId="5918"/>
    <cellStyle name="Normal 2 2 4 6 2" xfId="9018"/>
    <cellStyle name="Normal 2 2 4 6 2 2" xfId="15211"/>
    <cellStyle name="Normal 2 2 4 6 2 2 2" xfId="35094"/>
    <cellStyle name="Normal 2 2 4 6 2 3" xfId="21363"/>
    <cellStyle name="Normal 2 2 4 6 2 3 2" xfId="41246"/>
    <cellStyle name="Normal 2 2 4 6 2 4" xfId="28941"/>
    <cellStyle name="Normal 2 2 4 6 3" xfId="12145"/>
    <cellStyle name="Normal 2 2 4 6 3 2" xfId="32028"/>
    <cellStyle name="Normal 2 2 4 6 4" xfId="18297"/>
    <cellStyle name="Normal 2 2 4 6 4 2" xfId="38180"/>
    <cellStyle name="Normal 2 2 4 6 5" xfId="25875"/>
    <cellStyle name="Normal 2 2 4 7" xfId="7483"/>
    <cellStyle name="Normal 2 2 4 7 2" xfId="13677"/>
    <cellStyle name="Normal 2 2 4 7 2 2" xfId="33560"/>
    <cellStyle name="Normal 2 2 4 7 3" xfId="19829"/>
    <cellStyle name="Normal 2 2 4 7 3 2" xfId="39712"/>
    <cellStyle name="Normal 2 2 4 7 4" xfId="27407"/>
    <cellStyle name="Normal 2 2 4 8" xfId="10611"/>
    <cellStyle name="Normal 2 2 4 8 2" xfId="30494"/>
    <cellStyle name="Normal 2 2 4 9" xfId="16763"/>
    <cellStyle name="Normal 2 2 4 9 2" xfId="36646"/>
    <cellStyle name="Normal 2 2 5" xfId="291"/>
    <cellStyle name="Normal 2 2 5 2" xfId="3584"/>
    <cellStyle name="Normal 2 2 5 2 2" xfId="5079"/>
    <cellStyle name="Normal 2 2 5 2 2 2" xfId="6704"/>
    <cellStyle name="Normal 2 2 5 2 2 2 2" xfId="9790"/>
    <cellStyle name="Normal 2 2 5 2 2 2 2 2" xfId="15983"/>
    <cellStyle name="Normal 2 2 5 2 2 2 2 2 2" xfId="35866"/>
    <cellStyle name="Normal 2 2 5 2 2 2 2 3" xfId="22135"/>
    <cellStyle name="Normal 2 2 5 2 2 2 2 3 2" xfId="42018"/>
    <cellStyle name="Normal 2 2 5 2 2 2 2 4" xfId="29713"/>
    <cellStyle name="Normal 2 2 5 2 2 2 3" xfId="12917"/>
    <cellStyle name="Normal 2 2 5 2 2 2 3 2" xfId="32800"/>
    <cellStyle name="Normal 2 2 5 2 2 2 4" xfId="19069"/>
    <cellStyle name="Normal 2 2 5 2 2 2 4 2" xfId="38952"/>
    <cellStyle name="Normal 2 2 5 2 2 2 5" xfId="26647"/>
    <cellStyle name="Normal 2 2 5 2 2 3" xfId="8255"/>
    <cellStyle name="Normal 2 2 5 2 2 3 2" xfId="14449"/>
    <cellStyle name="Normal 2 2 5 2 2 3 2 2" xfId="34332"/>
    <cellStyle name="Normal 2 2 5 2 2 3 3" xfId="20601"/>
    <cellStyle name="Normal 2 2 5 2 2 3 3 2" xfId="40484"/>
    <cellStyle name="Normal 2 2 5 2 2 3 4" xfId="28179"/>
    <cellStyle name="Normal 2 2 5 2 2 4" xfId="11383"/>
    <cellStyle name="Normal 2 2 5 2 2 4 2" xfId="31266"/>
    <cellStyle name="Normal 2 2 5 2 2 5" xfId="17535"/>
    <cellStyle name="Normal 2 2 5 2 2 5 2" xfId="37418"/>
    <cellStyle name="Normal 2 2 5 2 2 6" xfId="25113"/>
    <cellStyle name="Normal 2 2 5 2 3" xfId="5921"/>
    <cellStyle name="Normal 2 2 5 2 3 2" xfId="9021"/>
    <cellStyle name="Normal 2 2 5 2 3 2 2" xfId="15214"/>
    <cellStyle name="Normal 2 2 5 2 3 2 2 2" xfId="35097"/>
    <cellStyle name="Normal 2 2 5 2 3 2 3" xfId="21366"/>
    <cellStyle name="Normal 2 2 5 2 3 2 3 2" xfId="41249"/>
    <cellStyle name="Normal 2 2 5 2 3 2 4" xfId="28944"/>
    <cellStyle name="Normal 2 2 5 2 3 3" xfId="12148"/>
    <cellStyle name="Normal 2 2 5 2 3 3 2" xfId="32031"/>
    <cellStyle name="Normal 2 2 5 2 3 4" xfId="18300"/>
    <cellStyle name="Normal 2 2 5 2 3 4 2" xfId="38183"/>
    <cellStyle name="Normal 2 2 5 2 3 5" xfId="25878"/>
    <cellStyle name="Normal 2 2 5 2 4" xfId="7486"/>
    <cellStyle name="Normal 2 2 5 2 4 2" xfId="13680"/>
    <cellStyle name="Normal 2 2 5 2 4 2 2" xfId="33563"/>
    <cellStyle name="Normal 2 2 5 2 4 3" xfId="19832"/>
    <cellStyle name="Normal 2 2 5 2 4 3 2" xfId="39715"/>
    <cellStyle name="Normal 2 2 5 2 4 4" xfId="27410"/>
    <cellStyle name="Normal 2 2 5 2 5" xfId="10614"/>
    <cellStyle name="Normal 2 2 5 2 5 2" xfId="30497"/>
    <cellStyle name="Normal 2 2 5 2 6" xfId="16766"/>
    <cellStyle name="Normal 2 2 5 2 6 2" xfId="36649"/>
    <cellStyle name="Normal 2 2 5 2 7" xfId="24344"/>
    <cellStyle name="Normal 2 2 5 3" xfId="3585"/>
    <cellStyle name="Normal 2 2 5 4" xfId="5078"/>
    <cellStyle name="Normal 2 2 5 4 2" xfId="6703"/>
    <cellStyle name="Normal 2 2 5 4 2 2" xfId="9789"/>
    <cellStyle name="Normal 2 2 5 4 2 2 2" xfId="15982"/>
    <cellStyle name="Normal 2 2 5 4 2 2 2 2" xfId="35865"/>
    <cellStyle name="Normal 2 2 5 4 2 2 3" xfId="22134"/>
    <cellStyle name="Normal 2 2 5 4 2 2 3 2" xfId="42017"/>
    <cellStyle name="Normal 2 2 5 4 2 2 4" xfId="29712"/>
    <cellStyle name="Normal 2 2 5 4 2 3" xfId="12916"/>
    <cellStyle name="Normal 2 2 5 4 2 3 2" xfId="32799"/>
    <cellStyle name="Normal 2 2 5 4 2 4" xfId="19068"/>
    <cellStyle name="Normal 2 2 5 4 2 4 2" xfId="38951"/>
    <cellStyle name="Normal 2 2 5 4 2 5" xfId="26646"/>
    <cellStyle name="Normal 2 2 5 4 3" xfId="8254"/>
    <cellStyle name="Normal 2 2 5 4 3 2" xfId="14448"/>
    <cellStyle name="Normal 2 2 5 4 3 2 2" xfId="34331"/>
    <cellStyle name="Normal 2 2 5 4 3 3" xfId="20600"/>
    <cellStyle name="Normal 2 2 5 4 3 3 2" xfId="40483"/>
    <cellStyle name="Normal 2 2 5 4 3 4" xfId="28178"/>
    <cellStyle name="Normal 2 2 5 4 4" xfId="11382"/>
    <cellStyle name="Normal 2 2 5 4 4 2" xfId="31265"/>
    <cellStyle name="Normal 2 2 5 4 5" xfId="17534"/>
    <cellStyle name="Normal 2 2 5 4 5 2" xfId="37417"/>
    <cellStyle name="Normal 2 2 5 4 6" xfId="25112"/>
    <cellStyle name="Normal 2 2 5 5" xfId="5920"/>
    <cellStyle name="Normal 2 2 5 5 2" xfId="9020"/>
    <cellStyle name="Normal 2 2 5 5 2 2" xfId="15213"/>
    <cellStyle name="Normal 2 2 5 5 2 2 2" xfId="35096"/>
    <cellStyle name="Normal 2 2 5 5 2 3" xfId="21365"/>
    <cellStyle name="Normal 2 2 5 5 2 3 2" xfId="41248"/>
    <cellStyle name="Normal 2 2 5 5 2 4" xfId="28943"/>
    <cellStyle name="Normal 2 2 5 5 3" xfId="12147"/>
    <cellStyle name="Normal 2 2 5 5 3 2" xfId="32030"/>
    <cellStyle name="Normal 2 2 5 5 4" xfId="18299"/>
    <cellStyle name="Normal 2 2 5 5 4 2" xfId="38182"/>
    <cellStyle name="Normal 2 2 5 5 5" xfId="25877"/>
    <cellStyle name="Normal 2 2 5 6" xfId="7485"/>
    <cellStyle name="Normal 2 2 5 6 2" xfId="13679"/>
    <cellStyle name="Normal 2 2 5 6 2 2" xfId="33562"/>
    <cellStyle name="Normal 2 2 5 6 3" xfId="19831"/>
    <cellStyle name="Normal 2 2 5 6 3 2" xfId="39714"/>
    <cellStyle name="Normal 2 2 5 6 4" xfId="27409"/>
    <cellStyle name="Normal 2 2 5 7" xfId="10613"/>
    <cellStyle name="Normal 2 2 5 7 2" xfId="30496"/>
    <cellStyle name="Normal 2 2 5 8" xfId="16765"/>
    <cellStyle name="Normal 2 2 5 8 2" xfId="36648"/>
    <cellStyle name="Normal 2 2 5 9" xfId="3583"/>
    <cellStyle name="Normal 2 2 5 9 2" xfId="24343"/>
    <cellStyle name="Normal 2 2 6" xfId="271"/>
    <cellStyle name="Normal 2 2 6 2" xfId="5080"/>
    <cellStyle name="Normal 2 2 6 2 2" xfId="6705"/>
    <cellStyle name="Normal 2 2 6 2 2 2" xfId="9791"/>
    <cellStyle name="Normal 2 2 6 2 2 2 2" xfId="15984"/>
    <cellStyle name="Normal 2 2 6 2 2 2 2 2" xfId="35867"/>
    <cellStyle name="Normal 2 2 6 2 2 2 3" xfId="22136"/>
    <cellStyle name="Normal 2 2 6 2 2 2 3 2" xfId="42019"/>
    <cellStyle name="Normal 2 2 6 2 2 2 4" xfId="29714"/>
    <cellStyle name="Normal 2 2 6 2 2 3" xfId="12918"/>
    <cellStyle name="Normal 2 2 6 2 2 3 2" xfId="32801"/>
    <cellStyle name="Normal 2 2 6 2 2 4" xfId="19070"/>
    <cellStyle name="Normal 2 2 6 2 2 4 2" xfId="38953"/>
    <cellStyle name="Normal 2 2 6 2 2 5" xfId="26648"/>
    <cellStyle name="Normal 2 2 6 2 3" xfId="8256"/>
    <cellStyle name="Normal 2 2 6 2 3 2" xfId="14450"/>
    <cellStyle name="Normal 2 2 6 2 3 2 2" xfId="34333"/>
    <cellStyle name="Normal 2 2 6 2 3 3" xfId="20602"/>
    <cellStyle name="Normal 2 2 6 2 3 3 2" xfId="40485"/>
    <cellStyle name="Normal 2 2 6 2 3 4" xfId="28180"/>
    <cellStyle name="Normal 2 2 6 2 4" xfId="11384"/>
    <cellStyle name="Normal 2 2 6 2 4 2" xfId="31267"/>
    <cellStyle name="Normal 2 2 6 2 5" xfId="17536"/>
    <cellStyle name="Normal 2 2 6 2 5 2" xfId="37419"/>
    <cellStyle name="Normal 2 2 6 2 6" xfId="25114"/>
    <cellStyle name="Normal 2 2 6 3" xfId="5922"/>
    <cellStyle name="Normal 2 2 6 3 2" xfId="9022"/>
    <cellStyle name="Normal 2 2 6 3 2 2" xfId="15215"/>
    <cellStyle name="Normal 2 2 6 3 2 2 2" xfId="35098"/>
    <cellStyle name="Normal 2 2 6 3 2 3" xfId="21367"/>
    <cellStyle name="Normal 2 2 6 3 2 3 2" xfId="41250"/>
    <cellStyle name="Normal 2 2 6 3 2 4" xfId="28945"/>
    <cellStyle name="Normal 2 2 6 3 3" xfId="12149"/>
    <cellStyle name="Normal 2 2 6 3 3 2" xfId="32032"/>
    <cellStyle name="Normal 2 2 6 3 4" xfId="18301"/>
    <cellStyle name="Normal 2 2 6 3 4 2" xfId="38184"/>
    <cellStyle name="Normal 2 2 6 3 5" xfId="25879"/>
    <cellStyle name="Normal 2 2 6 4" xfId="7487"/>
    <cellStyle name="Normal 2 2 6 4 2" xfId="13681"/>
    <cellStyle name="Normal 2 2 6 4 2 2" xfId="33564"/>
    <cellStyle name="Normal 2 2 6 4 3" xfId="19833"/>
    <cellStyle name="Normal 2 2 6 4 3 2" xfId="39716"/>
    <cellStyle name="Normal 2 2 6 4 4" xfId="27411"/>
    <cellStyle name="Normal 2 2 6 5" xfId="10615"/>
    <cellStyle name="Normal 2 2 6 5 2" xfId="30498"/>
    <cellStyle name="Normal 2 2 6 6" xfId="16767"/>
    <cellStyle name="Normal 2 2 6 6 2" xfId="36650"/>
    <cellStyle name="Normal 2 2 6 7" xfId="3586"/>
    <cellStyle name="Normal 2 2 6 7 2" xfId="24345"/>
    <cellStyle name="Normal 2 2 7" xfId="329"/>
    <cellStyle name="Normal 2 2 7 2" xfId="5081"/>
    <cellStyle name="Normal 2 2 7 2 2" xfId="6706"/>
    <cellStyle name="Normal 2 2 7 2 2 2" xfId="9792"/>
    <cellStyle name="Normal 2 2 7 2 2 2 2" xfId="15985"/>
    <cellStyle name="Normal 2 2 7 2 2 2 2 2" xfId="35868"/>
    <cellStyle name="Normal 2 2 7 2 2 2 3" xfId="22137"/>
    <cellStyle name="Normal 2 2 7 2 2 2 3 2" xfId="42020"/>
    <cellStyle name="Normal 2 2 7 2 2 2 4" xfId="29715"/>
    <cellStyle name="Normal 2 2 7 2 2 3" xfId="12919"/>
    <cellStyle name="Normal 2 2 7 2 2 3 2" xfId="32802"/>
    <cellStyle name="Normal 2 2 7 2 2 4" xfId="19071"/>
    <cellStyle name="Normal 2 2 7 2 2 4 2" xfId="38954"/>
    <cellStyle name="Normal 2 2 7 2 2 5" xfId="26649"/>
    <cellStyle name="Normal 2 2 7 2 3" xfId="8257"/>
    <cellStyle name="Normal 2 2 7 2 3 2" xfId="14451"/>
    <cellStyle name="Normal 2 2 7 2 3 2 2" xfId="34334"/>
    <cellStyle name="Normal 2 2 7 2 3 3" xfId="20603"/>
    <cellStyle name="Normal 2 2 7 2 3 3 2" xfId="40486"/>
    <cellStyle name="Normal 2 2 7 2 3 4" xfId="28181"/>
    <cellStyle name="Normal 2 2 7 2 4" xfId="11385"/>
    <cellStyle name="Normal 2 2 7 2 4 2" xfId="31268"/>
    <cellStyle name="Normal 2 2 7 2 5" xfId="17537"/>
    <cellStyle name="Normal 2 2 7 2 5 2" xfId="37420"/>
    <cellStyle name="Normal 2 2 7 2 6" xfId="25115"/>
    <cellStyle name="Normal 2 2 7 3" xfId="5923"/>
    <cellStyle name="Normal 2 2 7 3 2" xfId="9023"/>
    <cellStyle name="Normal 2 2 7 3 2 2" xfId="15216"/>
    <cellStyle name="Normal 2 2 7 3 2 2 2" xfId="35099"/>
    <cellStyle name="Normal 2 2 7 3 2 3" xfId="21368"/>
    <cellStyle name="Normal 2 2 7 3 2 3 2" xfId="41251"/>
    <cellStyle name="Normal 2 2 7 3 2 4" xfId="28946"/>
    <cellStyle name="Normal 2 2 7 3 3" xfId="12150"/>
    <cellStyle name="Normal 2 2 7 3 3 2" xfId="32033"/>
    <cellStyle name="Normal 2 2 7 3 4" xfId="18302"/>
    <cellStyle name="Normal 2 2 7 3 4 2" xfId="38185"/>
    <cellStyle name="Normal 2 2 7 3 5" xfId="25880"/>
    <cellStyle name="Normal 2 2 7 4" xfId="7488"/>
    <cellStyle name="Normal 2 2 7 4 2" xfId="13682"/>
    <cellStyle name="Normal 2 2 7 4 2 2" xfId="33565"/>
    <cellStyle name="Normal 2 2 7 4 3" xfId="19834"/>
    <cellStyle name="Normal 2 2 7 4 3 2" xfId="39717"/>
    <cellStyle name="Normal 2 2 7 4 4" xfId="27412"/>
    <cellStyle name="Normal 2 2 7 5" xfId="10616"/>
    <cellStyle name="Normal 2 2 7 5 2" xfId="30499"/>
    <cellStyle name="Normal 2 2 7 6" xfId="16768"/>
    <cellStyle name="Normal 2 2 7 6 2" xfId="36651"/>
    <cellStyle name="Normal 2 2 7 7" xfId="3587"/>
    <cellStyle name="Normal 2 2 7 7 2" xfId="24346"/>
    <cellStyle name="Normal 2 2 8" xfId="332"/>
    <cellStyle name="Normal 2 2 8 2" xfId="5082"/>
    <cellStyle name="Normal 2 2 8 2 2" xfId="6707"/>
    <cellStyle name="Normal 2 2 8 2 2 2" xfId="9793"/>
    <cellStyle name="Normal 2 2 8 2 2 2 2" xfId="15986"/>
    <cellStyle name="Normal 2 2 8 2 2 2 2 2" xfId="35869"/>
    <cellStyle name="Normal 2 2 8 2 2 2 3" xfId="22138"/>
    <cellStyle name="Normal 2 2 8 2 2 2 3 2" xfId="42021"/>
    <cellStyle name="Normal 2 2 8 2 2 2 4" xfId="29716"/>
    <cellStyle name="Normal 2 2 8 2 2 3" xfId="12920"/>
    <cellStyle name="Normal 2 2 8 2 2 3 2" xfId="32803"/>
    <cellStyle name="Normal 2 2 8 2 2 4" xfId="19072"/>
    <cellStyle name="Normal 2 2 8 2 2 4 2" xfId="38955"/>
    <cellStyle name="Normal 2 2 8 2 2 5" xfId="26650"/>
    <cellStyle name="Normal 2 2 8 2 3" xfId="8258"/>
    <cellStyle name="Normal 2 2 8 2 3 2" xfId="14452"/>
    <cellStyle name="Normal 2 2 8 2 3 2 2" xfId="34335"/>
    <cellStyle name="Normal 2 2 8 2 3 3" xfId="20604"/>
    <cellStyle name="Normal 2 2 8 2 3 3 2" xfId="40487"/>
    <cellStyle name="Normal 2 2 8 2 3 4" xfId="28182"/>
    <cellStyle name="Normal 2 2 8 2 4" xfId="11386"/>
    <cellStyle name="Normal 2 2 8 2 4 2" xfId="31269"/>
    <cellStyle name="Normal 2 2 8 2 5" xfId="17538"/>
    <cellStyle name="Normal 2 2 8 2 5 2" xfId="37421"/>
    <cellStyle name="Normal 2 2 8 2 6" xfId="25116"/>
    <cellStyle name="Normal 2 2 8 3" xfId="5924"/>
    <cellStyle name="Normal 2 2 8 3 2" xfId="9024"/>
    <cellStyle name="Normal 2 2 8 3 2 2" xfId="15217"/>
    <cellStyle name="Normal 2 2 8 3 2 2 2" xfId="35100"/>
    <cellStyle name="Normal 2 2 8 3 2 3" xfId="21369"/>
    <cellStyle name="Normal 2 2 8 3 2 3 2" xfId="41252"/>
    <cellStyle name="Normal 2 2 8 3 2 4" xfId="28947"/>
    <cellStyle name="Normal 2 2 8 3 3" xfId="12151"/>
    <cellStyle name="Normal 2 2 8 3 3 2" xfId="32034"/>
    <cellStyle name="Normal 2 2 8 3 4" xfId="18303"/>
    <cellStyle name="Normal 2 2 8 3 4 2" xfId="38186"/>
    <cellStyle name="Normal 2 2 8 3 5" xfId="25881"/>
    <cellStyle name="Normal 2 2 8 4" xfId="7489"/>
    <cellStyle name="Normal 2 2 8 4 2" xfId="13683"/>
    <cellStyle name="Normal 2 2 8 4 2 2" xfId="33566"/>
    <cellStyle name="Normal 2 2 8 4 3" xfId="19835"/>
    <cellStyle name="Normal 2 2 8 4 3 2" xfId="39718"/>
    <cellStyle name="Normal 2 2 8 4 4" xfId="27413"/>
    <cellStyle name="Normal 2 2 8 5" xfId="10617"/>
    <cellStyle name="Normal 2 2 8 5 2" xfId="30500"/>
    <cellStyle name="Normal 2 2 8 6" xfId="16769"/>
    <cellStyle name="Normal 2 2 8 6 2" xfId="36652"/>
    <cellStyle name="Normal 2 2 8 7" xfId="3588"/>
    <cellStyle name="Normal 2 2 8 7 2" xfId="24347"/>
    <cellStyle name="Normal 2 2 9" xfId="345"/>
    <cellStyle name="Normal 2 2 9 2" xfId="5083"/>
    <cellStyle name="Normal 2 2 9 2 2" xfId="6708"/>
    <cellStyle name="Normal 2 2 9 2 2 2" xfId="9794"/>
    <cellStyle name="Normal 2 2 9 2 2 2 2" xfId="15987"/>
    <cellStyle name="Normal 2 2 9 2 2 2 2 2" xfId="35870"/>
    <cellStyle name="Normal 2 2 9 2 2 2 3" xfId="22139"/>
    <cellStyle name="Normal 2 2 9 2 2 2 3 2" xfId="42022"/>
    <cellStyle name="Normal 2 2 9 2 2 2 4" xfId="29717"/>
    <cellStyle name="Normal 2 2 9 2 2 3" xfId="12921"/>
    <cellStyle name="Normal 2 2 9 2 2 3 2" xfId="32804"/>
    <cellStyle name="Normal 2 2 9 2 2 4" xfId="19073"/>
    <cellStyle name="Normal 2 2 9 2 2 4 2" xfId="38956"/>
    <cellStyle name="Normal 2 2 9 2 2 5" xfId="26651"/>
    <cellStyle name="Normal 2 2 9 2 3" xfId="8259"/>
    <cellStyle name="Normal 2 2 9 2 3 2" xfId="14453"/>
    <cellStyle name="Normal 2 2 9 2 3 2 2" xfId="34336"/>
    <cellStyle name="Normal 2 2 9 2 3 3" xfId="20605"/>
    <cellStyle name="Normal 2 2 9 2 3 3 2" xfId="40488"/>
    <cellStyle name="Normal 2 2 9 2 3 4" xfId="28183"/>
    <cellStyle name="Normal 2 2 9 2 4" xfId="11387"/>
    <cellStyle name="Normal 2 2 9 2 4 2" xfId="31270"/>
    <cellStyle name="Normal 2 2 9 2 5" xfId="17539"/>
    <cellStyle name="Normal 2 2 9 2 5 2" xfId="37422"/>
    <cellStyle name="Normal 2 2 9 2 6" xfId="25117"/>
    <cellStyle name="Normal 2 2 9 3" xfId="5925"/>
    <cellStyle name="Normal 2 2 9 3 2" xfId="9025"/>
    <cellStyle name="Normal 2 2 9 3 2 2" xfId="15218"/>
    <cellStyle name="Normal 2 2 9 3 2 2 2" xfId="35101"/>
    <cellStyle name="Normal 2 2 9 3 2 3" xfId="21370"/>
    <cellStyle name="Normal 2 2 9 3 2 3 2" xfId="41253"/>
    <cellStyle name="Normal 2 2 9 3 2 4" xfId="28948"/>
    <cellStyle name="Normal 2 2 9 3 3" xfId="12152"/>
    <cellStyle name="Normal 2 2 9 3 3 2" xfId="32035"/>
    <cellStyle name="Normal 2 2 9 3 4" xfId="18304"/>
    <cellStyle name="Normal 2 2 9 3 4 2" xfId="38187"/>
    <cellStyle name="Normal 2 2 9 3 5" xfId="25882"/>
    <cellStyle name="Normal 2 2 9 4" xfId="7490"/>
    <cellStyle name="Normal 2 2 9 4 2" xfId="13684"/>
    <cellStyle name="Normal 2 2 9 4 2 2" xfId="33567"/>
    <cellStyle name="Normal 2 2 9 4 3" xfId="19836"/>
    <cellStyle name="Normal 2 2 9 4 3 2" xfId="39719"/>
    <cellStyle name="Normal 2 2 9 4 4" xfId="27414"/>
    <cellStyle name="Normal 2 2 9 5" xfId="10618"/>
    <cellStyle name="Normal 2 2 9 5 2" xfId="30501"/>
    <cellStyle name="Normal 2 2 9 6" xfId="16770"/>
    <cellStyle name="Normal 2 2 9 6 2" xfId="36653"/>
    <cellStyle name="Normal 2 2 9 7" xfId="3589"/>
    <cellStyle name="Normal 2 2 9 7 2" xfId="24348"/>
    <cellStyle name="Normal 2 20" xfId="3590"/>
    <cellStyle name="Normal 2 20 2" xfId="5084"/>
    <cellStyle name="Normal 2 20 2 2" xfId="6709"/>
    <cellStyle name="Normal 2 20 2 2 2" xfId="9795"/>
    <cellStyle name="Normal 2 20 2 2 2 2" xfId="15988"/>
    <cellStyle name="Normal 2 20 2 2 2 2 2" xfId="35871"/>
    <cellStyle name="Normal 2 20 2 2 2 3" xfId="22140"/>
    <cellStyle name="Normal 2 20 2 2 2 3 2" xfId="42023"/>
    <cellStyle name="Normal 2 20 2 2 2 4" xfId="29718"/>
    <cellStyle name="Normal 2 20 2 2 3" xfId="12922"/>
    <cellStyle name="Normal 2 20 2 2 3 2" xfId="32805"/>
    <cellStyle name="Normal 2 20 2 2 4" xfId="19074"/>
    <cellStyle name="Normal 2 20 2 2 4 2" xfId="38957"/>
    <cellStyle name="Normal 2 20 2 2 5" xfId="26652"/>
    <cellStyle name="Normal 2 20 2 3" xfId="8260"/>
    <cellStyle name="Normal 2 20 2 3 2" xfId="14454"/>
    <cellStyle name="Normal 2 20 2 3 2 2" xfId="34337"/>
    <cellStyle name="Normal 2 20 2 3 3" xfId="20606"/>
    <cellStyle name="Normal 2 20 2 3 3 2" xfId="40489"/>
    <cellStyle name="Normal 2 20 2 3 4" xfId="28184"/>
    <cellStyle name="Normal 2 20 2 4" xfId="11388"/>
    <cellStyle name="Normal 2 20 2 4 2" xfId="31271"/>
    <cellStyle name="Normal 2 20 2 5" xfId="17540"/>
    <cellStyle name="Normal 2 20 2 5 2" xfId="37423"/>
    <cellStyle name="Normal 2 20 2 6" xfId="25118"/>
    <cellStyle name="Normal 2 20 3" xfId="5926"/>
    <cellStyle name="Normal 2 20 3 2" xfId="9026"/>
    <cellStyle name="Normal 2 20 3 2 2" xfId="15219"/>
    <cellStyle name="Normal 2 20 3 2 2 2" xfId="35102"/>
    <cellStyle name="Normal 2 20 3 2 3" xfId="21371"/>
    <cellStyle name="Normal 2 20 3 2 3 2" xfId="41254"/>
    <cellStyle name="Normal 2 20 3 2 4" xfId="28949"/>
    <cellStyle name="Normal 2 20 3 3" xfId="12153"/>
    <cellStyle name="Normal 2 20 3 3 2" xfId="32036"/>
    <cellStyle name="Normal 2 20 3 4" xfId="18305"/>
    <cellStyle name="Normal 2 20 3 4 2" xfId="38188"/>
    <cellStyle name="Normal 2 20 3 5" xfId="25883"/>
    <cellStyle name="Normal 2 20 4" xfId="7491"/>
    <cellStyle name="Normal 2 20 4 2" xfId="13685"/>
    <cellStyle name="Normal 2 20 4 2 2" xfId="33568"/>
    <cellStyle name="Normal 2 20 4 3" xfId="19837"/>
    <cellStyle name="Normal 2 20 4 3 2" xfId="39720"/>
    <cellStyle name="Normal 2 20 4 4" xfId="27415"/>
    <cellStyle name="Normal 2 20 5" xfId="10619"/>
    <cellStyle name="Normal 2 20 5 2" xfId="30502"/>
    <cellStyle name="Normal 2 20 6" xfId="16771"/>
    <cellStyle name="Normal 2 20 6 2" xfId="36654"/>
    <cellStyle name="Normal 2 20 7" xfId="24349"/>
    <cellStyle name="Normal 2 21" xfId="3591"/>
    <cellStyle name="Normal 2 22" xfId="1278"/>
    <cellStyle name="Normal 2 22 2" xfId="4699"/>
    <cellStyle name="Normal 2 22 3" xfId="3592"/>
    <cellStyle name="Normal 2 23" xfId="4616"/>
    <cellStyle name="Normal 2 24" xfId="1326"/>
    <cellStyle name="Normal 2 24 2" xfId="4767"/>
    <cellStyle name="Normal 2 24 2 2" xfId="6392"/>
    <cellStyle name="Normal 2 24 2 2 2" xfId="9478"/>
    <cellStyle name="Normal 2 24 2 2 2 2" xfId="15671"/>
    <cellStyle name="Normal 2 24 2 2 2 2 2" xfId="35554"/>
    <cellStyle name="Normal 2 24 2 2 2 3" xfId="21823"/>
    <cellStyle name="Normal 2 24 2 2 2 3 2" xfId="41706"/>
    <cellStyle name="Normal 2 24 2 2 2 4" xfId="29401"/>
    <cellStyle name="Normal 2 24 2 2 3" xfId="12605"/>
    <cellStyle name="Normal 2 24 2 2 3 2" xfId="32488"/>
    <cellStyle name="Normal 2 24 2 2 4" xfId="18757"/>
    <cellStyle name="Normal 2 24 2 2 4 2" xfId="38640"/>
    <cellStyle name="Normal 2 24 2 2 5" xfId="26335"/>
    <cellStyle name="Normal 2 24 2 3" xfId="7943"/>
    <cellStyle name="Normal 2 24 2 3 2" xfId="14137"/>
    <cellStyle name="Normal 2 24 2 3 2 2" xfId="34020"/>
    <cellStyle name="Normal 2 24 2 3 3" xfId="20289"/>
    <cellStyle name="Normal 2 24 2 3 3 2" xfId="40172"/>
    <cellStyle name="Normal 2 24 2 3 4" xfId="27867"/>
    <cellStyle name="Normal 2 24 2 4" xfId="11071"/>
    <cellStyle name="Normal 2 24 2 4 2" xfId="30954"/>
    <cellStyle name="Normal 2 24 2 5" xfId="17223"/>
    <cellStyle name="Normal 2 24 2 5 2" xfId="37106"/>
    <cellStyle name="Normal 2 24 2 6" xfId="24801"/>
    <cellStyle name="Normal 2 24 3" xfId="5606"/>
    <cellStyle name="Normal 2 24 3 2" xfId="8709"/>
    <cellStyle name="Normal 2 24 3 2 2" xfId="14902"/>
    <cellStyle name="Normal 2 24 3 2 2 2" xfId="34785"/>
    <cellStyle name="Normal 2 24 3 2 3" xfId="21054"/>
    <cellStyle name="Normal 2 24 3 2 3 2" xfId="40937"/>
    <cellStyle name="Normal 2 24 3 2 4" xfId="28632"/>
    <cellStyle name="Normal 2 24 3 3" xfId="11836"/>
    <cellStyle name="Normal 2 24 3 3 2" xfId="31719"/>
    <cellStyle name="Normal 2 24 3 4" xfId="17988"/>
    <cellStyle name="Normal 2 24 3 4 2" xfId="37871"/>
    <cellStyle name="Normal 2 24 3 5" xfId="25566"/>
    <cellStyle name="Normal 2 24 4" xfId="7174"/>
    <cellStyle name="Normal 2 24 4 2" xfId="13368"/>
    <cellStyle name="Normal 2 24 4 2 2" xfId="33251"/>
    <cellStyle name="Normal 2 24 4 3" xfId="19520"/>
    <cellStyle name="Normal 2 24 4 3 2" xfId="39403"/>
    <cellStyle name="Normal 2 24 4 4" xfId="27098"/>
    <cellStyle name="Normal 2 24 5" xfId="10302"/>
    <cellStyle name="Normal 2 24 5 2" xfId="30185"/>
    <cellStyle name="Normal 2 24 6" xfId="16454"/>
    <cellStyle name="Normal 2 24 6 2" xfId="36337"/>
    <cellStyle name="Normal 2 24 7" xfId="24032"/>
    <cellStyle name="Normal 2 25" xfId="5578"/>
    <cellStyle name="Normal 2 25 2" xfId="8682"/>
    <cellStyle name="Normal 2 26" xfId="10222"/>
    <cellStyle name="Normal 2 27" xfId="1176"/>
    <cellStyle name="Normal 2 28" xfId="23234"/>
    <cellStyle name="Normal 2 28 2" xfId="43006"/>
    <cellStyle name="Normal 2 29" xfId="43043"/>
    <cellStyle name="Normal 2 3" xfId="23"/>
    <cellStyle name="Normal 2 3 10" xfId="10258"/>
    <cellStyle name="Normal 2 3 11" xfId="23236"/>
    <cellStyle name="Normal 2 3 11 2" xfId="43007"/>
    <cellStyle name="Normal 2 3 2" xfId="3594"/>
    <cellStyle name="Normal 2 3 2 2" xfId="3595"/>
    <cellStyle name="Normal 2 3 2 2 2" xfId="23238"/>
    <cellStyle name="Normal 2 3 2 2 2 2" xfId="43009"/>
    <cellStyle name="Normal 2 3 2 3" xfId="5085"/>
    <cellStyle name="Normal 2 3 2 3 2" xfId="6710"/>
    <cellStyle name="Normal 2 3 2 3 2 2" xfId="9796"/>
    <cellStyle name="Normal 2 3 2 3 2 2 2" xfId="15989"/>
    <cellStyle name="Normal 2 3 2 3 2 2 2 2" xfId="35872"/>
    <cellStyle name="Normal 2 3 2 3 2 2 3" xfId="22141"/>
    <cellStyle name="Normal 2 3 2 3 2 2 3 2" xfId="42024"/>
    <cellStyle name="Normal 2 3 2 3 2 2 4" xfId="29719"/>
    <cellStyle name="Normal 2 3 2 3 2 3" xfId="12923"/>
    <cellStyle name="Normal 2 3 2 3 2 3 2" xfId="32806"/>
    <cellStyle name="Normal 2 3 2 3 2 4" xfId="19075"/>
    <cellStyle name="Normal 2 3 2 3 2 4 2" xfId="38958"/>
    <cellStyle name="Normal 2 3 2 3 2 5" xfId="26653"/>
    <cellStyle name="Normal 2 3 2 3 3" xfId="8261"/>
    <cellStyle name="Normal 2 3 2 3 3 2" xfId="14455"/>
    <cellStyle name="Normal 2 3 2 3 3 2 2" xfId="34338"/>
    <cellStyle name="Normal 2 3 2 3 3 3" xfId="20607"/>
    <cellStyle name="Normal 2 3 2 3 3 3 2" xfId="40490"/>
    <cellStyle name="Normal 2 3 2 3 3 4" xfId="28185"/>
    <cellStyle name="Normal 2 3 2 3 4" xfId="11389"/>
    <cellStyle name="Normal 2 3 2 3 4 2" xfId="31272"/>
    <cellStyle name="Normal 2 3 2 3 5" xfId="17541"/>
    <cellStyle name="Normal 2 3 2 3 5 2" xfId="37424"/>
    <cellStyle name="Normal 2 3 2 3 6" xfId="25119"/>
    <cellStyle name="Normal 2 3 2 4" xfId="5927"/>
    <cellStyle name="Normal 2 3 2 4 2" xfId="9027"/>
    <cellStyle name="Normal 2 3 2 4 2 2" xfId="15220"/>
    <cellStyle name="Normal 2 3 2 4 2 2 2" xfId="35103"/>
    <cellStyle name="Normal 2 3 2 4 2 3" xfId="21372"/>
    <cellStyle name="Normal 2 3 2 4 2 3 2" xfId="41255"/>
    <cellStyle name="Normal 2 3 2 4 2 4" xfId="28950"/>
    <cellStyle name="Normal 2 3 2 4 3" xfId="12154"/>
    <cellStyle name="Normal 2 3 2 4 3 2" xfId="32037"/>
    <cellStyle name="Normal 2 3 2 4 4" xfId="18306"/>
    <cellStyle name="Normal 2 3 2 4 4 2" xfId="38189"/>
    <cellStyle name="Normal 2 3 2 4 5" xfId="25884"/>
    <cellStyle name="Normal 2 3 2 5" xfId="7492"/>
    <cellStyle name="Normal 2 3 2 5 2" xfId="13686"/>
    <cellStyle name="Normal 2 3 2 5 2 2" xfId="33569"/>
    <cellStyle name="Normal 2 3 2 5 3" xfId="19838"/>
    <cellStyle name="Normal 2 3 2 5 3 2" xfId="39721"/>
    <cellStyle name="Normal 2 3 2 5 4" xfId="27416"/>
    <cellStyle name="Normal 2 3 2 6" xfId="10620"/>
    <cellStyle name="Normal 2 3 2 6 2" xfId="30503"/>
    <cellStyle name="Normal 2 3 2 7" xfId="16772"/>
    <cellStyle name="Normal 2 3 2 7 2" xfId="36655"/>
    <cellStyle name="Normal 2 3 2 8" xfId="23237"/>
    <cellStyle name="Normal 2 3 2 8 2" xfId="43008"/>
    <cellStyle name="Normal 2 3 2 9" xfId="24350"/>
    <cellStyle name="Normal 2 3 3" xfId="3596"/>
    <cellStyle name="Normal 2 3 3 2" xfId="5086"/>
    <cellStyle name="Normal 2 3 3 2 2" xfId="6711"/>
    <cellStyle name="Normal 2 3 3 2 2 2" xfId="9797"/>
    <cellStyle name="Normal 2 3 3 2 2 2 2" xfId="15990"/>
    <cellStyle name="Normal 2 3 3 2 2 2 2 2" xfId="35873"/>
    <cellStyle name="Normal 2 3 3 2 2 2 3" xfId="22142"/>
    <cellStyle name="Normal 2 3 3 2 2 2 3 2" xfId="42025"/>
    <cellStyle name="Normal 2 3 3 2 2 2 4" xfId="29720"/>
    <cellStyle name="Normal 2 3 3 2 2 3" xfId="12924"/>
    <cellStyle name="Normal 2 3 3 2 2 3 2" xfId="32807"/>
    <cellStyle name="Normal 2 3 3 2 2 4" xfId="19076"/>
    <cellStyle name="Normal 2 3 3 2 2 4 2" xfId="38959"/>
    <cellStyle name="Normal 2 3 3 2 2 5" xfId="26654"/>
    <cellStyle name="Normal 2 3 3 2 3" xfId="8262"/>
    <cellStyle name="Normal 2 3 3 2 3 2" xfId="14456"/>
    <cellStyle name="Normal 2 3 3 2 3 2 2" xfId="34339"/>
    <cellStyle name="Normal 2 3 3 2 3 3" xfId="20608"/>
    <cellStyle name="Normal 2 3 3 2 3 3 2" xfId="40491"/>
    <cellStyle name="Normal 2 3 3 2 3 4" xfId="28186"/>
    <cellStyle name="Normal 2 3 3 2 4" xfId="11390"/>
    <cellStyle name="Normal 2 3 3 2 4 2" xfId="31273"/>
    <cellStyle name="Normal 2 3 3 2 5" xfId="17542"/>
    <cellStyle name="Normal 2 3 3 2 5 2" xfId="37425"/>
    <cellStyle name="Normal 2 3 3 2 6" xfId="25120"/>
    <cellStyle name="Normal 2 3 3 3" xfId="5928"/>
    <cellStyle name="Normal 2 3 3 3 2" xfId="9028"/>
    <cellStyle name="Normal 2 3 3 3 2 2" xfId="15221"/>
    <cellStyle name="Normal 2 3 3 3 2 2 2" xfId="35104"/>
    <cellStyle name="Normal 2 3 3 3 2 3" xfId="21373"/>
    <cellStyle name="Normal 2 3 3 3 2 3 2" xfId="41256"/>
    <cellStyle name="Normal 2 3 3 3 2 4" xfId="28951"/>
    <cellStyle name="Normal 2 3 3 3 3" xfId="12155"/>
    <cellStyle name="Normal 2 3 3 3 3 2" xfId="32038"/>
    <cellStyle name="Normal 2 3 3 3 4" xfId="18307"/>
    <cellStyle name="Normal 2 3 3 3 4 2" xfId="38190"/>
    <cellStyle name="Normal 2 3 3 3 5" xfId="25885"/>
    <cellStyle name="Normal 2 3 3 4" xfId="7493"/>
    <cellStyle name="Normal 2 3 3 4 2" xfId="13687"/>
    <cellStyle name="Normal 2 3 3 4 2 2" xfId="33570"/>
    <cellStyle name="Normal 2 3 3 4 3" xfId="19839"/>
    <cellStyle name="Normal 2 3 3 4 3 2" xfId="39722"/>
    <cellStyle name="Normal 2 3 3 4 4" xfId="27417"/>
    <cellStyle name="Normal 2 3 3 5" xfId="10621"/>
    <cellStyle name="Normal 2 3 3 5 2" xfId="30504"/>
    <cellStyle name="Normal 2 3 3 6" xfId="16773"/>
    <cellStyle name="Normal 2 3 3 6 2" xfId="36656"/>
    <cellStyle name="Normal 2 3 3 7" xfId="23239"/>
    <cellStyle name="Normal 2 3 3 7 2" xfId="43010"/>
    <cellStyle name="Normal 2 3 3 8" xfId="24351"/>
    <cellStyle name="Normal 2 3 4" xfId="3597"/>
    <cellStyle name="Normal 2 3 4 2" xfId="5087"/>
    <cellStyle name="Normal 2 3 4 2 2" xfId="6712"/>
    <cellStyle name="Normal 2 3 4 2 2 2" xfId="9798"/>
    <cellStyle name="Normal 2 3 4 2 2 2 2" xfId="15991"/>
    <cellStyle name="Normal 2 3 4 2 2 2 2 2" xfId="35874"/>
    <cellStyle name="Normal 2 3 4 2 2 2 3" xfId="22143"/>
    <cellStyle name="Normal 2 3 4 2 2 2 3 2" xfId="42026"/>
    <cellStyle name="Normal 2 3 4 2 2 2 4" xfId="29721"/>
    <cellStyle name="Normal 2 3 4 2 2 3" xfId="12925"/>
    <cellStyle name="Normal 2 3 4 2 2 3 2" xfId="32808"/>
    <cellStyle name="Normal 2 3 4 2 2 4" xfId="19077"/>
    <cellStyle name="Normal 2 3 4 2 2 4 2" xfId="38960"/>
    <cellStyle name="Normal 2 3 4 2 2 5" xfId="26655"/>
    <cellStyle name="Normal 2 3 4 2 3" xfId="8263"/>
    <cellStyle name="Normal 2 3 4 2 3 2" xfId="14457"/>
    <cellStyle name="Normal 2 3 4 2 3 2 2" xfId="34340"/>
    <cellStyle name="Normal 2 3 4 2 3 3" xfId="20609"/>
    <cellStyle name="Normal 2 3 4 2 3 3 2" xfId="40492"/>
    <cellStyle name="Normal 2 3 4 2 3 4" xfId="28187"/>
    <cellStyle name="Normal 2 3 4 2 4" xfId="11391"/>
    <cellStyle name="Normal 2 3 4 2 4 2" xfId="31274"/>
    <cellStyle name="Normal 2 3 4 2 5" xfId="17543"/>
    <cellStyle name="Normal 2 3 4 2 5 2" xfId="37426"/>
    <cellStyle name="Normal 2 3 4 2 6" xfId="25121"/>
    <cellStyle name="Normal 2 3 4 3" xfId="5929"/>
    <cellStyle name="Normal 2 3 4 3 2" xfId="9029"/>
    <cellStyle name="Normal 2 3 4 3 2 2" xfId="15222"/>
    <cellStyle name="Normal 2 3 4 3 2 2 2" xfId="35105"/>
    <cellStyle name="Normal 2 3 4 3 2 3" xfId="21374"/>
    <cellStyle name="Normal 2 3 4 3 2 3 2" xfId="41257"/>
    <cellStyle name="Normal 2 3 4 3 2 4" xfId="28952"/>
    <cellStyle name="Normal 2 3 4 3 3" xfId="12156"/>
    <cellStyle name="Normal 2 3 4 3 3 2" xfId="32039"/>
    <cellStyle name="Normal 2 3 4 3 4" xfId="18308"/>
    <cellStyle name="Normal 2 3 4 3 4 2" xfId="38191"/>
    <cellStyle name="Normal 2 3 4 3 5" xfId="25886"/>
    <cellStyle name="Normal 2 3 4 4" xfId="7494"/>
    <cellStyle name="Normal 2 3 4 4 2" xfId="13688"/>
    <cellStyle name="Normal 2 3 4 4 2 2" xfId="33571"/>
    <cellStyle name="Normal 2 3 4 4 3" xfId="19840"/>
    <cellStyle name="Normal 2 3 4 4 3 2" xfId="39723"/>
    <cellStyle name="Normal 2 3 4 4 4" xfId="27418"/>
    <cellStyle name="Normal 2 3 4 5" xfId="10622"/>
    <cellStyle name="Normal 2 3 4 5 2" xfId="30505"/>
    <cellStyle name="Normal 2 3 4 6" xfId="16774"/>
    <cellStyle name="Normal 2 3 4 6 2" xfId="36657"/>
    <cellStyle name="Normal 2 3 4 7" xfId="24352"/>
    <cellStyle name="Normal 2 3 5" xfId="3598"/>
    <cellStyle name="Normal 2 3 5 2" xfId="5088"/>
    <cellStyle name="Normal 2 3 5 2 2" xfId="6713"/>
    <cellStyle name="Normal 2 3 5 2 2 2" xfId="9799"/>
    <cellStyle name="Normal 2 3 5 2 2 2 2" xfId="15992"/>
    <cellStyle name="Normal 2 3 5 2 2 2 2 2" xfId="35875"/>
    <cellStyle name="Normal 2 3 5 2 2 2 3" xfId="22144"/>
    <cellStyle name="Normal 2 3 5 2 2 2 3 2" xfId="42027"/>
    <cellStyle name="Normal 2 3 5 2 2 2 4" xfId="29722"/>
    <cellStyle name="Normal 2 3 5 2 2 3" xfId="12926"/>
    <cellStyle name="Normal 2 3 5 2 2 3 2" xfId="32809"/>
    <cellStyle name="Normal 2 3 5 2 2 4" xfId="19078"/>
    <cellStyle name="Normal 2 3 5 2 2 4 2" xfId="38961"/>
    <cellStyle name="Normal 2 3 5 2 2 5" xfId="26656"/>
    <cellStyle name="Normal 2 3 5 2 3" xfId="8264"/>
    <cellStyle name="Normal 2 3 5 2 3 2" xfId="14458"/>
    <cellStyle name="Normal 2 3 5 2 3 2 2" xfId="34341"/>
    <cellStyle name="Normal 2 3 5 2 3 3" xfId="20610"/>
    <cellStyle name="Normal 2 3 5 2 3 3 2" xfId="40493"/>
    <cellStyle name="Normal 2 3 5 2 3 4" xfId="28188"/>
    <cellStyle name="Normal 2 3 5 2 4" xfId="11392"/>
    <cellStyle name="Normal 2 3 5 2 4 2" xfId="31275"/>
    <cellStyle name="Normal 2 3 5 2 5" xfId="17544"/>
    <cellStyle name="Normal 2 3 5 2 5 2" xfId="37427"/>
    <cellStyle name="Normal 2 3 5 2 6" xfId="25122"/>
    <cellStyle name="Normal 2 3 5 3" xfId="5930"/>
    <cellStyle name="Normal 2 3 5 3 2" xfId="9030"/>
    <cellStyle name="Normal 2 3 5 3 2 2" xfId="15223"/>
    <cellStyle name="Normal 2 3 5 3 2 2 2" xfId="35106"/>
    <cellStyle name="Normal 2 3 5 3 2 3" xfId="21375"/>
    <cellStyle name="Normal 2 3 5 3 2 3 2" xfId="41258"/>
    <cellStyle name="Normal 2 3 5 3 2 4" xfId="28953"/>
    <cellStyle name="Normal 2 3 5 3 3" xfId="12157"/>
    <cellStyle name="Normal 2 3 5 3 3 2" xfId="32040"/>
    <cellStyle name="Normal 2 3 5 3 4" xfId="18309"/>
    <cellStyle name="Normal 2 3 5 3 4 2" xfId="38192"/>
    <cellStyle name="Normal 2 3 5 3 5" xfId="25887"/>
    <cellStyle name="Normal 2 3 5 4" xfId="7495"/>
    <cellStyle name="Normal 2 3 5 4 2" xfId="13689"/>
    <cellStyle name="Normal 2 3 5 4 2 2" xfId="33572"/>
    <cellStyle name="Normal 2 3 5 4 3" xfId="19841"/>
    <cellStyle name="Normal 2 3 5 4 3 2" xfId="39724"/>
    <cellStyle name="Normal 2 3 5 4 4" xfId="27419"/>
    <cellStyle name="Normal 2 3 5 5" xfId="10623"/>
    <cellStyle name="Normal 2 3 5 5 2" xfId="30506"/>
    <cellStyle name="Normal 2 3 5 6" xfId="16775"/>
    <cellStyle name="Normal 2 3 5 6 2" xfId="36658"/>
    <cellStyle name="Normal 2 3 5 7" xfId="24353"/>
    <cellStyle name="Normal 2 3 6" xfId="3599"/>
    <cellStyle name="Normal 2 3 6 2" xfId="5089"/>
    <cellStyle name="Normal 2 3 6 2 2" xfId="6714"/>
    <cellStyle name="Normal 2 3 6 2 2 2" xfId="9800"/>
    <cellStyle name="Normal 2 3 6 2 2 2 2" xfId="15993"/>
    <cellStyle name="Normal 2 3 6 2 2 2 2 2" xfId="35876"/>
    <cellStyle name="Normal 2 3 6 2 2 2 3" xfId="22145"/>
    <cellStyle name="Normal 2 3 6 2 2 2 3 2" xfId="42028"/>
    <cellStyle name="Normal 2 3 6 2 2 2 4" xfId="29723"/>
    <cellStyle name="Normal 2 3 6 2 2 3" xfId="12927"/>
    <cellStyle name="Normal 2 3 6 2 2 3 2" xfId="32810"/>
    <cellStyle name="Normal 2 3 6 2 2 4" xfId="19079"/>
    <cellStyle name="Normal 2 3 6 2 2 4 2" xfId="38962"/>
    <cellStyle name="Normal 2 3 6 2 2 5" xfId="26657"/>
    <cellStyle name="Normal 2 3 6 2 3" xfId="8265"/>
    <cellStyle name="Normal 2 3 6 2 3 2" xfId="14459"/>
    <cellStyle name="Normal 2 3 6 2 3 2 2" xfId="34342"/>
    <cellStyle name="Normal 2 3 6 2 3 3" xfId="20611"/>
    <cellStyle name="Normal 2 3 6 2 3 3 2" xfId="40494"/>
    <cellStyle name="Normal 2 3 6 2 3 4" xfId="28189"/>
    <cellStyle name="Normal 2 3 6 2 4" xfId="11393"/>
    <cellStyle name="Normal 2 3 6 2 4 2" xfId="31276"/>
    <cellStyle name="Normal 2 3 6 2 5" xfId="17545"/>
    <cellStyle name="Normal 2 3 6 2 5 2" xfId="37428"/>
    <cellStyle name="Normal 2 3 6 2 6" xfId="25123"/>
    <cellStyle name="Normal 2 3 6 3" xfId="5931"/>
    <cellStyle name="Normal 2 3 6 3 2" xfId="9031"/>
    <cellStyle name="Normal 2 3 6 3 2 2" xfId="15224"/>
    <cellStyle name="Normal 2 3 6 3 2 2 2" xfId="35107"/>
    <cellStyle name="Normal 2 3 6 3 2 3" xfId="21376"/>
    <cellStyle name="Normal 2 3 6 3 2 3 2" xfId="41259"/>
    <cellStyle name="Normal 2 3 6 3 2 4" xfId="28954"/>
    <cellStyle name="Normal 2 3 6 3 3" xfId="12158"/>
    <cellStyle name="Normal 2 3 6 3 3 2" xfId="32041"/>
    <cellStyle name="Normal 2 3 6 3 4" xfId="18310"/>
    <cellStyle name="Normal 2 3 6 3 4 2" xfId="38193"/>
    <cellStyle name="Normal 2 3 6 3 5" xfId="25888"/>
    <cellStyle name="Normal 2 3 6 4" xfId="7496"/>
    <cellStyle name="Normal 2 3 6 4 2" xfId="13690"/>
    <cellStyle name="Normal 2 3 6 4 2 2" xfId="33573"/>
    <cellStyle name="Normal 2 3 6 4 3" xfId="19842"/>
    <cellStyle name="Normal 2 3 6 4 3 2" xfId="39725"/>
    <cellStyle name="Normal 2 3 6 4 4" xfId="27420"/>
    <cellStyle name="Normal 2 3 6 5" xfId="10624"/>
    <cellStyle name="Normal 2 3 6 5 2" xfId="30507"/>
    <cellStyle name="Normal 2 3 6 6" xfId="16776"/>
    <cellStyle name="Normal 2 3 6 6 2" xfId="36659"/>
    <cellStyle name="Normal 2 3 6 7" xfId="24354"/>
    <cellStyle name="Normal 2 3 7" xfId="3600"/>
    <cellStyle name="Normal 2 3 8" xfId="3601"/>
    <cellStyle name="Normal 2 3 9" xfId="3593"/>
    <cellStyle name="Normal 2 4" xfId="54"/>
    <cellStyle name="Normal 2 4 2" xfId="105"/>
    <cellStyle name="Normal 2 4 2 2" xfId="148"/>
    <cellStyle name="Normal 2 4 2 2 2" xfId="6716"/>
    <cellStyle name="Normal 2 4 2 2 2 2" xfId="9802"/>
    <cellStyle name="Normal 2 4 2 2 2 2 2" xfId="15995"/>
    <cellStyle name="Normal 2 4 2 2 2 2 2 2" xfId="35878"/>
    <cellStyle name="Normal 2 4 2 2 2 2 3" xfId="22147"/>
    <cellStyle name="Normal 2 4 2 2 2 2 3 2" xfId="42030"/>
    <cellStyle name="Normal 2 4 2 2 2 2 4" xfId="29725"/>
    <cellStyle name="Normal 2 4 2 2 2 3" xfId="12929"/>
    <cellStyle name="Normal 2 4 2 2 2 3 2" xfId="32812"/>
    <cellStyle name="Normal 2 4 2 2 2 4" xfId="19081"/>
    <cellStyle name="Normal 2 4 2 2 2 4 2" xfId="38964"/>
    <cellStyle name="Normal 2 4 2 2 2 5" xfId="26659"/>
    <cellStyle name="Normal 2 4 2 2 3" xfId="8267"/>
    <cellStyle name="Normal 2 4 2 2 3 2" xfId="14461"/>
    <cellStyle name="Normal 2 4 2 2 3 2 2" xfId="34344"/>
    <cellStyle name="Normal 2 4 2 2 3 3" xfId="20613"/>
    <cellStyle name="Normal 2 4 2 2 3 3 2" xfId="40496"/>
    <cellStyle name="Normal 2 4 2 2 3 4" xfId="28191"/>
    <cellStyle name="Normal 2 4 2 2 4" xfId="11395"/>
    <cellStyle name="Normal 2 4 2 2 4 2" xfId="31278"/>
    <cellStyle name="Normal 2 4 2 2 5" xfId="17547"/>
    <cellStyle name="Normal 2 4 2 2 5 2" xfId="37430"/>
    <cellStyle name="Normal 2 4 2 2 6" xfId="5091"/>
    <cellStyle name="Normal 2 4 2 2 6 2" xfId="25125"/>
    <cellStyle name="Normal 2 4 2 2 7" xfId="23242"/>
    <cellStyle name="Normal 2 4 2 2 7 2" xfId="43013"/>
    <cellStyle name="Normal 2 4 2 2 8" xfId="23391"/>
    <cellStyle name="Normal 2 4 2 3" xfId="5933"/>
    <cellStyle name="Normal 2 4 2 3 2" xfId="9033"/>
    <cellStyle name="Normal 2 4 2 3 2 2" xfId="15226"/>
    <cellStyle name="Normal 2 4 2 3 2 2 2" xfId="35109"/>
    <cellStyle name="Normal 2 4 2 3 2 3" xfId="21378"/>
    <cellStyle name="Normal 2 4 2 3 2 3 2" xfId="41261"/>
    <cellStyle name="Normal 2 4 2 3 2 4" xfId="28956"/>
    <cellStyle name="Normal 2 4 2 3 3" xfId="12160"/>
    <cellStyle name="Normal 2 4 2 3 3 2" xfId="32043"/>
    <cellStyle name="Normal 2 4 2 3 4" xfId="18312"/>
    <cellStyle name="Normal 2 4 2 3 4 2" xfId="38195"/>
    <cellStyle name="Normal 2 4 2 3 5" xfId="25890"/>
    <cellStyle name="Normal 2 4 2 4" xfId="7498"/>
    <cellStyle name="Normal 2 4 2 4 2" xfId="13692"/>
    <cellStyle name="Normal 2 4 2 4 2 2" xfId="33575"/>
    <cellStyle name="Normal 2 4 2 4 3" xfId="19844"/>
    <cellStyle name="Normal 2 4 2 4 3 2" xfId="39727"/>
    <cellStyle name="Normal 2 4 2 4 4" xfId="27422"/>
    <cellStyle name="Normal 2 4 2 5" xfId="10626"/>
    <cellStyle name="Normal 2 4 2 5 2" xfId="30509"/>
    <cellStyle name="Normal 2 4 2 6" xfId="16778"/>
    <cellStyle name="Normal 2 4 2 6 2" xfId="36661"/>
    <cellStyle name="Normal 2 4 2 7" xfId="3603"/>
    <cellStyle name="Normal 2 4 2 7 2" xfId="24356"/>
    <cellStyle name="Normal 2 4 2 8" xfId="23241"/>
    <cellStyle name="Normal 2 4 2 8 2" xfId="43012"/>
    <cellStyle name="Normal 2 4 2 9" xfId="23353"/>
    <cellStyle name="Normal 2 4 3" xfId="133"/>
    <cellStyle name="Normal 2 4 3 2" xfId="3604"/>
    <cellStyle name="Normal 2 4 3 3" xfId="23243"/>
    <cellStyle name="Normal 2 4 3 3 2" xfId="43014"/>
    <cellStyle name="Normal 2 4 3 4" xfId="23378"/>
    <cellStyle name="Normal 2 4 4" xfId="118"/>
    <cellStyle name="Normal 2 4 4 2" xfId="4675"/>
    <cellStyle name="Normal 2 4 4 3" xfId="23366"/>
    <cellStyle name="Normal 2 4 5" xfId="3602"/>
    <cellStyle name="Normal 2 4 5 2" xfId="5090"/>
    <cellStyle name="Normal 2 4 5 2 2" xfId="6715"/>
    <cellStyle name="Normal 2 4 5 2 2 2" xfId="9801"/>
    <cellStyle name="Normal 2 4 5 2 2 2 2" xfId="15994"/>
    <cellStyle name="Normal 2 4 5 2 2 2 2 2" xfId="35877"/>
    <cellStyle name="Normal 2 4 5 2 2 2 3" xfId="22146"/>
    <cellStyle name="Normal 2 4 5 2 2 2 3 2" xfId="42029"/>
    <cellStyle name="Normal 2 4 5 2 2 2 4" xfId="29724"/>
    <cellStyle name="Normal 2 4 5 2 2 3" xfId="12928"/>
    <cellStyle name="Normal 2 4 5 2 2 3 2" xfId="32811"/>
    <cellStyle name="Normal 2 4 5 2 2 4" xfId="19080"/>
    <cellStyle name="Normal 2 4 5 2 2 4 2" xfId="38963"/>
    <cellStyle name="Normal 2 4 5 2 2 5" xfId="26658"/>
    <cellStyle name="Normal 2 4 5 2 3" xfId="8266"/>
    <cellStyle name="Normal 2 4 5 2 3 2" xfId="14460"/>
    <cellStyle name="Normal 2 4 5 2 3 2 2" xfId="34343"/>
    <cellStyle name="Normal 2 4 5 2 3 3" xfId="20612"/>
    <cellStyle name="Normal 2 4 5 2 3 3 2" xfId="40495"/>
    <cellStyle name="Normal 2 4 5 2 3 4" xfId="28190"/>
    <cellStyle name="Normal 2 4 5 2 4" xfId="11394"/>
    <cellStyle name="Normal 2 4 5 2 4 2" xfId="31277"/>
    <cellStyle name="Normal 2 4 5 2 5" xfId="17546"/>
    <cellStyle name="Normal 2 4 5 2 5 2" xfId="37429"/>
    <cellStyle name="Normal 2 4 5 2 6" xfId="25124"/>
    <cellStyle name="Normal 2 4 5 3" xfId="5932"/>
    <cellStyle name="Normal 2 4 5 3 2" xfId="9032"/>
    <cellStyle name="Normal 2 4 5 3 2 2" xfId="15225"/>
    <cellStyle name="Normal 2 4 5 3 2 2 2" xfId="35108"/>
    <cellStyle name="Normal 2 4 5 3 2 3" xfId="21377"/>
    <cellStyle name="Normal 2 4 5 3 2 3 2" xfId="41260"/>
    <cellStyle name="Normal 2 4 5 3 2 4" xfId="28955"/>
    <cellStyle name="Normal 2 4 5 3 3" xfId="12159"/>
    <cellStyle name="Normal 2 4 5 3 3 2" xfId="32042"/>
    <cellStyle name="Normal 2 4 5 3 4" xfId="18311"/>
    <cellStyle name="Normal 2 4 5 3 4 2" xfId="38194"/>
    <cellStyle name="Normal 2 4 5 3 5" xfId="25889"/>
    <cellStyle name="Normal 2 4 5 4" xfId="7497"/>
    <cellStyle name="Normal 2 4 5 4 2" xfId="13691"/>
    <cellStyle name="Normal 2 4 5 4 2 2" xfId="33574"/>
    <cellStyle name="Normal 2 4 5 4 3" xfId="19843"/>
    <cellStyle name="Normal 2 4 5 4 3 2" xfId="39726"/>
    <cellStyle name="Normal 2 4 5 4 4" xfId="27421"/>
    <cellStyle name="Normal 2 4 5 5" xfId="10625"/>
    <cellStyle name="Normal 2 4 5 5 2" xfId="30508"/>
    <cellStyle name="Normal 2 4 5 6" xfId="16777"/>
    <cellStyle name="Normal 2 4 5 6 2" xfId="36660"/>
    <cellStyle name="Normal 2 4 5 7" xfId="24355"/>
    <cellStyle name="Normal 2 4 6" xfId="1238"/>
    <cellStyle name="Normal 2 4 7" xfId="23240"/>
    <cellStyle name="Normal 2 4 7 2" xfId="43011"/>
    <cellStyle name="Normal 2 4 8" xfId="23340"/>
    <cellStyle name="Normal 2 4 9" xfId="43040"/>
    <cellStyle name="Normal 2 5" xfId="72"/>
    <cellStyle name="Normal 2 5 2" xfId="106"/>
    <cellStyle name="Normal 2 5 2 2" xfId="149"/>
    <cellStyle name="Normal 2 5 2 2 2" xfId="23392"/>
    <cellStyle name="Normal 2 5 2 3" xfId="4676"/>
    <cellStyle name="Normal 2 5 2 4" xfId="23245"/>
    <cellStyle name="Normal 2 5 2 4 2" xfId="43016"/>
    <cellStyle name="Normal 2 5 2 5" xfId="23354"/>
    <cellStyle name="Normal 2 5 3" xfId="136"/>
    <cellStyle name="Normal 2 5 3 2" xfId="5092"/>
    <cellStyle name="Normal 2 5 3 2 2" xfId="6717"/>
    <cellStyle name="Normal 2 5 3 2 2 2" xfId="9803"/>
    <cellStyle name="Normal 2 5 3 2 2 2 2" xfId="15996"/>
    <cellStyle name="Normal 2 5 3 2 2 2 2 2" xfId="35879"/>
    <cellStyle name="Normal 2 5 3 2 2 2 3" xfId="22148"/>
    <cellStyle name="Normal 2 5 3 2 2 2 3 2" xfId="42031"/>
    <cellStyle name="Normal 2 5 3 2 2 2 4" xfId="29726"/>
    <cellStyle name="Normal 2 5 3 2 2 3" xfId="12930"/>
    <cellStyle name="Normal 2 5 3 2 2 3 2" xfId="32813"/>
    <cellStyle name="Normal 2 5 3 2 2 4" xfId="19082"/>
    <cellStyle name="Normal 2 5 3 2 2 4 2" xfId="38965"/>
    <cellStyle name="Normal 2 5 3 2 2 5" xfId="26660"/>
    <cellStyle name="Normal 2 5 3 2 3" xfId="8268"/>
    <cellStyle name="Normal 2 5 3 2 3 2" xfId="14462"/>
    <cellStyle name="Normal 2 5 3 2 3 2 2" xfId="34345"/>
    <cellStyle name="Normal 2 5 3 2 3 3" xfId="20614"/>
    <cellStyle name="Normal 2 5 3 2 3 3 2" xfId="40497"/>
    <cellStyle name="Normal 2 5 3 2 3 4" xfId="28192"/>
    <cellStyle name="Normal 2 5 3 2 4" xfId="11396"/>
    <cellStyle name="Normal 2 5 3 2 4 2" xfId="31279"/>
    <cellStyle name="Normal 2 5 3 2 5" xfId="17548"/>
    <cellStyle name="Normal 2 5 3 2 5 2" xfId="37431"/>
    <cellStyle name="Normal 2 5 3 2 6" xfId="25126"/>
    <cellStyle name="Normal 2 5 3 3" xfId="5934"/>
    <cellStyle name="Normal 2 5 3 3 2" xfId="9034"/>
    <cellStyle name="Normal 2 5 3 3 2 2" xfId="15227"/>
    <cellStyle name="Normal 2 5 3 3 2 2 2" xfId="35110"/>
    <cellStyle name="Normal 2 5 3 3 2 3" xfId="21379"/>
    <cellStyle name="Normal 2 5 3 3 2 3 2" xfId="41262"/>
    <cellStyle name="Normal 2 5 3 3 2 4" xfId="28957"/>
    <cellStyle name="Normal 2 5 3 3 3" xfId="12161"/>
    <cellStyle name="Normal 2 5 3 3 3 2" xfId="32044"/>
    <cellStyle name="Normal 2 5 3 3 4" xfId="18313"/>
    <cellStyle name="Normal 2 5 3 3 4 2" xfId="38196"/>
    <cellStyle name="Normal 2 5 3 3 5" xfId="25891"/>
    <cellStyle name="Normal 2 5 3 4" xfId="7499"/>
    <cellStyle name="Normal 2 5 3 4 2" xfId="13693"/>
    <cellStyle name="Normal 2 5 3 4 2 2" xfId="33576"/>
    <cellStyle name="Normal 2 5 3 4 3" xfId="19845"/>
    <cellStyle name="Normal 2 5 3 4 3 2" xfId="39728"/>
    <cellStyle name="Normal 2 5 3 4 4" xfId="27423"/>
    <cellStyle name="Normal 2 5 3 5" xfId="10627"/>
    <cellStyle name="Normal 2 5 3 5 2" xfId="30510"/>
    <cellStyle name="Normal 2 5 3 6" xfId="16779"/>
    <cellStyle name="Normal 2 5 3 6 2" xfId="36662"/>
    <cellStyle name="Normal 2 5 3 7" xfId="3605"/>
    <cellStyle name="Normal 2 5 3 7 2" xfId="24357"/>
    <cellStyle name="Normal 2 5 3 8" xfId="23379"/>
    <cellStyle name="Normal 2 5 4" xfId="119"/>
    <cellStyle name="Normal 2 5 4 2" xfId="23367"/>
    <cellStyle name="Normal 2 5 5" xfId="1239"/>
    <cellStyle name="Normal 2 5 6" xfId="23244"/>
    <cellStyle name="Normal 2 5 6 2" xfId="43015"/>
    <cellStyle name="Normal 2 5 7" xfId="23341"/>
    <cellStyle name="Normal 2 6" xfId="93"/>
    <cellStyle name="Normal 2 6 2" xfId="4677"/>
    <cellStyle name="Normal 2 6 3" xfId="3606"/>
    <cellStyle name="Normal 2 6 3 2" xfId="5093"/>
    <cellStyle name="Normal 2 6 3 2 2" xfId="6718"/>
    <cellStyle name="Normal 2 6 3 2 2 2" xfId="9804"/>
    <cellStyle name="Normal 2 6 3 2 2 2 2" xfId="15997"/>
    <cellStyle name="Normal 2 6 3 2 2 2 2 2" xfId="35880"/>
    <cellStyle name="Normal 2 6 3 2 2 2 3" xfId="22149"/>
    <cellStyle name="Normal 2 6 3 2 2 2 3 2" xfId="42032"/>
    <cellStyle name="Normal 2 6 3 2 2 2 4" xfId="29727"/>
    <cellStyle name="Normal 2 6 3 2 2 3" xfId="12931"/>
    <cellStyle name="Normal 2 6 3 2 2 3 2" xfId="32814"/>
    <cellStyle name="Normal 2 6 3 2 2 4" xfId="19083"/>
    <cellStyle name="Normal 2 6 3 2 2 4 2" xfId="38966"/>
    <cellStyle name="Normal 2 6 3 2 2 5" xfId="26661"/>
    <cellStyle name="Normal 2 6 3 2 3" xfId="8269"/>
    <cellStyle name="Normal 2 6 3 2 3 2" xfId="14463"/>
    <cellStyle name="Normal 2 6 3 2 3 2 2" xfId="34346"/>
    <cellStyle name="Normal 2 6 3 2 3 3" xfId="20615"/>
    <cellStyle name="Normal 2 6 3 2 3 3 2" xfId="40498"/>
    <cellStyle name="Normal 2 6 3 2 3 4" xfId="28193"/>
    <cellStyle name="Normal 2 6 3 2 4" xfId="11397"/>
    <cellStyle name="Normal 2 6 3 2 4 2" xfId="31280"/>
    <cellStyle name="Normal 2 6 3 2 5" xfId="17549"/>
    <cellStyle name="Normal 2 6 3 2 5 2" xfId="37432"/>
    <cellStyle name="Normal 2 6 3 2 6" xfId="25127"/>
    <cellStyle name="Normal 2 6 3 3" xfId="5935"/>
    <cellStyle name="Normal 2 6 3 3 2" xfId="9035"/>
    <cellStyle name="Normal 2 6 3 3 2 2" xfId="15228"/>
    <cellStyle name="Normal 2 6 3 3 2 2 2" xfId="35111"/>
    <cellStyle name="Normal 2 6 3 3 2 3" xfId="21380"/>
    <cellStyle name="Normal 2 6 3 3 2 3 2" xfId="41263"/>
    <cellStyle name="Normal 2 6 3 3 2 4" xfId="28958"/>
    <cellStyle name="Normal 2 6 3 3 3" xfId="12162"/>
    <cellStyle name="Normal 2 6 3 3 3 2" xfId="32045"/>
    <cellStyle name="Normal 2 6 3 3 4" xfId="18314"/>
    <cellStyle name="Normal 2 6 3 3 4 2" xfId="38197"/>
    <cellStyle name="Normal 2 6 3 3 5" xfId="25892"/>
    <cellStyle name="Normal 2 6 3 4" xfId="7500"/>
    <cellStyle name="Normal 2 6 3 4 2" xfId="13694"/>
    <cellStyle name="Normal 2 6 3 4 2 2" xfId="33577"/>
    <cellStyle name="Normal 2 6 3 4 3" xfId="19846"/>
    <cellStyle name="Normal 2 6 3 4 3 2" xfId="39729"/>
    <cellStyle name="Normal 2 6 3 4 4" xfId="27424"/>
    <cellStyle name="Normal 2 6 3 5" xfId="10628"/>
    <cellStyle name="Normal 2 6 3 5 2" xfId="30511"/>
    <cellStyle name="Normal 2 6 3 6" xfId="16780"/>
    <cellStyle name="Normal 2 6 3 6 2" xfId="36663"/>
    <cellStyle name="Normal 2 6 3 7" xfId="24358"/>
    <cellStyle name="Normal 2 6 4" xfId="1240"/>
    <cellStyle name="Normal 2 6 5" xfId="23246"/>
    <cellStyle name="Normal 2 7" xfId="80"/>
    <cellStyle name="Normal 2 7 2" xfId="4678"/>
    <cellStyle name="Normal 2 7 3" xfId="3607"/>
    <cellStyle name="Normal 2 7 3 2" xfId="5094"/>
    <cellStyle name="Normal 2 7 3 2 2" xfId="6719"/>
    <cellStyle name="Normal 2 7 3 2 2 2" xfId="9805"/>
    <cellStyle name="Normal 2 7 3 2 2 2 2" xfId="15998"/>
    <cellStyle name="Normal 2 7 3 2 2 2 2 2" xfId="35881"/>
    <cellStyle name="Normal 2 7 3 2 2 2 3" xfId="22150"/>
    <cellStyle name="Normal 2 7 3 2 2 2 3 2" xfId="42033"/>
    <cellStyle name="Normal 2 7 3 2 2 2 4" xfId="29728"/>
    <cellStyle name="Normal 2 7 3 2 2 3" xfId="12932"/>
    <cellStyle name="Normal 2 7 3 2 2 3 2" xfId="32815"/>
    <cellStyle name="Normal 2 7 3 2 2 4" xfId="19084"/>
    <cellStyle name="Normal 2 7 3 2 2 4 2" xfId="38967"/>
    <cellStyle name="Normal 2 7 3 2 2 5" xfId="26662"/>
    <cellStyle name="Normal 2 7 3 2 3" xfId="8270"/>
    <cellStyle name="Normal 2 7 3 2 3 2" xfId="14464"/>
    <cellStyle name="Normal 2 7 3 2 3 2 2" xfId="34347"/>
    <cellStyle name="Normal 2 7 3 2 3 3" xfId="20616"/>
    <cellStyle name="Normal 2 7 3 2 3 3 2" xfId="40499"/>
    <cellStyle name="Normal 2 7 3 2 3 4" xfId="28194"/>
    <cellStyle name="Normal 2 7 3 2 4" xfId="11398"/>
    <cellStyle name="Normal 2 7 3 2 4 2" xfId="31281"/>
    <cellStyle name="Normal 2 7 3 2 5" xfId="17550"/>
    <cellStyle name="Normal 2 7 3 2 5 2" xfId="37433"/>
    <cellStyle name="Normal 2 7 3 2 6" xfId="25128"/>
    <cellStyle name="Normal 2 7 3 3" xfId="5936"/>
    <cellStyle name="Normal 2 7 3 3 2" xfId="9036"/>
    <cellStyle name="Normal 2 7 3 3 2 2" xfId="15229"/>
    <cellStyle name="Normal 2 7 3 3 2 2 2" xfId="35112"/>
    <cellStyle name="Normal 2 7 3 3 2 3" xfId="21381"/>
    <cellStyle name="Normal 2 7 3 3 2 3 2" xfId="41264"/>
    <cellStyle name="Normal 2 7 3 3 2 4" xfId="28959"/>
    <cellStyle name="Normal 2 7 3 3 3" xfId="12163"/>
    <cellStyle name="Normal 2 7 3 3 3 2" xfId="32046"/>
    <cellStyle name="Normal 2 7 3 3 4" xfId="18315"/>
    <cellStyle name="Normal 2 7 3 3 4 2" xfId="38198"/>
    <cellStyle name="Normal 2 7 3 3 5" xfId="25893"/>
    <cellStyle name="Normal 2 7 3 4" xfId="7501"/>
    <cellStyle name="Normal 2 7 3 4 2" xfId="13695"/>
    <cellStyle name="Normal 2 7 3 4 2 2" xfId="33578"/>
    <cellStyle name="Normal 2 7 3 4 3" xfId="19847"/>
    <cellStyle name="Normal 2 7 3 4 3 2" xfId="39730"/>
    <cellStyle name="Normal 2 7 3 4 4" xfId="27425"/>
    <cellStyle name="Normal 2 7 3 5" xfId="10629"/>
    <cellStyle name="Normal 2 7 3 5 2" xfId="30512"/>
    <cellStyle name="Normal 2 7 3 6" xfId="16781"/>
    <cellStyle name="Normal 2 7 3 6 2" xfId="36664"/>
    <cellStyle name="Normal 2 7 3 7" xfId="24359"/>
    <cellStyle name="Normal 2 7 4" xfId="1241"/>
    <cellStyle name="Normal 2 8" xfId="1242"/>
    <cellStyle name="Normal 2 8 2" xfId="4679"/>
    <cellStyle name="Normal 2 8 3" xfId="3608"/>
    <cellStyle name="Normal 2 8 3 2" xfId="5095"/>
    <cellStyle name="Normal 2 8 3 2 2" xfId="6720"/>
    <cellStyle name="Normal 2 8 3 2 2 2" xfId="9806"/>
    <cellStyle name="Normal 2 8 3 2 2 2 2" xfId="15999"/>
    <cellStyle name="Normal 2 8 3 2 2 2 2 2" xfId="35882"/>
    <cellStyle name="Normal 2 8 3 2 2 2 3" xfId="22151"/>
    <cellStyle name="Normal 2 8 3 2 2 2 3 2" xfId="42034"/>
    <cellStyle name="Normal 2 8 3 2 2 2 4" xfId="29729"/>
    <cellStyle name="Normal 2 8 3 2 2 3" xfId="12933"/>
    <cellStyle name="Normal 2 8 3 2 2 3 2" xfId="32816"/>
    <cellStyle name="Normal 2 8 3 2 2 4" xfId="19085"/>
    <cellStyle name="Normal 2 8 3 2 2 4 2" xfId="38968"/>
    <cellStyle name="Normal 2 8 3 2 2 5" xfId="26663"/>
    <cellStyle name="Normal 2 8 3 2 3" xfId="8271"/>
    <cellStyle name="Normal 2 8 3 2 3 2" xfId="14465"/>
    <cellStyle name="Normal 2 8 3 2 3 2 2" xfId="34348"/>
    <cellStyle name="Normal 2 8 3 2 3 3" xfId="20617"/>
    <cellStyle name="Normal 2 8 3 2 3 3 2" xfId="40500"/>
    <cellStyle name="Normal 2 8 3 2 3 4" xfId="28195"/>
    <cellStyle name="Normal 2 8 3 2 4" xfId="11399"/>
    <cellStyle name="Normal 2 8 3 2 4 2" xfId="31282"/>
    <cellStyle name="Normal 2 8 3 2 5" xfId="17551"/>
    <cellStyle name="Normal 2 8 3 2 5 2" xfId="37434"/>
    <cellStyle name="Normal 2 8 3 2 6" xfId="25129"/>
    <cellStyle name="Normal 2 8 3 3" xfId="5937"/>
    <cellStyle name="Normal 2 8 3 3 2" xfId="9037"/>
    <cellStyle name="Normal 2 8 3 3 2 2" xfId="15230"/>
    <cellStyle name="Normal 2 8 3 3 2 2 2" xfId="35113"/>
    <cellStyle name="Normal 2 8 3 3 2 3" xfId="21382"/>
    <cellStyle name="Normal 2 8 3 3 2 3 2" xfId="41265"/>
    <cellStyle name="Normal 2 8 3 3 2 4" xfId="28960"/>
    <cellStyle name="Normal 2 8 3 3 3" xfId="12164"/>
    <cellStyle name="Normal 2 8 3 3 3 2" xfId="32047"/>
    <cellStyle name="Normal 2 8 3 3 4" xfId="18316"/>
    <cellStyle name="Normal 2 8 3 3 4 2" xfId="38199"/>
    <cellStyle name="Normal 2 8 3 3 5" xfId="25894"/>
    <cellStyle name="Normal 2 8 3 4" xfId="7502"/>
    <cellStyle name="Normal 2 8 3 4 2" xfId="13696"/>
    <cellStyle name="Normal 2 8 3 4 2 2" xfId="33579"/>
    <cellStyle name="Normal 2 8 3 4 3" xfId="19848"/>
    <cellStyle name="Normal 2 8 3 4 3 2" xfId="39731"/>
    <cellStyle name="Normal 2 8 3 4 4" xfId="27426"/>
    <cellStyle name="Normal 2 8 3 5" xfId="10630"/>
    <cellStyle name="Normal 2 8 3 5 2" xfId="30513"/>
    <cellStyle name="Normal 2 8 3 6" xfId="16782"/>
    <cellStyle name="Normal 2 8 3 6 2" xfId="36665"/>
    <cellStyle name="Normal 2 8 3 7" xfId="24360"/>
    <cellStyle name="Normal 2 9" xfId="1243"/>
    <cellStyle name="Normal 2 9 2" xfId="4680"/>
    <cellStyle name="Normal 2 9 3" xfId="3609"/>
    <cellStyle name="Normal 2 9 3 2" xfId="5096"/>
    <cellStyle name="Normal 2 9 3 2 2" xfId="6721"/>
    <cellStyle name="Normal 2 9 3 2 2 2" xfId="9807"/>
    <cellStyle name="Normal 2 9 3 2 2 2 2" xfId="16000"/>
    <cellStyle name="Normal 2 9 3 2 2 2 2 2" xfId="35883"/>
    <cellStyle name="Normal 2 9 3 2 2 2 3" xfId="22152"/>
    <cellStyle name="Normal 2 9 3 2 2 2 3 2" xfId="42035"/>
    <cellStyle name="Normal 2 9 3 2 2 2 4" xfId="29730"/>
    <cellStyle name="Normal 2 9 3 2 2 3" xfId="12934"/>
    <cellStyle name="Normal 2 9 3 2 2 3 2" xfId="32817"/>
    <cellStyle name="Normal 2 9 3 2 2 4" xfId="19086"/>
    <cellStyle name="Normal 2 9 3 2 2 4 2" xfId="38969"/>
    <cellStyle name="Normal 2 9 3 2 2 5" xfId="26664"/>
    <cellStyle name="Normal 2 9 3 2 3" xfId="8272"/>
    <cellStyle name="Normal 2 9 3 2 3 2" xfId="14466"/>
    <cellStyle name="Normal 2 9 3 2 3 2 2" xfId="34349"/>
    <cellStyle name="Normal 2 9 3 2 3 3" xfId="20618"/>
    <cellStyle name="Normal 2 9 3 2 3 3 2" xfId="40501"/>
    <cellStyle name="Normal 2 9 3 2 3 4" xfId="28196"/>
    <cellStyle name="Normal 2 9 3 2 4" xfId="11400"/>
    <cellStyle name="Normal 2 9 3 2 4 2" xfId="31283"/>
    <cellStyle name="Normal 2 9 3 2 5" xfId="17552"/>
    <cellStyle name="Normal 2 9 3 2 5 2" xfId="37435"/>
    <cellStyle name="Normal 2 9 3 2 6" xfId="25130"/>
    <cellStyle name="Normal 2 9 3 3" xfId="5938"/>
    <cellStyle name="Normal 2 9 3 3 2" xfId="9038"/>
    <cellStyle name="Normal 2 9 3 3 2 2" xfId="15231"/>
    <cellStyle name="Normal 2 9 3 3 2 2 2" xfId="35114"/>
    <cellStyle name="Normal 2 9 3 3 2 3" xfId="21383"/>
    <cellStyle name="Normal 2 9 3 3 2 3 2" xfId="41266"/>
    <cellStyle name="Normal 2 9 3 3 2 4" xfId="28961"/>
    <cellStyle name="Normal 2 9 3 3 3" xfId="12165"/>
    <cellStyle name="Normal 2 9 3 3 3 2" xfId="32048"/>
    <cellStyle name="Normal 2 9 3 3 4" xfId="18317"/>
    <cellStyle name="Normal 2 9 3 3 4 2" xfId="38200"/>
    <cellStyle name="Normal 2 9 3 3 5" xfId="25895"/>
    <cellStyle name="Normal 2 9 3 4" xfId="7503"/>
    <cellStyle name="Normal 2 9 3 4 2" xfId="13697"/>
    <cellStyle name="Normal 2 9 3 4 2 2" xfId="33580"/>
    <cellStyle name="Normal 2 9 3 4 3" xfId="19849"/>
    <cellStyle name="Normal 2 9 3 4 3 2" xfId="39732"/>
    <cellStyle name="Normal 2 9 3 4 4" xfId="27427"/>
    <cellStyle name="Normal 2 9 3 5" xfId="10631"/>
    <cellStyle name="Normal 2 9 3 5 2" xfId="30514"/>
    <cellStyle name="Normal 2 9 3 6" xfId="16783"/>
    <cellStyle name="Normal 2 9 3 6 2" xfId="36666"/>
    <cellStyle name="Normal 2 9 3 7" xfId="24361"/>
    <cellStyle name="Normal 2_Gas CBR Summary" xfId="24"/>
    <cellStyle name="Normal 20" xfId="406"/>
    <cellStyle name="Normal 20 10" xfId="3611"/>
    <cellStyle name="Normal 20 11" xfId="3612"/>
    <cellStyle name="Normal 20 12" xfId="3613"/>
    <cellStyle name="Normal 20 13" xfId="3614"/>
    <cellStyle name="Normal 20 14" xfId="3615"/>
    <cellStyle name="Normal 20 15" xfId="3616"/>
    <cellStyle name="Normal 20 16" xfId="3617"/>
    <cellStyle name="Normal 20 17" xfId="3618"/>
    <cellStyle name="Normal 20 18" xfId="3619"/>
    <cellStyle name="Normal 20 19" xfId="3620"/>
    <cellStyle name="Normal 20 2" xfId="3621"/>
    <cellStyle name="Normal 20 2 2" xfId="23248"/>
    <cellStyle name="Normal 20 20" xfId="3622"/>
    <cellStyle name="Normal 20 21" xfId="3623"/>
    <cellStyle name="Normal 20 22" xfId="3624"/>
    <cellStyle name="Normal 20 23" xfId="3625"/>
    <cellStyle name="Normal 20 24" xfId="3626"/>
    <cellStyle name="Normal 20 25" xfId="3610"/>
    <cellStyle name="Normal 20 26" xfId="23247"/>
    <cellStyle name="Normal 20 3" xfId="3627"/>
    <cellStyle name="Normal 20 4" xfId="3628"/>
    <cellStyle name="Normal 20 5" xfId="3629"/>
    <cellStyle name="Normal 20 6" xfId="3630"/>
    <cellStyle name="Normal 20 7" xfId="3631"/>
    <cellStyle name="Normal 20 8" xfId="3632"/>
    <cellStyle name="Normal 20 9" xfId="3633"/>
    <cellStyle name="Normal 21" xfId="418"/>
    <cellStyle name="Normal 21 10" xfId="5939"/>
    <cellStyle name="Normal 21 10 2" xfId="9039"/>
    <cellStyle name="Normal 21 10 2 2" xfId="15232"/>
    <cellStyle name="Normal 21 10 2 2 2" xfId="35115"/>
    <cellStyle name="Normal 21 10 2 3" xfId="21384"/>
    <cellStyle name="Normal 21 10 2 3 2" xfId="41267"/>
    <cellStyle name="Normal 21 10 2 4" xfId="28962"/>
    <cellStyle name="Normal 21 10 3" xfId="12166"/>
    <cellStyle name="Normal 21 10 3 2" xfId="32049"/>
    <cellStyle name="Normal 21 10 4" xfId="18318"/>
    <cellStyle name="Normal 21 10 4 2" xfId="38201"/>
    <cellStyle name="Normal 21 10 5" xfId="25896"/>
    <cellStyle name="Normal 21 11" xfId="7504"/>
    <cellStyle name="Normal 21 11 2" xfId="13698"/>
    <cellStyle name="Normal 21 11 2 2" xfId="33581"/>
    <cellStyle name="Normal 21 11 3" xfId="19850"/>
    <cellStyle name="Normal 21 11 3 2" xfId="39733"/>
    <cellStyle name="Normal 21 11 4" xfId="27428"/>
    <cellStyle name="Normal 21 12" xfId="10632"/>
    <cellStyle name="Normal 21 12 2" xfId="30515"/>
    <cellStyle name="Normal 21 13" xfId="16784"/>
    <cellStyle name="Normal 21 13 2" xfId="36667"/>
    <cellStyle name="Normal 21 14" xfId="3634"/>
    <cellStyle name="Normal 21 14 2" xfId="24362"/>
    <cellStyle name="Normal 21 2" xfId="3635"/>
    <cellStyle name="Normal 21 2 10" xfId="10633"/>
    <cellStyle name="Normal 21 2 10 2" xfId="30516"/>
    <cellStyle name="Normal 21 2 11" xfId="16785"/>
    <cellStyle name="Normal 21 2 11 2" xfId="36668"/>
    <cellStyle name="Normal 21 2 12" xfId="23249"/>
    <cellStyle name="Normal 21 2 13" xfId="24363"/>
    <cellStyle name="Normal 21 2 2" xfId="3636"/>
    <cellStyle name="Normal 21 2 2 2" xfId="5099"/>
    <cellStyle name="Normal 21 2 2 2 2" xfId="6724"/>
    <cellStyle name="Normal 21 2 2 2 2 2" xfId="9810"/>
    <cellStyle name="Normal 21 2 2 2 2 2 2" xfId="16003"/>
    <cellStyle name="Normal 21 2 2 2 2 2 2 2" xfId="35886"/>
    <cellStyle name="Normal 21 2 2 2 2 2 3" xfId="22155"/>
    <cellStyle name="Normal 21 2 2 2 2 2 3 2" xfId="42038"/>
    <cellStyle name="Normal 21 2 2 2 2 2 4" xfId="29733"/>
    <cellStyle name="Normal 21 2 2 2 2 3" xfId="12937"/>
    <cellStyle name="Normal 21 2 2 2 2 3 2" xfId="32820"/>
    <cellStyle name="Normal 21 2 2 2 2 4" xfId="19089"/>
    <cellStyle name="Normal 21 2 2 2 2 4 2" xfId="38972"/>
    <cellStyle name="Normal 21 2 2 2 2 5" xfId="26667"/>
    <cellStyle name="Normal 21 2 2 2 3" xfId="8275"/>
    <cellStyle name="Normal 21 2 2 2 3 2" xfId="14469"/>
    <cellStyle name="Normal 21 2 2 2 3 2 2" xfId="34352"/>
    <cellStyle name="Normal 21 2 2 2 3 3" xfId="20621"/>
    <cellStyle name="Normal 21 2 2 2 3 3 2" xfId="40504"/>
    <cellStyle name="Normal 21 2 2 2 3 4" xfId="28199"/>
    <cellStyle name="Normal 21 2 2 2 4" xfId="11403"/>
    <cellStyle name="Normal 21 2 2 2 4 2" xfId="31286"/>
    <cellStyle name="Normal 21 2 2 2 5" xfId="17555"/>
    <cellStyle name="Normal 21 2 2 2 5 2" xfId="37438"/>
    <cellStyle name="Normal 21 2 2 2 6" xfId="25133"/>
    <cellStyle name="Normal 21 2 2 3" xfId="5941"/>
    <cellStyle name="Normal 21 2 2 3 2" xfId="9041"/>
    <cellStyle name="Normal 21 2 2 3 2 2" xfId="15234"/>
    <cellStyle name="Normal 21 2 2 3 2 2 2" xfId="35117"/>
    <cellStyle name="Normal 21 2 2 3 2 3" xfId="21386"/>
    <cellStyle name="Normal 21 2 2 3 2 3 2" xfId="41269"/>
    <cellStyle name="Normal 21 2 2 3 2 4" xfId="28964"/>
    <cellStyle name="Normal 21 2 2 3 3" xfId="12168"/>
    <cellStyle name="Normal 21 2 2 3 3 2" xfId="32051"/>
    <cellStyle name="Normal 21 2 2 3 4" xfId="18320"/>
    <cellStyle name="Normal 21 2 2 3 4 2" xfId="38203"/>
    <cellStyle name="Normal 21 2 2 3 5" xfId="25898"/>
    <cellStyle name="Normal 21 2 2 4" xfId="7506"/>
    <cellStyle name="Normal 21 2 2 4 2" xfId="13700"/>
    <cellStyle name="Normal 21 2 2 4 2 2" xfId="33583"/>
    <cellStyle name="Normal 21 2 2 4 3" xfId="19852"/>
    <cellStyle name="Normal 21 2 2 4 3 2" xfId="39735"/>
    <cellStyle name="Normal 21 2 2 4 4" xfId="27430"/>
    <cellStyle name="Normal 21 2 2 5" xfId="10634"/>
    <cellStyle name="Normal 21 2 2 5 2" xfId="30517"/>
    <cellStyle name="Normal 21 2 2 6" xfId="16786"/>
    <cellStyle name="Normal 21 2 2 6 2" xfId="36669"/>
    <cellStyle name="Normal 21 2 2 7" xfId="24364"/>
    <cellStyle name="Normal 21 2 3" xfId="3637"/>
    <cellStyle name="Normal 21 2 3 2" xfId="5100"/>
    <cellStyle name="Normal 21 2 3 2 2" xfId="6725"/>
    <cellStyle name="Normal 21 2 3 2 2 2" xfId="9811"/>
    <cellStyle name="Normal 21 2 3 2 2 2 2" xfId="16004"/>
    <cellStyle name="Normal 21 2 3 2 2 2 2 2" xfId="35887"/>
    <cellStyle name="Normal 21 2 3 2 2 2 3" xfId="22156"/>
    <cellStyle name="Normal 21 2 3 2 2 2 3 2" xfId="42039"/>
    <cellStyle name="Normal 21 2 3 2 2 2 4" xfId="29734"/>
    <cellStyle name="Normal 21 2 3 2 2 3" xfId="12938"/>
    <cellStyle name="Normal 21 2 3 2 2 3 2" xfId="32821"/>
    <cellStyle name="Normal 21 2 3 2 2 4" xfId="19090"/>
    <cellStyle name="Normal 21 2 3 2 2 4 2" xfId="38973"/>
    <cellStyle name="Normal 21 2 3 2 2 5" xfId="26668"/>
    <cellStyle name="Normal 21 2 3 2 3" xfId="8276"/>
    <cellStyle name="Normal 21 2 3 2 3 2" xfId="14470"/>
    <cellStyle name="Normal 21 2 3 2 3 2 2" xfId="34353"/>
    <cellStyle name="Normal 21 2 3 2 3 3" xfId="20622"/>
    <cellStyle name="Normal 21 2 3 2 3 3 2" xfId="40505"/>
    <cellStyle name="Normal 21 2 3 2 3 4" xfId="28200"/>
    <cellStyle name="Normal 21 2 3 2 4" xfId="11404"/>
    <cellStyle name="Normal 21 2 3 2 4 2" xfId="31287"/>
    <cellStyle name="Normal 21 2 3 2 5" xfId="17556"/>
    <cellStyle name="Normal 21 2 3 2 5 2" xfId="37439"/>
    <cellStyle name="Normal 21 2 3 2 6" xfId="25134"/>
    <cellStyle name="Normal 21 2 3 3" xfId="5942"/>
    <cellStyle name="Normal 21 2 3 3 2" xfId="9042"/>
    <cellStyle name="Normal 21 2 3 3 2 2" xfId="15235"/>
    <cellStyle name="Normal 21 2 3 3 2 2 2" xfId="35118"/>
    <cellStyle name="Normal 21 2 3 3 2 3" xfId="21387"/>
    <cellStyle name="Normal 21 2 3 3 2 3 2" xfId="41270"/>
    <cellStyle name="Normal 21 2 3 3 2 4" xfId="28965"/>
    <cellStyle name="Normal 21 2 3 3 3" xfId="12169"/>
    <cellStyle name="Normal 21 2 3 3 3 2" xfId="32052"/>
    <cellStyle name="Normal 21 2 3 3 4" xfId="18321"/>
    <cellStyle name="Normal 21 2 3 3 4 2" xfId="38204"/>
    <cellStyle name="Normal 21 2 3 3 5" xfId="25899"/>
    <cellStyle name="Normal 21 2 3 4" xfId="7507"/>
    <cellStyle name="Normal 21 2 3 4 2" xfId="13701"/>
    <cellStyle name="Normal 21 2 3 4 2 2" xfId="33584"/>
    <cellStyle name="Normal 21 2 3 4 3" xfId="19853"/>
    <cellStyle name="Normal 21 2 3 4 3 2" xfId="39736"/>
    <cellStyle name="Normal 21 2 3 4 4" xfId="27431"/>
    <cellStyle name="Normal 21 2 3 5" xfId="10635"/>
    <cellStyle name="Normal 21 2 3 5 2" xfId="30518"/>
    <cellStyle name="Normal 21 2 3 6" xfId="16787"/>
    <cellStyle name="Normal 21 2 3 6 2" xfId="36670"/>
    <cellStyle name="Normal 21 2 3 7" xfId="24365"/>
    <cellStyle name="Normal 21 2 4" xfId="3638"/>
    <cellStyle name="Normal 21 2 4 2" xfId="5101"/>
    <cellStyle name="Normal 21 2 4 2 2" xfId="6726"/>
    <cellStyle name="Normal 21 2 4 2 2 2" xfId="9812"/>
    <cellStyle name="Normal 21 2 4 2 2 2 2" xfId="16005"/>
    <cellStyle name="Normal 21 2 4 2 2 2 2 2" xfId="35888"/>
    <cellStyle name="Normal 21 2 4 2 2 2 3" xfId="22157"/>
    <cellStyle name="Normal 21 2 4 2 2 2 3 2" xfId="42040"/>
    <cellStyle name="Normal 21 2 4 2 2 2 4" xfId="29735"/>
    <cellStyle name="Normal 21 2 4 2 2 3" xfId="12939"/>
    <cellStyle name="Normal 21 2 4 2 2 3 2" xfId="32822"/>
    <cellStyle name="Normal 21 2 4 2 2 4" xfId="19091"/>
    <cellStyle name="Normal 21 2 4 2 2 4 2" xfId="38974"/>
    <cellStyle name="Normal 21 2 4 2 2 5" xfId="26669"/>
    <cellStyle name="Normal 21 2 4 2 3" xfId="8277"/>
    <cellStyle name="Normal 21 2 4 2 3 2" xfId="14471"/>
    <cellStyle name="Normal 21 2 4 2 3 2 2" xfId="34354"/>
    <cellStyle name="Normal 21 2 4 2 3 3" xfId="20623"/>
    <cellStyle name="Normal 21 2 4 2 3 3 2" xfId="40506"/>
    <cellStyle name="Normal 21 2 4 2 3 4" xfId="28201"/>
    <cellStyle name="Normal 21 2 4 2 4" xfId="11405"/>
    <cellStyle name="Normal 21 2 4 2 4 2" xfId="31288"/>
    <cellStyle name="Normal 21 2 4 2 5" xfId="17557"/>
    <cellStyle name="Normal 21 2 4 2 5 2" xfId="37440"/>
    <cellStyle name="Normal 21 2 4 2 6" xfId="25135"/>
    <cellStyle name="Normal 21 2 4 3" xfId="5943"/>
    <cellStyle name="Normal 21 2 4 3 2" xfId="9043"/>
    <cellStyle name="Normal 21 2 4 3 2 2" xfId="15236"/>
    <cellStyle name="Normal 21 2 4 3 2 2 2" xfId="35119"/>
    <cellStyle name="Normal 21 2 4 3 2 3" xfId="21388"/>
    <cellStyle name="Normal 21 2 4 3 2 3 2" xfId="41271"/>
    <cellStyle name="Normal 21 2 4 3 2 4" xfId="28966"/>
    <cellStyle name="Normal 21 2 4 3 3" xfId="12170"/>
    <cellStyle name="Normal 21 2 4 3 3 2" xfId="32053"/>
    <cellStyle name="Normal 21 2 4 3 4" xfId="18322"/>
    <cellStyle name="Normal 21 2 4 3 4 2" xfId="38205"/>
    <cellStyle name="Normal 21 2 4 3 5" xfId="25900"/>
    <cellStyle name="Normal 21 2 4 4" xfId="7508"/>
    <cellStyle name="Normal 21 2 4 4 2" xfId="13702"/>
    <cellStyle name="Normal 21 2 4 4 2 2" xfId="33585"/>
    <cellStyle name="Normal 21 2 4 4 3" xfId="19854"/>
    <cellStyle name="Normal 21 2 4 4 3 2" xfId="39737"/>
    <cellStyle name="Normal 21 2 4 4 4" xfId="27432"/>
    <cellStyle name="Normal 21 2 4 5" xfId="10636"/>
    <cellStyle name="Normal 21 2 4 5 2" xfId="30519"/>
    <cellStyle name="Normal 21 2 4 6" xfId="16788"/>
    <cellStyle name="Normal 21 2 4 6 2" xfId="36671"/>
    <cellStyle name="Normal 21 2 4 7" xfId="24366"/>
    <cellStyle name="Normal 21 2 5" xfId="3639"/>
    <cellStyle name="Normal 21 2 5 2" xfId="5102"/>
    <cellStyle name="Normal 21 2 5 2 2" xfId="6727"/>
    <cellStyle name="Normal 21 2 5 2 2 2" xfId="9813"/>
    <cellStyle name="Normal 21 2 5 2 2 2 2" xfId="16006"/>
    <cellStyle name="Normal 21 2 5 2 2 2 2 2" xfId="35889"/>
    <cellStyle name="Normal 21 2 5 2 2 2 3" xfId="22158"/>
    <cellStyle name="Normal 21 2 5 2 2 2 3 2" xfId="42041"/>
    <cellStyle name="Normal 21 2 5 2 2 2 4" xfId="29736"/>
    <cellStyle name="Normal 21 2 5 2 2 3" xfId="12940"/>
    <cellStyle name="Normal 21 2 5 2 2 3 2" xfId="32823"/>
    <cellStyle name="Normal 21 2 5 2 2 4" xfId="19092"/>
    <cellStyle name="Normal 21 2 5 2 2 4 2" xfId="38975"/>
    <cellStyle name="Normal 21 2 5 2 2 5" xfId="26670"/>
    <cellStyle name="Normal 21 2 5 2 3" xfId="8278"/>
    <cellStyle name="Normal 21 2 5 2 3 2" xfId="14472"/>
    <cellStyle name="Normal 21 2 5 2 3 2 2" xfId="34355"/>
    <cellStyle name="Normal 21 2 5 2 3 3" xfId="20624"/>
    <cellStyle name="Normal 21 2 5 2 3 3 2" xfId="40507"/>
    <cellStyle name="Normal 21 2 5 2 3 4" xfId="28202"/>
    <cellStyle name="Normal 21 2 5 2 4" xfId="11406"/>
    <cellStyle name="Normal 21 2 5 2 4 2" xfId="31289"/>
    <cellStyle name="Normal 21 2 5 2 5" xfId="17558"/>
    <cellStyle name="Normal 21 2 5 2 5 2" xfId="37441"/>
    <cellStyle name="Normal 21 2 5 2 6" xfId="25136"/>
    <cellStyle name="Normal 21 2 5 3" xfId="5944"/>
    <cellStyle name="Normal 21 2 5 3 2" xfId="9044"/>
    <cellStyle name="Normal 21 2 5 3 2 2" xfId="15237"/>
    <cellStyle name="Normal 21 2 5 3 2 2 2" xfId="35120"/>
    <cellStyle name="Normal 21 2 5 3 2 3" xfId="21389"/>
    <cellStyle name="Normal 21 2 5 3 2 3 2" xfId="41272"/>
    <cellStyle name="Normal 21 2 5 3 2 4" xfId="28967"/>
    <cellStyle name="Normal 21 2 5 3 3" xfId="12171"/>
    <cellStyle name="Normal 21 2 5 3 3 2" xfId="32054"/>
    <cellStyle name="Normal 21 2 5 3 4" xfId="18323"/>
    <cellStyle name="Normal 21 2 5 3 4 2" xfId="38206"/>
    <cellStyle name="Normal 21 2 5 3 5" xfId="25901"/>
    <cellStyle name="Normal 21 2 5 4" xfId="7509"/>
    <cellStyle name="Normal 21 2 5 4 2" xfId="13703"/>
    <cellStyle name="Normal 21 2 5 4 2 2" xfId="33586"/>
    <cellStyle name="Normal 21 2 5 4 3" xfId="19855"/>
    <cellStyle name="Normal 21 2 5 4 3 2" xfId="39738"/>
    <cellStyle name="Normal 21 2 5 4 4" xfId="27433"/>
    <cellStyle name="Normal 21 2 5 5" xfId="10637"/>
    <cellStyle name="Normal 21 2 5 5 2" xfId="30520"/>
    <cellStyle name="Normal 21 2 5 6" xfId="16789"/>
    <cellStyle name="Normal 21 2 5 6 2" xfId="36672"/>
    <cellStyle name="Normal 21 2 5 7" xfId="24367"/>
    <cellStyle name="Normal 21 2 6" xfId="3640"/>
    <cellStyle name="Normal 21 2 6 2" xfId="5103"/>
    <cellStyle name="Normal 21 2 6 2 2" xfId="6728"/>
    <cellStyle name="Normal 21 2 6 2 2 2" xfId="9814"/>
    <cellStyle name="Normal 21 2 6 2 2 2 2" xfId="16007"/>
    <cellStyle name="Normal 21 2 6 2 2 2 2 2" xfId="35890"/>
    <cellStyle name="Normal 21 2 6 2 2 2 3" xfId="22159"/>
    <cellStyle name="Normal 21 2 6 2 2 2 3 2" xfId="42042"/>
    <cellStyle name="Normal 21 2 6 2 2 2 4" xfId="29737"/>
    <cellStyle name="Normal 21 2 6 2 2 3" xfId="12941"/>
    <cellStyle name="Normal 21 2 6 2 2 3 2" xfId="32824"/>
    <cellStyle name="Normal 21 2 6 2 2 4" xfId="19093"/>
    <cellStyle name="Normal 21 2 6 2 2 4 2" xfId="38976"/>
    <cellStyle name="Normal 21 2 6 2 2 5" xfId="26671"/>
    <cellStyle name="Normal 21 2 6 2 3" xfId="8279"/>
    <cellStyle name="Normal 21 2 6 2 3 2" xfId="14473"/>
    <cellStyle name="Normal 21 2 6 2 3 2 2" xfId="34356"/>
    <cellStyle name="Normal 21 2 6 2 3 3" xfId="20625"/>
    <cellStyle name="Normal 21 2 6 2 3 3 2" xfId="40508"/>
    <cellStyle name="Normal 21 2 6 2 3 4" xfId="28203"/>
    <cellStyle name="Normal 21 2 6 2 4" xfId="11407"/>
    <cellStyle name="Normal 21 2 6 2 4 2" xfId="31290"/>
    <cellStyle name="Normal 21 2 6 2 5" xfId="17559"/>
    <cellStyle name="Normal 21 2 6 2 5 2" xfId="37442"/>
    <cellStyle name="Normal 21 2 6 2 6" xfId="25137"/>
    <cellStyle name="Normal 21 2 6 3" xfId="5945"/>
    <cellStyle name="Normal 21 2 6 3 2" xfId="9045"/>
    <cellStyle name="Normal 21 2 6 3 2 2" xfId="15238"/>
    <cellStyle name="Normal 21 2 6 3 2 2 2" xfId="35121"/>
    <cellStyle name="Normal 21 2 6 3 2 3" xfId="21390"/>
    <cellStyle name="Normal 21 2 6 3 2 3 2" xfId="41273"/>
    <cellStyle name="Normal 21 2 6 3 2 4" xfId="28968"/>
    <cellStyle name="Normal 21 2 6 3 3" xfId="12172"/>
    <cellStyle name="Normal 21 2 6 3 3 2" xfId="32055"/>
    <cellStyle name="Normal 21 2 6 3 4" xfId="18324"/>
    <cellStyle name="Normal 21 2 6 3 4 2" xfId="38207"/>
    <cellStyle name="Normal 21 2 6 3 5" xfId="25902"/>
    <cellStyle name="Normal 21 2 6 4" xfId="7510"/>
    <cellStyle name="Normal 21 2 6 4 2" xfId="13704"/>
    <cellStyle name="Normal 21 2 6 4 2 2" xfId="33587"/>
    <cellStyle name="Normal 21 2 6 4 3" xfId="19856"/>
    <cellStyle name="Normal 21 2 6 4 3 2" xfId="39739"/>
    <cellStyle name="Normal 21 2 6 4 4" xfId="27434"/>
    <cellStyle name="Normal 21 2 6 5" xfId="10638"/>
    <cellStyle name="Normal 21 2 6 5 2" xfId="30521"/>
    <cellStyle name="Normal 21 2 6 6" xfId="16790"/>
    <cellStyle name="Normal 21 2 6 6 2" xfId="36673"/>
    <cellStyle name="Normal 21 2 6 7" xfId="24368"/>
    <cellStyle name="Normal 21 2 7" xfId="5098"/>
    <cellStyle name="Normal 21 2 7 2" xfId="6723"/>
    <cellStyle name="Normal 21 2 7 2 2" xfId="9809"/>
    <cellStyle name="Normal 21 2 7 2 2 2" xfId="16002"/>
    <cellStyle name="Normal 21 2 7 2 2 2 2" xfId="35885"/>
    <cellStyle name="Normal 21 2 7 2 2 3" xfId="22154"/>
    <cellStyle name="Normal 21 2 7 2 2 3 2" xfId="42037"/>
    <cellStyle name="Normal 21 2 7 2 2 4" xfId="29732"/>
    <cellStyle name="Normal 21 2 7 2 3" xfId="12936"/>
    <cellStyle name="Normal 21 2 7 2 3 2" xfId="32819"/>
    <cellStyle name="Normal 21 2 7 2 4" xfId="19088"/>
    <cellStyle name="Normal 21 2 7 2 4 2" xfId="38971"/>
    <cellStyle name="Normal 21 2 7 2 5" xfId="26666"/>
    <cellStyle name="Normal 21 2 7 3" xfId="8274"/>
    <cellStyle name="Normal 21 2 7 3 2" xfId="14468"/>
    <cellStyle name="Normal 21 2 7 3 2 2" xfId="34351"/>
    <cellStyle name="Normal 21 2 7 3 3" xfId="20620"/>
    <cellStyle name="Normal 21 2 7 3 3 2" xfId="40503"/>
    <cellStyle name="Normal 21 2 7 3 4" xfId="28198"/>
    <cellStyle name="Normal 21 2 7 4" xfId="11402"/>
    <cellStyle name="Normal 21 2 7 4 2" xfId="31285"/>
    <cellStyle name="Normal 21 2 7 5" xfId="17554"/>
    <cellStyle name="Normal 21 2 7 5 2" xfId="37437"/>
    <cellStyle name="Normal 21 2 7 6" xfId="25132"/>
    <cellStyle name="Normal 21 2 8" xfId="5940"/>
    <cellStyle name="Normal 21 2 8 2" xfId="9040"/>
    <cellStyle name="Normal 21 2 8 2 2" xfId="15233"/>
    <cellStyle name="Normal 21 2 8 2 2 2" xfId="35116"/>
    <cellStyle name="Normal 21 2 8 2 3" xfId="21385"/>
    <cellStyle name="Normal 21 2 8 2 3 2" xfId="41268"/>
    <cellStyle name="Normal 21 2 8 2 4" xfId="28963"/>
    <cellStyle name="Normal 21 2 8 3" xfId="12167"/>
    <cellStyle name="Normal 21 2 8 3 2" xfId="32050"/>
    <cellStyle name="Normal 21 2 8 4" xfId="18319"/>
    <cellStyle name="Normal 21 2 8 4 2" xfId="38202"/>
    <cellStyle name="Normal 21 2 8 5" xfId="25897"/>
    <cellStyle name="Normal 21 2 9" xfId="7505"/>
    <cellStyle name="Normal 21 2 9 2" xfId="13699"/>
    <cellStyle name="Normal 21 2 9 2 2" xfId="33582"/>
    <cellStyle name="Normal 21 2 9 3" xfId="19851"/>
    <cellStyle name="Normal 21 2 9 3 2" xfId="39734"/>
    <cellStyle name="Normal 21 2 9 4" xfId="27429"/>
    <cellStyle name="Normal 21 3" xfId="3641"/>
    <cellStyle name="Normal 21 3 2" xfId="3642"/>
    <cellStyle name="Normal 21 3 2 2" xfId="5105"/>
    <cellStyle name="Normal 21 3 2 2 2" xfId="6730"/>
    <cellStyle name="Normal 21 3 2 2 2 2" xfId="9816"/>
    <cellStyle name="Normal 21 3 2 2 2 2 2" xfId="16009"/>
    <cellStyle name="Normal 21 3 2 2 2 2 2 2" xfId="35892"/>
    <cellStyle name="Normal 21 3 2 2 2 2 3" xfId="22161"/>
    <cellStyle name="Normal 21 3 2 2 2 2 3 2" xfId="42044"/>
    <cellStyle name="Normal 21 3 2 2 2 2 4" xfId="29739"/>
    <cellStyle name="Normal 21 3 2 2 2 3" xfId="12943"/>
    <cellStyle name="Normal 21 3 2 2 2 3 2" xfId="32826"/>
    <cellStyle name="Normal 21 3 2 2 2 4" xfId="19095"/>
    <cellStyle name="Normal 21 3 2 2 2 4 2" xfId="38978"/>
    <cellStyle name="Normal 21 3 2 2 2 5" xfId="26673"/>
    <cellStyle name="Normal 21 3 2 2 3" xfId="8281"/>
    <cellStyle name="Normal 21 3 2 2 3 2" xfId="14475"/>
    <cellStyle name="Normal 21 3 2 2 3 2 2" xfId="34358"/>
    <cellStyle name="Normal 21 3 2 2 3 3" xfId="20627"/>
    <cellStyle name="Normal 21 3 2 2 3 3 2" xfId="40510"/>
    <cellStyle name="Normal 21 3 2 2 3 4" xfId="28205"/>
    <cellStyle name="Normal 21 3 2 2 4" xfId="11409"/>
    <cellStyle name="Normal 21 3 2 2 4 2" xfId="31292"/>
    <cellStyle name="Normal 21 3 2 2 5" xfId="17561"/>
    <cellStyle name="Normal 21 3 2 2 5 2" xfId="37444"/>
    <cellStyle name="Normal 21 3 2 2 6" xfId="25139"/>
    <cellStyle name="Normal 21 3 2 3" xfId="5947"/>
    <cellStyle name="Normal 21 3 2 3 2" xfId="9047"/>
    <cellStyle name="Normal 21 3 2 3 2 2" xfId="15240"/>
    <cellStyle name="Normal 21 3 2 3 2 2 2" xfId="35123"/>
    <cellStyle name="Normal 21 3 2 3 2 3" xfId="21392"/>
    <cellStyle name="Normal 21 3 2 3 2 3 2" xfId="41275"/>
    <cellStyle name="Normal 21 3 2 3 2 4" xfId="28970"/>
    <cellStyle name="Normal 21 3 2 3 3" xfId="12174"/>
    <cellStyle name="Normal 21 3 2 3 3 2" xfId="32057"/>
    <cellStyle name="Normal 21 3 2 3 4" xfId="18326"/>
    <cellStyle name="Normal 21 3 2 3 4 2" xfId="38209"/>
    <cellStyle name="Normal 21 3 2 3 5" xfId="25904"/>
    <cellStyle name="Normal 21 3 2 4" xfId="7512"/>
    <cellStyle name="Normal 21 3 2 4 2" xfId="13706"/>
    <cellStyle name="Normal 21 3 2 4 2 2" xfId="33589"/>
    <cellStyle name="Normal 21 3 2 4 3" xfId="19858"/>
    <cellStyle name="Normal 21 3 2 4 3 2" xfId="39741"/>
    <cellStyle name="Normal 21 3 2 4 4" xfId="27436"/>
    <cellStyle name="Normal 21 3 2 5" xfId="10640"/>
    <cellStyle name="Normal 21 3 2 5 2" xfId="30523"/>
    <cellStyle name="Normal 21 3 2 6" xfId="16792"/>
    <cellStyle name="Normal 21 3 2 6 2" xfId="36675"/>
    <cellStyle name="Normal 21 3 2 7" xfId="24370"/>
    <cellStyle name="Normal 21 3 3" xfId="5104"/>
    <cellStyle name="Normal 21 3 3 2" xfId="6729"/>
    <cellStyle name="Normal 21 3 3 2 2" xfId="9815"/>
    <cellStyle name="Normal 21 3 3 2 2 2" xfId="16008"/>
    <cellStyle name="Normal 21 3 3 2 2 2 2" xfId="35891"/>
    <cellStyle name="Normal 21 3 3 2 2 3" xfId="22160"/>
    <cellStyle name="Normal 21 3 3 2 2 3 2" xfId="42043"/>
    <cellStyle name="Normal 21 3 3 2 2 4" xfId="29738"/>
    <cellStyle name="Normal 21 3 3 2 3" xfId="12942"/>
    <cellStyle name="Normal 21 3 3 2 3 2" xfId="32825"/>
    <cellStyle name="Normal 21 3 3 2 4" xfId="19094"/>
    <cellStyle name="Normal 21 3 3 2 4 2" xfId="38977"/>
    <cellStyle name="Normal 21 3 3 2 5" xfId="26672"/>
    <cellStyle name="Normal 21 3 3 3" xfId="8280"/>
    <cellStyle name="Normal 21 3 3 3 2" xfId="14474"/>
    <cellStyle name="Normal 21 3 3 3 2 2" xfId="34357"/>
    <cellStyle name="Normal 21 3 3 3 3" xfId="20626"/>
    <cellStyle name="Normal 21 3 3 3 3 2" xfId="40509"/>
    <cellStyle name="Normal 21 3 3 3 4" xfId="28204"/>
    <cellStyle name="Normal 21 3 3 4" xfId="11408"/>
    <cellStyle name="Normal 21 3 3 4 2" xfId="31291"/>
    <cellStyle name="Normal 21 3 3 5" xfId="17560"/>
    <cellStyle name="Normal 21 3 3 5 2" xfId="37443"/>
    <cellStyle name="Normal 21 3 3 6" xfId="25138"/>
    <cellStyle name="Normal 21 3 4" xfId="5946"/>
    <cellStyle name="Normal 21 3 4 2" xfId="9046"/>
    <cellStyle name="Normal 21 3 4 2 2" xfId="15239"/>
    <cellStyle name="Normal 21 3 4 2 2 2" xfId="35122"/>
    <cellStyle name="Normal 21 3 4 2 3" xfId="21391"/>
    <cellStyle name="Normal 21 3 4 2 3 2" xfId="41274"/>
    <cellStyle name="Normal 21 3 4 2 4" xfId="28969"/>
    <cellStyle name="Normal 21 3 4 3" xfId="12173"/>
    <cellStyle name="Normal 21 3 4 3 2" xfId="32056"/>
    <cellStyle name="Normal 21 3 4 4" xfId="18325"/>
    <cellStyle name="Normal 21 3 4 4 2" xfId="38208"/>
    <cellStyle name="Normal 21 3 4 5" xfId="25903"/>
    <cellStyle name="Normal 21 3 5" xfId="7511"/>
    <cellStyle name="Normal 21 3 5 2" xfId="13705"/>
    <cellStyle name="Normal 21 3 5 2 2" xfId="33588"/>
    <cellStyle name="Normal 21 3 5 3" xfId="19857"/>
    <cellStyle name="Normal 21 3 5 3 2" xfId="39740"/>
    <cellStyle name="Normal 21 3 5 4" xfId="27435"/>
    <cellStyle name="Normal 21 3 6" xfId="10639"/>
    <cellStyle name="Normal 21 3 6 2" xfId="30522"/>
    <cellStyle name="Normal 21 3 7" xfId="16791"/>
    <cellStyle name="Normal 21 3 7 2" xfId="36674"/>
    <cellStyle name="Normal 21 3 8" xfId="24369"/>
    <cellStyle name="Normal 21 4" xfId="3643"/>
    <cellStyle name="Normal 21 4 2" xfId="5106"/>
    <cellStyle name="Normal 21 4 2 2" xfId="6731"/>
    <cellStyle name="Normal 21 4 2 2 2" xfId="9817"/>
    <cellStyle name="Normal 21 4 2 2 2 2" xfId="16010"/>
    <cellStyle name="Normal 21 4 2 2 2 2 2" xfId="35893"/>
    <cellStyle name="Normal 21 4 2 2 2 3" xfId="22162"/>
    <cellStyle name="Normal 21 4 2 2 2 3 2" xfId="42045"/>
    <cellStyle name="Normal 21 4 2 2 2 4" xfId="29740"/>
    <cellStyle name="Normal 21 4 2 2 3" xfId="12944"/>
    <cellStyle name="Normal 21 4 2 2 3 2" xfId="32827"/>
    <cellStyle name="Normal 21 4 2 2 4" xfId="19096"/>
    <cellStyle name="Normal 21 4 2 2 4 2" xfId="38979"/>
    <cellStyle name="Normal 21 4 2 2 5" xfId="26674"/>
    <cellStyle name="Normal 21 4 2 3" xfId="8282"/>
    <cellStyle name="Normal 21 4 2 3 2" xfId="14476"/>
    <cellStyle name="Normal 21 4 2 3 2 2" xfId="34359"/>
    <cellStyle name="Normal 21 4 2 3 3" xfId="20628"/>
    <cellStyle name="Normal 21 4 2 3 3 2" xfId="40511"/>
    <cellStyle name="Normal 21 4 2 3 4" xfId="28206"/>
    <cellStyle name="Normal 21 4 2 4" xfId="11410"/>
    <cellStyle name="Normal 21 4 2 4 2" xfId="31293"/>
    <cellStyle name="Normal 21 4 2 5" xfId="17562"/>
    <cellStyle name="Normal 21 4 2 5 2" xfId="37445"/>
    <cellStyle name="Normal 21 4 2 6" xfId="25140"/>
    <cellStyle name="Normal 21 4 3" xfId="5948"/>
    <cellStyle name="Normal 21 4 3 2" xfId="9048"/>
    <cellStyle name="Normal 21 4 3 2 2" xfId="15241"/>
    <cellStyle name="Normal 21 4 3 2 2 2" xfId="35124"/>
    <cellStyle name="Normal 21 4 3 2 3" xfId="21393"/>
    <cellStyle name="Normal 21 4 3 2 3 2" xfId="41276"/>
    <cellStyle name="Normal 21 4 3 2 4" xfId="28971"/>
    <cellStyle name="Normal 21 4 3 3" xfId="12175"/>
    <cellStyle name="Normal 21 4 3 3 2" xfId="32058"/>
    <cellStyle name="Normal 21 4 3 4" xfId="18327"/>
    <cellStyle name="Normal 21 4 3 4 2" xfId="38210"/>
    <cellStyle name="Normal 21 4 3 5" xfId="25905"/>
    <cellStyle name="Normal 21 4 4" xfId="7513"/>
    <cellStyle name="Normal 21 4 4 2" xfId="13707"/>
    <cellStyle name="Normal 21 4 4 2 2" xfId="33590"/>
    <cellStyle name="Normal 21 4 4 3" xfId="19859"/>
    <cellStyle name="Normal 21 4 4 3 2" xfId="39742"/>
    <cellStyle name="Normal 21 4 4 4" xfId="27437"/>
    <cellStyle name="Normal 21 4 5" xfId="10641"/>
    <cellStyle name="Normal 21 4 5 2" xfId="30524"/>
    <cellStyle name="Normal 21 4 6" xfId="16793"/>
    <cellStyle name="Normal 21 4 6 2" xfId="36676"/>
    <cellStyle name="Normal 21 4 7" xfId="24371"/>
    <cellStyle name="Normal 21 5" xfId="3644"/>
    <cellStyle name="Normal 21 5 2" xfId="5107"/>
    <cellStyle name="Normal 21 5 2 2" xfId="6732"/>
    <cellStyle name="Normal 21 5 2 2 2" xfId="9818"/>
    <cellStyle name="Normal 21 5 2 2 2 2" xfId="16011"/>
    <cellStyle name="Normal 21 5 2 2 2 2 2" xfId="35894"/>
    <cellStyle name="Normal 21 5 2 2 2 3" xfId="22163"/>
    <cellStyle name="Normal 21 5 2 2 2 3 2" xfId="42046"/>
    <cellStyle name="Normal 21 5 2 2 2 4" xfId="29741"/>
    <cellStyle name="Normal 21 5 2 2 3" xfId="12945"/>
    <cellStyle name="Normal 21 5 2 2 3 2" xfId="32828"/>
    <cellStyle name="Normal 21 5 2 2 4" xfId="19097"/>
    <cellStyle name="Normal 21 5 2 2 4 2" xfId="38980"/>
    <cellStyle name="Normal 21 5 2 2 5" xfId="26675"/>
    <cellStyle name="Normal 21 5 2 3" xfId="8283"/>
    <cellStyle name="Normal 21 5 2 3 2" xfId="14477"/>
    <cellStyle name="Normal 21 5 2 3 2 2" xfId="34360"/>
    <cellStyle name="Normal 21 5 2 3 3" xfId="20629"/>
    <cellStyle name="Normal 21 5 2 3 3 2" xfId="40512"/>
    <cellStyle name="Normal 21 5 2 3 4" xfId="28207"/>
    <cellStyle name="Normal 21 5 2 4" xfId="11411"/>
    <cellStyle name="Normal 21 5 2 4 2" xfId="31294"/>
    <cellStyle name="Normal 21 5 2 5" xfId="17563"/>
    <cellStyle name="Normal 21 5 2 5 2" xfId="37446"/>
    <cellStyle name="Normal 21 5 2 6" xfId="25141"/>
    <cellStyle name="Normal 21 5 3" xfId="5949"/>
    <cellStyle name="Normal 21 5 3 2" xfId="9049"/>
    <cellStyle name="Normal 21 5 3 2 2" xfId="15242"/>
    <cellStyle name="Normal 21 5 3 2 2 2" xfId="35125"/>
    <cellStyle name="Normal 21 5 3 2 3" xfId="21394"/>
    <cellStyle name="Normal 21 5 3 2 3 2" xfId="41277"/>
    <cellStyle name="Normal 21 5 3 2 4" xfId="28972"/>
    <cellStyle name="Normal 21 5 3 3" xfId="12176"/>
    <cellStyle name="Normal 21 5 3 3 2" xfId="32059"/>
    <cellStyle name="Normal 21 5 3 4" xfId="18328"/>
    <cellStyle name="Normal 21 5 3 4 2" xfId="38211"/>
    <cellStyle name="Normal 21 5 3 5" xfId="25906"/>
    <cellStyle name="Normal 21 5 4" xfId="7514"/>
    <cellStyle name="Normal 21 5 4 2" xfId="13708"/>
    <cellStyle name="Normal 21 5 4 2 2" xfId="33591"/>
    <cellStyle name="Normal 21 5 4 3" xfId="19860"/>
    <cellStyle name="Normal 21 5 4 3 2" xfId="39743"/>
    <cellStyle name="Normal 21 5 4 4" xfId="27438"/>
    <cellStyle name="Normal 21 5 5" xfId="10642"/>
    <cellStyle name="Normal 21 5 5 2" xfId="30525"/>
    <cellStyle name="Normal 21 5 6" xfId="16794"/>
    <cellStyle name="Normal 21 5 6 2" xfId="36677"/>
    <cellStyle name="Normal 21 5 7" xfId="24372"/>
    <cellStyle name="Normal 21 6" xfId="3645"/>
    <cellStyle name="Normal 21 6 2" xfId="5108"/>
    <cellStyle name="Normal 21 6 2 2" xfId="6733"/>
    <cellStyle name="Normal 21 6 2 2 2" xfId="9819"/>
    <cellStyle name="Normal 21 6 2 2 2 2" xfId="16012"/>
    <cellStyle name="Normal 21 6 2 2 2 2 2" xfId="35895"/>
    <cellStyle name="Normal 21 6 2 2 2 3" xfId="22164"/>
    <cellStyle name="Normal 21 6 2 2 2 3 2" xfId="42047"/>
    <cellStyle name="Normal 21 6 2 2 2 4" xfId="29742"/>
    <cellStyle name="Normal 21 6 2 2 3" xfId="12946"/>
    <cellStyle name="Normal 21 6 2 2 3 2" xfId="32829"/>
    <cellStyle name="Normal 21 6 2 2 4" xfId="19098"/>
    <cellStyle name="Normal 21 6 2 2 4 2" xfId="38981"/>
    <cellStyle name="Normal 21 6 2 2 5" xfId="26676"/>
    <cellStyle name="Normal 21 6 2 3" xfId="8284"/>
    <cellStyle name="Normal 21 6 2 3 2" xfId="14478"/>
    <cellStyle name="Normal 21 6 2 3 2 2" xfId="34361"/>
    <cellStyle name="Normal 21 6 2 3 3" xfId="20630"/>
    <cellStyle name="Normal 21 6 2 3 3 2" xfId="40513"/>
    <cellStyle name="Normal 21 6 2 3 4" xfId="28208"/>
    <cellStyle name="Normal 21 6 2 4" xfId="11412"/>
    <cellStyle name="Normal 21 6 2 4 2" xfId="31295"/>
    <cellStyle name="Normal 21 6 2 5" xfId="17564"/>
    <cellStyle name="Normal 21 6 2 5 2" xfId="37447"/>
    <cellStyle name="Normal 21 6 2 6" xfId="25142"/>
    <cellStyle name="Normal 21 6 3" xfId="5950"/>
    <cellStyle name="Normal 21 6 3 2" xfId="9050"/>
    <cellStyle name="Normal 21 6 3 2 2" xfId="15243"/>
    <cellStyle name="Normal 21 6 3 2 2 2" xfId="35126"/>
    <cellStyle name="Normal 21 6 3 2 3" xfId="21395"/>
    <cellStyle name="Normal 21 6 3 2 3 2" xfId="41278"/>
    <cellStyle name="Normal 21 6 3 2 4" xfId="28973"/>
    <cellStyle name="Normal 21 6 3 3" xfId="12177"/>
    <cellStyle name="Normal 21 6 3 3 2" xfId="32060"/>
    <cellStyle name="Normal 21 6 3 4" xfId="18329"/>
    <cellStyle name="Normal 21 6 3 4 2" xfId="38212"/>
    <cellStyle name="Normal 21 6 3 5" xfId="25907"/>
    <cellStyle name="Normal 21 6 4" xfId="7515"/>
    <cellStyle name="Normal 21 6 4 2" xfId="13709"/>
    <cellStyle name="Normal 21 6 4 2 2" xfId="33592"/>
    <cellStyle name="Normal 21 6 4 3" xfId="19861"/>
    <cellStyle name="Normal 21 6 4 3 2" xfId="39744"/>
    <cellStyle name="Normal 21 6 4 4" xfId="27439"/>
    <cellStyle name="Normal 21 6 5" xfId="10643"/>
    <cellStyle name="Normal 21 6 5 2" xfId="30526"/>
    <cellStyle name="Normal 21 6 6" xfId="16795"/>
    <cellStyle name="Normal 21 6 6 2" xfId="36678"/>
    <cellStyle name="Normal 21 6 7" xfId="24373"/>
    <cellStyle name="Normal 21 7" xfId="3646"/>
    <cellStyle name="Normal 21 8" xfId="3647"/>
    <cellStyle name="Normal 21 8 2" xfId="5109"/>
    <cellStyle name="Normal 21 8 2 2" xfId="6734"/>
    <cellStyle name="Normal 21 8 2 2 2" xfId="9820"/>
    <cellStyle name="Normal 21 8 2 2 2 2" xfId="16013"/>
    <cellStyle name="Normal 21 8 2 2 2 2 2" xfId="35896"/>
    <cellStyle name="Normal 21 8 2 2 2 3" xfId="22165"/>
    <cellStyle name="Normal 21 8 2 2 2 3 2" xfId="42048"/>
    <cellStyle name="Normal 21 8 2 2 2 4" xfId="29743"/>
    <cellStyle name="Normal 21 8 2 2 3" xfId="12947"/>
    <cellStyle name="Normal 21 8 2 2 3 2" xfId="32830"/>
    <cellStyle name="Normal 21 8 2 2 4" xfId="19099"/>
    <cellStyle name="Normal 21 8 2 2 4 2" xfId="38982"/>
    <cellStyle name="Normal 21 8 2 2 5" xfId="26677"/>
    <cellStyle name="Normal 21 8 2 3" xfId="8285"/>
    <cellStyle name="Normal 21 8 2 3 2" xfId="14479"/>
    <cellStyle name="Normal 21 8 2 3 2 2" xfId="34362"/>
    <cellStyle name="Normal 21 8 2 3 3" xfId="20631"/>
    <cellStyle name="Normal 21 8 2 3 3 2" xfId="40514"/>
    <cellStyle name="Normal 21 8 2 3 4" xfId="28209"/>
    <cellStyle name="Normal 21 8 2 4" xfId="11413"/>
    <cellStyle name="Normal 21 8 2 4 2" xfId="31296"/>
    <cellStyle name="Normal 21 8 2 5" xfId="17565"/>
    <cellStyle name="Normal 21 8 2 5 2" xfId="37448"/>
    <cellStyle name="Normal 21 8 2 6" xfId="25143"/>
    <cellStyle name="Normal 21 8 3" xfId="5951"/>
    <cellStyle name="Normal 21 8 3 2" xfId="9051"/>
    <cellStyle name="Normal 21 8 3 2 2" xfId="15244"/>
    <cellStyle name="Normal 21 8 3 2 2 2" xfId="35127"/>
    <cellStyle name="Normal 21 8 3 2 3" xfId="21396"/>
    <cellStyle name="Normal 21 8 3 2 3 2" xfId="41279"/>
    <cellStyle name="Normal 21 8 3 2 4" xfId="28974"/>
    <cellStyle name="Normal 21 8 3 3" xfId="12178"/>
    <cellStyle name="Normal 21 8 3 3 2" xfId="32061"/>
    <cellStyle name="Normal 21 8 3 4" xfId="18330"/>
    <cellStyle name="Normal 21 8 3 4 2" xfId="38213"/>
    <cellStyle name="Normal 21 8 3 5" xfId="25908"/>
    <cellStyle name="Normal 21 8 4" xfId="7516"/>
    <cellStyle name="Normal 21 8 4 2" xfId="13710"/>
    <cellStyle name="Normal 21 8 4 2 2" xfId="33593"/>
    <cellStyle name="Normal 21 8 4 3" xfId="19862"/>
    <cellStyle name="Normal 21 8 4 3 2" xfId="39745"/>
    <cellStyle name="Normal 21 8 4 4" xfId="27440"/>
    <cellStyle name="Normal 21 8 5" xfId="10644"/>
    <cellStyle name="Normal 21 8 5 2" xfId="30527"/>
    <cellStyle name="Normal 21 8 6" xfId="16796"/>
    <cellStyle name="Normal 21 8 6 2" xfId="36679"/>
    <cellStyle name="Normal 21 8 7" xfId="24374"/>
    <cellStyle name="Normal 21 9" xfId="5097"/>
    <cellStyle name="Normal 21 9 2" xfId="6722"/>
    <cellStyle name="Normal 21 9 2 2" xfId="9808"/>
    <cellStyle name="Normal 21 9 2 2 2" xfId="16001"/>
    <cellStyle name="Normal 21 9 2 2 2 2" xfId="35884"/>
    <cellStyle name="Normal 21 9 2 2 3" xfId="22153"/>
    <cellStyle name="Normal 21 9 2 2 3 2" xfId="42036"/>
    <cellStyle name="Normal 21 9 2 2 4" xfId="29731"/>
    <cellStyle name="Normal 21 9 2 3" xfId="12935"/>
    <cellStyle name="Normal 21 9 2 3 2" xfId="32818"/>
    <cellStyle name="Normal 21 9 2 4" xfId="19087"/>
    <cellStyle name="Normal 21 9 2 4 2" xfId="38970"/>
    <cellStyle name="Normal 21 9 2 5" xfId="26665"/>
    <cellStyle name="Normal 21 9 3" xfId="8273"/>
    <cellStyle name="Normal 21 9 3 2" xfId="14467"/>
    <cellStyle name="Normal 21 9 3 2 2" xfId="34350"/>
    <cellStyle name="Normal 21 9 3 3" xfId="20619"/>
    <cellStyle name="Normal 21 9 3 3 2" xfId="40502"/>
    <cellStyle name="Normal 21 9 3 4" xfId="28197"/>
    <cellStyle name="Normal 21 9 4" xfId="11401"/>
    <cellStyle name="Normal 21 9 4 2" xfId="31284"/>
    <cellStyle name="Normal 21 9 5" xfId="17553"/>
    <cellStyle name="Normal 21 9 5 2" xfId="37436"/>
    <cellStyle name="Normal 21 9 6" xfId="25131"/>
    <cellStyle name="Normal 22" xfId="430"/>
    <cellStyle name="Normal 22 10" xfId="7517"/>
    <cellStyle name="Normal 22 10 2" xfId="13711"/>
    <cellStyle name="Normal 22 10 2 2" xfId="33594"/>
    <cellStyle name="Normal 22 10 3" xfId="19863"/>
    <cellStyle name="Normal 22 10 3 2" xfId="39746"/>
    <cellStyle name="Normal 22 10 4" xfId="27441"/>
    <cellStyle name="Normal 22 11" xfId="10645"/>
    <cellStyle name="Normal 22 11 2" xfId="30528"/>
    <cellStyle name="Normal 22 12" xfId="16797"/>
    <cellStyle name="Normal 22 12 2" xfId="36680"/>
    <cellStyle name="Normal 22 13" xfId="3648"/>
    <cellStyle name="Normal 22 13 2" xfId="24375"/>
    <cellStyle name="Normal 22 2" xfId="3649"/>
    <cellStyle name="Normal 22 2 10" xfId="10646"/>
    <cellStyle name="Normal 22 2 10 2" xfId="30529"/>
    <cellStyle name="Normal 22 2 11" xfId="16798"/>
    <cellStyle name="Normal 22 2 11 2" xfId="36681"/>
    <cellStyle name="Normal 22 2 12" xfId="24376"/>
    <cellStyle name="Normal 22 2 2" xfId="3650"/>
    <cellStyle name="Normal 22 2 2 2" xfId="5112"/>
    <cellStyle name="Normal 22 2 2 2 2" xfId="6737"/>
    <cellStyle name="Normal 22 2 2 2 2 2" xfId="9823"/>
    <cellStyle name="Normal 22 2 2 2 2 2 2" xfId="16016"/>
    <cellStyle name="Normal 22 2 2 2 2 2 2 2" xfId="35899"/>
    <cellStyle name="Normal 22 2 2 2 2 2 3" xfId="22168"/>
    <cellStyle name="Normal 22 2 2 2 2 2 3 2" xfId="42051"/>
    <cellStyle name="Normal 22 2 2 2 2 2 4" xfId="29746"/>
    <cellStyle name="Normal 22 2 2 2 2 3" xfId="12950"/>
    <cellStyle name="Normal 22 2 2 2 2 3 2" xfId="32833"/>
    <cellStyle name="Normal 22 2 2 2 2 4" xfId="19102"/>
    <cellStyle name="Normal 22 2 2 2 2 4 2" xfId="38985"/>
    <cellStyle name="Normal 22 2 2 2 2 5" xfId="26680"/>
    <cellStyle name="Normal 22 2 2 2 3" xfId="8288"/>
    <cellStyle name="Normal 22 2 2 2 3 2" xfId="14482"/>
    <cellStyle name="Normal 22 2 2 2 3 2 2" xfId="34365"/>
    <cellStyle name="Normal 22 2 2 2 3 3" xfId="20634"/>
    <cellStyle name="Normal 22 2 2 2 3 3 2" xfId="40517"/>
    <cellStyle name="Normal 22 2 2 2 3 4" xfId="28212"/>
    <cellStyle name="Normal 22 2 2 2 4" xfId="11416"/>
    <cellStyle name="Normal 22 2 2 2 4 2" xfId="31299"/>
    <cellStyle name="Normal 22 2 2 2 5" xfId="17568"/>
    <cellStyle name="Normal 22 2 2 2 5 2" xfId="37451"/>
    <cellStyle name="Normal 22 2 2 2 6" xfId="25146"/>
    <cellStyle name="Normal 22 2 2 3" xfId="5954"/>
    <cellStyle name="Normal 22 2 2 3 2" xfId="9054"/>
    <cellStyle name="Normal 22 2 2 3 2 2" xfId="15247"/>
    <cellStyle name="Normal 22 2 2 3 2 2 2" xfId="35130"/>
    <cellStyle name="Normal 22 2 2 3 2 3" xfId="21399"/>
    <cellStyle name="Normal 22 2 2 3 2 3 2" xfId="41282"/>
    <cellStyle name="Normal 22 2 2 3 2 4" xfId="28977"/>
    <cellStyle name="Normal 22 2 2 3 3" xfId="12181"/>
    <cellStyle name="Normal 22 2 2 3 3 2" xfId="32064"/>
    <cellStyle name="Normal 22 2 2 3 4" xfId="18333"/>
    <cellStyle name="Normal 22 2 2 3 4 2" xfId="38216"/>
    <cellStyle name="Normal 22 2 2 3 5" xfId="25911"/>
    <cellStyle name="Normal 22 2 2 4" xfId="7519"/>
    <cellStyle name="Normal 22 2 2 4 2" xfId="13713"/>
    <cellStyle name="Normal 22 2 2 4 2 2" xfId="33596"/>
    <cellStyle name="Normal 22 2 2 4 3" xfId="19865"/>
    <cellStyle name="Normal 22 2 2 4 3 2" xfId="39748"/>
    <cellStyle name="Normal 22 2 2 4 4" xfId="27443"/>
    <cellStyle name="Normal 22 2 2 5" xfId="10647"/>
    <cellStyle name="Normal 22 2 2 5 2" xfId="30530"/>
    <cellStyle name="Normal 22 2 2 6" xfId="16799"/>
    <cellStyle name="Normal 22 2 2 6 2" xfId="36682"/>
    <cellStyle name="Normal 22 2 2 7" xfId="24377"/>
    <cellStyle name="Normal 22 2 3" xfId="3651"/>
    <cellStyle name="Normal 22 2 3 2" xfId="5113"/>
    <cellStyle name="Normal 22 2 3 2 2" xfId="6738"/>
    <cellStyle name="Normal 22 2 3 2 2 2" xfId="9824"/>
    <cellStyle name="Normal 22 2 3 2 2 2 2" xfId="16017"/>
    <cellStyle name="Normal 22 2 3 2 2 2 2 2" xfId="35900"/>
    <cellStyle name="Normal 22 2 3 2 2 2 3" xfId="22169"/>
    <cellStyle name="Normal 22 2 3 2 2 2 3 2" xfId="42052"/>
    <cellStyle name="Normal 22 2 3 2 2 2 4" xfId="29747"/>
    <cellStyle name="Normal 22 2 3 2 2 3" xfId="12951"/>
    <cellStyle name="Normal 22 2 3 2 2 3 2" xfId="32834"/>
    <cellStyle name="Normal 22 2 3 2 2 4" xfId="19103"/>
    <cellStyle name="Normal 22 2 3 2 2 4 2" xfId="38986"/>
    <cellStyle name="Normal 22 2 3 2 2 5" xfId="26681"/>
    <cellStyle name="Normal 22 2 3 2 3" xfId="8289"/>
    <cellStyle name="Normal 22 2 3 2 3 2" xfId="14483"/>
    <cellStyle name="Normal 22 2 3 2 3 2 2" xfId="34366"/>
    <cellStyle name="Normal 22 2 3 2 3 3" xfId="20635"/>
    <cellStyle name="Normal 22 2 3 2 3 3 2" xfId="40518"/>
    <cellStyle name="Normal 22 2 3 2 3 4" xfId="28213"/>
    <cellStyle name="Normal 22 2 3 2 4" xfId="11417"/>
    <cellStyle name="Normal 22 2 3 2 4 2" xfId="31300"/>
    <cellStyle name="Normal 22 2 3 2 5" xfId="17569"/>
    <cellStyle name="Normal 22 2 3 2 5 2" xfId="37452"/>
    <cellStyle name="Normal 22 2 3 2 6" xfId="25147"/>
    <cellStyle name="Normal 22 2 3 3" xfId="5955"/>
    <cellStyle name="Normal 22 2 3 3 2" xfId="9055"/>
    <cellStyle name="Normal 22 2 3 3 2 2" xfId="15248"/>
    <cellStyle name="Normal 22 2 3 3 2 2 2" xfId="35131"/>
    <cellStyle name="Normal 22 2 3 3 2 3" xfId="21400"/>
    <cellStyle name="Normal 22 2 3 3 2 3 2" xfId="41283"/>
    <cellStyle name="Normal 22 2 3 3 2 4" xfId="28978"/>
    <cellStyle name="Normal 22 2 3 3 3" xfId="12182"/>
    <cellStyle name="Normal 22 2 3 3 3 2" xfId="32065"/>
    <cellStyle name="Normal 22 2 3 3 4" xfId="18334"/>
    <cellStyle name="Normal 22 2 3 3 4 2" xfId="38217"/>
    <cellStyle name="Normal 22 2 3 3 5" xfId="25912"/>
    <cellStyle name="Normal 22 2 3 4" xfId="7520"/>
    <cellStyle name="Normal 22 2 3 4 2" xfId="13714"/>
    <cellStyle name="Normal 22 2 3 4 2 2" xfId="33597"/>
    <cellStyle name="Normal 22 2 3 4 3" xfId="19866"/>
    <cellStyle name="Normal 22 2 3 4 3 2" xfId="39749"/>
    <cellStyle name="Normal 22 2 3 4 4" xfId="27444"/>
    <cellStyle name="Normal 22 2 3 5" xfId="10648"/>
    <cellStyle name="Normal 22 2 3 5 2" xfId="30531"/>
    <cellStyle name="Normal 22 2 3 6" xfId="16800"/>
    <cellStyle name="Normal 22 2 3 6 2" xfId="36683"/>
    <cellStyle name="Normal 22 2 3 7" xfId="24378"/>
    <cellStyle name="Normal 22 2 4" xfId="3652"/>
    <cellStyle name="Normal 22 2 4 2" xfId="5114"/>
    <cellStyle name="Normal 22 2 4 2 2" xfId="6739"/>
    <cellStyle name="Normal 22 2 4 2 2 2" xfId="9825"/>
    <cellStyle name="Normal 22 2 4 2 2 2 2" xfId="16018"/>
    <cellStyle name="Normal 22 2 4 2 2 2 2 2" xfId="35901"/>
    <cellStyle name="Normal 22 2 4 2 2 2 3" xfId="22170"/>
    <cellStyle name="Normal 22 2 4 2 2 2 3 2" xfId="42053"/>
    <cellStyle name="Normal 22 2 4 2 2 2 4" xfId="29748"/>
    <cellStyle name="Normal 22 2 4 2 2 3" xfId="12952"/>
    <cellStyle name="Normal 22 2 4 2 2 3 2" xfId="32835"/>
    <cellStyle name="Normal 22 2 4 2 2 4" xfId="19104"/>
    <cellStyle name="Normal 22 2 4 2 2 4 2" xfId="38987"/>
    <cellStyle name="Normal 22 2 4 2 2 5" xfId="26682"/>
    <cellStyle name="Normal 22 2 4 2 3" xfId="8290"/>
    <cellStyle name="Normal 22 2 4 2 3 2" xfId="14484"/>
    <cellStyle name="Normal 22 2 4 2 3 2 2" xfId="34367"/>
    <cellStyle name="Normal 22 2 4 2 3 3" xfId="20636"/>
    <cellStyle name="Normal 22 2 4 2 3 3 2" xfId="40519"/>
    <cellStyle name="Normal 22 2 4 2 3 4" xfId="28214"/>
    <cellStyle name="Normal 22 2 4 2 4" xfId="11418"/>
    <cellStyle name="Normal 22 2 4 2 4 2" xfId="31301"/>
    <cellStyle name="Normal 22 2 4 2 5" xfId="17570"/>
    <cellStyle name="Normal 22 2 4 2 5 2" xfId="37453"/>
    <cellStyle name="Normal 22 2 4 2 6" xfId="25148"/>
    <cellStyle name="Normal 22 2 4 3" xfId="5956"/>
    <cellStyle name="Normal 22 2 4 3 2" xfId="9056"/>
    <cellStyle name="Normal 22 2 4 3 2 2" xfId="15249"/>
    <cellStyle name="Normal 22 2 4 3 2 2 2" xfId="35132"/>
    <cellStyle name="Normal 22 2 4 3 2 3" xfId="21401"/>
    <cellStyle name="Normal 22 2 4 3 2 3 2" xfId="41284"/>
    <cellStyle name="Normal 22 2 4 3 2 4" xfId="28979"/>
    <cellStyle name="Normal 22 2 4 3 3" xfId="12183"/>
    <cellStyle name="Normal 22 2 4 3 3 2" xfId="32066"/>
    <cellStyle name="Normal 22 2 4 3 4" xfId="18335"/>
    <cellStyle name="Normal 22 2 4 3 4 2" xfId="38218"/>
    <cellStyle name="Normal 22 2 4 3 5" xfId="25913"/>
    <cellStyle name="Normal 22 2 4 4" xfId="7521"/>
    <cellStyle name="Normal 22 2 4 4 2" xfId="13715"/>
    <cellStyle name="Normal 22 2 4 4 2 2" xfId="33598"/>
    <cellStyle name="Normal 22 2 4 4 3" xfId="19867"/>
    <cellStyle name="Normal 22 2 4 4 3 2" xfId="39750"/>
    <cellStyle name="Normal 22 2 4 4 4" xfId="27445"/>
    <cellStyle name="Normal 22 2 4 5" xfId="10649"/>
    <cellStyle name="Normal 22 2 4 5 2" xfId="30532"/>
    <cellStyle name="Normal 22 2 4 6" xfId="16801"/>
    <cellStyle name="Normal 22 2 4 6 2" xfId="36684"/>
    <cellStyle name="Normal 22 2 4 7" xfId="24379"/>
    <cellStyle name="Normal 22 2 5" xfId="3653"/>
    <cellStyle name="Normal 22 2 5 2" xfId="5115"/>
    <cellStyle name="Normal 22 2 5 2 2" xfId="6740"/>
    <cellStyle name="Normal 22 2 5 2 2 2" xfId="9826"/>
    <cellStyle name="Normal 22 2 5 2 2 2 2" xfId="16019"/>
    <cellStyle name="Normal 22 2 5 2 2 2 2 2" xfId="35902"/>
    <cellStyle name="Normal 22 2 5 2 2 2 3" xfId="22171"/>
    <cellStyle name="Normal 22 2 5 2 2 2 3 2" xfId="42054"/>
    <cellStyle name="Normal 22 2 5 2 2 2 4" xfId="29749"/>
    <cellStyle name="Normal 22 2 5 2 2 3" xfId="12953"/>
    <cellStyle name="Normal 22 2 5 2 2 3 2" xfId="32836"/>
    <cellStyle name="Normal 22 2 5 2 2 4" xfId="19105"/>
    <cellStyle name="Normal 22 2 5 2 2 4 2" xfId="38988"/>
    <cellStyle name="Normal 22 2 5 2 2 5" xfId="26683"/>
    <cellStyle name="Normal 22 2 5 2 3" xfId="8291"/>
    <cellStyle name="Normal 22 2 5 2 3 2" xfId="14485"/>
    <cellStyle name="Normal 22 2 5 2 3 2 2" xfId="34368"/>
    <cellStyle name="Normal 22 2 5 2 3 3" xfId="20637"/>
    <cellStyle name="Normal 22 2 5 2 3 3 2" xfId="40520"/>
    <cellStyle name="Normal 22 2 5 2 3 4" xfId="28215"/>
    <cellStyle name="Normal 22 2 5 2 4" xfId="11419"/>
    <cellStyle name="Normal 22 2 5 2 4 2" xfId="31302"/>
    <cellStyle name="Normal 22 2 5 2 5" xfId="17571"/>
    <cellStyle name="Normal 22 2 5 2 5 2" xfId="37454"/>
    <cellStyle name="Normal 22 2 5 2 6" xfId="25149"/>
    <cellStyle name="Normal 22 2 5 3" xfId="5957"/>
    <cellStyle name="Normal 22 2 5 3 2" xfId="9057"/>
    <cellStyle name="Normal 22 2 5 3 2 2" xfId="15250"/>
    <cellStyle name="Normal 22 2 5 3 2 2 2" xfId="35133"/>
    <cellStyle name="Normal 22 2 5 3 2 3" xfId="21402"/>
    <cellStyle name="Normal 22 2 5 3 2 3 2" xfId="41285"/>
    <cellStyle name="Normal 22 2 5 3 2 4" xfId="28980"/>
    <cellStyle name="Normal 22 2 5 3 3" xfId="12184"/>
    <cellStyle name="Normal 22 2 5 3 3 2" xfId="32067"/>
    <cellStyle name="Normal 22 2 5 3 4" xfId="18336"/>
    <cellStyle name="Normal 22 2 5 3 4 2" xfId="38219"/>
    <cellStyle name="Normal 22 2 5 3 5" xfId="25914"/>
    <cellStyle name="Normal 22 2 5 4" xfId="7522"/>
    <cellStyle name="Normal 22 2 5 4 2" xfId="13716"/>
    <cellStyle name="Normal 22 2 5 4 2 2" xfId="33599"/>
    <cellStyle name="Normal 22 2 5 4 3" xfId="19868"/>
    <cellStyle name="Normal 22 2 5 4 3 2" xfId="39751"/>
    <cellStyle name="Normal 22 2 5 4 4" xfId="27446"/>
    <cellStyle name="Normal 22 2 5 5" xfId="10650"/>
    <cellStyle name="Normal 22 2 5 5 2" xfId="30533"/>
    <cellStyle name="Normal 22 2 5 6" xfId="16802"/>
    <cellStyle name="Normal 22 2 5 6 2" xfId="36685"/>
    <cellStyle name="Normal 22 2 5 7" xfId="24380"/>
    <cellStyle name="Normal 22 2 6" xfId="3654"/>
    <cellStyle name="Normal 22 2 7" xfId="5111"/>
    <cellStyle name="Normal 22 2 7 2" xfId="6736"/>
    <cellStyle name="Normal 22 2 7 2 2" xfId="9822"/>
    <cellStyle name="Normal 22 2 7 2 2 2" xfId="16015"/>
    <cellStyle name="Normal 22 2 7 2 2 2 2" xfId="35898"/>
    <cellStyle name="Normal 22 2 7 2 2 3" xfId="22167"/>
    <cellStyle name="Normal 22 2 7 2 2 3 2" xfId="42050"/>
    <cellStyle name="Normal 22 2 7 2 2 4" xfId="29745"/>
    <cellStyle name="Normal 22 2 7 2 3" xfId="12949"/>
    <cellStyle name="Normal 22 2 7 2 3 2" xfId="32832"/>
    <cellStyle name="Normal 22 2 7 2 4" xfId="19101"/>
    <cellStyle name="Normal 22 2 7 2 4 2" xfId="38984"/>
    <cellStyle name="Normal 22 2 7 2 5" xfId="26679"/>
    <cellStyle name="Normal 22 2 7 3" xfId="8287"/>
    <cellStyle name="Normal 22 2 7 3 2" xfId="14481"/>
    <cellStyle name="Normal 22 2 7 3 2 2" xfId="34364"/>
    <cellStyle name="Normal 22 2 7 3 3" xfId="20633"/>
    <cellStyle name="Normal 22 2 7 3 3 2" xfId="40516"/>
    <cellStyle name="Normal 22 2 7 3 4" xfId="28211"/>
    <cellStyle name="Normal 22 2 7 4" xfId="11415"/>
    <cellStyle name="Normal 22 2 7 4 2" xfId="31298"/>
    <cellStyle name="Normal 22 2 7 5" xfId="17567"/>
    <cellStyle name="Normal 22 2 7 5 2" xfId="37450"/>
    <cellStyle name="Normal 22 2 7 6" xfId="25145"/>
    <cellStyle name="Normal 22 2 8" xfId="5953"/>
    <cellStyle name="Normal 22 2 8 2" xfId="9053"/>
    <cellStyle name="Normal 22 2 8 2 2" xfId="15246"/>
    <cellStyle name="Normal 22 2 8 2 2 2" xfId="35129"/>
    <cellStyle name="Normal 22 2 8 2 3" xfId="21398"/>
    <cellStyle name="Normal 22 2 8 2 3 2" xfId="41281"/>
    <cellStyle name="Normal 22 2 8 2 4" xfId="28976"/>
    <cellStyle name="Normal 22 2 8 3" xfId="12180"/>
    <cellStyle name="Normal 22 2 8 3 2" xfId="32063"/>
    <cellStyle name="Normal 22 2 8 4" xfId="18332"/>
    <cellStyle name="Normal 22 2 8 4 2" xfId="38215"/>
    <cellStyle name="Normal 22 2 8 5" xfId="25910"/>
    <cellStyle name="Normal 22 2 9" xfId="7518"/>
    <cellStyle name="Normal 22 2 9 2" xfId="13712"/>
    <cellStyle name="Normal 22 2 9 2 2" xfId="33595"/>
    <cellStyle name="Normal 22 2 9 3" xfId="19864"/>
    <cellStyle name="Normal 22 2 9 3 2" xfId="39747"/>
    <cellStyle name="Normal 22 2 9 4" xfId="27442"/>
    <cellStyle name="Normal 22 3" xfId="3655"/>
    <cellStyle name="Normal 22 3 2" xfId="5116"/>
    <cellStyle name="Normal 22 3 2 2" xfId="6741"/>
    <cellStyle name="Normal 22 3 2 2 2" xfId="9827"/>
    <cellStyle name="Normal 22 3 2 2 2 2" xfId="16020"/>
    <cellStyle name="Normal 22 3 2 2 2 2 2" xfId="35903"/>
    <cellStyle name="Normal 22 3 2 2 2 3" xfId="22172"/>
    <cellStyle name="Normal 22 3 2 2 2 3 2" xfId="42055"/>
    <cellStyle name="Normal 22 3 2 2 2 4" xfId="29750"/>
    <cellStyle name="Normal 22 3 2 2 3" xfId="12954"/>
    <cellStyle name="Normal 22 3 2 2 3 2" xfId="32837"/>
    <cellStyle name="Normal 22 3 2 2 4" xfId="19106"/>
    <cellStyle name="Normal 22 3 2 2 4 2" xfId="38989"/>
    <cellStyle name="Normal 22 3 2 2 5" xfId="26684"/>
    <cellStyle name="Normal 22 3 2 3" xfId="8292"/>
    <cellStyle name="Normal 22 3 2 3 2" xfId="14486"/>
    <cellStyle name="Normal 22 3 2 3 2 2" xfId="34369"/>
    <cellStyle name="Normal 22 3 2 3 3" xfId="20638"/>
    <cellStyle name="Normal 22 3 2 3 3 2" xfId="40521"/>
    <cellStyle name="Normal 22 3 2 3 4" xfId="28216"/>
    <cellStyle name="Normal 22 3 2 4" xfId="11420"/>
    <cellStyle name="Normal 22 3 2 4 2" xfId="31303"/>
    <cellStyle name="Normal 22 3 2 5" xfId="17572"/>
    <cellStyle name="Normal 22 3 2 5 2" xfId="37455"/>
    <cellStyle name="Normal 22 3 2 6" xfId="25150"/>
    <cellStyle name="Normal 22 3 3" xfId="5958"/>
    <cellStyle name="Normal 22 3 3 2" xfId="9058"/>
    <cellStyle name="Normal 22 3 3 2 2" xfId="15251"/>
    <cellStyle name="Normal 22 3 3 2 2 2" xfId="35134"/>
    <cellStyle name="Normal 22 3 3 2 3" xfId="21403"/>
    <cellStyle name="Normal 22 3 3 2 3 2" xfId="41286"/>
    <cellStyle name="Normal 22 3 3 2 4" xfId="28981"/>
    <cellStyle name="Normal 22 3 3 3" xfId="12185"/>
    <cellStyle name="Normal 22 3 3 3 2" xfId="32068"/>
    <cellStyle name="Normal 22 3 3 4" xfId="18337"/>
    <cellStyle name="Normal 22 3 3 4 2" xfId="38220"/>
    <cellStyle name="Normal 22 3 3 5" xfId="25915"/>
    <cellStyle name="Normal 22 3 4" xfId="7523"/>
    <cellStyle name="Normal 22 3 4 2" xfId="13717"/>
    <cellStyle name="Normal 22 3 4 2 2" xfId="33600"/>
    <cellStyle name="Normal 22 3 4 3" xfId="19869"/>
    <cellStyle name="Normal 22 3 4 3 2" xfId="39752"/>
    <cellStyle name="Normal 22 3 4 4" xfId="27447"/>
    <cellStyle name="Normal 22 3 5" xfId="10651"/>
    <cellStyle name="Normal 22 3 5 2" xfId="30534"/>
    <cellStyle name="Normal 22 3 6" xfId="16803"/>
    <cellStyle name="Normal 22 3 6 2" xfId="36686"/>
    <cellStyle name="Normal 22 3 7" xfId="24381"/>
    <cellStyle name="Normal 22 4" xfId="3656"/>
    <cellStyle name="Normal 22 4 2" xfId="5117"/>
    <cellStyle name="Normal 22 4 2 2" xfId="6742"/>
    <cellStyle name="Normal 22 4 2 2 2" xfId="9828"/>
    <cellStyle name="Normal 22 4 2 2 2 2" xfId="16021"/>
    <cellStyle name="Normal 22 4 2 2 2 2 2" xfId="35904"/>
    <cellStyle name="Normal 22 4 2 2 2 3" xfId="22173"/>
    <cellStyle name="Normal 22 4 2 2 2 3 2" xfId="42056"/>
    <cellStyle name="Normal 22 4 2 2 2 4" xfId="29751"/>
    <cellStyle name="Normal 22 4 2 2 3" xfId="12955"/>
    <cellStyle name="Normal 22 4 2 2 3 2" xfId="32838"/>
    <cellStyle name="Normal 22 4 2 2 4" xfId="19107"/>
    <cellStyle name="Normal 22 4 2 2 4 2" xfId="38990"/>
    <cellStyle name="Normal 22 4 2 2 5" xfId="26685"/>
    <cellStyle name="Normal 22 4 2 3" xfId="8293"/>
    <cellStyle name="Normal 22 4 2 3 2" xfId="14487"/>
    <cellStyle name="Normal 22 4 2 3 2 2" xfId="34370"/>
    <cellStyle name="Normal 22 4 2 3 3" xfId="20639"/>
    <cellStyle name="Normal 22 4 2 3 3 2" xfId="40522"/>
    <cellStyle name="Normal 22 4 2 3 4" xfId="28217"/>
    <cellStyle name="Normal 22 4 2 4" xfId="11421"/>
    <cellStyle name="Normal 22 4 2 4 2" xfId="31304"/>
    <cellStyle name="Normal 22 4 2 5" xfId="17573"/>
    <cellStyle name="Normal 22 4 2 5 2" xfId="37456"/>
    <cellStyle name="Normal 22 4 2 6" xfId="25151"/>
    <cellStyle name="Normal 22 4 3" xfId="5959"/>
    <cellStyle name="Normal 22 4 3 2" xfId="9059"/>
    <cellStyle name="Normal 22 4 3 2 2" xfId="15252"/>
    <cellStyle name="Normal 22 4 3 2 2 2" xfId="35135"/>
    <cellStyle name="Normal 22 4 3 2 3" xfId="21404"/>
    <cellStyle name="Normal 22 4 3 2 3 2" xfId="41287"/>
    <cellStyle name="Normal 22 4 3 2 4" xfId="28982"/>
    <cellStyle name="Normal 22 4 3 3" xfId="12186"/>
    <cellStyle name="Normal 22 4 3 3 2" xfId="32069"/>
    <cellStyle name="Normal 22 4 3 4" xfId="18338"/>
    <cellStyle name="Normal 22 4 3 4 2" xfId="38221"/>
    <cellStyle name="Normal 22 4 3 5" xfId="25916"/>
    <cellStyle name="Normal 22 4 4" xfId="7524"/>
    <cellStyle name="Normal 22 4 4 2" xfId="13718"/>
    <cellStyle name="Normal 22 4 4 2 2" xfId="33601"/>
    <cellStyle name="Normal 22 4 4 3" xfId="19870"/>
    <cellStyle name="Normal 22 4 4 3 2" xfId="39753"/>
    <cellStyle name="Normal 22 4 4 4" xfId="27448"/>
    <cellStyle name="Normal 22 4 5" xfId="10652"/>
    <cellStyle name="Normal 22 4 5 2" xfId="30535"/>
    <cellStyle name="Normal 22 4 6" xfId="16804"/>
    <cellStyle name="Normal 22 4 6 2" xfId="36687"/>
    <cellStyle name="Normal 22 4 7" xfId="24382"/>
    <cellStyle name="Normal 22 5" xfId="3657"/>
    <cellStyle name="Normal 22 5 2" xfId="5118"/>
    <cellStyle name="Normal 22 5 2 2" xfId="6743"/>
    <cellStyle name="Normal 22 5 2 2 2" xfId="9829"/>
    <cellStyle name="Normal 22 5 2 2 2 2" xfId="16022"/>
    <cellStyle name="Normal 22 5 2 2 2 2 2" xfId="35905"/>
    <cellStyle name="Normal 22 5 2 2 2 3" xfId="22174"/>
    <cellStyle name="Normal 22 5 2 2 2 3 2" xfId="42057"/>
    <cellStyle name="Normal 22 5 2 2 2 4" xfId="29752"/>
    <cellStyle name="Normal 22 5 2 2 3" xfId="12956"/>
    <cellStyle name="Normal 22 5 2 2 3 2" xfId="32839"/>
    <cellStyle name="Normal 22 5 2 2 4" xfId="19108"/>
    <cellStyle name="Normal 22 5 2 2 4 2" xfId="38991"/>
    <cellStyle name="Normal 22 5 2 2 5" xfId="26686"/>
    <cellStyle name="Normal 22 5 2 3" xfId="8294"/>
    <cellStyle name="Normal 22 5 2 3 2" xfId="14488"/>
    <cellStyle name="Normal 22 5 2 3 2 2" xfId="34371"/>
    <cellStyle name="Normal 22 5 2 3 3" xfId="20640"/>
    <cellStyle name="Normal 22 5 2 3 3 2" xfId="40523"/>
    <cellStyle name="Normal 22 5 2 3 4" xfId="28218"/>
    <cellStyle name="Normal 22 5 2 4" xfId="11422"/>
    <cellStyle name="Normal 22 5 2 4 2" xfId="31305"/>
    <cellStyle name="Normal 22 5 2 5" xfId="17574"/>
    <cellStyle name="Normal 22 5 2 5 2" xfId="37457"/>
    <cellStyle name="Normal 22 5 2 6" xfId="25152"/>
    <cellStyle name="Normal 22 5 3" xfId="5960"/>
    <cellStyle name="Normal 22 5 3 2" xfId="9060"/>
    <cellStyle name="Normal 22 5 3 2 2" xfId="15253"/>
    <cellStyle name="Normal 22 5 3 2 2 2" xfId="35136"/>
    <cellStyle name="Normal 22 5 3 2 3" xfId="21405"/>
    <cellStyle name="Normal 22 5 3 2 3 2" xfId="41288"/>
    <cellStyle name="Normal 22 5 3 2 4" xfId="28983"/>
    <cellStyle name="Normal 22 5 3 3" xfId="12187"/>
    <cellStyle name="Normal 22 5 3 3 2" xfId="32070"/>
    <cellStyle name="Normal 22 5 3 4" xfId="18339"/>
    <cellStyle name="Normal 22 5 3 4 2" xfId="38222"/>
    <cellStyle name="Normal 22 5 3 5" xfId="25917"/>
    <cellStyle name="Normal 22 5 4" xfId="7525"/>
    <cellStyle name="Normal 22 5 4 2" xfId="13719"/>
    <cellStyle name="Normal 22 5 4 2 2" xfId="33602"/>
    <cellStyle name="Normal 22 5 4 3" xfId="19871"/>
    <cellStyle name="Normal 22 5 4 3 2" xfId="39754"/>
    <cellStyle name="Normal 22 5 4 4" xfId="27449"/>
    <cellStyle name="Normal 22 5 5" xfId="10653"/>
    <cellStyle name="Normal 22 5 5 2" xfId="30536"/>
    <cellStyle name="Normal 22 5 6" xfId="16805"/>
    <cellStyle name="Normal 22 5 6 2" xfId="36688"/>
    <cellStyle name="Normal 22 5 7" xfId="24383"/>
    <cellStyle name="Normal 22 6" xfId="3658"/>
    <cellStyle name="Normal 22 6 2" xfId="5119"/>
    <cellStyle name="Normal 22 6 2 2" xfId="6744"/>
    <cellStyle name="Normal 22 6 2 2 2" xfId="9830"/>
    <cellStyle name="Normal 22 6 2 2 2 2" xfId="16023"/>
    <cellStyle name="Normal 22 6 2 2 2 2 2" xfId="35906"/>
    <cellStyle name="Normal 22 6 2 2 2 3" xfId="22175"/>
    <cellStyle name="Normal 22 6 2 2 2 3 2" xfId="42058"/>
    <cellStyle name="Normal 22 6 2 2 2 4" xfId="29753"/>
    <cellStyle name="Normal 22 6 2 2 3" xfId="12957"/>
    <cellStyle name="Normal 22 6 2 2 3 2" xfId="32840"/>
    <cellStyle name="Normal 22 6 2 2 4" xfId="19109"/>
    <cellStyle name="Normal 22 6 2 2 4 2" xfId="38992"/>
    <cellStyle name="Normal 22 6 2 2 5" xfId="26687"/>
    <cellStyle name="Normal 22 6 2 3" xfId="8295"/>
    <cellStyle name="Normal 22 6 2 3 2" xfId="14489"/>
    <cellStyle name="Normal 22 6 2 3 2 2" xfId="34372"/>
    <cellStyle name="Normal 22 6 2 3 3" xfId="20641"/>
    <cellStyle name="Normal 22 6 2 3 3 2" xfId="40524"/>
    <cellStyle name="Normal 22 6 2 3 4" xfId="28219"/>
    <cellStyle name="Normal 22 6 2 4" xfId="11423"/>
    <cellStyle name="Normal 22 6 2 4 2" xfId="31306"/>
    <cellStyle name="Normal 22 6 2 5" xfId="17575"/>
    <cellStyle name="Normal 22 6 2 5 2" xfId="37458"/>
    <cellStyle name="Normal 22 6 2 6" xfId="25153"/>
    <cellStyle name="Normal 22 6 3" xfId="5961"/>
    <cellStyle name="Normal 22 6 3 2" xfId="9061"/>
    <cellStyle name="Normal 22 6 3 2 2" xfId="15254"/>
    <cellStyle name="Normal 22 6 3 2 2 2" xfId="35137"/>
    <cellStyle name="Normal 22 6 3 2 3" xfId="21406"/>
    <cellStyle name="Normal 22 6 3 2 3 2" xfId="41289"/>
    <cellStyle name="Normal 22 6 3 2 4" xfId="28984"/>
    <cellStyle name="Normal 22 6 3 3" xfId="12188"/>
    <cellStyle name="Normal 22 6 3 3 2" xfId="32071"/>
    <cellStyle name="Normal 22 6 3 4" xfId="18340"/>
    <cellStyle name="Normal 22 6 3 4 2" xfId="38223"/>
    <cellStyle name="Normal 22 6 3 5" xfId="25918"/>
    <cellStyle name="Normal 22 6 4" xfId="7526"/>
    <cellStyle name="Normal 22 6 4 2" xfId="13720"/>
    <cellStyle name="Normal 22 6 4 2 2" xfId="33603"/>
    <cellStyle name="Normal 22 6 4 3" xfId="19872"/>
    <cellStyle name="Normal 22 6 4 3 2" xfId="39755"/>
    <cellStyle name="Normal 22 6 4 4" xfId="27450"/>
    <cellStyle name="Normal 22 6 5" xfId="10654"/>
    <cellStyle name="Normal 22 6 5 2" xfId="30537"/>
    <cellStyle name="Normal 22 6 6" xfId="16806"/>
    <cellStyle name="Normal 22 6 6 2" xfId="36689"/>
    <cellStyle name="Normal 22 6 7" xfId="24384"/>
    <cellStyle name="Normal 22 7" xfId="3659"/>
    <cellStyle name="Normal 22 8" xfId="5110"/>
    <cellStyle name="Normal 22 8 2" xfId="6735"/>
    <cellStyle name="Normal 22 8 2 2" xfId="9821"/>
    <cellStyle name="Normal 22 8 2 2 2" xfId="16014"/>
    <cellStyle name="Normal 22 8 2 2 2 2" xfId="35897"/>
    <cellStyle name="Normal 22 8 2 2 3" xfId="22166"/>
    <cellStyle name="Normal 22 8 2 2 3 2" xfId="42049"/>
    <cellStyle name="Normal 22 8 2 2 4" xfId="29744"/>
    <cellStyle name="Normal 22 8 2 3" xfId="12948"/>
    <cellStyle name="Normal 22 8 2 3 2" xfId="32831"/>
    <cellStyle name="Normal 22 8 2 4" xfId="19100"/>
    <cellStyle name="Normal 22 8 2 4 2" xfId="38983"/>
    <cellStyle name="Normal 22 8 2 5" xfId="26678"/>
    <cellStyle name="Normal 22 8 3" xfId="8286"/>
    <cellStyle name="Normal 22 8 3 2" xfId="14480"/>
    <cellStyle name="Normal 22 8 3 2 2" xfId="34363"/>
    <cellStyle name="Normal 22 8 3 3" xfId="20632"/>
    <cellStyle name="Normal 22 8 3 3 2" xfId="40515"/>
    <cellStyle name="Normal 22 8 3 4" xfId="28210"/>
    <cellStyle name="Normal 22 8 4" xfId="11414"/>
    <cellStyle name="Normal 22 8 4 2" xfId="31297"/>
    <cellStyle name="Normal 22 8 5" xfId="17566"/>
    <cellStyle name="Normal 22 8 5 2" xfId="37449"/>
    <cellStyle name="Normal 22 8 6" xfId="25144"/>
    <cellStyle name="Normal 22 9" xfId="5952"/>
    <cellStyle name="Normal 22 9 2" xfId="9052"/>
    <cellStyle name="Normal 22 9 2 2" xfId="15245"/>
    <cellStyle name="Normal 22 9 2 2 2" xfId="35128"/>
    <cellStyle name="Normal 22 9 2 3" xfId="21397"/>
    <cellStyle name="Normal 22 9 2 3 2" xfId="41280"/>
    <cellStyle name="Normal 22 9 2 4" xfId="28975"/>
    <cellStyle name="Normal 22 9 3" xfId="12179"/>
    <cellStyle name="Normal 22 9 3 2" xfId="32062"/>
    <cellStyle name="Normal 22 9 4" xfId="18331"/>
    <cellStyle name="Normal 22 9 4 2" xfId="38214"/>
    <cellStyle name="Normal 22 9 5" xfId="25909"/>
    <cellStyle name="Normal 23" xfId="598"/>
    <cellStyle name="Normal 23 10" xfId="7527"/>
    <cellStyle name="Normal 23 10 2" xfId="13721"/>
    <cellStyle name="Normal 23 10 2 2" xfId="33604"/>
    <cellStyle name="Normal 23 10 3" xfId="19873"/>
    <cellStyle name="Normal 23 10 3 2" xfId="39756"/>
    <cellStyle name="Normal 23 10 4" xfId="27451"/>
    <cellStyle name="Normal 23 11" xfId="10655"/>
    <cellStyle name="Normal 23 11 2" xfId="30538"/>
    <cellStyle name="Normal 23 12" xfId="16807"/>
    <cellStyle name="Normal 23 12 2" xfId="36690"/>
    <cellStyle name="Normal 23 13" xfId="3660"/>
    <cellStyle name="Normal 23 13 2" xfId="24385"/>
    <cellStyle name="Normal 23 2" xfId="3661"/>
    <cellStyle name="Normal 23 2 10" xfId="16808"/>
    <cellStyle name="Normal 23 2 10 2" xfId="36691"/>
    <cellStyle name="Normal 23 2 11" xfId="23250"/>
    <cellStyle name="Normal 23 2 12" xfId="24386"/>
    <cellStyle name="Normal 23 2 2" xfId="3662"/>
    <cellStyle name="Normal 23 2 2 2" xfId="5122"/>
    <cellStyle name="Normal 23 2 2 2 2" xfId="6747"/>
    <cellStyle name="Normal 23 2 2 2 2 2" xfId="9833"/>
    <cellStyle name="Normal 23 2 2 2 2 2 2" xfId="16026"/>
    <cellStyle name="Normal 23 2 2 2 2 2 2 2" xfId="35909"/>
    <cellStyle name="Normal 23 2 2 2 2 2 3" xfId="22178"/>
    <cellStyle name="Normal 23 2 2 2 2 2 3 2" xfId="42061"/>
    <cellStyle name="Normal 23 2 2 2 2 2 4" xfId="29756"/>
    <cellStyle name="Normal 23 2 2 2 2 3" xfId="12960"/>
    <cellStyle name="Normal 23 2 2 2 2 3 2" xfId="32843"/>
    <cellStyle name="Normal 23 2 2 2 2 4" xfId="19112"/>
    <cellStyle name="Normal 23 2 2 2 2 4 2" xfId="38995"/>
    <cellStyle name="Normal 23 2 2 2 2 5" xfId="26690"/>
    <cellStyle name="Normal 23 2 2 2 3" xfId="8298"/>
    <cellStyle name="Normal 23 2 2 2 3 2" xfId="14492"/>
    <cellStyle name="Normal 23 2 2 2 3 2 2" xfId="34375"/>
    <cellStyle name="Normal 23 2 2 2 3 3" xfId="20644"/>
    <cellStyle name="Normal 23 2 2 2 3 3 2" xfId="40527"/>
    <cellStyle name="Normal 23 2 2 2 3 4" xfId="28222"/>
    <cellStyle name="Normal 23 2 2 2 4" xfId="11426"/>
    <cellStyle name="Normal 23 2 2 2 4 2" xfId="31309"/>
    <cellStyle name="Normal 23 2 2 2 5" xfId="17578"/>
    <cellStyle name="Normal 23 2 2 2 5 2" xfId="37461"/>
    <cellStyle name="Normal 23 2 2 2 6" xfId="25156"/>
    <cellStyle name="Normal 23 2 2 3" xfId="5964"/>
    <cellStyle name="Normal 23 2 2 3 2" xfId="9064"/>
    <cellStyle name="Normal 23 2 2 3 2 2" xfId="15257"/>
    <cellStyle name="Normal 23 2 2 3 2 2 2" xfId="35140"/>
    <cellStyle name="Normal 23 2 2 3 2 3" xfId="21409"/>
    <cellStyle name="Normal 23 2 2 3 2 3 2" xfId="41292"/>
    <cellStyle name="Normal 23 2 2 3 2 4" xfId="28987"/>
    <cellStyle name="Normal 23 2 2 3 3" xfId="12191"/>
    <cellStyle name="Normal 23 2 2 3 3 2" xfId="32074"/>
    <cellStyle name="Normal 23 2 2 3 4" xfId="18343"/>
    <cellStyle name="Normal 23 2 2 3 4 2" xfId="38226"/>
    <cellStyle name="Normal 23 2 2 3 5" xfId="25921"/>
    <cellStyle name="Normal 23 2 2 4" xfId="7529"/>
    <cellStyle name="Normal 23 2 2 4 2" xfId="13723"/>
    <cellStyle name="Normal 23 2 2 4 2 2" xfId="33606"/>
    <cellStyle name="Normal 23 2 2 4 3" xfId="19875"/>
    <cellStyle name="Normal 23 2 2 4 3 2" xfId="39758"/>
    <cellStyle name="Normal 23 2 2 4 4" xfId="27453"/>
    <cellStyle name="Normal 23 2 2 5" xfId="10657"/>
    <cellStyle name="Normal 23 2 2 5 2" xfId="30540"/>
    <cellStyle name="Normal 23 2 2 6" xfId="16809"/>
    <cellStyle name="Normal 23 2 2 6 2" xfId="36692"/>
    <cellStyle name="Normal 23 2 2 7" xfId="24387"/>
    <cellStyle name="Normal 23 2 3" xfId="3663"/>
    <cellStyle name="Normal 23 2 3 2" xfId="5123"/>
    <cellStyle name="Normal 23 2 3 2 2" xfId="6748"/>
    <cellStyle name="Normal 23 2 3 2 2 2" xfId="9834"/>
    <cellStyle name="Normal 23 2 3 2 2 2 2" xfId="16027"/>
    <cellStyle name="Normal 23 2 3 2 2 2 2 2" xfId="35910"/>
    <cellStyle name="Normal 23 2 3 2 2 2 3" xfId="22179"/>
    <cellStyle name="Normal 23 2 3 2 2 2 3 2" xfId="42062"/>
    <cellStyle name="Normal 23 2 3 2 2 2 4" xfId="29757"/>
    <cellStyle name="Normal 23 2 3 2 2 3" xfId="12961"/>
    <cellStyle name="Normal 23 2 3 2 2 3 2" xfId="32844"/>
    <cellStyle name="Normal 23 2 3 2 2 4" xfId="19113"/>
    <cellStyle name="Normal 23 2 3 2 2 4 2" xfId="38996"/>
    <cellStyle name="Normal 23 2 3 2 2 5" xfId="26691"/>
    <cellStyle name="Normal 23 2 3 2 3" xfId="8299"/>
    <cellStyle name="Normal 23 2 3 2 3 2" xfId="14493"/>
    <cellStyle name="Normal 23 2 3 2 3 2 2" xfId="34376"/>
    <cellStyle name="Normal 23 2 3 2 3 3" xfId="20645"/>
    <cellStyle name="Normal 23 2 3 2 3 3 2" xfId="40528"/>
    <cellStyle name="Normal 23 2 3 2 3 4" xfId="28223"/>
    <cellStyle name="Normal 23 2 3 2 4" xfId="11427"/>
    <cellStyle name="Normal 23 2 3 2 4 2" xfId="31310"/>
    <cellStyle name="Normal 23 2 3 2 5" xfId="17579"/>
    <cellStyle name="Normal 23 2 3 2 5 2" xfId="37462"/>
    <cellStyle name="Normal 23 2 3 2 6" xfId="25157"/>
    <cellStyle name="Normal 23 2 3 3" xfId="5965"/>
    <cellStyle name="Normal 23 2 3 3 2" xfId="9065"/>
    <cellStyle name="Normal 23 2 3 3 2 2" xfId="15258"/>
    <cellStyle name="Normal 23 2 3 3 2 2 2" xfId="35141"/>
    <cellStyle name="Normal 23 2 3 3 2 3" xfId="21410"/>
    <cellStyle name="Normal 23 2 3 3 2 3 2" xfId="41293"/>
    <cellStyle name="Normal 23 2 3 3 2 4" xfId="28988"/>
    <cellStyle name="Normal 23 2 3 3 3" xfId="12192"/>
    <cellStyle name="Normal 23 2 3 3 3 2" xfId="32075"/>
    <cellStyle name="Normal 23 2 3 3 4" xfId="18344"/>
    <cellStyle name="Normal 23 2 3 3 4 2" xfId="38227"/>
    <cellStyle name="Normal 23 2 3 3 5" xfId="25922"/>
    <cellStyle name="Normal 23 2 3 4" xfId="7530"/>
    <cellStyle name="Normal 23 2 3 4 2" xfId="13724"/>
    <cellStyle name="Normal 23 2 3 4 2 2" xfId="33607"/>
    <cellStyle name="Normal 23 2 3 4 3" xfId="19876"/>
    <cellStyle name="Normal 23 2 3 4 3 2" xfId="39759"/>
    <cellStyle name="Normal 23 2 3 4 4" xfId="27454"/>
    <cellStyle name="Normal 23 2 3 5" xfId="10658"/>
    <cellStyle name="Normal 23 2 3 5 2" xfId="30541"/>
    <cellStyle name="Normal 23 2 3 6" xfId="16810"/>
    <cellStyle name="Normal 23 2 3 6 2" xfId="36693"/>
    <cellStyle name="Normal 23 2 3 7" xfId="24388"/>
    <cellStyle name="Normal 23 2 4" xfId="3664"/>
    <cellStyle name="Normal 23 2 4 2" xfId="5124"/>
    <cellStyle name="Normal 23 2 4 2 2" xfId="6749"/>
    <cellStyle name="Normal 23 2 4 2 2 2" xfId="9835"/>
    <cellStyle name="Normal 23 2 4 2 2 2 2" xfId="16028"/>
    <cellStyle name="Normal 23 2 4 2 2 2 2 2" xfId="35911"/>
    <cellStyle name="Normal 23 2 4 2 2 2 3" xfId="22180"/>
    <cellStyle name="Normal 23 2 4 2 2 2 3 2" xfId="42063"/>
    <cellStyle name="Normal 23 2 4 2 2 2 4" xfId="29758"/>
    <cellStyle name="Normal 23 2 4 2 2 3" xfId="12962"/>
    <cellStyle name="Normal 23 2 4 2 2 3 2" xfId="32845"/>
    <cellStyle name="Normal 23 2 4 2 2 4" xfId="19114"/>
    <cellStyle name="Normal 23 2 4 2 2 4 2" xfId="38997"/>
    <cellStyle name="Normal 23 2 4 2 2 5" xfId="26692"/>
    <cellStyle name="Normal 23 2 4 2 3" xfId="8300"/>
    <cellStyle name="Normal 23 2 4 2 3 2" xfId="14494"/>
    <cellStyle name="Normal 23 2 4 2 3 2 2" xfId="34377"/>
    <cellStyle name="Normal 23 2 4 2 3 3" xfId="20646"/>
    <cellStyle name="Normal 23 2 4 2 3 3 2" xfId="40529"/>
    <cellStyle name="Normal 23 2 4 2 3 4" xfId="28224"/>
    <cellStyle name="Normal 23 2 4 2 4" xfId="11428"/>
    <cellStyle name="Normal 23 2 4 2 4 2" xfId="31311"/>
    <cellStyle name="Normal 23 2 4 2 5" xfId="17580"/>
    <cellStyle name="Normal 23 2 4 2 5 2" xfId="37463"/>
    <cellStyle name="Normal 23 2 4 2 6" xfId="25158"/>
    <cellStyle name="Normal 23 2 4 3" xfId="5966"/>
    <cellStyle name="Normal 23 2 4 3 2" xfId="9066"/>
    <cellStyle name="Normal 23 2 4 3 2 2" xfId="15259"/>
    <cellStyle name="Normal 23 2 4 3 2 2 2" xfId="35142"/>
    <cellStyle name="Normal 23 2 4 3 2 3" xfId="21411"/>
    <cellStyle name="Normal 23 2 4 3 2 3 2" xfId="41294"/>
    <cellStyle name="Normal 23 2 4 3 2 4" xfId="28989"/>
    <cellStyle name="Normal 23 2 4 3 3" xfId="12193"/>
    <cellStyle name="Normal 23 2 4 3 3 2" xfId="32076"/>
    <cellStyle name="Normal 23 2 4 3 4" xfId="18345"/>
    <cellStyle name="Normal 23 2 4 3 4 2" xfId="38228"/>
    <cellStyle name="Normal 23 2 4 3 5" xfId="25923"/>
    <cellStyle name="Normal 23 2 4 4" xfId="7531"/>
    <cellStyle name="Normal 23 2 4 4 2" xfId="13725"/>
    <cellStyle name="Normal 23 2 4 4 2 2" xfId="33608"/>
    <cellStyle name="Normal 23 2 4 4 3" xfId="19877"/>
    <cellStyle name="Normal 23 2 4 4 3 2" xfId="39760"/>
    <cellStyle name="Normal 23 2 4 4 4" xfId="27455"/>
    <cellStyle name="Normal 23 2 4 5" xfId="10659"/>
    <cellStyle name="Normal 23 2 4 5 2" xfId="30542"/>
    <cellStyle name="Normal 23 2 4 6" xfId="16811"/>
    <cellStyle name="Normal 23 2 4 6 2" xfId="36694"/>
    <cellStyle name="Normal 23 2 4 7" xfId="24389"/>
    <cellStyle name="Normal 23 2 5" xfId="3665"/>
    <cellStyle name="Normal 23 2 5 2" xfId="5125"/>
    <cellStyle name="Normal 23 2 5 2 2" xfId="6750"/>
    <cellStyle name="Normal 23 2 5 2 2 2" xfId="9836"/>
    <cellStyle name="Normal 23 2 5 2 2 2 2" xfId="16029"/>
    <cellStyle name="Normal 23 2 5 2 2 2 2 2" xfId="35912"/>
    <cellStyle name="Normal 23 2 5 2 2 2 3" xfId="22181"/>
    <cellStyle name="Normal 23 2 5 2 2 2 3 2" xfId="42064"/>
    <cellStyle name="Normal 23 2 5 2 2 2 4" xfId="29759"/>
    <cellStyle name="Normal 23 2 5 2 2 3" xfId="12963"/>
    <cellStyle name="Normal 23 2 5 2 2 3 2" xfId="32846"/>
    <cellStyle name="Normal 23 2 5 2 2 4" xfId="19115"/>
    <cellStyle name="Normal 23 2 5 2 2 4 2" xfId="38998"/>
    <cellStyle name="Normal 23 2 5 2 2 5" xfId="26693"/>
    <cellStyle name="Normal 23 2 5 2 3" xfId="8301"/>
    <cellStyle name="Normal 23 2 5 2 3 2" xfId="14495"/>
    <cellStyle name="Normal 23 2 5 2 3 2 2" xfId="34378"/>
    <cellStyle name="Normal 23 2 5 2 3 3" xfId="20647"/>
    <cellStyle name="Normal 23 2 5 2 3 3 2" xfId="40530"/>
    <cellStyle name="Normal 23 2 5 2 3 4" xfId="28225"/>
    <cellStyle name="Normal 23 2 5 2 4" xfId="11429"/>
    <cellStyle name="Normal 23 2 5 2 4 2" xfId="31312"/>
    <cellStyle name="Normal 23 2 5 2 5" xfId="17581"/>
    <cellStyle name="Normal 23 2 5 2 5 2" xfId="37464"/>
    <cellStyle name="Normal 23 2 5 2 6" xfId="25159"/>
    <cellStyle name="Normal 23 2 5 3" xfId="5967"/>
    <cellStyle name="Normal 23 2 5 3 2" xfId="9067"/>
    <cellStyle name="Normal 23 2 5 3 2 2" xfId="15260"/>
    <cellStyle name="Normal 23 2 5 3 2 2 2" xfId="35143"/>
    <cellStyle name="Normal 23 2 5 3 2 3" xfId="21412"/>
    <cellStyle name="Normal 23 2 5 3 2 3 2" xfId="41295"/>
    <cellStyle name="Normal 23 2 5 3 2 4" xfId="28990"/>
    <cellStyle name="Normal 23 2 5 3 3" xfId="12194"/>
    <cellStyle name="Normal 23 2 5 3 3 2" xfId="32077"/>
    <cellStyle name="Normal 23 2 5 3 4" xfId="18346"/>
    <cellStyle name="Normal 23 2 5 3 4 2" xfId="38229"/>
    <cellStyle name="Normal 23 2 5 3 5" xfId="25924"/>
    <cellStyle name="Normal 23 2 5 4" xfId="7532"/>
    <cellStyle name="Normal 23 2 5 4 2" xfId="13726"/>
    <cellStyle name="Normal 23 2 5 4 2 2" xfId="33609"/>
    <cellStyle name="Normal 23 2 5 4 3" xfId="19878"/>
    <cellStyle name="Normal 23 2 5 4 3 2" xfId="39761"/>
    <cellStyle name="Normal 23 2 5 4 4" xfId="27456"/>
    <cellStyle name="Normal 23 2 5 5" xfId="10660"/>
    <cellStyle name="Normal 23 2 5 5 2" xfId="30543"/>
    <cellStyle name="Normal 23 2 5 6" xfId="16812"/>
    <cellStyle name="Normal 23 2 5 6 2" xfId="36695"/>
    <cellStyle name="Normal 23 2 5 7" xfId="24390"/>
    <cellStyle name="Normal 23 2 6" xfId="5121"/>
    <cellStyle name="Normal 23 2 6 2" xfId="6746"/>
    <cellStyle name="Normal 23 2 6 2 2" xfId="9832"/>
    <cellStyle name="Normal 23 2 6 2 2 2" xfId="16025"/>
    <cellStyle name="Normal 23 2 6 2 2 2 2" xfId="35908"/>
    <cellStyle name="Normal 23 2 6 2 2 3" xfId="22177"/>
    <cellStyle name="Normal 23 2 6 2 2 3 2" xfId="42060"/>
    <cellStyle name="Normal 23 2 6 2 2 4" xfId="29755"/>
    <cellStyle name="Normal 23 2 6 2 3" xfId="12959"/>
    <cellStyle name="Normal 23 2 6 2 3 2" xfId="32842"/>
    <cellStyle name="Normal 23 2 6 2 4" xfId="19111"/>
    <cellStyle name="Normal 23 2 6 2 4 2" xfId="38994"/>
    <cellStyle name="Normal 23 2 6 2 5" xfId="26689"/>
    <cellStyle name="Normal 23 2 6 3" xfId="8297"/>
    <cellStyle name="Normal 23 2 6 3 2" xfId="14491"/>
    <cellStyle name="Normal 23 2 6 3 2 2" xfId="34374"/>
    <cellStyle name="Normal 23 2 6 3 3" xfId="20643"/>
    <cellStyle name="Normal 23 2 6 3 3 2" xfId="40526"/>
    <cellStyle name="Normal 23 2 6 3 4" xfId="28221"/>
    <cellStyle name="Normal 23 2 6 4" xfId="11425"/>
    <cellStyle name="Normal 23 2 6 4 2" xfId="31308"/>
    <cellStyle name="Normal 23 2 6 5" xfId="17577"/>
    <cellStyle name="Normal 23 2 6 5 2" xfId="37460"/>
    <cellStyle name="Normal 23 2 6 6" xfId="25155"/>
    <cellStyle name="Normal 23 2 7" xfId="5963"/>
    <cellStyle name="Normal 23 2 7 2" xfId="9063"/>
    <cellStyle name="Normal 23 2 7 2 2" xfId="15256"/>
    <cellStyle name="Normal 23 2 7 2 2 2" xfId="35139"/>
    <cellStyle name="Normal 23 2 7 2 3" xfId="21408"/>
    <cellStyle name="Normal 23 2 7 2 3 2" xfId="41291"/>
    <cellStyle name="Normal 23 2 7 2 4" xfId="28986"/>
    <cellStyle name="Normal 23 2 7 3" xfId="12190"/>
    <cellStyle name="Normal 23 2 7 3 2" xfId="32073"/>
    <cellStyle name="Normal 23 2 7 4" xfId="18342"/>
    <cellStyle name="Normal 23 2 7 4 2" xfId="38225"/>
    <cellStyle name="Normal 23 2 7 5" xfId="25920"/>
    <cellStyle name="Normal 23 2 8" xfId="7528"/>
    <cellStyle name="Normal 23 2 8 2" xfId="13722"/>
    <cellStyle name="Normal 23 2 8 2 2" xfId="33605"/>
    <cellStyle name="Normal 23 2 8 3" xfId="19874"/>
    <cellStyle name="Normal 23 2 8 3 2" xfId="39757"/>
    <cellStyle name="Normal 23 2 8 4" xfId="27452"/>
    <cellStyle name="Normal 23 2 9" xfId="10656"/>
    <cellStyle name="Normal 23 2 9 2" xfId="30539"/>
    <cellStyle name="Normal 23 3" xfId="3666"/>
    <cellStyle name="Normal 23 3 2" xfId="5126"/>
    <cellStyle name="Normal 23 3 2 2" xfId="6751"/>
    <cellStyle name="Normal 23 3 2 2 2" xfId="9837"/>
    <cellStyle name="Normal 23 3 2 2 2 2" xfId="16030"/>
    <cellStyle name="Normal 23 3 2 2 2 2 2" xfId="35913"/>
    <cellStyle name="Normal 23 3 2 2 2 3" xfId="22182"/>
    <cellStyle name="Normal 23 3 2 2 2 3 2" xfId="42065"/>
    <cellStyle name="Normal 23 3 2 2 2 4" xfId="29760"/>
    <cellStyle name="Normal 23 3 2 2 3" xfId="12964"/>
    <cellStyle name="Normal 23 3 2 2 3 2" xfId="32847"/>
    <cellStyle name="Normal 23 3 2 2 4" xfId="19116"/>
    <cellStyle name="Normal 23 3 2 2 4 2" xfId="38999"/>
    <cellStyle name="Normal 23 3 2 2 5" xfId="26694"/>
    <cellStyle name="Normal 23 3 2 3" xfId="8302"/>
    <cellStyle name="Normal 23 3 2 3 2" xfId="14496"/>
    <cellStyle name="Normal 23 3 2 3 2 2" xfId="34379"/>
    <cellStyle name="Normal 23 3 2 3 3" xfId="20648"/>
    <cellStyle name="Normal 23 3 2 3 3 2" xfId="40531"/>
    <cellStyle name="Normal 23 3 2 3 4" xfId="28226"/>
    <cellStyle name="Normal 23 3 2 4" xfId="11430"/>
    <cellStyle name="Normal 23 3 2 4 2" xfId="31313"/>
    <cellStyle name="Normal 23 3 2 5" xfId="17582"/>
    <cellStyle name="Normal 23 3 2 5 2" xfId="37465"/>
    <cellStyle name="Normal 23 3 2 6" xfId="25160"/>
    <cellStyle name="Normal 23 3 3" xfId="5968"/>
    <cellStyle name="Normal 23 3 3 2" xfId="9068"/>
    <cellStyle name="Normal 23 3 3 2 2" xfId="15261"/>
    <cellStyle name="Normal 23 3 3 2 2 2" xfId="35144"/>
    <cellStyle name="Normal 23 3 3 2 3" xfId="21413"/>
    <cellStyle name="Normal 23 3 3 2 3 2" xfId="41296"/>
    <cellStyle name="Normal 23 3 3 2 4" xfId="28991"/>
    <cellStyle name="Normal 23 3 3 3" xfId="12195"/>
    <cellStyle name="Normal 23 3 3 3 2" xfId="32078"/>
    <cellStyle name="Normal 23 3 3 4" xfId="18347"/>
    <cellStyle name="Normal 23 3 3 4 2" xfId="38230"/>
    <cellStyle name="Normal 23 3 3 5" xfId="25925"/>
    <cellStyle name="Normal 23 3 4" xfId="7533"/>
    <cellStyle name="Normal 23 3 4 2" xfId="13727"/>
    <cellStyle name="Normal 23 3 4 2 2" xfId="33610"/>
    <cellStyle name="Normal 23 3 4 3" xfId="19879"/>
    <cellStyle name="Normal 23 3 4 3 2" xfId="39762"/>
    <cellStyle name="Normal 23 3 4 4" xfId="27457"/>
    <cellStyle name="Normal 23 3 5" xfId="10661"/>
    <cellStyle name="Normal 23 3 5 2" xfId="30544"/>
    <cellStyle name="Normal 23 3 6" xfId="16813"/>
    <cellStyle name="Normal 23 3 6 2" xfId="36696"/>
    <cellStyle name="Normal 23 3 7" xfId="24391"/>
    <cellStyle name="Normal 23 4" xfId="3667"/>
    <cellStyle name="Normal 23 4 2" xfId="5127"/>
    <cellStyle name="Normal 23 4 2 2" xfId="6752"/>
    <cellStyle name="Normal 23 4 2 2 2" xfId="9838"/>
    <cellStyle name="Normal 23 4 2 2 2 2" xfId="16031"/>
    <cellStyle name="Normal 23 4 2 2 2 2 2" xfId="35914"/>
    <cellStyle name="Normal 23 4 2 2 2 3" xfId="22183"/>
    <cellStyle name="Normal 23 4 2 2 2 3 2" xfId="42066"/>
    <cellStyle name="Normal 23 4 2 2 2 4" xfId="29761"/>
    <cellStyle name="Normal 23 4 2 2 3" xfId="12965"/>
    <cellStyle name="Normal 23 4 2 2 3 2" xfId="32848"/>
    <cellStyle name="Normal 23 4 2 2 4" xfId="19117"/>
    <cellStyle name="Normal 23 4 2 2 4 2" xfId="39000"/>
    <cellStyle name="Normal 23 4 2 2 5" xfId="26695"/>
    <cellStyle name="Normal 23 4 2 3" xfId="8303"/>
    <cellStyle name="Normal 23 4 2 3 2" xfId="14497"/>
    <cellStyle name="Normal 23 4 2 3 2 2" xfId="34380"/>
    <cellStyle name="Normal 23 4 2 3 3" xfId="20649"/>
    <cellStyle name="Normal 23 4 2 3 3 2" xfId="40532"/>
    <cellStyle name="Normal 23 4 2 3 4" xfId="28227"/>
    <cellStyle name="Normal 23 4 2 4" xfId="11431"/>
    <cellStyle name="Normal 23 4 2 4 2" xfId="31314"/>
    <cellStyle name="Normal 23 4 2 5" xfId="17583"/>
    <cellStyle name="Normal 23 4 2 5 2" xfId="37466"/>
    <cellStyle name="Normal 23 4 2 6" xfId="25161"/>
    <cellStyle name="Normal 23 4 3" xfId="5969"/>
    <cellStyle name="Normal 23 4 3 2" xfId="9069"/>
    <cellStyle name="Normal 23 4 3 2 2" xfId="15262"/>
    <cellStyle name="Normal 23 4 3 2 2 2" xfId="35145"/>
    <cellStyle name="Normal 23 4 3 2 3" xfId="21414"/>
    <cellStyle name="Normal 23 4 3 2 3 2" xfId="41297"/>
    <cellStyle name="Normal 23 4 3 2 4" xfId="28992"/>
    <cellStyle name="Normal 23 4 3 3" xfId="12196"/>
    <cellStyle name="Normal 23 4 3 3 2" xfId="32079"/>
    <cellStyle name="Normal 23 4 3 4" xfId="18348"/>
    <cellStyle name="Normal 23 4 3 4 2" xfId="38231"/>
    <cellStyle name="Normal 23 4 3 5" xfId="25926"/>
    <cellStyle name="Normal 23 4 4" xfId="7534"/>
    <cellStyle name="Normal 23 4 4 2" xfId="13728"/>
    <cellStyle name="Normal 23 4 4 2 2" xfId="33611"/>
    <cellStyle name="Normal 23 4 4 3" xfId="19880"/>
    <cellStyle name="Normal 23 4 4 3 2" xfId="39763"/>
    <cellStyle name="Normal 23 4 4 4" xfId="27458"/>
    <cellStyle name="Normal 23 4 5" xfId="10662"/>
    <cellStyle name="Normal 23 4 5 2" xfId="30545"/>
    <cellStyle name="Normal 23 4 6" xfId="16814"/>
    <cellStyle name="Normal 23 4 6 2" xfId="36697"/>
    <cellStyle name="Normal 23 4 7" xfId="24392"/>
    <cellStyle name="Normal 23 5" xfId="3668"/>
    <cellStyle name="Normal 23 5 2" xfId="5128"/>
    <cellStyle name="Normal 23 5 2 2" xfId="6753"/>
    <cellStyle name="Normal 23 5 2 2 2" xfId="9839"/>
    <cellStyle name="Normal 23 5 2 2 2 2" xfId="16032"/>
    <cellStyle name="Normal 23 5 2 2 2 2 2" xfId="35915"/>
    <cellStyle name="Normal 23 5 2 2 2 3" xfId="22184"/>
    <cellStyle name="Normal 23 5 2 2 2 3 2" xfId="42067"/>
    <cellStyle name="Normal 23 5 2 2 2 4" xfId="29762"/>
    <cellStyle name="Normal 23 5 2 2 3" xfId="12966"/>
    <cellStyle name="Normal 23 5 2 2 3 2" xfId="32849"/>
    <cellStyle name="Normal 23 5 2 2 4" xfId="19118"/>
    <cellStyle name="Normal 23 5 2 2 4 2" xfId="39001"/>
    <cellStyle name="Normal 23 5 2 2 5" xfId="26696"/>
    <cellStyle name="Normal 23 5 2 3" xfId="8304"/>
    <cellStyle name="Normal 23 5 2 3 2" xfId="14498"/>
    <cellStyle name="Normal 23 5 2 3 2 2" xfId="34381"/>
    <cellStyle name="Normal 23 5 2 3 3" xfId="20650"/>
    <cellStyle name="Normal 23 5 2 3 3 2" xfId="40533"/>
    <cellStyle name="Normal 23 5 2 3 4" xfId="28228"/>
    <cellStyle name="Normal 23 5 2 4" xfId="11432"/>
    <cellStyle name="Normal 23 5 2 4 2" xfId="31315"/>
    <cellStyle name="Normal 23 5 2 5" xfId="17584"/>
    <cellStyle name="Normal 23 5 2 5 2" xfId="37467"/>
    <cellStyle name="Normal 23 5 2 6" xfId="25162"/>
    <cellStyle name="Normal 23 5 3" xfId="5970"/>
    <cellStyle name="Normal 23 5 3 2" xfId="9070"/>
    <cellStyle name="Normal 23 5 3 2 2" xfId="15263"/>
    <cellStyle name="Normal 23 5 3 2 2 2" xfId="35146"/>
    <cellStyle name="Normal 23 5 3 2 3" xfId="21415"/>
    <cellStyle name="Normal 23 5 3 2 3 2" xfId="41298"/>
    <cellStyle name="Normal 23 5 3 2 4" xfId="28993"/>
    <cellStyle name="Normal 23 5 3 3" xfId="12197"/>
    <cellStyle name="Normal 23 5 3 3 2" xfId="32080"/>
    <cellStyle name="Normal 23 5 3 4" xfId="18349"/>
    <cellStyle name="Normal 23 5 3 4 2" xfId="38232"/>
    <cellStyle name="Normal 23 5 3 5" xfId="25927"/>
    <cellStyle name="Normal 23 5 4" xfId="7535"/>
    <cellStyle name="Normal 23 5 4 2" xfId="13729"/>
    <cellStyle name="Normal 23 5 4 2 2" xfId="33612"/>
    <cellStyle name="Normal 23 5 4 3" xfId="19881"/>
    <cellStyle name="Normal 23 5 4 3 2" xfId="39764"/>
    <cellStyle name="Normal 23 5 4 4" xfId="27459"/>
    <cellStyle name="Normal 23 5 5" xfId="10663"/>
    <cellStyle name="Normal 23 5 5 2" xfId="30546"/>
    <cellStyle name="Normal 23 5 6" xfId="16815"/>
    <cellStyle name="Normal 23 5 6 2" xfId="36698"/>
    <cellStyle name="Normal 23 5 7" xfId="24393"/>
    <cellStyle name="Normal 23 6" xfId="3669"/>
    <cellStyle name="Normal 23 6 2" xfId="5129"/>
    <cellStyle name="Normal 23 6 2 2" xfId="6754"/>
    <cellStyle name="Normal 23 6 2 2 2" xfId="9840"/>
    <cellStyle name="Normal 23 6 2 2 2 2" xfId="16033"/>
    <cellStyle name="Normal 23 6 2 2 2 2 2" xfId="35916"/>
    <cellStyle name="Normal 23 6 2 2 2 3" xfId="22185"/>
    <cellStyle name="Normal 23 6 2 2 2 3 2" xfId="42068"/>
    <cellStyle name="Normal 23 6 2 2 2 4" xfId="29763"/>
    <cellStyle name="Normal 23 6 2 2 3" xfId="12967"/>
    <cellStyle name="Normal 23 6 2 2 3 2" xfId="32850"/>
    <cellStyle name="Normal 23 6 2 2 4" xfId="19119"/>
    <cellStyle name="Normal 23 6 2 2 4 2" xfId="39002"/>
    <cellStyle name="Normal 23 6 2 2 5" xfId="26697"/>
    <cellStyle name="Normal 23 6 2 3" xfId="8305"/>
    <cellStyle name="Normal 23 6 2 3 2" xfId="14499"/>
    <cellStyle name="Normal 23 6 2 3 2 2" xfId="34382"/>
    <cellStyle name="Normal 23 6 2 3 3" xfId="20651"/>
    <cellStyle name="Normal 23 6 2 3 3 2" xfId="40534"/>
    <cellStyle name="Normal 23 6 2 3 4" xfId="28229"/>
    <cellStyle name="Normal 23 6 2 4" xfId="11433"/>
    <cellStyle name="Normal 23 6 2 4 2" xfId="31316"/>
    <cellStyle name="Normal 23 6 2 5" xfId="17585"/>
    <cellStyle name="Normal 23 6 2 5 2" xfId="37468"/>
    <cellStyle name="Normal 23 6 2 6" xfId="25163"/>
    <cellStyle name="Normal 23 6 3" xfId="5971"/>
    <cellStyle name="Normal 23 6 3 2" xfId="9071"/>
    <cellStyle name="Normal 23 6 3 2 2" xfId="15264"/>
    <cellStyle name="Normal 23 6 3 2 2 2" xfId="35147"/>
    <cellStyle name="Normal 23 6 3 2 3" xfId="21416"/>
    <cellStyle name="Normal 23 6 3 2 3 2" xfId="41299"/>
    <cellStyle name="Normal 23 6 3 2 4" xfId="28994"/>
    <cellStyle name="Normal 23 6 3 3" xfId="12198"/>
    <cellStyle name="Normal 23 6 3 3 2" xfId="32081"/>
    <cellStyle name="Normal 23 6 3 4" xfId="18350"/>
    <cellStyle name="Normal 23 6 3 4 2" xfId="38233"/>
    <cellStyle name="Normal 23 6 3 5" xfId="25928"/>
    <cellStyle name="Normal 23 6 4" xfId="7536"/>
    <cellStyle name="Normal 23 6 4 2" xfId="13730"/>
    <cellStyle name="Normal 23 6 4 2 2" xfId="33613"/>
    <cellStyle name="Normal 23 6 4 3" xfId="19882"/>
    <cellStyle name="Normal 23 6 4 3 2" xfId="39765"/>
    <cellStyle name="Normal 23 6 4 4" xfId="27460"/>
    <cellStyle name="Normal 23 6 5" xfId="10664"/>
    <cellStyle name="Normal 23 6 5 2" xfId="30547"/>
    <cellStyle name="Normal 23 6 6" xfId="16816"/>
    <cellStyle name="Normal 23 6 6 2" xfId="36699"/>
    <cellStyle name="Normal 23 6 7" xfId="24394"/>
    <cellStyle name="Normal 23 7" xfId="3670"/>
    <cellStyle name="Normal 23 8" xfId="5120"/>
    <cellStyle name="Normal 23 8 2" xfId="6745"/>
    <cellStyle name="Normal 23 8 2 2" xfId="9831"/>
    <cellStyle name="Normal 23 8 2 2 2" xfId="16024"/>
    <cellStyle name="Normal 23 8 2 2 2 2" xfId="35907"/>
    <cellStyle name="Normal 23 8 2 2 3" xfId="22176"/>
    <cellStyle name="Normal 23 8 2 2 3 2" xfId="42059"/>
    <cellStyle name="Normal 23 8 2 2 4" xfId="29754"/>
    <cellStyle name="Normal 23 8 2 3" xfId="12958"/>
    <cellStyle name="Normal 23 8 2 3 2" xfId="32841"/>
    <cellStyle name="Normal 23 8 2 4" xfId="19110"/>
    <cellStyle name="Normal 23 8 2 4 2" xfId="38993"/>
    <cellStyle name="Normal 23 8 2 5" xfId="26688"/>
    <cellStyle name="Normal 23 8 3" xfId="8296"/>
    <cellStyle name="Normal 23 8 3 2" xfId="14490"/>
    <cellStyle name="Normal 23 8 3 2 2" xfId="34373"/>
    <cellStyle name="Normal 23 8 3 3" xfId="20642"/>
    <cellStyle name="Normal 23 8 3 3 2" xfId="40525"/>
    <cellStyle name="Normal 23 8 3 4" xfId="28220"/>
    <cellStyle name="Normal 23 8 4" xfId="11424"/>
    <cellStyle name="Normal 23 8 4 2" xfId="31307"/>
    <cellStyle name="Normal 23 8 5" xfId="17576"/>
    <cellStyle name="Normal 23 8 5 2" xfId="37459"/>
    <cellStyle name="Normal 23 8 6" xfId="25154"/>
    <cellStyle name="Normal 23 9" xfId="5962"/>
    <cellStyle name="Normal 23 9 2" xfId="9062"/>
    <cellStyle name="Normal 23 9 2 2" xfId="15255"/>
    <cellStyle name="Normal 23 9 2 2 2" xfId="35138"/>
    <cellStyle name="Normal 23 9 2 3" xfId="21407"/>
    <cellStyle name="Normal 23 9 2 3 2" xfId="41290"/>
    <cellStyle name="Normal 23 9 2 4" xfId="28985"/>
    <cellStyle name="Normal 23 9 3" xfId="12189"/>
    <cellStyle name="Normal 23 9 3 2" xfId="32072"/>
    <cellStyle name="Normal 23 9 4" xfId="18341"/>
    <cellStyle name="Normal 23 9 4 2" xfId="38224"/>
    <cellStyle name="Normal 23 9 5" xfId="25919"/>
    <cellStyle name="Normal 24" xfId="3671"/>
    <cellStyle name="Normal 24 10" xfId="7537"/>
    <cellStyle name="Normal 24 10 2" xfId="13731"/>
    <cellStyle name="Normal 24 10 2 2" xfId="33614"/>
    <cellStyle name="Normal 24 10 3" xfId="19883"/>
    <cellStyle name="Normal 24 10 3 2" xfId="39766"/>
    <cellStyle name="Normal 24 10 4" xfId="27461"/>
    <cellStyle name="Normal 24 11" xfId="10665"/>
    <cellStyle name="Normal 24 11 2" xfId="30548"/>
    <cellStyle name="Normal 24 12" xfId="16817"/>
    <cellStyle name="Normal 24 12 2" xfId="36700"/>
    <cellStyle name="Normal 24 13" xfId="24395"/>
    <cellStyle name="Normal 24 2" xfId="3672"/>
    <cellStyle name="Normal 24 2 10" xfId="16818"/>
    <cellStyle name="Normal 24 2 10 2" xfId="36701"/>
    <cellStyle name="Normal 24 2 11" xfId="24396"/>
    <cellStyle name="Normal 24 2 2" xfId="3673"/>
    <cellStyle name="Normal 24 2 2 2" xfId="5132"/>
    <cellStyle name="Normal 24 2 2 2 2" xfId="6757"/>
    <cellStyle name="Normal 24 2 2 2 2 2" xfId="9843"/>
    <cellStyle name="Normal 24 2 2 2 2 2 2" xfId="16036"/>
    <cellStyle name="Normal 24 2 2 2 2 2 2 2" xfId="35919"/>
    <cellStyle name="Normal 24 2 2 2 2 2 3" xfId="22188"/>
    <cellStyle name="Normal 24 2 2 2 2 2 3 2" xfId="42071"/>
    <cellStyle name="Normal 24 2 2 2 2 2 4" xfId="29766"/>
    <cellStyle name="Normal 24 2 2 2 2 3" xfId="12970"/>
    <cellStyle name="Normal 24 2 2 2 2 3 2" xfId="32853"/>
    <cellStyle name="Normal 24 2 2 2 2 4" xfId="19122"/>
    <cellStyle name="Normal 24 2 2 2 2 4 2" xfId="39005"/>
    <cellStyle name="Normal 24 2 2 2 2 5" xfId="26700"/>
    <cellStyle name="Normal 24 2 2 2 3" xfId="8308"/>
    <cellStyle name="Normal 24 2 2 2 3 2" xfId="14502"/>
    <cellStyle name="Normal 24 2 2 2 3 2 2" xfId="34385"/>
    <cellStyle name="Normal 24 2 2 2 3 3" xfId="20654"/>
    <cellStyle name="Normal 24 2 2 2 3 3 2" xfId="40537"/>
    <cellStyle name="Normal 24 2 2 2 3 4" xfId="28232"/>
    <cellStyle name="Normal 24 2 2 2 4" xfId="11436"/>
    <cellStyle name="Normal 24 2 2 2 4 2" xfId="31319"/>
    <cellStyle name="Normal 24 2 2 2 5" xfId="17588"/>
    <cellStyle name="Normal 24 2 2 2 5 2" xfId="37471"/>
    <cellStyle name="Normal 24 2 2 2 6" xfId="25166"/>
    <cellStyle name="Normal 24 2 2 3" xfId="5974"/>
    <cellStyle name="Normal 24 2 2 3 2" xfId="9074"/>
    <cellStyle name="Normal 24 2 2 3 2 2" xfId="15267"/>
    <cellStyle name="Normal 24 2 2 3 2 2 2" xfId="35150"/>
    <cellStyle name="Normal 24 2 2 3 2 3" xfId="21419"/>
    <cellStyle name="Normal 24 2 2 3 2 3 2" xfId="41302"/>
    <cellStyle name="Normal 24 2 2 3 2 4" xfId="28997"/>
    <cellStyle name="Normal 24 2 2 3 3" xfId="12201"/>
    <cellStyle name="Normal 24 2 2 3 3 2" xfId="32084"/>
    <cellStyle name="Normal 24 2 2 3 4" xfId="18353"/>
    <cellStyle name="Normal 24 2 2 3 4 2" xfId="38236"/>
    <cellStyle name="Normal 24 2 2 3 5" xfId="25931"/>
    <cellStyle name="Normal 24 2 2 4" xfId="7539"/>
    <cellStyle name="Normal 24 2 2 4 2" xfId="13733"/>
    <cellStyle name="Normal 24 2 2 4 2 2" xfId="33616"/>
    <cellStyle name="Normal 24 2 2 4 3" xfId="19885"/>
    <cellStyle name="Normal 24 2 2 4 3 2" xfId="39768"/>
    <cellStyle name="Normal 24 2 2 4 4" xfId="27463"/>
    <cellStyle name="Normal 24 2 2 5" xfId="10667"/>
    <cellStyle name="Normal 24 2 2 5 2" xfId="30550"/>
    <cellStyle name="Normal 24 2 2 6" xfId="16819"/>
    <cellStyle name="Normal 24 2 2 6 2" xfId="36702"/>
    <cellStyle name="Normal 24 2 2 7" xfId="24397"/>
    <cellStyle name="Normal 24 2 3" xfId="3674"/>
    <cellStyle name="Normal 24 2 3 2" xfId="5133"/>
    <cellStyle name="Normal 24 2 3 2 2" xfId="6758"/>
    <cellStyle name="Normal 24 2 3 2 2 2" xfId="9844"/>
    <cellStyle name="Normal 24 2 3 2 2 2 2" xfId="16037"/>
    <cellStyle name="Normal 24 2 3 2 2 2 2 2" xfId="35920"/>
    <cellStyle name="Normal 24 2 3 2 2 2 3" xfId="22189"/>
    <cellStyle name="Normal 24 2 3 2 2 2 3 2" xfId="42072"/>
    <cellStyle name="Normal 24 2 3 2 2 2 4" xfId="29767"/>
    <cellStyle name="Normal 24 2 3 2 2 3" xfId="12971"/>
    <cellStyle name="Normal 24 2 3 2 2 3 2" xfId="32854"/>
    <cellStyle name="Normal 24 2 3 2 2 4" xfId="19123"/>
    <cellStyle name="Normal 24 2 3 2 2 4 2" xfId="39006"/>
    <cellStyle name="Normal 24 2 3 2 2 5" xfId="26701"/>
    <cellStyle name="Normal 24 2 3 2 3" xfId="8309"/>
    <cellStyle name="Normal 24 2 3 2 3 2" xfId="14503"/>
    <cellStyle name="Normal 24 2 3 2 3 2 2" xfId="34386"/>
    <cellStyle name="Normal 24 2 3 2 3 3" xfId="20655"/>
    <cellStyle name="Normal 24 2 3 2 3 3 2" xfId="40538"/>
    <cellStyle name="Normal 24 2 3 2 3 4" xfId="28233"/>
    <cellStyle name="Normal 24 2 3 2 4" xfId="11437"/>
    <cellStyle name="Normal 24 2 3 2 4 2" xfId="31320"/>
    <cellStyle name="Normal 24 2 3 2 5" xfId="17589"/>
    <cellStyle name="Normal 24 2 3 2 5 2" xfId="37472"/>
    <cellStyle name="Normal 24 2 3 2 6" xfId="25167"/>
    <cellStyle name="Normal 24 2 3 3" xfId="5975"/>
    <cellStyle name="Normal 24 2 3 3 2" xfId="9075"/>
    <cellStyle name="Normal 24 2 3 3 2 2" xfId="15268"/>
    <cellStyle name="Normal 24 2 3 3 2 2 2" xfId="35151"/>
    <cellStyle name="Normal 24 2 3 3 2 3" xfId="21420"/>
    <cellStyle name="Normal 24 2 3 3 2 3 2" xfId="41303"/>
    <cellStyle name="Normal 24 2 3 3 2 4" xfId="28998"/>
    <cellStyle name="Normal 24 2 3 3 3" xfId="12202"/>
    <cellStyle name="Normal 24 2 3 3 3 2" xfId="32085"/>
    <cellStyle name="Normal 24 2 3 3 4" xfId="18354"/>
    <cellStyle name="Normal 24 2 3 3 4 2" xfId="38237"/>
    <cellStyle name="Normal 24 2 3 3 5" xfId="25932"/>
    <cellStyle name="Normal 24 2 3 4" xfId="7540"/>
    <cellStyle name="Normal 24 2 3 4 2" xfId="13734"/>
    <cellStyle name="Normal 24 2 3 4 2 2" xfId="33617"/>
    <cellStyle name="Normal 24 2 3 4 3" xfId="19886"/>
    <cellStyle name="Normal 24 2 3 4 3 2" xfId="39769"/>
    <cellStyle name="Normal 24 2 3 4 4" xfId="27464"/>
    <cellStyle name="Normal 24 2 3 5" xfId="10668"/>
    <cellStyle name="Normal 24 2 3 5 2" xfId="30551"/>
    <cellStyle name="Normal 24 2 3 6" xfId="16820"/>
    <cellStyle name="Normal 24 2 3 6 2" xfId="36703"/>
    <cellStyle name="Normal 24 2 3 7" xfId="24398"/>
    <cellStyle name="Normal 24 2 4" xfId="3675"/>
    <cellStyle name="Normal 24 2 4 2" xfId="5134"/>
    <cellStyle name="Normal 24 2 4 2 2" xfId="6759"/>
    <cellStyle name="Normal 24 2 4 2 2 2" xfId="9845"/>
    <cellStyle name="Normal 24 2 4 2 2 2 2" xfId="16038"/>
    <cellStyle name="Normal 24 2 4 2 2 2 2 2" xfId="35921"/>
    <cellStyle name="Normal 24 2 4 2 2 2 3" xfId="22190"/>
    <cellStyle name="Normal 24 2 4 2 2 2 3 2" xfId="42073"/>
    <cellStyle name="Normal 24 2 4 2 2 2 4" xfId="29768"/>
    <cellStyle name="Normal 24 2 4 2 2 3" xfId="12972"/>
    <cellStyle name="Normal 24 2 4 2 2 3 2" xfId="32855"/>
    <cellStyle name="Normal 24 2 4 2 2 4" xfId="19124"/>
    <cellStyle name="Normal 24 2 4 2 2 4 2" xfId="39007"/>
    <cellStyle name="Normal 24 2 4 2 2 5" xfId="26702"/>
    <cellStyle name="Normal 24 2 4 2 3" xfId="8310"/>
    <cellStyle name="Normal 24 2 4 2 3 2" xfId="14504"/>
    <cellStyle name="Normal 24 2 4 2 3 2 2" xfId="34387"/>
    <cellStyle name="Normal 24 2 4 2 3 3" xfId="20656"/>
    <cellStyle name="Normal 24 2 4 2 3 3 2" xfId="40539"/>
    <cellStyle name="Normal 24 2 4 2 3 4" xfId="28234"/>
    <cellStyle name="Normal 24 2 4 2 4" xfId="11438"/>
    <cellStyle name="Normal 24 2 4 2 4 2" xfId="31321"/>
    <cellStyle name="Normal 24 2 4 2 5" xfId="17590"/>
    <cellStyle name="Normal 24 2 4 2 5 2" xfId="37473"/>
    <cellStyle name="Normal 24 2 4 2 6" xfId="25168"/>
    <cellStyle name="Normal 24 2 4 3" xfId="5976"/>
    <cellStyle name="Normal 24 2 4 3 2" xfId="9076"/>
    <cellStyle name="Normal 24 2 4 3 2 2" xfId="15269"/>
    <cellStyle name="Normal 24 2 4 3 2 2 2" xfId="35152"/>
    <cellStyle name="Normal 24 2 4 3 2 3" xfId="21421"/>
    <cellStyle name="Normal 24 2 4 3 2 3 2" xfId="41304"/>
    <cellStyle name="Normal 24 2 4 3 2 4" xfId="28999"/>
    <cellStyle name="Normal 24 2 4 3 3" xfId="12203"/>
    <cellStyle name="Normal 24 2 4 3 3 2" xfId="32086"/>
    <cellStyle name="Normal 24 2 4 3 4" xfId="18355"/>
    <cellStyle name="Normal 24 2 4 3 4 2" xfId="38238"/>
    <cellStyle name="Normal 24 2 4 3 5" xfId="25933"/>
    <cellStyle name="Normal 24 2 4 4" xfId="7541"/>
    <cellStyle name="Normal 24 2 4 4 2" xfId="13735"/>
    <cellStyle name="Normal 24 2 4 4 2 2" xfId="33618"/>
    <cellStyle name="Normal 24 2 4 4 3" xfId="19887"/>
    <cellStyle name="Normal 24 2 4 4 3 2" xfId="39770"/>
    <cellStyle name="Normal 24 2 4 4 4" xfId="27465"/>
    <cellStyle name="Normal 24 2 4 5" xfId="10669"/>
    <cellStyle name="Normal 24 2 4 5 2" xfId="30552"/>
    <cellStyle name="Normal 24 2 4 6" xfId="16821"/>
    <cellStyle name="Normal 24 2 4 6 2" xfId="36704"/>
    <cellStyle name="Normal 24 2 4 7" xfId="24399"/>
    <cellStyle name="Normal 24 2 5" xfId="3676"/>
    <cellStyle name="Normal 24 2 5 2" xfId="5135"/>
    <cellStyle name="Normal 24 2 5 2 2" xfId="6760"/>
    <cellStyle name="Normal 24 2 5 2 2 2" xfId="9846"/>
    <cellStyle name="Normal 24 2 5 2 2 2 2" xfId="16039"/>
    <cellStyle name="Normal 24 2 5 2 2 2 2 2" xfId="35922"/>
    <cellStyle name="Normal 24 2 5 2 2 2 3" xfId="22191"/>
    <cellStyle name="Normal 24 2 5 2 2 2 3 2" xfId="42074"/>
    <cellStyle name="Normal 24 2 5 2 2 2 4" xfId="29769"/>
    <cellStyle name="Normal 24 2 5 2 2 3" xfId="12973"/>
    <cellStyle name="Normal 24 2 5 2 2 3 2" xfId="32856"/>
    <cellStyle name="Normal 24 2 5 2 2 4" xfId="19125"/>
    <cellStyle name="Normal 24 2 5 2 2 4 2" xfId="39008"/>
    <cellStyle name="Normal 24 2 5 2 2 5" xfId="26703"/>
    <cellStyle name="Normal 24 2 5 2 3" xfId="8311"/>
    <cellStyle name="Normal 24 2 5 2 3 2" xfId="14505"/>
    <cellStyle name="Normal 24 2 5 2 3 2 2" xfId="34388"/>
    <cellStyle name="Normal 24 2 5 2 3 3" xfId="20657"/>
    <cellStyle name="Normal 24 2 5 2 3 3 2" xfId="40540"/>
    <cellStyle name="Normal 24 2 5 2 3 4" xfId="28235"/>
    <cellStyle name="Normal 24 2 5 2 4" xfId="11439"/>
    <cellStyle name="Normal 24 2 5 2 4 2" xfId="31322"/>
    <cellStyle name="Normal 24 2 5 2 5" xfId="17591"/>
    <cellStyle name="Normal 24 2 5 2 5 2" xfId="37474"/>
    <cellStyle name="Normal 24 2 5 2 6" xfId="25169"/>
    <cellStyle name="Normal 24 2 5 3" xfId="5977"/>
    <cellStyle name="Normal 24 2 5 3 2" xfId="9077"/>
    <cellStyle name="Normal 24 2 5 3 2 2" xfId="15270"/>
    <cellStyle name="Normal 24 2 5 3 2 2 2" xfId="35153"/>
    <cellStyle name="Normal 24 2 5 3 2 3" xfId="21422"/>
    <cellStyle name="Normal 24 2 5 3 2 3 2" xfId="41305"/>
    <cellStyle name="Normal 24 2 5 3 2 4" xfId="29000"/>
    <cellStyle name="Normal 24 2 5 3 3" xfId="12204"/>
    <cellStyle name="Normal 24 2 5 3 3 2" xfId="32087"/>
    <cellStyle name="Normal 24 2 5 3 4" xfId="18356"/>
    <cellStyle name="Normal 24 2 5 3 4 2" xfId="38239"/>
    <cellStyle name="Normal 24 2 5 3 5" xfId="25934"/>
    <cellStyle name="Normal 24 2 5 4" xfId="7542"/>
    <cellStyle name="Normal 24 2 5 4 2" xfId="13736"/>
    <cellStyle name="Normal 24 2 5 4 2 2" xfId="33619"/>
    <cellStyle name="Normal 24 2 5 4 3" xfId="19888"/>
    <cellStyle name="Normal 24 2 5 4 3 2" xfId="39771"/>
    <cellStyle name="Normal 24 2 5 4 4" xfId="27466"/>
    <cellStyle name="Normal 24 2 5 5" xfId="10670"/>
    <cellStyle name="Normal 24 2 5 5 2" xfId="30553"/>
    <cellStyle name="Normal 24 2 5 6" xfId="16822"/>
    <cellStyle name="Normal 24 2 5 6 2" xfId="36705"/>
    <cellStyle name="Normal 24 2 5 7" xfId="24400"/>
    <cellStyle name="Normal 24 2 6" xfId="5131"/>
    <cellStyle name="Normal 24 2 6 2" xfId="6756"/>
    <cellStyle name="Normal 24 2 6 2 2" xfId="9842"/>
    <cellStyle name="Normal 24 2 6 2 2 2" xfId="16035"/>
    <cellStyle name="Normal 24 2 6 2 2 2 2" xfId="35918"/>
    <cellStyle name="Normal 24 2 6 2 2 3" xfId="22187"/>
    <cellStyle name="Normal 24 2 6 2 2 3 2" xfId="42070"/>
    <cellStyle name="Normal 24 2 6 2 2 4" xfId="29765"/>
    <cellStyle name="Normal 24 2 6 2 3" xfId="12969"/>
    <cellStyle name="Normal 24 2 6 2 3 2" xfId="32852"/>
    <cellStyle name="Normal 24 2 6 2 4" xfId="19121"/>
    <cellStyle name="Normal 24 2 6 2 4 2" xfId="39004"/>
    <cellStyle name="Normal 24 2 6 2 5" xfId="26699"/>
    <cellStyle name="Normal 24 2 6 3" xfId="8307"/>
    <cellStyle name="Normal 24 2 6 3 2" xfId="14501"/>
    <cellStyle name="Normal 24 2 6 3 2 2" xfId="34384"/>
    <cellStyle name="Normal 24 2 6 3 3" xfId="20653"/>
    <cellStyle name="Normal 24 2 6 3 3 2" xfId="40536"/>
    <cellStyle name="Normal 24 2 6 3 4" xfId="28231"/>
    <cellStyle name="Normal 24 2 6 4" xfId="11435"/>
    <cellStyle name="Normal 24 2 6 4 2" xfId="31318"/>
    <cellStyle name="Normal 24 2 6 5" xfId="17587"/>
    <cellStyle name="Normal 24 2 6 5 2" xfId="37470"/>
    <cellStyle name="Normal 24 2 6 6" xfId="25165"/>
    <cellStyle name="Normal 24 2 7" xfId="5973"/>
    <cellStyle name="Normal 24 2 7 2" xfId="9073"/>
    <cellStyle name="Normal 24 2 7 2 2" xfId="15266"/>
    <cellStyle name="Normal 24 2 7 2 2 2" xfId="35149"/>
    <cellStyle name="Normal 24 2 7 2 3" xfId="21418"/>
    <cellStyle name="Normal 24 2 7 2 3 2" xfId="41301"/>
    <cellStyle name="Normal 24 2 7 2 4" xfId="28996"/>
    <cellStyle name="Normal 24 2 7 3" xfId="12200"/>
    <cellStyle name="Normal 24 2 7 3 2" xfId="32083"/>
    <cellStyle name="Normal 24 2 7 4" xfId="18352"/>
    <cellStyle name="Normal 24 2 7 4 2" xfId="38235"/>
    <cellStyle name="Normal 24 2 7 5" xfId="25930"/>
    <cellStyle name="Normal 24 2 8" xfId="7538"/>
    <cellStyle name="Normal 24 2 8 2" xfId="13732"/>
    <cellStyle name="Normal 24 2 8 2 2" xfId="33615"/>
    <cellStyle name="Normal 24 2 8 3" xfId="19884"/>
    <cellStyle name="Normal 24 2 8 3 2" xfId="39767"/>
    <cellStyle name="Normal 24 2 8 4" xfId="27462"/>
    <cellStyle name="Normal 24 2 9" xfId="10666"/>
    <cellStyle name="Normal 24 2 9 2" xfId="30549"/>
    <cellStyle name="Normal 24 3" xfId="3677"/>
    <cellStyle name="Normal 24 3 2" xfId="5136"/>
    <cellStyle name="Normal 24 3 2 2" xfId="6761"/>
    <cellStyle name="Normal 24 3 2 2 2" xfId="9847"/>
    <cellStyle name="Normal 24 3 2 2 2 2" xfId="16040"/>
    <cellStyle name="Normal 24 3 2 2 2 2 2" xfId="35923"/>
    <cellStyle name="Normal 24 3 2 2 2 3" xfId="22192"/>
    <cellStyle name="Normal 24 3 2 2 2 3 2" xfId="42075"/>
    <cellStyle name="Normal 24 3 2 2 2 4" xfId="29770"/>
    <cellStyle name="Normal 24 3 2 2 3" xfId="12974"/>
    <cellStyle name="Normal 24 3 2 2 3 2" xfId="32857"/>
    <cellStyle name="Normal 24 3 2 2 4" xfId="19126"/>
    <cellStyle name="Normal 24 3 2 2 4 2" xfId="39009"/>
    <cellStyle name="Normal 24 3 2 2 5" xfId="26704"/>
    <cellStyle name="Normal 24 3 2 3" xfId="8312"/>
    <cellStyle name="Normal 24 3 2 3 2" xfId="14506"/>
    <cellStyle name="Normal 24 3 2 3 2 2" xfId="34389"/>
    <cellStyle name="Normal 24 3 2 3 3" xfId="20658"/>
    <cellStyle name="Normal 24 3 2 3 3 2" xfId="40541"/>
    <cellStyle name="Normal 24 3 2 3 4" xfId="28236"/>
    <cellStyle name="Normal 24 3 2 4" xfId="11440"/>
    <cellStyle name="Normal 24 3 2 4 2" xfId="31323"/>
    <cellStyle name="Normal 24 3 2 5" xfId="17592"/>
    <cellStyle name="Normal 24 3 2 5 2" xfId="37475"/>
    <cellStyle name="Normal 24 3 2 6" xfId="25170"/>
    <cellStyle name="Normal 24 3 3" xfId="5978"/>
    <cellStyle name="Normal 24 3 3 2" xfId="9078"/>
    <cellStyle name="Normal 24 3 3 2 2" xfId="15271"/>
    <cellStyle name="Normal 24 3 3 2 2 2" xfId="35154"/>
    <cellStyle name="Normal 24 3 3 2 3" xfId="21423"/>
    <cellStyle name="Normal 24 3 3 2 3 2" xfId="41306"/>
    <cellStyle name="Normal 24 3 3 2 4" xfId="29001"/>
    <cellStyle name="Normal 24 3 3 3" xfId="12205"/>
    <cellStyle name="Normal 24 3 3 3 2" xfId="32088"/>
    <cellStyle name="Normal 24 3 3 4" xfId="18357"/>
    <cellStyle name="Normal 24 3 3 4 2" xfId="38240"/>
    <cellStyle name="Normal 24 3 3 5" xfId="25935"/>
    <cellStyle name="Normal 24 3 4" xfId="7543"/>
    <cellStyle name="Normal 24 3 4 2" xfId="13737"/>
    <cellStyle name="Normal 24 3 4 2 2" xfId="33620"/>
    <cellStyle name="Normal 24 3 4 3" xfId="19889"/>
    <cellStyle name="Normal 24 3 4 3 2" xfId="39772"/>
    <cellStyle name="Normal 24 3 4 4" xfId="27467"/>
    <cellStyle name="Normal 24 3 5" xfId="10671"/>
    <cellStyle name="Normal 24 3 5 2" xfId="30554"/>
    <cellStyle name="Normal 24 3 6" xfId="16823"/>
    <cellStyle name="Normal 24 3 6 2" xfId="36706"/>
    <cellStyle name="Normal 24 3 7" xfId="24401"/>
    <cellStyle name="Normal 24 4" xfId="3678"/>
    <cellStyle name="Normal 24 4 2" xfId="5137"/>
    <cellStyle name="Normal 24 4 2 2" xfId="6762"/>
    <cellStyle name="Normal 24 4 2 2 2" xfId="9848"/>
    <cellStyle name="Normal 24 4 2 2 2 2" xfId="16041"/>
    <cellStyle name="Normal 24 4 2 2 2 2 2" xfId="35924"/>
    <cellStyle name="Normal 24 4 2 2 2 3" xfId="22193"/>
    <cellStyle name="Normal 24 4 2 2 2 3 2" xfId="42076"/>
    <cellStyle name="Normal 24 4 2 2 2 4" xfId="29771"/>
    <cellStyle name="Normal 24 4 2 2 3" xfId="12975"/>
    <cellStyle name="Normal 24 4 2 2 3 2" xfId="32858"/>
    <cellStyle name="Normal 24 4 2 2 4" xfId="19127"/>
    <cellStyle name="Normal 24 4 2 2 4 2" xfId="39010"/>
    <cellStyle name="Normal 24 4 2 2 5" xfId="26705"/>
    <cellStyle name="Normal 24 4 2 3" xfId="8313"/>
    <cellStyle name="Normal 24 4 2 3 2" xfId="14507"/>
    <cellStyle name="Normal 24 4 2 3 2 2" xfId="34390"/>
    <cellStyle name="Normal 24 4 2 3 3" xfId="20659"/>
    <cellStyle name="Normal 24 4 2 3 3 2" xfId="40542"/>
    <cellStyle name="Normal 24 4 2 3 4" xfId="28237"/>
    <cellStyle name="Normal 24 4 2 4" xfId="11441"/>
    <cellStyle name="Normal 24 4 2 4 2" xfId="31324"/>
    <cellStyle name="Normal 24 4 2 5" xfId="17593"/>
    <cellStyle name="Normal 24 4 2 5 2" xfId="37476"/>
    <cellStyle name="Normal 24 4 2 6" xfId="25171"/>
    <cellStyle name="Normal 24 4 3" xfId="5979"/>
    <cellStyle name="Normal 24 4 3 2" xfId="9079"/>
    <cellStyle name="Normal 24 4 3 2 2" xfId="15272"/>
    <cellStyle name="Normal 24 4 3 2 2 2" xfId="35155"/>
    <cellStyle name="Normal 24 4 3 2 3" xfId="21424"/>
    <cellStyle name="Normal 24 4 3 2 3 2" xfId="41307"/>
    <cellStyle name="Normal 24 4 3 2 4" xfId="29002"/>
    <cellStyle name="Normal 24 4 3 3" xfId="12206"/>
    <cellStyle name="Normal 24 4 3 3 2" xfId="32089"/>
    <cellStyle name="Normal 24 4 3 4" xfId="18358"/>
    <cellStyle name="Normal 24 4 3 4 2" xfId="38241"/>
    <cellStyle name="Normal 24 4 3 5" xfId="25936"/>
    <cellStyle name="Normal 24 4 4" xfId="7544"/>
    <cellStyle name="Normal 24 4 4 2" xfId="13738"/>
    <cellStyle name="Normal 24 4 4 2 2" xfId="33621"/>
    <cellStyle name="Normal 24 4 4 3" xfId="19890"/>
    <cellStyle name="Normal 24 4 4 3 2" xfId="39773"/>
    <cellStyle name="Normal 24 4 4 4" xfId="27468"/>
    <cellStyle name="Normal 24 4 5" xfId="10672"/>
    <cellStyle name="Normal 24 4 5 2" xfId="30555"/>
    <cellStyle name="Normal 24 4 6" xfId="16824"/>
    <cellStyle name="Normal 24 4 6 2" xfId="36707"/>
    <cellStyle name="Normal 24 4 7" xfId="24402"/>
    <cellStyle name="Normal 24 5" xfId="3679"/>
    <cellStyle name="Normal 24 5 2" xfId="5138"/>
    <cellStyle name="Normal 24 5 2 2" xfId="6763"/>
    <cellStyle name="Normal 24 5 2 2 2" xfId="9849"/>
    <cellStyle name="Normal 24 5 2 2 2 2" xfId="16042"/>
    <cellStyle name="Normal 24 5 2 2 2 2 2" xfId="35925"/>
    <cellStyle name="Normal 24 5 2 2 2 3" xfId="22194"/>
    <cellStyle name="Normal 24 5 2 2 2 3 2" xfId="42077"/>
    <cellStyle name="Normal 24 5 2 2 2 4" xfId="29772"/>
    <cellStyle name="Normal 24 5 2 2 3" xfId="12976"/>
    <cellStyle name="Normal 24 5 2 2 3 2" xfId="32859"/>
    <cellStyle name="Normal 24 5 2 2 4" xfId="19128"/>
    <cellStyle name="Normal 24 5 2 2 4 2" xfId="39011"/>
    <cellStyle name="Normal 24 5 2 2 5" xfId="26706"/>
    <cellStyle name="Normal 24 5 2 3" xfId="8314"/>
    <cellStyle name="Normal 24 5 2 3 2" xfId="14508"/>
    <cellStyle name="Normal 24 5 2 3 2 2" xfId="34391"/>
    <cellStyle name="Normal 24 5 2 3 3" xfId="20660"/>
    <cellStyle name="Normal 24 5 2 3 3 2" xfId="40543"/>
    <cellStyle name="Normal 24 5 2 3 4" xfId="28238"/>
    <cellStyle name="Normal 24 5 2 4" xfId="11442"/>
    <cellStyle name="Normal 24 5 2 4 2" xfId="31325"/>
    <cellStyle name="Normal 24 5 2 5" xfId="17594"/>
    <cellStyle name="Normal 24 5 2 5 2" xfId="37477"/>
    <cellStyle name="Normal 24 5 2 6" xfId="25172"/>
    <cellStyle name="Normal 24 5 3" xfId="5980"/>
    <cellStyle name="Normal 24 5 3 2" xfId="9080"/>
    <cellStyle name="Normal 24 5 3 2 2" xfId="15273"/>
    <cellStyle name="Normal 24 5 3 2 2 2" xfId="35156"/>
    <cellStyle name="Normal 24 5 3 2 3" xfId="21425"/>
    <cellStyle name="Normal 24 5 3 2 3 2" xfId="41308"/>
    <cellStyle name="Normal 24 5 3 2 4" xfId="29003"/>
    <cellStyle name="Normal 24 5 3 3" xfId="12207"/>
    <cellStyle name="Normal 24 5 3 3 2" xfId="32090"/>
    <cellStyle name="Normal 24 5 3 4" xfId="18359"/>
    <cellStyle name="Normal 24 5 3 4 2" xfId="38242"/>
    <cellStyle name="Normal 24 5 3 5" xfId="25937"/>
    <cellStyle name="Normal 24 5 4" xfId="7545"/>
    <cellStyle name="Normal 24 5 4 2" xfId="13739"/>
    <cellStyle name="Normal 24 5 4 2 2" xfId="33622"/>
    <cellStyle name="Normal 24 5 4 3" xfId="19891"/>
    <cellStyle name="Normal 24 5 4 3 2" xfId="39774"/>
    <cellStyle name="Normal 24 5 4 4" xfId="27469"/>
    <cellStyle name="Normal 24 5 5" xfId="10673"/>
    <cellStyle name="Normal 24 5 5 2" xfId="30556"/>
    <cellStyle name="Normal 24 5 6" xfId="16825"/>
    <cellStyle name="Normal 24 5 6 2" xfId="36708"/>
    <cellStyle name="Normal 24 5 7" xfId="24403"/>
    <cellStyle name="Normal 24 6" xfId="3680"/>
    <cellStyle name="Normal 24 6 2" xfId="5139"/>
    <cellStyle name="Normal 24 6 2 2" xfId="6764"/>
    <cellStyle name="Normal 24 6 2 2 2" xfId="9850"/>
    <cellStyle name="Normal 24 6 2 2 2 2" xfId="16043"/>
    <cellStyle name="Normal 24 6 2 2 2 2 2" xfId="35926"/>
    <cellStyle name="Normal 24 6 2 2 2 3" xfId="22195"/>
    <cellStyle name="Normal 24 6 2 2 2 3 2" xfId="42078"/>
    <cellStyle name="Normal 24 6 2 2 2 4" xfId="29773"/>
    <cellStyle name="Normal 24 6 2 2 3" xfId="12977"/>
    <cellStyle name="Normal 24 6 2 2 3 2" xfId="32860"/>
    <cellStyle name="Normal 24 6 2 2 4" xfId="19129"/>
    <cellStyle name="Normal 24 6 2 2 4 2" xfId="39012"/>
    <cellStyle name="Normal 24 6 2 2 5" xfId="26707"/>
    <cellStyle name="Normal 24 6 2 3" xfId="8315"/>
    <cellStyle name="Normal 24 6 2 3 2" xfId="14509"/>
    <cellStyle name="Normal 24 6 2 3 2 2" xfId="34392"/>
    <cellStyle name="Normal 24 6 2 3 3" xfId="20661"/>
    <cellStyle name="Normal 24 6 2 3 3 2" xfId="40544"/>
    <cellStyle name="Normal 24 6 2 3 4" xfId="28239"/>
    <cellStyle name="Normal 24 6 2 4" xfId="11443"/>
    <cellStyle name="Normal 24 6 2 4 2" xfId="31326"/>
    <cellStyle name="Normal 24 6 2 5" xfId="17595"/>
    <cellStyle name="Normal 24 6 2 5 2" xfId="37478"/>
    <cellStyle name="Normal 24 6 2 6" xfId="25173"/>
    <cellStyle name="Normal 24 6 3" xfId="5981"/>
    <cellStyle name="Normal 24 6 3 2" xfId="9081"/>
    <cellStyle name="Normal 24 6 3 2 2" xfId="15274"/>
    <cellStyle name="Normal 24 6 3 2 2 2" xfId="35157"/>
    <cellStyle name="Normal 24 6 3 2 3" xfId="21426"/>
    <cellStyle name="Normal 24 6 3 2 3 2" xfId="41309"/>
    <cellStyle name="Normal 24 6 3 2 4" xfId="29004"/>
    <cellStyle name="Normal 24 6 3 3" xfId="12208"/>
    <cellStyle name="Normal 24 6 3 3 2" xfId="32091"/>
    <cellStyle name="Normal 24 6 3 4" xfId="18360"/>
    <cellStyle name="Normal 24 6 3 4 2" xfId="38243"/>
    <cellStyle name="Normal 24 6 3 5" xfId="25938"/>
    <cellStyle name="Normal 24 6 4" xfId="7546"/>
    <cellStyle name="Normal 24 6 4 2" xfId="13740"/>
    <cellStyle name="Normal 24 6 4 2 2" xfId="33623"/>
    <cellStyle name="Normal 24 6 4 3" xfId="19892"/>
    <cellStyle name="Normal 24 6 4 3 2" xfId="39775"/>
    <cellStyle name="Normal 24 6 4 4" xfId="27470"/>
    <cellStyle name="Normal 24 6 5" xfId="10674"/>
    <cellStyle name="Normal 24 6 5 2" xfId="30557"/>
    <cellStyle name="Normal 24 6 6" xfId="16826"/>
    <cellStyle name="Normal 24 6 6 2" xfId="36709"/>
    <cellStyle name="Normal 24 6 7" xfId="24404"/>
    <cellStyle name="Normal 24 7" xfId="3681"/>
    <cellStyle name="Normal 24 8" xfId="5130"/>
    <cellStyle name="Normal 24 8 2" xfId="6755"/>
    <cellStyle name="Normal 24 8 2 2" xfId="9841"/>
    <cellStyle name="Normal 24 8 2 2 2" xfId="16034"/>
    <cellStyle name="Normal 24 8 2 2 2 2" xfId="35917"/>
    <cellStyle name="Normal 24 8 2 2 3" xfId="22186"/>
    <cellStyle name="Normal 24 8 2 2 3 2" xfId="42069"/>
    <cellStyle name="Normal 24 8 2 2 4" xfId="29764"/>
    <cellStyle name="Normal 24 8 2 3" xfId="12968"/>
    <cellStyle name="Normal 24 8 2 3 2" xfId="32851"/>
    <cellStyle name="Normal 24 8 2 4" xfId="19120"/>
    <cellStyle name="Normal 24 8 2 4 2" xfId="39003"/>
    <cellStyle name="Normal 24 8 2 5" xfId="26698"/>
    <cellStyle name="Normal 24 8 3" xfId="8306"/>
    <cellStyle name="Normal 24 8 3 2" xfId="14500"/>
    <cellStyle name="Normal 24 8 3 2 2" xfId="34383"/>
    <cellStyle name="Normal 24 8 3 3" xfId="20652"/>
    <cellStyle name="Normal 24 8 3 3 2" xfId="40535"/>
    <cellStyle name="Normal 24 8 3 4" xfId="28230"/>
    <cellStyle name="Normal 24 8 4" xfId="11434"/>
    <cellStyle name="Normal 24 8 4 2" xfId="31317"/>
    <cellStyle name="Normal 24 8 5" xfId="17586"/>
    <cellStyle name="Normal 24 8 5 2" xfId="37469"/>
    <cellStyle name="Normal 24 8 6" xfId="25164"/>
    <cellStyle name="Normal 24 9" xfId="5972"/>
    <cellStyle name="Normal 24 9 2" xfId="9072"/>
    <cellStyle name="Normal 24 9 2 2" xfId="15265"/>
    <cellStyle name="Normal 24 9 2 2 2" xfId="35148"/>
    <cellStyle name="Normal 24 9 2 3" xfId="21417"/>
    <cellStyle name="Normal 24 9 2 3 2" xfId="41300"/>
    <cellStyle name="Normal 24 9 2 4" xfId="28995"/>
    <cellStyle name="Normal 24 9 3" xfId="12199"/>
    <cellStyle name="Normal 24 9 3 2" xfId="32082"/>
    <cellStyle name="Normal 24 9 4" xfId="18351"/>
    <cellStyle name="Normal 24 9 4 2" xfId="38234"/>
    <cellStyle name="Normal 24 9 5" xfId="25929"/>
    <cellStyle name="Normal 25" xfId="636"/>
    <cellStyle name="Normal 25 10" xfId="3683"/>
    <cellStyle name="Normal 25 11" xfId="3684"/>
    <cellStyle name="Normal 25 12" xfId="3685"/>
    <cellStyle name="Normal 25 13" xfId="3686"/>
    <cellStyle name="Normal 25 14" xfId="3687"/>
    <cellStyle name="Normal 25 15" xfId="3688"/>
    <cellStyle name="Normal 25 16" xfId="3689"/>
    <cellStyle name="Normal 25 17" xfId="3690"/>
    <cellStyle name="Normal 25 18" xfId="3691"/>
    <cellStyle name="Normal 25 19" xfId="3692"/>
    <cellStyle name="Normal 25 2" xfId="3693"/>
    <cellStyle name="Normal 25 20" xfId="3694"/>
    <cellStyle name="Normal 25 21" xfId="3695"/>
    <cellStyle name="Normal 25 22" xfId="3696"/>
    <cellStyle name="Normal 25 23" xfId="3697"/>
    <cellStyle name="Normal 25 24" xfId="3682"/>
    <cellStyle name="Normal 25 25" xfId="23251"/>
    <cellStyle name="Normal 25 3" xfId="3698"/>
    <cellStyle name="Normal 25 4" xfId="3699"/>
    <cellStyle name="Normal 25 5" xfId="3700"/>
    <cellStyle name="Normal 25 6" xfId="3701"/>
    <cellStyle name="Normal 25 7" xfId="3702"/>
    <cellStyle name="Normal 25 8" xfId="3703"/>
    <cellStyle name="Normal 25 9" xfId="3704"/>
    <cellStyle name="Normal 26" xfId="653"/>
    <cellStyle name="Normal 26 10" xfId="7547"/>
    <cellStyle name="Normal 26 10 2" xfId="13741"/>
    <cellStyle name="Normal 26 10 2 2" xfId="33624"/>
    <cellStyle name="Normal 26 10 3" xfId="19893"/>
    <cellStyle name="Normal 26 10 3 2" xfId="39776"/>
    <cellStyle name="Normal 26 10 4" xfId="27471"/>
    <cellStyle name="Normal 26 11" xfId="10675"/>
    <cellStyle name="Normal 26 11 2" xfId="30558"/>
    <cellStyle name="Normal 26 12" xfId="16827"/>
    <cellStyle name="Normal 26 12 2" xfId="36710"/>
    <cellStyle name="Normal 26 13" xfId="3705"/>
    <cellStyle name="Normal 26 13 2" xfId="24405"/>
    <cellStyle name="Normal 26 2" xfId="3706"/>
    <cellStyle name="Normal 26 2 10" xfId="16828"/>
    <cellStyle name="Normal 26 2 10 2" xfId="36711"/>
    <cellStyle name="Normal 26 2 11" xfId="23252"/>
    <cellStyle name="Normal 26 2 12" xfId="24406"/>
    <cellStyle name="Normal 26 2 2" xfId="3707"/>
    <cellStyle name="Normal 26 2 2 2" xfId="5142"/>
    <cellStyle name="Normal 26 2 2 2 2" xfId="6767"/>
    <cellStyle name="Normal 26 2 2 2 2 2" xfId="9853"/>
    <cellStyle name="Normal 26 2 2 2 2 2 2" xfId="16046"/>
    <cellStyle name="Normal 26 2 2 2 2 2 2 2" xfId="35929"/>
    <cellStyle name="Normal 26 2 2 2 2 2 3" xfId="22198"/>
    <cellStyle name="Normal 26 2 2 2 2 2 3 2" xfId="42081"/>
    <cellStyle name="Normal 26 2 2 2 2 2 4" xfId="29776"/>
    <cellStyle name="Normal 26 2 2 2 2 3" xfId="12980"/>
    <cellStyle name="Normal 26 2 2 2 2 3 2" xfId="32863"/>
    <cellStyle name="Normal 26 2 2 2 2 4" xfId="19132"/>
    <cellStyle name="Normal 26 2 2 2 2 4 2" xfId="39015"/>
    <cellStyle name="Normal 26 2 2 2 2 5" xfId="26710"/>
    <cellStyle name="Normal 26 2 2 2 3" xfId="8318"/>
    <cellStyle name="Normal 26 2 2 2 3 2" xfId="14512"/>
    <cellStyle name="Normal 26 2 2 2 3 2 2" xfId="34395"/>
    <cellStyle name="Normal 26 2 2 2 3 3" xfId="20664"/>
    <cellStyle name="Normal 26 2 2 2 3 3 2" xfId="40547"/>
    <cellStyle name="Normal 26 2 2 2 3 4" xfId="28242"/>
    <cellStyle name="Normal 26 2 2 2 4" xfId="11446"/>
    <cellStyle name="Normal 26 2 2 2 4 2" xfId="31329"/>
    <cellStyle name="Normal 26 2 2 2 5" xfId="17598"/>
    <cellStyle name="Normal 26 2 2 2 5 2" xfId="37481"/>
    <cellStyle name="Normal 26 2 2 2 6" xfId="25176"/>
    <cellStyle name="Normal 26 2 2 3" xfId="5984"/>
    <cellStyle name="Normal 26 2 2 3 2" xfId="9084"/>
    <cellStyle name="Normal 26 2 2 3 2 2" xfId="15277"/>
    <cellStyle name="Normal 26 2 2 3 2 2 2" xfId="35160"/>
    <cellStyle name="Normal 26 2 2 3 2 3" xfId="21429"/>
    <cellStyle name="Normal 26 2 2 3 2 3 2" xfId="41312"/>
    <cellStyle name="Normal 26 2 2 3 2 4" xfId="29007"/>
    <cellStyle name="Normal 26 2 2 3 3" xfId="12211"/>
    <cellStyle name="Normal 26 2 2 3 3 2" xfId="32094"/>
    <cellStyle name="Normal 26 2 2 3 4" xfId="18363"/>
    <cellStyle name="Normal 26 2 2 3 4 2" xfId="38246"/>
    <cellStyle name="Normal 26 2 2 3 5" xfId="25941"/>
    <cellStyle name="Normal 26 2 2 4" xfId="7549"/>
    <cellStyle name="Normal 26 2 2 4 2" xfId="13743"/>
    <cellStyle name="Normal 26 2 2 4 2 2" xfId="33626"/>
    <cellStyle name="Normal 26 2 2 4 3" xfId="19895"/>
    <cellStyle name="Normal 26 2 2 4 3 2" xfId="39778"/>
    <cellStyle name="Normal 26 2 2 4 4" xfId="27473"/>
    <cellStyle name="Normal 26 2 2 5" xfId="10677"/>
    <cellStyle name="Normal 26 2 2 5 2" xfId="30560"/>
    <cellStyle name="Normal 26 2 2 6" xfId="16829"/>
    <cellStyle name="Normal 26 2 2 6 2" xfId="36712"/>
    <cellStyle name="Normal 26 2 2 7" xfId="24407"/>
    <cellStyle name="Normal 26 2 3" xfId="3708"/>
    <cellStyle name="Normal 26 2 3 2" xfId="5143"/>
    <cellStyle name="Normal 26 2 3 2 2" xfId="6768"/>
    <cellStyle name="Normal 26 2 3 2 2 2" xfId="9854"/>
    <cellStyle name="Normal 26 2 3 2 2 2 2" xfId="16047"/>
    <cellStyle name="Normal 26 2 3 2 2 2 2 2" xfId="35930"/>
    <cellStyle name="Normal 26 2 3 2 2 2 3" xfId="22199"/>
    <cellStyle name="Normal 26 2 3 2 2 2 3 2" xfId="42082"/>
    <cellStyle name="Normal 26 2 3 2 2 2 4" xfId="29777"/>
    <cellStyle name="Normal 26 2 3 2 2 3" xfId="12981"/>
    <cellStyle name="Normal 26 2 3 2 2 3 2" xfId="32864"/>
    <cellStyle name="Normal 26 2 3 2 2 4" xfId="19133"/>
    <cellStyle name="Normal 26 2 3 2 2 4 2" xfId="39016"/>
    <cellStyle name="Normal 26 2 3 2 2 5" xfId="26711"/>
    <cellStyle name="Normal 26 2 3 2 3" xfId="8319"/>
    <cellStyle name="Normal 26 2 3 2 3 2" xfId="14513"/>
    <cellStyle name="Normal 26 2 3 2 3 2 2" xfId="34396"/>
    <cellStyle name="Normal 26 2 3 2 3 3" xfId="20665"/>
    <cellStyle name="Normal 26 2 3 2 3 3 2" xfId="40548"/>
    <cellStyle name="Normal 26 2 3 2 3 4" xfId="28243"/>
    <cellStyle name="Normal 26 2 3 2 4" xfId="11447"/>
    <cellStyle name="Normal 26 2 3 2 4 2" xfId="31330"/>
    <cellStyle name="Normal 26 2 3 2 5" xfId="17599"/>
    <cellStyle name="Normal 26 2 3 2 5 2" xfId="37482"/>
    <cellStyle name="Normal 26 2 3 2 6" xfId="25177"/>
    <cellStyle name="Normal 26 2 3 3" xfId="5985"/>
    <cellStyle name="Normal 26 2 3 3 2" xfId="9085"/>
    <cellStyle name="Normal 26 2 3 3 2 2" xfId="15278"/>
    <cellStyle name="Normal 26 2 3 3 2 2 2" xfId="35161"/>
    <cellStyle name="Normal 26 2 3 3 2 3" xfId="21430"/>
    <cellStyle name="Normal 26 2 3 3 2 3 2" xfId="41313"/>
    <cellStyle name="Normal 26 2 3 3 2 4" xfId="29008"/>
    <cellStyle name="Normal 26 2 3 3 3" xfId="12212"/>
    <cellStyle name="Normal 26 2 3 3 3 2" xfId="32095"/>
    <cellStyle name="Normal 26 2 3 3 4" xfId="18364"/>
    <cellStyle name="Normal 26 2 3 3 4 2" xfId="38247"/>
    <cellStyle name="Normal 26 2 3 3 5" xfId="25942"/>
    <cellStyle name="Normal 26 2 3 4" xfId="7550"/>
    <cellStyle name="Normal 26 2 3 4 2" xfId="13744"/>
    <cellStyle name="Normal 26 2 3 4 2 2" xfId="33627"/>
    <cellStyle name="Normal 26 2 3 4 3" xfId="19896"/>
    <cellStyle name="Normal 26 2 3 4 3 2" xfId="39779"/>
    <cellStyle name="Normal 26 2 3 4 4" xfId="27474"/>
    <cellStyle name="Normal 26 2 3 5" xfId="10678"/>
    <cellStyle name="Normal 26 2 3 5 2" xfId="30561"/>
    <cellStyle name="Normal 26 2 3 6" xfId="16830"/>
    <cellStyle name="Normal 26 2 3 6 2" xfId="36713"/>
    <cellStyle name="Normal 26 2 3 7" xfId="24408"/>
    <cellStyle name="Normal 26 2 4" xfId="3709"/>
    <cellStyle name="Normal 26 2 4 2" xfId="5144"/>
    <cellStyle name="Normal 26 2 4 2 2" xfId="6769"/>
    <cellStyle name="Normal 26 2 4 2 2 2" xfId="9855"/>
    <cellStyle name="Normal 26 2 4 2 2 2 2" xfId="16048"/>
    <cellStyle name="Normal 26 2 4 2 2 2 2 2" xfId="35931"/>
    <cellStyle name="Normal 26 2 4 2 2 2 3" xfId="22200"/>
    <cellStyle name="Normal 26 2 4 2 2 2 3 2" xfId="42083"/>
    <cellStyle name="Normal 26 2 4 2 2 2 4" xfId="29778"/>
    <cellStyle name="Normal 26 2 4 2 2 3" xfId="12982"/>
    <cellStyle name="Normal 26 2 4 2 2 3 2" xfId="32865"/>
    <cellStyle name="Normal 26 2 4 2 2 4" xfId="19134"/>
    <cellStyle name="Normal 26 2 4 2 2 4 2" xfId="39017"/>
    <cellStyle name="Normal 26 2 4 2 2 5" xfId="26712"/>
    <cellStyle name="Normal 26 2 4 2 3" xfId="8320"/>
    <cellStyle name="Normal 26 2 4 2 3 2" xfId="14514"/>
    <cellStyle name="Normal 26 2 4 2 3 2 2" xfId="34397"/>
    <cellStyle name="Normal 26 2 4 2 3 3" xfId="20666"/>
    <cellStyle name="Normal 26 2 4 2 3 3 2" xfId="40549"/>
    <cellStyle name="Normal 26 2 4 2 3 4" xfId="28244"/>
    <cellStyle name="Normal 26 2 4 2 4" xfId="11448"/>
    <cellStyle name="Normal 26 2 4 2 4 2" xfId="31331"/>
    <cellStyle name="Normal 26 2 4 2 5" xfId="17600"/>
    <cellStyle name="Normal 26 2 4 2 5 2" xfId="37483"/>
    <cellStyle name="Normal 26 2 4 2 6" xfId="25178"/>
    <cellStyle name="Normal 26 2 4 3" xfId="5986"/>
    <cellStyle name="Normal 26 2 4 3 2" xfId="9086"/>
    <cellStyle name="Normal 26 2 4 3 2 2" xfId="15279"/>
    <cellStyle name="Normal 26 2 4 3 2 2 2" xfId="35162"/>
    <cellStyle name="Normal 26 2 4 3 2 3" xfId="21431"/>
    <cellStyle name="Normal 26 2 4 3 2 3 2" xfId="41314"/>
    <cellStyle name="Normal 26 2 4 3 2 4" xfId="29009"/>
    <cellStyle name="Normal 26 2 4 3 3" xfId="12213"/>
    <cellStyle name="Normal 26 2 4 3 3 2" xfId="32096"/>
    <cellStyle name="Normal 26 2 4 3 4" xfId="18365"/>
    <cellStyle name="Normal 26 2 4 3 4 2" xfId="38248"/>
    <cellStyle name="Normal 26 2 4 3 5" xfId="25943"/>
    <cellStyle name="Normal 26 2 4 4" xfId="7551"/>
    <cellStyle name="Normal 26 2 4 4 2" xfId="13745"/>
    <cellStyle name="Normal 26 2 4 4 2 2" xfId="33628"/>
    <cellStyle name="Normal 26 2 4 4 3" xfId="19897"/>
    <cellStyle name="Normal 26 2 4 4 3 2" xfId="39780"/>
    <cellStyle name="Normal 26 2 4 4 4" xfId="27475"/>
    <cellStyle name="Normal 26 2 4 5" xfId="10679"/>
    <cellStyle name="Normal 26 2 4 5 2" xfId="30562"/>
    <cellStyle name="Normal 26 2 4 6" xfId="16831"/>
    <cellStyle name="Normal 26 2 4 6 2" xfId="36714"/>
    <cellStyle name="Normal 26 2 4 7" xfId="24409"/>
    <cellStyle name="Normal 26 2 5" xfId="3710"/>
    <cellStyle name="Normal 26 2 5 2" xfId="5145"/>
    <cellStyle name="Normal 26 2 5 2 2" xfId="6770"/>
    <cellStyle name="Normal 26 2 5 2 2 2" xfId="9856"/>
    <cellStyle name="Normal 26 2 5 2 2 2 2" xfId="16049"/>
    <cellStyle name="Normal 26 2 5 2 2 2 2 2" xfId="35932"/>
    <cellStyle name="Normal 26 2 5 2 2 2 3" xfId="22201"/>
    <cellStyle name="Normal 26 2 5 2 2 2 3 2" xfId="42084"/>
    <cellStyle name="Normal 26 2 5 2 2 2 4" xfId="29779"/>
    <cellStyle name="Normal 26 2 5 2 2 3" xfId="12983"/>
    <cellStyle name="Normal 26 2 5 2 2 3 2" xfId="32866"/>
    <cellStyle name="Normal 26 2 5 2 2 4" xfId="19135"/>
    <cellStyle name="Normal 26 2 5 2 2 4 2" xfId="39018"/>
    <cellStyle name="Normal 26 2 5 2 2 5" xfId="26713"/>
    <cellStyle name="Normal 26 2 5 2 3" xfId="8321"/>
    <cellStyle name="Normal 26 2 5 2 3 2" xfId="14515"/>
    <cellStyle name="Normal 26 2 5 2 3 2 2" xfId="34398"/>
    <cellStyle name="Normal 26 2 5 2 3 3" xfId="20667"/>
    <cellStyle name="Normal 26 2 5 2 3 3 2" xfId="40550"/>
    <cellStyle name="Normal 26 2 5 2 3 4" xfId="28245"/>
    <cellStyle name="Normal 26 2 5 2 4" xfId="11449"/>
    <cellStyle name="Normal 26 2 5 2 4 2" xfId="31332"/>
    <cellStyle name="Normal 26 2 5 2 5" xfId="17601"/>
    <cellStyle name="Normal 26 2 5 2 5 2" xfId="37484"/>
    <cellStyle name="Normal 26 2 5 2 6" xfId="25179"/>
    <cellStyle name="Normal 26 2 5 3" xfId="5987"/>
    <cellStyle name="Normal 26 2 5 3 2" xfId="9087"/>
    <cellStyle name="Normal 26 2 5 3 2 2" xfId="15280"/>
    <cellStyle name="Normal 26 2 5 3 2 2 2" xfId="35163"/>
    <cellStyle name="Normal 26 2 5 3 2 3" xfId="21432"/>
    <cellStyle name="Normal 26 2 5 3 2 3 2" xfId="41315"/>
    <cellStyle name="Normal 26 2 5 3 2 4" xfId="29010"/>
    <cellStyle name="Normal 26 2 5 3 3" xfId="12214"/>
    <cellStyle name="Normal 26 2 5 3 3 2" xfId="32097"/>
    <cellStyle name="Normal 26 2 5 3 4" xfId="18366"/>
    <cellStyle name="Normal 26 2 5 3 4 2" xfId="38249"/>
    <cellStyle name="Normal 26 2 5 3 5" xfId="25944"/>
    <cellStyle name="Normal 26 2 5 4" xfId="7552"/>
    <cellStyle name="Normal 26 2 5 4 2" xfId="13746"/>
    <cellStyle name="Normal 26 2 5 4 2 2" xfId="33629"/>
    <cellStyle name="Normal 26 2 5 4 3" xfId="19898"/>
    <cellStyle name="Normal 26 2 5 4 3 2" xfId="39781"/>
    <cellStyle name="Normal 26 2 5 4 4" xfId="27476"/>
    <cellStyle name="Normal 26 2 5 5" xfId="10680"/>
    <cellStyle name="Normal 26 2 5 5 2" xfId="30563"/>
    <cellStyle name="Normal 26 2 5 6" xfId="16832"/>
    <cellStyle name="Normal 26 2 5 6 2" xfId="36715"/>
    <cellStyle name="Normal 26 2 5 7" xfId="24410"/>
    <cellStyle name="Normal 26 2 6" xfId="5141"/>
    <cellStyle name="Normal 26 2 6 2" xfId="6766"/>
    <cellStyle name="Normal 26 2 6 2 2" xfId="9852"/>
    <cellStyle name="Normal 26 2 6 2 2 2" xfId="16045"/>
    <cellStyle name="Normal 26 2 6 2 2 2 2" xfId="35928"/>
    <cellStyle name="Normal 26 2 6 2 2 3" xfId="22197"/>
    <cellStyle name="Normal 26 2 6 2 2 3 2" xfId="42080"/>
    <cellStyle name="Normal 26 2 6 2 2 4" xfId="29775"/>
    <cellStyle name="Normal 26 2 6 2 3" xfId="12979"/>
    <cellStyle name="Normal 26 2 6 2 3 2" xfId="32862"/>
    <cellStyle name="Normal 26 2 6 2 4" xfId="19131"/>
    <cellStyle name="Normal 26 2 6 2 4 2" xfId="39014"/>
    <cellStyle name="Normal 26 2 6 2 5" xfId="26709"/>
    <cellStyle name="Normal 26 2 6 3" xfId="8317"/>
    <cellStyle name="Normal 26 2 6 3 2" xfId="14511"/>
    <cellStyle name="Normal 26 2 6 3 2 2" xfId="34394"/>
    <cellStyle name="Normal 26 2 6 3 3" xfId="20663"/>
    <cellStyle name="Normal 26 2 6 3 3 2" xfId="40546"/>
    <cellStyle name="Normal 26 2 6 3 4" xfId="28241"/>
    <cellStyle name="Normal 26 2 6 4" xfId="11445"/>
    <cellStyle name="Normal 26 2 6 4 2" xfId="31328"/>
    <cellStyle name="Normal 26 2 6 5" xfId="17597"/>
    <cellStyle name="Normal 26 2 6 5 2" xfId="37480"/>
    <cellStyle name="Normal 26 2 6 6" xfId="25175"/>
    <cellStyle name="Normal 26 2 7" xfId="5983"/>
    <cellStyle name="Normal 26 2 7 2" xfId="9083"/>
    <cellStyle name="Normal 26 2 7 2 2" xfId="15276"/>
    <cellStyle name="Normal 26 2 7 2 2 2" xfId="35159"/>
    <cellStyle name="Normal 26 2 7 2 3" xfId="21428"/>
    <cellStyle name="Normal 26 2 7 2 3 2" xfId="41311"/>
    <cellStyle name="Normal 26 2 7 2 4" xfId="29006"/>
    <cellStyle name="Normal 26 2 7 3" xfId="12210"/>
    <cellStyle name="Normal 26 2 7 3 2" xfId="32093"/>
    <cellStyle name="Normal 26 2 7 4" xfId="18362"/>
    <cellStyle name="Normal 26 2 7 4 2" xfId="38245"/>
    <cellStyle name="Normal 26 2 7 5" xfId="25940"/>
    <cellStyle name="Normal 26 2 8" xfId="7548"/>
    <cellStyle name="Normal 26 2 8 2" xfId="13742"/>
    <cellStyle name="Normal 26 2 8 2 2" xfId="33625"/>
    <cellStyle name="Normal 26 2 8 3" xfId="19894"/>
    <cellStyle name="Normal 26 2 8 3 2" xfId="39777"/>
    <cellStyle name="Normal 26 2 8 4" xfId="27472"/>
    <cellStyle name="Normal 26 2 9" xfId="10676"/>
    <cellStyle name="Normal 26 2 9 2" xfId="30559"/>
    <cellStyle name="Normal 26 3" xfId="3711"/>
    <cellStyle name="Normal 26 3 2" xfId="5146"/>
    <cellStyle name="Normal 26 3 2 2" xfId="6771"/>
    <cellStyle name="Normal 26 3 2 2 2" xfId="9857"/>
    <cellStyle name="Normal 26 3 2 2 2 2" xfId="16050"/>
    <cellStyle name="Normal 26 3 2 2 2 2 2" xfId="35933"/>
    <cellStyle name="Normal 26 3 2 2 2 3" xfId="22202"/>
    <cellStyle name="Normal 26 3 2 2 2 3 2" xfId="42085"/>
    <cellStyle name="Normal 26 3 2 2 2 4" xfId="29780"/>
    <cellStyle name="Normal 26 3 2 2 3" xfId="12984"/>
    <cellStyle name="Normal 26 3 2 2 3 2" xfId="32867"/>
    <cellStyle name="Normal 26 3 2 2 4" xfId="19136"/>
    <cellStyle name="Normal 26 3 2 2 4 2" xfId="39019"/>
    <cellStyle name="Normal 26 3 2 2 5" xfId="26714"/>
    <cellStyle name="Normal 26 3 2 3" xfId="8322"/>
    <cellStyle name="Normal 26 3 2 3 2" xfId="14516"/>
    <cellStyle name="Normal 26 3 2 3 2 2" xfId="34399"/>
    <cellStyle name="Normal 26 3 2 3 3" xfId="20668"/>
    <cellStyle name="Normal 26 3 2 3 3 2" xfId="40551"/>
    <cellStyle name="Normal 26 3 2 3 4" xfId="28246"/>
    <cellStyle name="Normal 26 3 2 4" xfId="11450"/>
    <cellStyle name="Normal 26 3 2 4 2" xfId="31333"/>
    <cellStyle name="Normal 26 3 2 5" xfId="17602"/>
    <cellStyle name="Normal 26 3 2 5 2" xfId="37485"/>
    <cellStyle name="Normal 26 3 2 6" xfId="25180"/>
    <cellStyle name="Normal 26 3 3" xfId="5988"/>
    <cellStyle name="Normal 26 3 3 2" xfId="9088"/>
    <cellStyle name="Normal 26 3 3 2 2" xfId="15281"/>
    <cellStyle name="Normal 26 3 3 2 2 2" xfId="35164"/>
    <cellStyle name="Normal 26 3 3 2 3" xfId="21433"/>
    <cellStyle name="Normal 26 3 3 2 3 2" xfId="41316"/>
    <cellStyle name="Normal 26 3 3 2 4" xfId="29011"/>
    <cellStyle name="Normal 26 3 3 3" xfId="12215"/>
    <cellStyle name="Normal 26 3 3 3 2" xfId="32098"/>
    <cellStyle name="Normal 26 3 3 4" xfId="18367"/>
    <cellStyle name="Normal 26 3 3 4 2" xfId="38250"/>
    <cellStyle name="Normal 26 3 3 5" xfId="25945"/>
    <cellStyle name="Normal 26 3 4" xfId="7553"/>
    <cellStyle name="Normal 26 3 4 2" xfId="13747"/>
    <cellStyle name="Normal 26 3 4 2 2" xfId="33630"/>
    <cellStyle name="Normal 26 3 4 3" xfId="19899"/>
    <cellStyle name="Normal 26 3 4 3 2" xfId="39782"/>
    <cellStyle name="Normal 26 3 4 4" xfId="27477"/>
    <cellStyle name="Normal 26 3 5" xfId="10681"/>
    <cellStyle name="Normal 26 3 5 2" xfId="30564"/>
    <cellStyle name="Normal 26 3 6" xfId="16833"/>
    <cellStyle name="Normal 26 3 6 2" xfId="36716"/>
    <cellStyle name="Normal 26 3 7" xfId="24411"/>
    <cellStyle name="Normal 26 4" xfId="3712"/>
    <cellStyle name="Normal 26 4 2" xfId="5147"/>
    <cellStyle name="Normal 26 4 2 2" xfId="6772"/>
    <cellStyle name="Normal 26 4 2 2 2" xfId="9858"/>
    <cellStyle name="Normal 26 4 2 2 2 2" xfId="16051"/>
    <cellStyle name="Normal 26 4 2 2 2 2 2" xfId="35934"/>
    <cellStyle name="Normal 26 4 2 2 2 3" xfId="22203"/>
    <cellStyle name="Normal 26 4 2 2 2 3 2" xfId="42086"/>
    <cellStyle name="Normal 26 4 2 2 2 4" xfId="29781"/>
    <cellStyle name="Normal 26 4 2 2 3" xfId="12985"/>
    <cellStyle name="Normal 26 4 2 2 3 2" xfId="32868"/>
    <cellStyle name="Normal 26 4 2 2 4" xfId="19137"/>
    <cellStyle name="Normal 26 4 2 2 4 2" xfId="39020"/>
    <cellStyle name="Normal 26 4 2 2 5" xfId="26715"/>
    <cellStyle name="Normal 26 4 2 3" xfId="8323"/>
    <cellStyle name="Normal 26 4 2 3 2" xfId="14517"/>
    <cellStyle name="Normal 26 4 2 3 2 2" xfId="34400"/>
    <cellStyle name="Normal 26 4 2 3 3" xfId="20669"/>
    <cellStyle name="Normal 26 4 2 3 3 2" xfId="40552"/>
    <cellStyle name="Normal 26 4 2 3 4" xfId="28247"/>
    <cellStyle name="Normal 26 4 2 4" xfId="11451"/>
    <cellStyle name="Normal 26 4 2 4 2" xfId="31334"/>
    <cellStyle name="Normal 26 4 2 5" xfId="17603"/>
    <cellStyle name="Normal 26 4 2 5 2" xfId="37486"/>
    <cellStyle name="Normal 26 4 2 6" xfId="25181"/>
    <cellStyle name="Normal 26 4 3" xfId="5989"/>
    <cellStyle name="Normal 26 4 3 2" xfId="9089"/>
    <cellStyle name="Normal 26 4 3 2 2" xfId="15282"/>
    <cellStyle name="Normal 26 4 3 2 2 2" xfId="35165"/>
    <cellStyle name="Normal 26 4 3 2 3" xfId="21434"/>
    <cellStyle name="Normal 26 4 3 2 3 2" xfId="41317"/>
    <cellStyle name="Normal 26 4 3 2 4" xfId="29012"/>
    <cellStyle name="Normal 26 4 3 3" xfId="12216"/>
    <cellStyle name="Normal 26 4 3 3 2" xfId="32099"/>
    <cellStyle name="Normal 26 4 3 4" xfId="18368"/>
    <cellStyle name="Normal 26 4 3 4 2" xfId="38251"/>
    <cellStyle name="Normal 26 4 3 5" xfId="25946"/>
    <cellStyle name="Normal 26 4 4" xfId="7554"/>
    <cellStyle name="Normal 26 4 4 2" xfId="13748"/>
    <cellStyle name="Normal 26 4 4 2 2" xfId="33631"/>
    <cellStyle name="Normal 26 4 4 3" xfId="19900"/>
    <cellStyle name="Normal 26 4 4 3 2" xfId="39783"/>
    <cellStyle name="Normal 26 4 4 4" xfId="27478"/>
    <cellStyle name="Normal 26 4 5" xfId="10682"/>
    <cellStyle name="Normal 26 4 5 2" xfId="30565"/>
    <cellStyle name="Normal 26 4 6" xfId="16834"/>
    <cellStyle name="Normal 26 4 6 2" xfId="36717"/>
    <cellStyle name="Normal 26 4 7" xfId="24412"/>
    <cellStyle name="Normal 26 5" xfId="3713"/>
    <cellStyle name="Normal 26 5 2" xfId="5148"/>
    <cellStyle name="Normal 26 5 2 2" xfId="6773"/>
    <cellStyle name="Normal 26 5 2 2 2" xfId="9859"/>
    <cellStyle name="Normal 26 5 2 2 2 2" xfId="16052"/>
    <cellStyle name="Normal 26 5 2 2 2 2 2" xfId="35935"/>
    <cellStyle name="Normal 26 5 2 2 2 3" xfId="22204"/>
    <cellStyle name="Normal 26 5 2 2 2 3 2" xfId="42087"/>
    <cellStyle name="Normal 26 5 2 2 2 4" xfId="29782"/>
    <cellStyle name="Normal 26 5 2 2 3" xfId="12986"/>
    <cellStyle name="Normal 26 5 2 2 3 2" xfId="32869"/>
    <cellStyle name="Normal 26 5 2 2 4" xfId="19138"/>
    <cellStyle name="Normal 26 5 2 2 4 2" xfId="39021"/>
    <cellStyle name="Normal 26 5 2 2 5" xfId="26716"/>
    <cellStyle name="Normal 26 5 2 3" xfId="8324"/>
    <cellStyle name="Normal 26 5 2 3 2" xfId="14518"/>
    <cellStyle name="Normal 26 5 2 3 2 2" xfId="34401"/>
    <cellStyle name="Normal 26 5 2 3 3" xfId="20670"/>
    <cellStyle name="Normal 26 5 2 3 3 2" xfId="40553"/>
    <cellStyle name="Normal 26 5 2 3 4" xfId="28248"/>
    <cellStyle name="Normal 26 5 2 4" xfId="11452"/>
    <cellStyle name="Normal 26 5 2 4 2" xfId="31335"/>
    <cellStyle name="Normal 26 5 2 5" xfId="17604"/>
    <cellStyle name="Normal 26 5 2 5 2" xfId="37487"/>
    <cellStyle name="Normal 26 5 2 6" xfId="25182"/>
    <cellStyle name="Normal 26 5 3" xfId="5990"/>
    <cellStyle name="Normal 26 5 3 2" xfId="9090"/>
    <cellStyle name="Normal 26 5 3 2 2" xfId="15283"/>
    <cellStyle name="Normal 26 5 3 2 2 2" xfId="35166"/>
    <cellStyle name="Normal 26 5 3 2 3" xfId="21435"/>
    <cellStyle name="Normal 26 5 3 2 3 2" xfId="41318"/>
    <cellStyle name="Normal 26 5 3 2 4" xfId="29013"/>
    <cellStyle name="Normal 26 5 3 3" xfId="12217"/>
    <cellStyle name="Normal 26 5 3 3 2" xfId="32100"/>
    <cellStyle name="Normal 26 5 3 4" xfId="18369"/>
    <cellStyle name="Normal 26 5 3 4 2" xfId="38252"/>
    <cellStyle name="Normal 26 5 3 5" xfId="25947"/>
    <cellStyle name="Normal 26 5 4" xfId="7555"/>
    <cellStyle name="Normal 26 5 4 2" xfId="13749"/>
    <cellStyle name="Normal 26 5 4 2 2" xfId="33632"/>
    <cellStyle name="Normal 26 5 4 3" xfId="19901"/>
    <cellStyle name="Normal 26 5 4 3 2" xfId="39784"/>
    <cellStyle name="Normal 26 5 4 4" xfId="27479"/>
    <cellStyle name="Normal 26 5 5" xfId="10683"/>
    <cellStyle name="Normal 26 5 5 2" xfId="30566"/>
    <cellStyle name="Normal 26 5 6" xfId="16835"/>
    <cellStyle name="Normal 26 5 6 2" xfId="36718"/>
    <cellStyle name="Normal 26 5 7" xfId="24413"/>
    <cellStyle name="Normal 26 6" xfId="3714"/>
    <cellStyle name="Normal 26 6 2" xfId="5149"/>
    <cellStyle name="Normal 26 6 2 2" xfId="6774"/>
    <cellStyle name="Normal 26 6 2 2 2" xfId="9860"/>
    <cellStyle name="Normal 26 6 2 2 2 2" xfId="16053"/>
    <cellStyle name="Normal 26 6 2 2 2 2 2" xfId="35936"/>
    <cellStyle name="Normal 26 6 2 2 2 3" xfId="22205"/>
    <cellStyle name="Normal 26 6 2 2 2 3 2" xfId="42088"/>
    <cellStyle name="Normal 26 6 2 2 2 4" xfId="29783"/>
    <cellStyle name="Normal 26 6 2 2 3" xfId="12987"/>
    <cellStyle name="Normal 26 6 2 2 3 2" xfId="32870"/>
    <cellStyle name="Normal 26 6 2 2 4" xfId="19139"/>
    <cellStyle name="Normal 26 6 2 2 4 2" xfId="39022"/>
    <cellStyle name="Normal 26 6 2 2 5" xfId="26717"/>
    <cellStyle name="Normal 26 6 2 3" xfId="8325"/>
    <cellStyle name="Normal 26 6 2 3 2" xfId="14519"/>
    <cellStyle name="Normal 26 6 2 3 2 2" xfId="34402"/>
    <cellStyle name="Normal 26 6 2 3 3" xfId="20671"/>
    <cellStyle name="Normal 26 6 2 3 3 2" xfId="40554"/>
    <cellStyle name="Normal 26 6 2 3 4" xfId="28249"/>
    <cellStyle name="Normal 26 6 2 4" xfId="11453"/>
    <cellStyle name="Normal 26 6 2 4 2" xfId="31336"/>
    <cellStyle name="Normal 26 6 2 5" xfId="17605"/>
    <cellStyle name="Normal 26 6 2 5 2" xfId="37488"/>
    <cellStyle name="Normal 26 6 2 6" xfId="25183"/>
    <cellStyle name="Normal 26 6 3" xfId="5991"/>
    <cellStyle name="Normal 26 6 3 2" xfId="9091"/>
    <cellStyle name="Normal 26 6 3 2 2" xfId="15284"/>
    <cellStyle name="Normal 26 6 3 2 2 2" xfId="35167"/>
    <cellStyle name="Normal 26 6 3 2 3" xfId="21436"/>
    <cellStyle name="Normal 26 6 3 2 3 2" xfId="41319"/>
    <cellStyle name="Normal 26 6 3 2 4" xfId="29014"/>
    <cellStyle name="Normal 26 6 3 3" xfId="12218"/>
    <cellStyle name="Normal 26 6 3 3 2" xfId="32101"/>
    <cellStyle name="Normal 26 6 3 4" xfId="18370"/>
    <cellStyle name="Normal 26 6 3 4 2" xfId="38253"/>
    <cellStyle name="Normal 26 6 3 5" xfId="25948"/>
    <cellStyle name="Normal 26 6 4" xfId="7556"/>
    <cellStyle name="Normal 26 6 4 2" xfId="13750"/>
    <cellStyle name="Normal 26 6 4 2 2" xfId="33633"/>
    <cellStyle name="Normal 26 6 4 3" xfId="19902"/>
    <cellStyle name="Normal 26 6 4 3 2" xfId="39785"/>
    <cellStyle name="Normal 26 6 4 4" xfId="27480"/>
    <cellStyle name="Normal 26 6 5" xfId="10684"/>
    <cellStyle name="Normal 26 6 5 2" xfId="30567"/>
    <cellStyle name="Normal 26 6 6" xfId="16836"/>
    <cellStyle name="Normal 26 6 6 2" xfId="36719"/>
    <cellStyle name="Normal 26 6 7" xfId="24414"/>
    <cellStyle name="Normal 26 7" xfId="3715"/>
    <cellStyle name="Normal 26 8" xfId="5140"/>
    <cellStyle name="Normal 26 8 2" xfId="6765"/>
    <cellStyle name="Normal 26 8 2 2" xfId="9851"/>
    <cellStyle name="Normal 26 8 2 2 2" xfId="16044"/>
    <cellStyle name="Normal 26 8 2 2 2 2" xfId="35927"/>
    <cellStyle name="Normal 26 8 2 2 3" xfId="22196"/>
    <cellStyle name="Normal 26 8 2 2 3 2" xfId="42079"/>
    <cellStyle name="Normal 26 8 2 2 4" xfId="29774"/>
    <cellStyle name="Normal 26 8 2 3" xfId="12978"/>
    <cellStyle name="Normal 26 8 2 3 2" xfId="32861"/>
    <cellStyle name="Normal 26 8 2 4" xfId="19130"/>
    <cellStyle name="Normal 26 8 2 4 2" xfId="39013"/>
    <cellStyle name="Normal 26 8 2 5" xfId="26708"/>
    <cellStyle name="Normal 26 8 3" xfId="8316"/>
    <cellStyle name="Normal 26 8 3 2" xfId="14510"/>
    <cellStyle name="Normal 26 8 3 2 2" xfId="34393"/>
    <cellStyle name="Normal 26 8 3 3" xfId="20662"/>
    <cellStyle name="Normal 26 8 3 3 2" xfId="40545"/>
    <cellStyle name="Normal 26 8 3 4" xfId="28240"/>
    <cellStyle name="Normal 26 8 4" xfId="11444"/>
    <cellStyle name="Normal 26 8 4 2" xfId="31327"/>
    <cellStyle name="Normal 26 8 5" xfId="17596"/>
    <cellStyle name="Normal 26 8 5 2" xfId="37479"/>
    <cellStyle name="Normal 26 8 6" xfId="25174"/>
    <cellStyle name="Normal 26 9" xfId="5982"/>
    <cellStyle name="Normal 26 9 2" xfId="9082"/>
    <cellStyle name="Normal 26 9 2 2" xfId="15275"/>
    <cellStyle name="Normal 26 9 2 2 2" xfId="35158"/>
    <cellStyle name="Normal 26 9 2 3" xfId="21427"/>
    <cellStyle name="Normal 26 9 2 3 2" xfId="41310"/>
    <cellStyle name="Normal 26 9 2 4" xfId="29005"/>
    <cellStyle name="Normal 26 9 3" xfId="12209"/>
    <cellStyle name="Normal 26 9 3 2" xfId="32092"/>
    <cellStyle name="Normal 26 9 4" xfId="18361"/>
    <cellStyle name="Normal 26 9 4 2" xfId="38244"/>
    <cellStyle name="Normal 26 9 5" xfId="25939"/>
    <cellStyle name="Normal 27" xfId="3716"/>
    <cellStyle name="Normal 27 2" xfId="23254"/>
    <cellStyle name="Normal 27 2 2" xfId="23255"/>
    <cellStyle name="Normal 27 3" xfId="23256"/>
    <cellStyle name="Normal 27 4" xfId="23253"/>
    <cellStyle name="Normal 28" xfId="3717"/>
    <cellStyle name="Normal 28 2" xfId="3718"/>
    <cellStyle name="Normal 29" xfId="767"/>
    <cellStyle name="Normal 29 2" xfId="3720"/>
    <cellStyle name="Normal 29 3" xfId="3719"/>
    <cellStyle name="Normal 29 4" xfId="23257"/>
    <cellStyle name="Normal 3" xfId="25"/>
    <cellStyle name="Normal 3 10" xfId="365"/>
    <cellStyle name="Normal 3 10 2" xfId="5150"/>
    <cellStyle name="Normal 3 10 2 2" xfId="6775"/>
    <cellStyle name="Normal 3 10 2 2 2" xfId="9861"/>
    <cellStyle name="Normal 3 10 2 2 2 2" xfId="16054"/>
    <cellStyle name="Normal 3 10 2 2 2 2 2" xfId="35937"/>
    <cellStyle name="Normal 3 10 2 2 2 3" xfId="22206"/>
    <cellStyle name="Normal 3 10 2 2 2 3 2" xfId="42089"/>
    <cellStyle name="Normal 3 10 2 2 2 4" xfId="29784"/>
    <cellStyle name="Normal 3 10 2 2 3" xfId="12988"/>
    <cellStyle name="Normal 3 10 2 2 3 2" xfId="32871"/>
    <cellStyle name="Normal 3 10 2 2 4" xfId="19140"/>
    <cellStyle name="Normal 3 10 2 2 4 2" xfId="39023"/>
    <cellStyle name="Normal 3 10 2 2 5" xfId="26718"/>
    <cellStyle name="Normal 3 10 2 3" xfId="8326"/>
    <cellStyle name="Normal 3 10 2 3 2" xfId="14520"/>
    <cellStyle name="Normal 3 10 2 3 2 2" xfId="34403"/>
    <cellStyle name="Normal 3 10 2 3 3" xfId="20672"/>
    <cellStyle name="Normal 3 10 2 3 3 2" xfId="40555"/>
    <cellStyle name="Normal 3 10 2 3 4" xfId="28250"/>
    <cellStyle name="Normal 3 10 2 4" xfId="11454"/>
    <cellStyle name="Normal 3 10 2 4 2" xfId="31337"/>
    <cellStyle name="Normal 3 10 2 5" xfId="17606"/>
    <cellStyle name="Normal 3 10 2 5 2" xfId="37489"/>
    <cellStyle name="Normal 3 10 2 6" xfId="25184"/>
    <cellStyle name="Normal 3 10 3" xfId="5992"/>
    <cellStyle name="Normal 3 10 3 2" xfId="9092"/>
    <cellStyle name="Normal 3 10 3 2 2" xfId="15285"/>
    <cellStyle name="Normal 3 10 3 2 2 2" xfId="35168"/>
    <cellStyle name="Normal 3 10 3 2 3" xfId="21437"/>
    <cellStyle name="Normal 3 10 3 2 3 2" xfId="41320"/>
    <cellStyle name="Normal 3 10 3 2 4" xfId="29015"/>
    <cellStyle name="Normal 3 10 3 3" xfId="12219"/>
    <cellStyle name="Normal 3 10 3 3 2" xfId="32102"/>
    <cellStyle name="Normal 3 10 3 4" xfId="18371"/>
    <cellStyle name="Normal 3 10 3 4 2" xfId="38254"/>
    <cellStyle name="Normal 3 10 3 5" xfId="25949"/>
    <cellStyle name="Normal 3 10 4" xfId="7557"/>
    <cellStyle name="Normal 3 10 4 2" xfId="13751"/>
    <cellStyle name="Normal 3 10 4 2 2" xfId="33634"/>
    <cellStyle name="Normal 3 10 4 3" xfId="19903"/>
    <cellStyle name="Normal 3 10 4 3 2" xfId="39786"/>
    <cellStyle name="Normal 3 10 4 4" xfId="27481"/>
    <cellStyle name="Normal 3 10 5" xfId="10685"/>
    <cellStyle name="Normal 3 10 5 2" xfId="30568"/>
    <cellStyle name="Normal 3 10 6" xfId="16837"/>
    <cellStyle name="Normal 3 10 6 2" xfId="36720"/>
    <cellStyle name="Normal 3 10 7" xfId="3721"/>
    <cellStyle name="Normal 3 10 7 2" xfId="24415"/>
    <cellStyle name="Normal 3 11" xfId="380"/>
    <cellStyle name="Normal 3 11 2" xfId="5151"/>
    <cellStyle name="Normal 3 11 2 2" xfId="6776"/>
    <cellStyle name="Normal 3 11 2 2 2" xfId="9862"/>
    <cellStyle name="Normal 3 11 2 2 2 2" xfId="16055"/>
    <cellStyle name="Normal 3 11 2 2 2 2 2" xfId="35938"/>
    <cellStyle name="Normal 3 11 2 2 2 3" xfId="22207"/>
    <cellStyle name="Normal 3 11 2 2 2 3 2" xfId="42090"/>
    <cellStyle name="Normal 3 11 2 2 2 4" xfId="29785"/>
    <cellStyle name="Normal 3 11 2 2 3" xfId="12989"/>
    <cellStyle name="Normal 3 11 2 2 3 2" xfId="32872"/>
    <cellStyle name="Normal 3 11 2 2 4" xfId="19141"/>
    <cellStyle name="Normal 3 11 2 2 4 2" xfId="39024"/>
    <cellStyle name="Normal 3 11 2 2 5" xfId="26719"/>
    <cellStyle name="Normal 3 11 2 3" xfId="8327"/>
    <cellStyle name="Normal 3 11 2 3 2" xfId="14521"/>
    <cellStyle name="Normal 3 11 2 3 2 2" xfId="34404"/>
    <cellStyle name="Normal 3 11 2 3 3" xfId="20673"/>
    <cellStyle name="Normal 3 11 2 3 3 2" xfId="40556"/>
    <cellStyle name="Normal 3 11 2 3 4" xfId="28251"/>
    <cellStyle name="Normal 3 11 2 4" xfId="11455"/>
    <cellStyle name="Normal 3 11 2 4 2" xfId="31338"/>
    <cellStyle name="Normal 3 11 2 5" xfId="17607"/>
    <cellStyle name="Normal 3 11 2 5 2" xfId="37490"/>
    <cellStyle name="Normal 3 11 2 6" xfId="25185"/>
    <cellStyle name="Normal 3 11 3" xfId="5993"/>
    <cellStyle name="Normal 3 11 3 2" xfId="9093"/>
    <cellStyle name="Normal 3 11 3 2 2" xfId="15286"/>
    <cellStyle name="Normal 3 11 3 2 2 2" xfId="35169"/>
    <cellStyle name="Normal 3 11 3 2 3" xfId="21438"/>
    <cellStyle name="Normal 3 11 3 2 3 2" xfId="41321"/>
    <cellStyle name="Normal 3 11 3 2 4" xfId="29016"/>
    <cellStyle name="Normal 3 11 3 3" xfId="12220"/>
    <cellStyle name="Normal 3 11 3 3 2" xfId="32103"/>
    <cellStyle name="Normal 3 11 3 4" xfId="18372"/>
    <cellStyle name="Normal 3 11 3 4 2" xfId="38255"/>
    <cellStyle name="Normal 3 11 3 5" xfId="25950"/>
    <cellStyle name="Normal 3 11 4" xfId="7558"/>
    <cellStyle name="Normal 3 11 4 2" xfId="13752"/>
    <cellStyle name="Normal 3 11 4 2 2" xfId="33635"/>
    <cellStyle name="Normal 3 11 4 3" xfId="19904"/>
    <cellStyle name="Normal 3 11 4 3 2" xfId="39787"/>
    <cellStyle name="Normal 3 11 4 4" xfId="27482"/>
    <cellStyle name="Normal 3 11 5" xfId="10686"/>
    <cellStyle name="Normal 3 11 5 2" xfId="30569"/>
    <cellStyle name="Normal 3 11 6" xfId="16838"/>
    <cellStyle name="Normal 3 11 6 2" xfId="36721"/>
    <cellStyle name="Normal 3 11 7" xfId="3722"/>
    <cellStyle name="Normal 3 11 7 2" xfId="24416"/>
    <cellStyle name="Normal 3 12" xfId="396"/>
    <cellStyle name="Normal 3 12 2" xfId="5152"/>
    <cellStyle name="Normal 3 12 2 2" xfId="6777"/>
    <cellStyle name="Normal 3 12 2 2 2" xfId="9863"/>
    <cellStyle name="Normal 3 12 2 2 2 2" xfId="16056"/>
    <cellStyle name="Normal 3 12 2 2 2 2 2" xfId="35939"/>
    <cellStyle name="Normal 3 12 2 2 2 3" xfId="22208"/>
    <cellStyle name="Normal 3 12 2 2 2 3 2" xfId="42091"/>
    <cellStyle name="Normal 3 12 2 2 2 4" xfId="29786"/>
    <cellStyle name="Normal 3 12 2 2 3" xfId="12990"/>
    <cellStyle name="Normal 3 12 2 2 3 2" xfId="32873"/>
    <cellStyle name="Normal 3 12 2 2 4" xfId="19142"/>
    <cellStyle name="Normal 3 12 2 2 4 2" xfId="39025"/>
    <cellStyle name="Normal 3 12 2 2 5" xfId="26720"/>
    <cellStyle name="Normal 3 12 2 3" xfId="8328"/>
    <cellStyle name="Normal 3 12 2 3 2" xfId="14522"/>
    <cellStyle name="Normal 3 12 2 3 2 2" xfId="34405"/>
    <cellStyle name="Normal 3 12 2 3 3" xfId="20674"/>
    <cellStyle name="Normal 3 12 2 3 3 2" xfId="40557"/>
    <cellStyle name="Normal 3 12 2 3 4" xfId="28252"/>
    <cellStyle name="Normal 3 12 2 4" xfId="11456"/>
    <cellStyle name="Normal 3 12 2 4 2" xfId="31339"/>
    <cellStyle name="Normal 3 12 2 5" xfId="17608"/>
    <cellStyle name="Normal 3 12 2 5 2" xfId="37491"/>
    <cellStyle name="Normal 3 12 2 6" xfId="25186"/>
    <cellStyle name="Normal 3 12 3" xfId="5994"/>
    <cellStyle name="Normal 3 12 3 2" xfId="9094"/>
    <cellStyle name="Normal 3 12 3 2 2" xfId="15287"/>
    <cellStyle name="Normal 3 12 3 2 2 2" xfId="35170"/>
    <cellStyle name="Normal 3 12 3 2 3" xfId="21439"/>
    <cellStyle name="Normal 3 12 3 2 3 2" xfId="41322"/>
    <cellStyle name="Normal 3 12 3 2 4" xfId="29017"/>
    <cellStyle name="Normal 3 12 3 3" xfId="12221"/>
    <cellStyle name="Normal 3 12 3 3 2" xfId="32104"/>
    <cellStyle name="Normal 3 12 3 4" xfId="18373"/>
    <cellStyle name="Normal 3 12 3 4 2" xfId="38256"/>
    <cellStyle name="Normal 3 12 3 5" xfId="25951"/>
    <cellStyle name="Normal 3 12 4" xfId="7559"/>
    <cellStyle name="Normal 3 12 4 2" xfId="13753"/>
    <cellStyle name="Normal 3 12 4 2 2" xfId="33636"/>
    <cellStyle name="Normal 3 12 4 3" xfId="19905"/>
    <cellStyle name="Normal 3 12 4 3 2" xfId="39788"/>
    <cellStyle name="Normal 3 12 4 4" xfId="27483"/>
    <cellStyle name="Normal 3 12 5" xfId="10687"/>
    <cellStyle name="Normal 3 12 5 2" xfId="30570"/>
    <cellStyle name="Normal 3 12 6" xfId="16839"/>
    <cellStyle name="Normal 3 12 6 2" xfId="36722"/>
    <cellStyle name="Normal 3 12 7" xfId="3723"/>
    <cellStyle name="Normal 3 12 7 2" xfId="24417"/>
    <cellStyle name="Normal 3 13" xfId="409"/>
    <cellStyle name="Normal 3 13 2" xfId="5153"/>
    <cellStyle name="Normal 3 13 2 2" xfId="6778"/>
    <cellStyle name="Normal 3 13 2 2 2" xfId="9864"/>
    <cellStyle name="Normal 3 13 2 2 2 2" xfId="16057"/>
    <cellStyle name="Normal 3 13 2 2 2 2 2" xfId="35940"/>
    <cellStyle name="Normal 3 13 2 2 2 3" xfId="22209"/>
    <cellStyle name="Normal 3 13 2 2 2 3 2" xfId="42092"/>
    <cellStyle name="Normal 3 13 2 2 2 4" xfId="29787"/>
    <cellStyle name="Normal 3 13 2 2 3" xfId="12991"/>
    <cellStyle name="Normal 3 13 2 2 3 2" xfId="32874"/>
    <cellStyle name="Normal 3 13 2 2 4" xfId="19143"/>
    <cellStyle name="Normal 3 13 2 2 4 2" xfId="39026"/>
    <cellStyle name="Normal 3 13 2 2 5" xfId="26721"/>
    <cellStyle name="Normal 3 13 2 3" xfId="8329"/>
    <cellStyle name="Normal 3 13 2 3 2" xfId="14523"/>
    <cellStyle name="Normal 3 13 2 3 2 2" xfId="34406"/>
    <cellStyle name="Normal 3 13 2 3 3" xfId="20675"/>
    <cellStyle name="Normal 3 13 2 3 3 2" xfId="40558"/>
    <cellStyle name="Normal 3 13 2 3 4" xfId="28253"/>
    <cellStyle name="Normal 3 13 2 4" xfId="11457"/>
    <cellStyle name="Normal 3 13 2 4 2" xfId="31340"/>
    <cellStyle name="Normal 3 13 2 5" xfId="17609"/>
    <cellStyle name="Normal 3 13 2 5 2" xfId="37492"/>
    <cellStyle name="Normal 3 13 2 6" xfId="25187"/>
    <cellStyle name="Normal 3 13 3" xfId="5995"/>
    <cellStyle name="Normal 3 13 3 2" xfId="9095"/>
    <cellStyle name="Normal 3 13 3 2 2" xfId="15288"/>
    <cellStyle name="Normal 3 13 3 2 2 2" xfId="35171"/>
    <cellStyle name="Normal 3 13 3 2 3" xfId="21440"/>
    <cellStyle name="Normal 3 13 3 2 3 2" xfId="41323"/>
    <cellStyle name="Normal 3 13 3 2 4" xfId="29018"/>
    <cellStyle name="Normal 3 13 3 3" xfId="12222"/>
    <cellStyle name="Normal 3 13 3 3 2" xfId="32105"/>
    <cellStyle name="Normal 3 13 3 4" xfId="18374"/>
    <cellStyle name="Normal 3 13 3 4 2" xfId="38257"/>
    <cellStyle name="Normal 3 13 3 5" xfId="25952"/>
    <cellStyle name="Normal 3 13 4" xfId="7560"/>
    <cellStyle name="Normal 3 13 4 2" xfId="13754"/>
    <cellStyle name="Normal 3 13 4 2 2" xfId="33637"/>
    <cellStyle name="Normal 3 13 4 3" xfId="19906"/>
    <cellStyle name="Normal 3 13 4 3 2" xfId="39789"/>
    <cellStyle name="Normal 3 13 4 4" xfId="27484"/>
    <cellStyle name="Normal 3 13 5" xfId="10688"/>
    <cellStyle name="Normal 3 13 5 2" xfId="30571"/>
    <cellStyle name="Normal 3 13 6" xfId="16840"/>
    <cellStyle name="Normal 3 13 6 2" xfId="36723"/>
    <cellStyle name="Normal 3 13 7" xfId="3724"/>
    <cellStyle name="Normal 3 13 7 2" xfId="24418"/>
    <cellStyle name="Normal 3 14" xfId="421"/>
    <cellStyle name="Normal 3 14 2" xfId="5154"/>
    <cellStyle name="Normal 3 14 2 2" xfId="6779"/>
    <cellStyle name="Normal 3 14 2 2 2" xfId="9865"/>
    <cellStyle name="Normal 3 14 2 2 2 2" xfId="16058"/>
    <cellStyle name="Normal 3 14 2 2 2 2 2" xfId="35941"/>
    <cellStyle name="Normal 3 14 2 2 2 3" xfId="22210"/>
    <cellStyle name="Normal 3 14 2 2 2 3 2" xfId="42093"/>
    <cellStyle name="Normal 3 14 2 2 2 4" xfId="29788"/>
    <cellStyle name="Normal 3 14 2 2 3" xfId="12992"/>
    <cellStyle name="Normal 3 14 2 2 3 2" xfId="32875"/>
    <cellStyle name="Normal 3 14 2 2 4" xfId="19144"/>
    <cellStyle name="Normal 3 14 2 2 4 2" xfId="39027"/>
    <cellStyle name="Normal 3 14 2 2 5" xfId="26722"/>
    <cellStyle name="Normal 3 14 2 3" xfId="8330"/>
    <cellStyle name="Normal 3 14 2 3 2" xfId="14524"/>
    <cellStyle name="Normal 3 14 2 3 2 2" xfId="34407"/>
    <cellStyle name="Normal 3 14 2 3 3" xfId="20676"/>
    <cellStyle name="Normal 3 14 2 3 3 2" xfId="40559"/>
    <cellStyle name="Normal 3 14 2 3 4" xfId="28254"/>
    <cellStyle name="Normal 3 14 2 4" xfId="11458"/>
    <cellStyle name="Normal 3 14 2 4 2" xfId="31341"/>
    <cellStyle name="Normal 3 14 2 5" xfId="17610"/>
    <cellStyle name="Normal 3 14 2 5 2" xfId="37493"/>
    <cellStyle name="Normal 3 14 2 6" xfId="25188"/>
    <cellStyle name="Normal 3 14 3" xfId="5996"/>
    <cellStyle name="Normal 3 14 3 2" xfId="9096"/>
    <cellStyle name="Normal 3 14 3 2 2" xfId="15289"/>
    <cellStyle name="Normal 3 14 3 2 2 2" xfId="35172"/>
    <cellStyle name="Normal 3 14 3 2 3" xfId="21441"/>
    <cellStyle name="Normal 3 14 3 2 3 2" xfId="41324"/>
    <cellStyle name="Normal 3 14 3 2 4" xfId="29019"/>
    <cellStyle name="Normal 3 14 3 3" xfId="12223"/>
    <cellStyle name="Normal 3 14 3 3 2" xfId="32106"/>
    <cellStyle name="Normal 3 14 3 4" xfId="18375"/>
    <cellStyle name="Normal 3 14 3 4 2" xfId="38258"/>
    <cellStyle name="Normal 3 14 3 5" xfId="25953"/>
    <cellStyle name="Normal 3 14 4" xfId="7561"/>
    <cellStyle name="Normal 3 14 4 2" xfId="13755"/>
    <cellStyle name="Normal 3 14 4 2 2" xfId="33638"/>
    <cellStyle name="Normal 3 14 4 3" xfId="19907"/>
    <cellStyle name="Normal 3 14 4 3 2" xfId="39790"/>
    <cellStyle name="Normal 3 14 4 4" xfId="27485"/>
    <cellStyle name="Normal 3 14 5" xfId="10689"/>
    <cellStyle name="Normal 3 14 5 2" xfId="30572"/>
    <cellStyle name="Normal 3 14 6" xfId="16841"/>
    <cellStyle name="Normal 3 14 6 2" xfId="36724"/>
    <cellStyle name="Normal 3 14 7" xfId="3725"/>
    <cellStyle name="Normal 3 14 7 2" xfId="24419"/>
    <cellStyle name="Normal 3 15" xfId="432"/>
    <cellStyle name="Normal 3 15 2" xfId="5155"/>
    <cellStyle name="Normal 3 15 2 2" xfId="6780"/>
    <cellStyle name="Normal 3 15 2 2 2" xfId="9866"/>
    <cellStyle name="Normal 3 15 2 2 2 2" xfId="16059"/>
    <cellStyle name="Normal 3 15 2 2 2 2 2" xfId="35942"/>
    <cellStyle name="Normal 3 15 2 2 2 3" xfId="22211"/>
    <cellStyle name="Normal 3 15 2 2 2 3 2" xfId="42094"/>
    <cellStyle name="Normal 3 15 2 2 2 4" xfId="29789"/>
    <cellStyle name="Normal 3 15 2 2 3" xfId="12993"/>
    <cellStyle name="Normal 3 15 2 2 3 2" xfId="32876"/>
    <cellStyle name="Normal 3 15 2 2 4" xfId="19145"/>
    <cellStyle name="Normal 3 15 2 2 4 2" xfId="39028"/>
    <cellStyle name="Normal 3 15 2 2 5" xfId="26723"/>
    <cellStyle name="Normal 3 15 2 3" xfId="8331"/>
    <cellStyle name="Normal 3 15 2 3 2" xfId="14525"/>
    <cellStyle name="Normal 3 15 2 3 2 2" xfId="34408"/>
    <cellStyle name="Normal 3 15 2 3 3" xfId="20677"/>
    <cellStyle name="Normal 3 15 2 3 3 2" xfId="40560"/>
    <cellStyle name="Normal 3 15 2 3 4" xfId="28255"/>
    <cellStyle name="Normal 3 15 2 4" xfId="11459"/>
    <cellStyle name="Normal 3 15 2 4 2" xfId="31342"/>
    <cellStyle name="Normal 3 15 2 5" xfId="17611"/>
    <cellStyle name="Normal 3 15 2 5 2" xfId="37494"/>
    <cellStyle name="Normal 3 15 2 6" xfId="25189"/>
    <cellStyle name="Normal 3 15 3" xfId="5997"/>
    <cellStyle name="Normal 3 15 3 2" xfId="9097"/>
    <cellStyle name="Normal 3 15 3 2 2" xfId="15290"/>
    <cellStyle name="Normal 3 15 3 2 2 2" xfId="35173"/>
    <cellStyle name="Normal 3 15 3 2 3" xfId="21442"/>
    <cellStyle name="Normal 3 15 3 2 3 2" xfId="41325"/>
    <cellStyle name="Normal 3 15 3 2 4" xfId="29020"/>
    <cellStyle name="Normal 3 15 3 3" xfId="12224"/>
    <cellStyle name="Normal 3 15 3 3 2" xfId="32107"/>
    <cellStyle name="Normal 3 15 3 4" xfId="18376"/>
    <cellStyle name="Normal 3 15 3 4 2" xfId="38259"/>
    <cellStyle name="Normal 3 15 3 5" xfId="25954"/>
    <cellStyle name="Normal 3 15 4" xfId="7562"/>
    <cellStyle name="Normal 3 15 4 2" xfId="13756"/>
    <cellStyle name="Normal 3 15 4 2 2" xfId="33639"/>
    <cellStyle name="Normal 3 15 4 3" xfId="19908"/>
    <cellStyle name="Normal 3 15 4 3 2" xfId="39791"/>
    <cellStyle name="Normal 3 15 4 4" xfId="27486"/>
    <cellStyle name="Normal 3 15 5" xfId="10690"/>
    <cellStyle name="Normal 3 15 5 2" xfId="30573"/>
    <cellStyle name="Normal 3 15 6" xfId="16842"/>
    <cellStyle name="Normal 3 15 6 2" xfId="36725"/>
    <cellStyle name="Normal 3 15 7" xfId="3726"/>
    <cellStyle name="Normal 3 15 7 2" xfId="24420"/>
    <cellStyle name="Normal 3 16" xfId="440"/>
    <cellStyle name="Normal 3 16 2" xfId="5156"/>
    <cellStyle name="Normal 3 16 2 2" xfId="6781"/>
    <cellStyle name="Normal 3 16 2 2 2" xfId="9867"/>
    <cellStyle name="Normal 3 16 2 2 2 2" xfId="16060"/>
    <cellStyle name="Normal 3 16 2 2 2 2 2" xfId="35943"/>
    <cellStyle name="Normal 3 16 2 2 2 3" xfId="22212"/>
    <cellStyle name="Normal 3 16 2 2 2 3 2" xfId="42095"/>
    <cellStyle name="Normal 3 16 2 2 2 4" xfId="29790"/>
    <cellStyle name="Normal 3 16 2 2 3" xfId="12994"/>
    <cellStyle name="Normal 3 16 2 2 3 2" xfId="32877"/>
    <cellStyle name="Normal 3 16 2 2 4" xfId="19146"/>
    <cellStyle name="Normal 3 16 2 2 4 2" xfId="39029"/>
    <cellStyle name="Normal 3 16 2 2 5" xfId="26724"/>
    <cellStyle name="Normal 3 16 2 3" xfId="8332"/>
    <cellStyle name="Normal 3 16 2 3 2" xfId="14526"/>
    <cellStyle name="Normal 3 16 2 3 2 2" xfId="34409"/>
    <cellStyle name="Normal 3 16 2 3 3" xfId="20678"/>
    <cellStyle name="Normal 3 16 2 3 3 2" xfId="40561"/>
    <cellStyle name="Normal 3 16 2 3 4" xfId="28256"/>
    <cellStyle name="Normal 3 16 2 4" xfId="11460"/>
    <cellStyle name="Normal 3 16 2 4 2" xfId="31343"/>
    <cellStyle name="Normal 3 16 2 5" xfId="17612"/>
    <cellStyle name="Normal 3 16 2 5 2" xfId="37495"/>
    <cellStyle name="Normal 3 16 2 6" xfId="25190"/>
    <cellStyle name="Normal 3 16 3" xfId="5998"/>
    <cellStyle name="Normal 3 16 3 2" xfId="9098"/>
    <cellStyle name="Normal 3 16 3 2 2" xfId="15291"/>
    <cellStyle name="Normal 3 16 3 2 2 2" xfId="35174"/>
    <cellStyle name="Normal 3 16 3 2 3" xfId="21443"/>
    <cellStyle name="Normal 3 16 3 2 3 2" xfId="41326"/>
    <cellStyle name="Normal 3 16 3 2 4" xfId="29021"/>
    <cellStyle name="Normal 3 16 3 3" xfId="12225"/>
    <cellStyle name="Normal 3 16 3 3 2" xfId="32108"/>
    <cellStyle name="Normal 3 16 3 4" xfId="18377"/>
    <cellStyle name="Normal 3 16 3 4 2" xfId="38260"/>
    <cellStyle name="Normal 3 16 3 5" xfId="25955"/>
    <cellStyle name="Normal 3 16 4" xfId="7563"/>
    <cellStyle name="Normal 3 16 4 2" xfId="13757"/>
    <cellStyle name="Normal 3 16 4 2 2" xfId="33640"/>
    <cellStyle name="Normal 3 16 4 3" xfId="19909"/>
    <cellStyle name="Normal 3 16 4 3 2" xfId="39792"/>
    <cellStyle name="Normal 3 16 4 4" xfId="27487"/>
    <cellStyle name="Normal 3 16 5" xfId="10691"/>
    <cellStyle name="Normal 3 16 5 2" xfId="30574"/>
    <cellStyle name="Normal 3 16 6" xfId="16843"/>
    <cellStyle name="Normal 3 16 6 2" xfId="36726"/>
    <cellStyle name="Normal 3 16 7" xfId="3727"/>
    <cellStyle name="Normal 3 16 7 2" xfId="24421"/>
    <cellStyle name="Normal 3 17" xfId="415"/>
    <cellStyle name="Normal 3 17 2" xfId="5157"/>
    <cellStyle name="Normal 3 17 2 2" xfId="6782"/>
    <cellStyle name="Normal 3 17 2 2 2" xfId="9868"/>
    <cellStyle name="Normal 3 17 2 2 2 2" xfId="16061"/>
    <cellStyle name="Normal 3 17 2 2 2 2 2" xfId="35944"/>
    <cellStyle name="Normal 3 17 2 2 2 3" xfId="22213"/>
    <cellStyle name="Normal 3 17 2 2 2 3 2" xfId="42096"/>
    <cellStyle name="Normal 3 17 2 2 2 4" xfId="29791"/>
    <cellStyle name="Normal 3 17 2 2 3" xfId="12995"/>
    <cellStyle name="Normal 3 17 2 2 3 2" xfId="32878"/>
    <cellStyle name="Normal 3 17 2 2 4" xfId="19147"/>
    <cellStyle name="Normal 3 17 2 2 4 2" xfId="39030"/>
    <cellStyle name="Normal 3 17 2 2 5" xfId="26725"/>
    <cellStyle name="Normal 3 17 2 3" xfId="8333"/>
    <cellStyle name="Normal 3 17 2 3 2" xfId="14527"/>
    <cellStyle name="Normal 3 17 2 3 2 2" xfId="34410"/>
    <cellStyle name="Normal 3 17 2 3 3" xfId="20679"/>
    <cellStyle name="Normal 3 17 2 3 3 2" xfId="40562"/>
    <cellStyle name="Normal 3 17 2 3 4" xfId="28257"/>
    <cellStyle name="Normal 3 17 2 4" xfId="11461"/>
    <cellStyle name="Normal 3 17 2 4 2" xfId="31344"/>
    <cellStyle name="Normal 3 17 2 5" xfId="17613"/>
    <cellStyle name="Normal 3 17 2 5 2" xfId="37496"/>
    <cellStyle name="Normal 3 17 2 6" xfId="25191"/>
    <cellStyle name="Normal 3 17 3" xfId="5999"/>
    <cellStyle name="Normal 3 17 3 2" xfId="9099"/>
    <cellStyle name="Normal 3 17 3 2 2" xfId="15292"/>
    <cellStyle name="Normal 3 17 3 2 2 2" xfId="35175"/>
    <cellStyle name="Normal 3 17 3 2 3" xfId="21444"/>
    <cellStyle name="Normal 3 17 3 2 3 2" xfId="41327"/>
    <cellStyle name="Normal 3 17 3 2 4" xfId="29022"/>
    <cellStyle name="Normal 3 17 3 3" xfId="12226"/>
    <cellStyle name="Normal 3 17 3 3 2" xfId="32109"/>
    <cellStyle name="Normal 3 17 3 4" xfId="18378"/>
    <cellStyle name="Normal 3 17 3 4 2" xfId="38261"/>
    <cellStyle name="Normal 3 17 3 5" xfId="25956"/>
    <cellStyle name="Normal 3 17 4" xfId="7564"/>
    <cellStyle name="Normal 3 17 4 2" xfId="13758"/>
    <cellStyle name="Normal 3 17 4 2 2" xfId="33641"/>
    <cellStyle name="Normal 3 17 4 3" xfId="19910"/>
    <cellStyle name="Normal 3 17 4 3 2" xfId="39793"/>
    <cellStyle name="Normal 3 17 4 4" xfId="27488"/>
    <cellStyle name="Normal 3 17 5" xfId="10692"/>
    <cellStyle name="Normal 3 17 5 2" xfId="30575"/>
    <cellStyle name="Normal 3 17 6" xfId="16844"/>
    <cellStyle name="Normal 3 17 6 2" xfId="36727"/>
    <cellStyle name="Normal 3 17 7" xfId="3728"/>
    <cellStyle name="Normal 3 17 7 2" xfId="24422"/>
    <cellStyle name="Normal 3 18" xfId="452"/>
    <cellStyle name="Normal 3 18 2" xfId="5158"/>
    <cellStyle name="Normal 3 18 2 2" xfId="6783"/>
    <cellStyle name="Normal 3 18 2 2 2" xfId="9869"/>
    <cellStyle name="Normal 3 18 2 2 2 2" xfId="16062"/>
    <cellStyle name="Normal 3 18 2 2 2 2 2" xfId="35945"/>
    <cellStyle name="Normal 3 18 2 2 2 3" xfId="22214"/>
    <cellStyle name="Normal 3 18 2 2 2 3 2" xfId="42097"/>
    <cellStyle name="Normal 3 18 2 2 2 4" xfId="29792"/>
    <cellStyle name="Normal 3 18 2 2 3" xfId="12996"/>
    <cellStyle name="Normal 3 18 2 2 3 2" xfId="32879"/>
    <cellStyle name="Normal 3 18 2 2 4" xfId="19148"/>
    <cellStyle name="Normal 3 18 2 2 4 2" xfId="39031"/>
    <cellStyle name="Normal 3 18 2 2 5" xfId="26726"/>
    <cellStyle name="Normal 3 18 2 3" xfId="8334"/>
    <cellStyle name="Normal 3 18 2 3 2" xfId="14528"/>
    <cellStyle name="Normal 3 18 2 3 2 2" xfId="34411"/>
    <cellStyle name="Normal 3 18 2 3 3" xfId="20680"/>
    <cellStyle name="Normal 3 18 2 3 3 2" xfId="40563"/>
    <cellStyle name="Normal 3 18 2 3 4" xfId="28258"/>
    <cellStyle name="Normal 3 18 2 4" xfId="11462"/>
    <cellStyle name="Normal 3 18 2 4 2" xfId="31345"/>
    <cellStyle name="Normal 3 18 2 5" xfId="17614"/>
    <cellStyle name="Normal 3 18 2 5 2" xfId="37497"/>
    <cellStyle name="Normal 3 18 2 6" xfId="25192"/>
    <cellStyle name="Normal 3 18 3" xfId="6000"/>
    <cellStyle name="Normal 3 18 3 2" xfId="9100"/>
    <cellStyle name="Normal 3 18 3 2 2" xfId="15293"/>
    <cellStyle name="Normal 3 18 3 2 2 2" xfId="35176"/>
    <cellStyle name="Normal 3 18 3 2 3" xfId="21445"/>
    <cellStyle name="Normal 3 18 3 2 3 2" xfId="41328"/>
    <cellStyle name="Normal 3 18 3 2 4" xfId="29023"/>
    <cellStyle name="Normal 3 18 3 3" xfId="12227"/>
    <cellStyle name="Normal 3 18 3 3 2" xfId="32110"/>
    <cellStyle name="Normal 3 18 3 4" xfId="18379"/>
    <cellStyle name="Normal 3 18 3 4 2" xfId="38262"/>
    <cellStyle name="Normal 3 18 3 5" xfId="25957"/>
    <cellStyle name="Normal 3 18 4" xfId="7565"/>
    <cellStyle name="Normal 3 18 4 2" xfId="13759"/>
    <cellStyle name="Normal 3 18 4 2 2" xfId="33642"/>
    <cellStyle name="Normal 3 18 4 3" xfId="19911"/>
    <cellStyle name="Normal 3 18 4 3 2" xfId="39794"/>
    <cellStyle name="Normal 3 18 4 4" xfId="27489"/>
    <cellStyle name="Normal 3 18 5" xfId="10693"/>
    <cellStyle name="Normal 3 18 5 2" xfId="30576"/>
    <cellStyle name="Normal 3 18 6" xfId="16845"/>
    <cellStyle name="Normal 3 18 6 2" xfId="36728"/>
    <cellStyle name="Normal 3 18 7" xfId="3729"/>
    <cellStyle name="Normal 3 18 7 2" xfId="24423"/>
    <cellStyle name="Normal 3 19" xfId="450"/>
    <cellStyle name="Normal 3 19 2" xfId="5159"/>
    <cellStyle name="Normal 3 19 2 2" xfId="6784"/>
    <cellStyle name="Normal 3 19 2 2 2" xfId="9870"/>
    <cellStyle name="Normal 3 19 2 2 2 2" xfId="16063"/>
    <cellStyle name="Normal 3 19 2 2 2 2 2" xfId="35946"/>
    <cellStyle name="Normal 3 19 2 2 2 3" xfId="22215"/>
    <cellStyle name="Normal 3 19 2 2 2 3 2" xfId="42098"/>
    <cellStyle name="Normal 3 19 2 2 2 4" xfId="29793"/>
    <cellStyle name="Normal 3 19 2 2 3" xfId="12997"/>
    <cellStyle name="Normal 3 19 2 2 3 2" xfId="32880"/>
    <cellStyle name="Normal 3 19 2 2 4" xfId="19149"/>
    <cellStyle name="Normal 3 19 2 2 4 2" xfId="39032"/>
    <cellStyle name="Normal 3 19 2 2 5" xfId="26727"/>
    <cellStyle name="Normal 3 19 2 3" xfId="8335"/>
    <cellStyle name="Normal 3 19 2 3 2" xfId="14529"/>
    <cellStyle name="Normal 3 19 2 3 2 2" xfId="34412"/>
    <cellStyle name="Normal 3 19 2 3 3" xfId="20681"/>
    <cellStyle name="Normal 3 19 2 3 3 2" xfId="40564"/>
    <cellStyle name="Normal 3 19 2 3 4" xfId="28259"/>
    <cellStyle name="Normal 3 19 2 4" xfId="11463"/>
    <cellStyle name="Normal 3 19 2 4 2" xfId="31346"/>
    <cellStyle name="Normal 3 19 2 5" xfId="17615"/>
    <cellStyle name="Normal 3 19 2 5 2" xfId="37498"/>
    <cellStyle name="Normal 3 19 2 6" xfId="25193"/>
    <cellStyle name="Normal 3 19 3" xfId="6001"/>
    <cellStyle name="Normal 3 19 3 2" xfId="9101"/>
    <cellStyle name="Normal 3 19 3 2 2" xfId="15294"/>
    <cellStyle name="Normal 3 19 3 2 2 2" xfId="35177"/>
    <cellStyle name="Normal 3 19 3 2 3" xfId="21446"/>
    <cellStyle name="Normal 3 19 3 2 3 2" xfId="41329"/>
    <cellStyle name="Normal 3 19 3 2 4" xfId="29024"/>
    <cellStyle name="Normal 3 19 3 3" xfId="12228"/>
    <cellStyle name="Normal 3 19 3 3 2" xfId="32111"/>
    <cellStyle name="Normal 3 19 3 4" xfId="18380"/>
    <cellStyle name="Normal 3 19 3 4 2" xfId="38263"/>
    <cellStyle name="Normal 3 19 3 5" xfId="25958"/>
    <cellStyle name="Normal 3 19 4" xfId="7566"/>
    <cellStyle name="Normal 3 19 4 2" xfId="13760"/>
    <cellStyle name="Normal 3 19 4 2 2" xfId="33643"/>
    <cellStyle name="Normal 3 19 4 3" xfId="19912"/>
    <cellStyle name="Normal 3 19 4 3 2" xfId="39795"/>
    <cellStyle name="Normal 3 19 4 4" xfId="27490"/>
    <cellStyle name="Normal 3 19 5" xfId="10694"/>
    <cellStyle name="Normal 3 19 5 2" xfId="30577"/>
    <cellStyle name="Normal 3 19 6" xfId="16846"/>
    <cellStyle name="Normal 3 19 6 2" xfId="36729"/>
    <cellStyle name="Normal 3 19 7" xfId="3730"/>
    <cellStyle name="Normal 3 19 7 2" xfId="24424"/>
    <cellStyle name="Normal 3 2" xfId="26"/>
    <cellStyle name="Normal 3 2 2" xfId="3732"/>
    <cellStyle name="Normal 3 2 2 2" xfId="5160"/>
    <cellStyle name="Normal 3 2 2 2 2" xfId="6785"/>
    <cellStyle name="Normal 3 2 2 2 2 2" xfId="9871"/>
    <cellStyle name="Normal 3 2 2 2 2 2 2" xfId="16064"/>
    <cellStyle name="Normal 3 2 2 2 2 2 2 2" xfId="35947"/>
    <cellStyle name="Normal 3 2 2 2 2 2 3" xfId="22216"/>
    <cellStyle name="Normal 3 2 2 2 2 2 3 2" xfId="42099"/>
    <cellStyle name="Normal 3 2 2 2 2 2 4" xfId="29794"/>
    <cellStyle name="Normal 3 2 2 2 2 3" xfId="12998"/>
    <cellStyle name="Normal 3 2 2 2 2 3 2" xfId="32881"/>
    <cellStyle name="Normal 3 2 2 2 2 4" xfId="19150"/>
    <cellStyle name="Normal 3 2 2 2 2 4 2" xfId="39033"/>
    <cellStyle name="Normal 3 2 2 2 2 5" xfId="26728"/>
    <cellStyle name="Normal 3 2 2 2 3" xfId="8336"/>
    <cellStyle name="Normal 3 2 2 2 3 2" xfId="14530"/>
    <cellStyle name="Normal 3 2 2 2 3 2 2" xfId="34413"/>
    <cellStyle name="Normal 3 2 2 2 3 3" xfId="20682"/>
    <cellStyle name="Normal 3 2 2 2 3 3 2" xfId="40565"/>
    <cellStyle name="Normal 3 2 2 2 3 4" xfId="28260"/>
    <cellStyle name="Normal 3 2 2 2 4" xfId="11464"/>
    <cellStyle name="Normal 3 2 2 2 4 2" xfId="31347"/>
    <cellStyle name="Normal 3 2 2 2 5" xfId="17616"/>
    <cellStyle name="Normal 3 2 2 2 5 2" xfId="37499"/>
    <cellStyle name="Normal 3 2 2 2 6" xfId="23261"/>
    <cellStyle name="Normal 3 2 2 2 6 2" xfId="43020"/>
    <cellStyle name="Normal 3 2 2 2 7" xfId="25194"/>
    <cellStyle name="Normal 3 2 2 3" xfId="6002"/>
    <cellStyle name="Normal 3 2 2 3 2" xfId="9102"/>
    <cellStyle name="Normal 3 2 2 3 2 2" xfId="15295"/>
    <cellStyle name="Normal 3 2 2 3 2 2 2" xfId="35178"/>
    <cellStyle name="Normal 3 2 2 3 2 3" xfId="21447"/>
    <cellStyle name="Normal 3 2 2 3 2 3 2" xfId="41330"/>
    <cellStyle name="Normal 3 2 2 3 2 4" xfId="29025"/>
    <cellStyle name="Normal 3 2 2 3 3" xfId="12229"/>
    <cellStyle name="Normal 3 2 2 3 3 2" xfId="32112"/>
    <cellStyle name="Normal 3 2 2 3 4" xfId="18381"/>
    <cellStyle name="Normal 3 2 2 3 4 2" xfId="38264"/>
    <cellStyle name="Normal 3 2 2 3 5" xfId="23262"/>
    <cellStyle name="Normal 3 2 2 3 5 2" xfId="43021"/>
    <cellStyle name="Normal 3 2 2 3 6" xfId="25959"/>
    <cellStyle name="Normal 3 2 2 4" xfId="7567"/>
    <cellStyle name="Normal 3 2 2 4 2" xfId="13761"/>
    <cellStyle name="Normal 3 2 2 4 2 2" xfId="33644"/>
    <cellStyle name="Normal 3 2 2 4 3" xfId="19913"/>
    <cellStyle name="Normal 3 2 2 4 3 2" xfId="39796"/>
    <cellStyle name="Normal 3 2 2 4 4" xfId="27491"/>
    <cellStyle name="Normal 3 2 2 5" xfId="10695"/>
    <cellStyle name="Normal 3 2 2 5 2" xfId="30578"/>
    <cellStyle name="Normal 3 2 2 6" xfId="16847"/>
    <cellStyle name="Normal 3 2 2 6 2" xfId="36730"/>
    <cellStyle name="Normal 3 2 2 7" xfId="23260"/>
    <cellStyle name="Normal 3 2 2 7 2" xfId="43019"/>
    <cellStyle name="Normal 3 2 2 8" xfId="24425"/>
    <cellStyle name="Normal 3 2 3" xfId="3733"/>
    <cellStyle name="Normal 3 2 3 2" xfId="5161"/>
    <cellStyle name="Normal 3 2 3 2 2" xfId="6786"/>
    <cellStyle name="Normal 3 2 3 2 2 2" xfId="9872"/>
    <cellStyle name="Normal 3 2 3 2 2 2 2" xfId="16065"/>
    <cellStyle name="Normal 3 2 3 2 2 2 2 2" xfId="35948"/>
    <cellStyle name="Normal 3 2 3 2 2 2 3" xfId="22217"/>
    <cellStyle name="Normal 3 2 3 2 2 2 3 2" xfId="42100"/>
    <cellStyle name="Normal 3 2 3 2 2 2 4" xfId="29795"/>
    <cellStyle name="Normal 3 2 3 2 2 3" xfId="12999"/>
    <cellStyle name="Normal 3 2 3 2 2 3 2" xfId="32882"/>
    <cellStyle name="Normal 3 2 3 2 2 4" xfId="19151"/>
    <cellStyle name="Normal 3 2 3 2 2 4 2" xfId="39034"/>
    <cellStyle name="Normal 3 2 3 2 2 5" xfId="26729"/>
    <cellStyle name="Normal 3 2 3 2 3" xfId="8337"/>
    <cellStyle name="Normal 3 2 3 2 3 2" xfId="14531"/>
    <cellStyle name="Normal 3 2 3 2 3 2 2" xfId="34414"/>
    <cellStyle name="Normal 3 2 3 2 3 3" xfId="20683"/>
    <cellStyle name="Normal 3 2 3 2 3 3 2" xfId="40566"/>
    <cellStyle name="Normal 3 2 3 2 3 4" xfId="28261"/>
    <cellStyle name="Normal 3 2 3 2 4" xfId="11465"/>
    <cellStyle name="Normal 3 2 3 2 4 2" xfId="31348"/>
    <cellStyle name="Normal 3 2 3 2 5" xfId="17617"/>
    <cellStyle name="Normal 3 2 3 2 5 2" xfId="37500"/>
    <cellStyle name="Normal 3 2 3 2 6" xfId="23264"/>
    <cellStyle name="Normal 3 2 3 2 6 2" xfId="43023"/>
    <cellStyle name="Normal 3 2 3 2 7" xfId="25195"/>
    <cellStyle name="Normal 3 2 3 3" xfId="6003"/>
    <cellStyle name="Normal 3 2 3 3 2" xfId="9103"/>
    <cellStyle name="Normal 3 2 3 3 2 2" xfId="15296"/>
    <cellStyle name="Normal 3 2 3 3 2 2 2" xfId="35179"/>
    <cellStyle name="Normal 3 2 3 3 2 3" xfId="21448"/>
    <cellStyle name="Normal 3 2 3 3 2 3 2" xfId="41331"/>
    <cellStyle name="Normal 3 2 3 3 2 4" xfId="29026"/>
    <cellStyle name="Normal 3 2 3 3 3" xfId="12230"/>
    <cellStyle name="Normal 3 2 3 3 3 2" xfId="32113"/>
    <cellStyle name="Normal 3 2 3 3 4" xfId="18382"/>
    <cellStyle name="Normal 3 2 3 3 4 2" xfId="38265"/>
    <cellStyle name="Normal 3 2 3 3 5" xfId="23265"/>
    <cellStyle name="Normal 3 2 3 3 5 2" xfId="43024"/>
    <cellStyle name="Normal 3 2 3 3 6" xfId="25960"/>
    <cellStyle name="Normal 3 2 3 4" xfId="7568"/>
    <cellStyle name="Normal 3 2 3 4 2" xfId="13762"/>
    <cellStyle name="Normal 3 2 3 4 2 2" xfId="33645"/>
    <cellStyle name="Normal 3 2 3 4 3" xfId="19914"/>
    <cellStyle name="Normal 3 2 3 4 3 2" xfId="39797"/>
    <cellStyle name="Normal 3 2 3 4 4" xfId="27492"/>
    <cellStyle name="Normal 3 2 3 5" xfId="10696"/>
    <cellStyle name="Normal 3 2 3 5 2" xfId="30579"/>
    <cellStyle name="Normal 3 2 3 6" xfId="16848"/>
    <cellStyle name="Normal 3 2 3 6 2" xfId="36731"/>
    <cellStyle name="Normal 3 2 3 7" xfId="23263"/>
    <cellStyle name="Normal 3 2 3 7 2" xfId="43022"/>
    <cellStyle name="Normal 3 2 3 8" xfId="24426"/>
    <cellStyle name="Normal 3 2 4" xfId="3734"/>
    <cellStyle name="Normal 3 2 4 2" xfId="5162"/>
    <cellStyle name="Normal 3 2 4 2 2" xfId="6787"/>
    <cellStyle name="Normal 3 2 4 2 2 2" xfId="9873"/>
    <cellStyle name="Normal 3 2 4 2 2 2 2" xfId="16066"/>
    <cellStyle name="Normal 3 2 4 2 2 2 2 2" xfId="35949"/>
    <cellStyle name="Normal 3 2 4 2 2 2 3" xfId="22218"/>
    <cellStyle name="Normal 3 2 4 2 2 2 3 2" xfId="42101"/>
    <cellStyle name="Normal 3 2 4 2 2 2 4" xfId="29796"/>
    <cellStyle name="Normal 3 2 4 2 2 3" xfId="13000"/>
    <cellStyle name="Normal 3 2 4 2 2 3 2" xfId="32883"/>
    <cellStyle name="Normal 3 2 4 2 2 4" xfId="19152"/>
    <cellStyle name="Normal 3 2 4 2 2 4 2" xfId="39035"/>
    <cellStyle name="Normal 3 2 4 2 2 5" xfId="26730"/>
    <cellStyle name="Normal 3 2 4 2 3" xfId="8338"/>
    <cellStyle name="Normal 3 2 4 2 3 2" xfId="14532"/>
    <cellStyle name="Normal 3 2 4 2 3 2 2" xfId="34415"/>
    <cellStyle name="Normal 3 2 4 2 3 3" xfId="20684"/>
    <cellStyle name="Normal 3 2 4 2 3 3 2" xfId="40567"/>
    <cellStyle name="Normal 3 2 4 2 3 4" xfId="28262"/>
    <cellStyle name="Normal 3 2 4 2 4" xfId="11466"/>
    <cellStyle name="Normal 3 2 4 2 4 2" xfId="31349"/>
    <cellStyle name="Normal 3 2 4 2 5" xfId="17618"/>
    <cellStyle name="Normal 3 2 4 2 5 2" xfId="37501"/>
    <cellStyle name="Normal 3 2 4 2 6" xfId="25196"/>
    <cellStyle name="Normal 3 2 4 3" xfId="6004"/>
    <cellStyle name="Normal 3 2 4 3 2" xfId="9104"/>
    <cellStyle name="Normal 3 2 4 3 2 2" xfId="15297"/>
    <cellStyle name="Normal 3 2 4 3 2 2 2" xfId="35180"/>
    <cellStyle name="Normal 3 2 4 3 2 3" xfId="21449"/>
    <cellStyle name="Normal 3 2 4 3 2 3 2" xfId="41332"/>
    <cellStyle name="Normal 3 2 4 3 2 4" xfId="29027"/>
    <cellStyle name="Normal 3 2 4 3 3" xfId="12231"/>
    <cellStyle name="Normal 3 2 4 3 3 2" xfId="32114"/>
    <cellStyle name="Normal 3 2 4 3 4" xfId="18383"/>
    <cellStyle name="Normal 3 2 4 3 4 2" xfId="38266"/>
    <cellStyle name="Normal 3 2 4 3 5" xfId="25961"/>
    <cellStyle name="Normal 3 2 4 4" xfId="7569"/>
    <cellStyle name="Normal 3 2 4 4 2" xfId="13763"/>
    <cellStyle name="Normal 3 2 4 4 2 2" xfId="33646"/>
    <cellStyle name="Normal 3 2 4 4 3" xfId="19915"/>
    <cellStyle name="Normal 3 2 4 4 3 2" xfId="39798"/>
    <cellStyle name="Normal 3 2 4 4 4" xfId="27493"/>
    <cellStyle name="Normal 3 2 4 5" xfId="10697"/>
    <cellStyle name="Normal 3 2 4 5 2" xfId="30580"/>
    <cellStyle name="Normal 3 2 4 6" xfId="16849"/>
    <cellStyle name="Normal 3 2 4 6 2" xfId="36732"/>
    <cellStyle name="Normal 3 2 4 7" xfId="23266"/>
    <cellStyle name="Normal 3 2 4 7 2" xfId="43025"/>
    <cellStyle name="Normal 3 2 4 8" xfId="24427"/>
    <cellStyle name="Normal 3 2 5" xfId="3735"/>
    <cellStyle name="Normal 3 2 5 2" xfId="5163"/>
    <cellStyle name="Normal 3 2 5 2 2" xfId="6788"/>
    <cellStyle name="Normal 3 2 5 2 2 2" xfId="9874"/>
    <cellStyle name="Normal 3 2 5 2 2 2 2" xfId="16067"/>
    <cellStyle name="Normal 3 2 5 2 2 2 2 2" xfId="35950"/>
    <cellStyle name="Normal 3 2 5 2 2 2 3" xfId="22219"/>
    <cellStyle name="Normal 3 2 5 2 2 2 3 2" xfId="42102"/>
    <cellStyle name="Normal 3 2 5 2 2 2 4" xfId="29797"/>
    <cellStyle name="Normal 3 2 5 2 2 3" xfId="13001"/>
    <cellStyle name="Normal 3 2 5 2 2 3 2" xfId="32884"/>
    <cellStyle name="Normal 3 2 5 2 2 4" xfId="19153"/>
    <cellStyle name="Normal 3 2 5 2 2 4 2" xfId="39036"/>
    <cellStyle name="Normal 3 2 5 2 2 5" xfId="26731"/>
    <cellStyle name="Normal 3 2 5 2 3" xfId="8339"/>
    <cellStyle name="Normal 3 2 5 2 3 2" xfId="14533"/>
    <cellStyle name="Normal 3 2 5 2 3 2 2" xfId="34416"/>
    <cellStyle name="Normal 3 2 5 2 3 3" xfId="20685"/>
    <cellStyle name="Normal 3 2 5 2 3 3 2" xfId="40568"/>
    <cellStyle name="Normal 3 2 5 2 3 4" xfId="28263"/>
    <cellStyle name="Normal 3 2 5 2 4" xfId="11467"/>
    <cellStyle name="Normal 3 2 5 2 4 2" xfId="31350"/>
    <cellStyle name="Normal 3 2 5 2 5" xfId="17619"/>
    <cellStyle name="Normal 3 2 5 2 5 2" xfId="37502"/>
    <cellStyle name="Normal 3 2 5 2 6" xfId="25197"/>
    <cellStyle name="Normal 3 2 5 3" xfId="6005"/>
    <cellStyle name="Normal 3 2 5 3 2" xfId="9105"/>
    <cellStyle name="Normal 3 2 5 3 2 2" xfId="15298"/>
    <cellStyle name="Normal 3 2 5 3 2 2 2" xfId="35181"/>
    <cellStyle name="Normal 3 2 5 3 2 3" xfId="21450"/>
    <cellStyle name="Normal 3 2 5 3 2 3 2" xfId="41333"/>
    <cellStyle name="Normal 3 2 5 3 2 4" xfId="29028"/>
    <cellStyle name="Normal 3 2 5 3 3" xfId="12232"/>
    <cellStyle name="Normal 3 2 5 3 3 2" xfId="32115"/>
    <cellStyle name="Normal 3 2 5 3 4" xfId="18384"/>
    <cellStyle name="Normal 3 2 5 3 4 2" xfId="38267"/>
    <cellStyle name="Normal 3 2 5 3 5" xfId="25962"/>
    <cellStyle name="Normal 3 2 5 4" xfId="7570"/>
    <cellStyle name="Normal 3 2 5 4 2" xfId="13764"/>
    <cellStyle name="Normal 3 2 5 4 2 2" xfId="33647"/>
    <cellStyle name="Normal 3 2 5 4 3" xfId="19916"/>
    <cellStyle name="Normal 3 2 5 4 3 2" xfId="39799"/>
    <cellStyle name="Normal 3 2 5 4 4" xfId="27494"/>
    <cellStyle name="Normal 3 2 5 5" xfId="10698"/>
    <cellStyle name="Normal 3 2 5 5 2" xfId="30581"/>
    <cellStyle name="Normal 3 2 5 6" xfId="16850"/>
    <cellStyle name="Normal 3 2 5 6 2" xfId="36733"/>
    <cellStyle name="Normal 3 2 5 7" xfId="23267"/>
    <cellStyle name="Normal 3 2 5 7 2" xfId="43026"/>
    <cellStyle name="Normal 3 2 5 8" xfId="24428"/>
    <cellStyle name="Normal 3 2 6" xfId="3736"/>
    <cellStyle name="Normal 3 2 6 2" xfId="5164"/>
    <cellStyle name="Normal 3 2 6 2 2" xfId="6789"/>
    <cellStyle name="Normal 3 2 6 2 2 2" xfId="9875"/>
    <cellStyle name="Normal 3 2 6 2 2 2 2" xfId="16068"/>
    <cellStyle name="Normal 3 2 6 2 2 2 2 2" xfId="35951"/>
    <cellStyle name="Normal 3 2 6 2 2 2 3" xfId="22220"/>
    <cellStyle name="Normal 3 2 6 2 2 2 3 2" xfId="42103"/>
    <cellStyle name="Normal 3 2 6 2 2 2 4" xfId="29798"/>
    <cellStyle name="Normal 3 2 6 2 2 3" xfId="13002"/>
    <cellStyle name="Normal 3 2 6 2 2 3 2" xfId="32885"/>
    <cellStyle name="Normal 3 2 6 2 2 4" xfId="19154"/>
    <cellStyle name="Normal 3 2 6 2 2 4 2" xfId="39037"/>
    <cellStyle name="Normal 3 2 6 2 2 5" xfId="26732"/>
    <cellStyle name="Normal 3 2 6 2 3" xfId="8340"/>
    <cellStyle name="Normal 3 2 6 2 3 2" xfId="14534"/>
    <cellStyle name="Normal 3 2 6 2 3 2 2" xfId="34417"/>
    <cellStyle name="Normal 3 2 6 2 3 3" xfId="20686"/>
    <cellStyle name="Normal 3 2 6 2 3 3 2" xfId="40569"/>
    <cellStyle name="Normal 3 2 6 2 3 4" xfId="28264"/>
    <cellStyle name="Normal 3 2 6 2 4" xfId="11468"/>
    <cellStyle name="Normal 3 2 6 2 4 2" xfId="31351"/>
    <cellStyle name="Normal 3 2 6 2 5" xfId="17620"/>
    <cellStyle name="Normal 3 2 6 2 5 2" xfId="37503"/>
    <cellStyle name="Normal 3 2 6 2 6" xfId="25198"/>
    <cellStyle name="Normal 3 2 6 3" xfId="6006"/>
    <cellStyle name="Normal 3 2 6 3 2" xfId="9106"/>
    <cellStyle name="Normal 3 2 6 3 2 2" xfId="15299"/>
    <cellStyle name="Normal 3 2 6 3 2 2 2" xfId="35182"/>
    <cellStyle name="Normal 3 2 6 3 2 3" xfId="21451"/>
    <cellStyle name="Normal 3 2 6 3 2 3 2" xfId="41334"/>
    <cellStyle name="Normal 3 2 6 3 2 4" xfId="29029"/>
    <cellStyle name="Normal 3 2 6 3 3" xfId="12233"/>
    <cellStyle name="Normal 3 2 6 3 3 2" xfId="32116"/>
    <cellStyle name="Normal 3 2 6 3 4" xfId="18385"/>
    <cellStyle name="Normal 3 2 6 3 4 2" xfId="38268"/>
    <cellStyle name="Normal 3 2 6 3 5" xfId="25963"/>
    <cellStyle name="Normal 3 2 6 4" xfId="7571"/>
    <cellStyle name="Normal 3 2 6 4 2" xfId="13765"/>
    <cellStyle name="Normal 3 2 6 4 2 2" xfId="33648"/>
    <cellStyle name="Normal 3 2 6 4 3" xfId="19917"/>
    <cellStyle name="Normal 3 2 6 4 3 2" xfId="39800"/>
    <cellStyle name="Normal 3 2 6 4 4" xfId="27495"/>
    <cellStyle name="Normal 3 2 6 5" xfId="10699"/>
    <cellStyle name="Normal 3 2 6 5 2" xfId="30582"/>
    <cellStyle name="Normal 3 2 6 6" xfId="16851"/>
    <cellStyle name="Normal 3 2 6 6 2" xfId="36734"/>
    <cellStyle name="Normal 3 2 6 7" xfId="24429"/>
    <cellStyle name="Normal 3 2 7" xfId="3731"/>
    <cellStyle name="Normal 3 2 8" xfId="198"/>
    <cellStyle name="Normal 3 2 9" xfId="23259"/>
    <cellStyle name="Normal 3 2 9 2" xfId="43018"/>
    <cellStyle name="Normal 3 20" xfId="473"/>
    <cellStyle name="Normal 3 20 2" xfId="5165"/>
    <cellStyle name="Normal 3 20 2 2" xfId="6790"/>
    <cellStyle name="Normal 3 20 2 2 2" xfId="9876"/>
    <cellStyle name="Normal 3 20 2 2 2 2" xfId="16069"/>
    <cellStyle name="Normal 3 20 2 2 2 2 2" xfId="35952"/>
    <cellStyle name="Normal 3 20 2 2 2 3" xfId="22221"/>
    <cellStyle name="Normal 3 20 2 2 2 3 2" xfId="42104"/>
    <cellStyle name="Normal 3 20 2 2 2 4" xfId="29799"/>
    <cellStyle name="Normal 3 20 2 2 3" xfId="13003"/>
    <cellStyle name="Normal 3 20 2 2 3 2" xfId="32886"/>
    <cellStyle name="Normal 3 20 2 2 4" xfId="19155"/>
    <cellStyle name="Normal 3 20 2 2 4 2" xfId="39038"/>
    <cellStyle name="Normal 3 20 2 2 5" xfId="26733"/>
    <cellStyle name="Normal 3 20 2 3" xfId="8341"/>
    <cellStyle name="Normal 3 20 2 3 2" xfId="14535"/>
    <cellStyle name="Normal 3 20 2 3 2 2" xfId="34418"/>
    <cellStyle name="Normal 3 20 2 3 3" xfId="20687"/>
    <cellStyle name="Normal 3 20 2 3 3 2" xfId="40570"/>
    <cellStyle name="Normal 3 20 2 3 4" xfId="28265"/>
    <cellStyle name="Normal 3 20 2 4" xfId="11469"/>
    <cellStyle name="Normal 3 20 2 4 2" xfId="31352"/>
    <cellStyle name="Normal 3 20 2 5" xfId="17621"/>
    <cellStyle name="Normal 3 20 2 5 2" xfId="37504"/>
    <cellStyle name="Normal 3 20 2 6" xfId="25199"/>
    <cellStyle name="Normal 3 20 3" xfId="6007"/>
    <cellStyle name="Normal 3 20 3 2" xfId="9107"/>
    <cellStyle name="Normal 3 20 3 2 2" xfId="15300"/>
    <cellStyle name="Normal 3 20 3 2 2 2" xfId="35183"/>
    <cellStyle name="Normal 3 20 3 2 3" xfId="21452"/>
    <cellStyle name="Normal 3 20 3 2 3 2" xfId="41335"/>
    <cellStyle name="Normal 3 20 3 2 4" xfId="29030"/>
    <cellStyle name="Normal 3 20 3 3" xfId="12234"/>
    <cellStyle name="Normal 3 20 3 3 2" xfId="32117"/>
    <cellStyle name="Normal 3 20 3 4" xfId="18386"/>
    <cellStyle name="Normal 3 20 3 4 2" xfId="38269"/>
    <cellStyle name="Normal 3 20 3 5" xfId="25964"/>
    <cellStyle name="Normal 3 20 4" xfId="7572"/>
    <cellStyle name="Normal 3 20 4 2" xfId="13766"/>
    <cellStyle name="Normal 3 20 4 2 2" xfId="33649"/>
    <cellStyle name="Normal 3 20 4 3" xfId="19918"/>
    <cellStyle name="Normal 3 20 4 3 2" xfId="39801"/>
    <cellStyle name="Normal 3 20 4 4" xfId="27496"/>
    <cellStyle name="Normal 3 20 5" xfId="10700"/>
    <cellStyle name="Normal 3 20 5 2" xfId="30583"/>
    <cellStyle name="Normal 3 20 6" xfId="16852"/>
    <cellStyle name="Normal 3 20 6 2" xfId="36735"/>
    <cellStyle name="Normal 3 20 7" xfId="3737"/>
    <cellStyle name="Normal 3 20 7 2" xfId="24430"/>
    <cellStyle name="Normal 3 21" xfId="471"/>
    <cellStyle name="Normal 3 21 2" xfId="5166"/>
    <cellStyle name="Normal 3 21 2 2" xfId="6791"/>
    <cellStyle name="Normal 3 21 2 2 2" xfId="9877"/>
    <cellStyle name="Normal 3 21 2 2 2 2" xfId="16070"/>
    <cellStyle name="Normal 3 21 2 2 2 2 2" xfId="35953"/>
    <cellStyle name="Normal 3 21 2 2 2 3" xfId="22222"/>
    <cellStyle name="Normal 3 21 2 2 2 3 2" xfId="42105"/>
    <cellStyle name="Normal 3 21 2 2 2 4" xfId="29800"/>
    <cellStyle name="Normal 3 21 2 2 3" xfId="13004"/>
    <cellStyle name="Normal 3 21 2 2 3 2" xfId="32887"/>
    <cellStyle name="Normal 3 21 2 2 4" xfId="19156"/>
    <cellStyle name="Normal 3 21 2 2 4 2" xfId="39039"/>
    <cellStyle name="Normal 3 21 2 2 5" xfId="26734"/>
    <cellStyle name="Normal 3 21 2 3" xfId="8342"/>
    <cellStyle name="Normal 3 21 2 3 2" xfId="14536"/>
    <cellStyle name="Normal 3 21 2 3 2 2" xfId="34419"/>
    <cellStyle name="Normal 3 21 2 3 3" xfId="20688"/>
    <cellStyle name="Normal 3 21 2 3 3 2" xfId="40571"/>
    <cellStyle name="Normal 3 21 2 3 4" xfId="28266"/>
    <cellStyle name="Normal 3 21 2 4" xfId="11470"/>
    <cellStyle name="Normal 3 21 2 4 2" xfId="31353"/>
    <cellStyle name="Normal 3 21 2 5" xfId="17622"/>
    <cellStyle name="Normal 3 21 2 5 2" xfId="37505"/>
    <cellStyle name="Normal 3 21 2 6" xfId="25200"/>
    <cellStyle name="Normal 3 21 3" xfId="6008"/>
    <cellStyle name="Normal 3 21 3 2" xfId="9108"/>
    <cellStyle name="Normal 3 21 3 2 2" xfId="15301"/>
    <cellStyle name="Normal 3 21 3 2 2 2" xfId="35184"/>
    <cellStyle name="Normal 3 21 3 2 3" xfId="21453"/>
    <cellStyle name="Normal 3 21 3 2 3 2" xfId="41336"/>
    <cellStyle name="Normal 3 21 3 2 4" xfId="29031"/>
    <cellStyle name="Normal 3 21 3 3" xfId="12235"/>
    <cellStyle name="Normal 3 21 3 3 2" xfId="32118"/>
    <cellStyle name="Normal 3 21 3 4" xfId="18387"/>
    <cellStyle name="Normal 3 21 3 4 2" xfId="38270"/>
    <cellStyle name="Normal 3 21 3 5" xfId="25965"/>
    <cellStyle name="Normal 3 21 4" xfId="7573"/>
    <cellStyle name="Normal 3 21 4 2" xfId="13767"/>
    <cellStyle name="Normal 3 21 4 2 2" xfId="33650"/>
    <cellStyle name="Normal 3 21 4 3" xfId="19919"/>
    <cellStyle name="Normal 3 21 4 3 2" xfId="39802"/>
    <cellStyle name="Normal 3 21 4 4" xfId="27497"/>
    <cellStyle name="Normal 3 21 5" xfId="10701"/>
    <cellStyle name="Normal 3 21 5 2" xfId="30584"/>
    <cellStyle name="Normal 3 21 6" xfId="16853"/>
    <cellStyle name="Normal 3 21 6 2" xfId="36736"/>
    <cellStyle name="Normal 3 21 7" xfId="3738"/>
    <cellStyle name="Normal 3 21 7 2" xfId="24431"/>
    <cellStyle name="Normal 3 22" xfId="502"/>
    <cellStyle name="Normal 3 22 2" xfId="5167"/>
    <cellStyle name="Normal 3 22 2 2" xfId="6792"/>
    <cellStyle name="Normal 3 22 2 2 2" xfId="9878"/>
    <cellStyle name="Normal 3 22 2 2 2 2" xfId="16071"/>
    <cellStyle name="Normal 3 22 2 2 2 2 2" xfId="35954"/>
    <cellStyle name="Normal 3 22 2 2 2 3" xfId="22223"/>
    <cellStyle name="Normal 3 22 2 2 2 3 2" xfId="42106"/>
    <cellStyle name="Normal 3 22 2 2 2 4" xfId="29801"/>
    <cellStyle name="Normal 3 22 2 2 3" xfId="13005"/>
    <cellStyle name="Normal 3 22 2 2 3 2" xfId="32888"/>
    <cellStyle name="Normal 3 22 2 2 4" xfId="19157"/>
    <cellStyle name="Normal 3 22 2 2 4 2" xfId="39040"/>
    <cellStyle name="Normal 3 22 2 2 5" xfId="26735"/>
    <cellStyle name="Normal 3 22 2 3" xfId="8343"/>
    <cellStyle name="Normal 3 22 2 3 2" xfId="14537"/>
    <cellStyle name="Normal 3 22 2 3 2 2" xfId="34420"/>
    <cellStyle name="Normal 3 22 2 3 3" xfId="20689"/>
    <cellStyle name="Normal 3 22 2 3 3 2" xfId="40572"/>
    <cellStyle name="Normal 3 22 2 3 4" xfId="28267"/>
    <cellStyle name="Normal 3 22 2 4" xfId="11471"/>
    <cellStyle name="Normal 3 22 2 4 2" xfId="31354"/>
    <cellStyle name="Normal 3 22 2 5" xfId="17623"/>
    <cellStyle name="Normal 3 22 2 5 2" xfId="37506"/>
    <cellStyle name="Normal 3 22 2 6" xfId="25201"/>
    <cellStyle name="Normal 3 22 3" xfId="6009"/>
    <cellStyle name="Normal 3 22 3 2" xfId="9109"/>
    <cellStyle name="Normal 3 22 3 2 2" xfId="15302"/>
    <cellStyle name="Normal 3 22 3 2 2 2" xfId="35185"/>
    <cellStyle name="Normal 3 22 3 2 3" xfId="21454"/>
    <cellStyle name="Normal 3 22 3 2 3 2" xfId="41337"/>
    <cellStyle name="Normal 3 22 3 2 4" xfId="29032"/>
    <cellStyle name="Normal 3 22 3 3" xfId="12236"/>
    <cellStyle name="Normal 3 22 3 3 2" xfId="32119"/>
    <cellStyle name="Normal 3 22 3 4" xfId="18388"/>
    <cellStyle name="Normal 3 22 3 4 2" xfId="38271"/>
    <cellStyle name="Normal 3 22 3 5" xfId="25966"/>
    <cellStyle name="Normal 3 22 4" xfId="7574"/>
    <cellStyle name="Normal 3 22 4 2" xfId="13768"/>
    <cellStyle name="Normal 3 22 4 2 2" xfId="33651"/>
    <cellStyle name="Normal 3 22 4 3" xfId="19920"/>
    <cellStyle name="Normal 3 22 4 3 2" xfId="39803"/>
    <cellStyle name="Normal 3 22 4 4" xfId="27498"/>
    <cellStyle name="Normal 3 22 5" xfId="10702"/>
    <cellStyle name="Normal 3 22 5 2" xfId="30585"/>
    <cellStyle name="Normal 3 22 6" xfId="16854"/>
    <cellStyle name="Normal 3 22 6 2" xfId="36737"/>
    <cellStyle name="Normal 3 22 7" xfId="3739"/>
    <cellStyle name="Normal 3 22 7 2" xfId="24432"/>
    <cellStyle name="Normal 3 23" xfId="489"/>
    <cellStyle name="Normal 3 23 2" xfId="5168"/>
    <cellStyle name="Normal 3 23 2 2" xfId="6793"/>
    <cellStyle name="Normal 3 23 2 2 2" xfId="9879"/>
    <cellStyle name="Normal 3 23 2 2 2 2" xfId="16072"/>
    <cellStyle name="Normal 3 23 2 2 2 2 2" xfId="35955"/>
    <cellStyle name="Normal 3 23 2 2 2 3" xfId="22224"/>
    <cellStyle name="Normal 3 23 2 2 2 3 2" xfId="42107"/>
    <cellStyle name="Normal 3 23 2 2 2 4" xfId="29802"/>
    <cellStyle name="Normal 3 23 2 2 3" xfId="13006"/>
    <cellStyle name="Normal 3 23 2 2 3 2" xfId="32889"/>
    <cellStyle name="Normal 3 23 2 2 4" xfId="19158"/>
    <cellStyle name="Normal 3 23 2 2 4 2" xfId="39041"/>
    <cellStyle name="Normal 3 23 2 2 5" xfId="26736"/>
    <cellStyle name="Normal 3 23 2 3" xfId="8344"/>
    <cellStyle name="Normal 3 23 2 3 2" xfId="14538"/>
    <cellStyle name="Normal 3 23 2 3 2 2" xfId="34421"/>
    <cellStyle name="Normal 3 23 2 3 3" xfId="20690"/>
    <cellStyle name="Normal 3 23 2 3 3 2" xfId="40573"/>
    <cellStyle name="Normal 3 23 2 3 4" xfId="28268"/>
    <cellStyle name="Normal 3 23 2 4" xfId="11472"/>
    <cellStyle name="Normal 3 23 2 4 2" xfId="31355"/>
    <cellStyle name="Normal 3 23 2 5" xfId="17624"/>
    <cellStyle name="Normal 3 23 2 5 2" xfId="37507"/>
    <cellStyle name="Normal 3 23 2 6" xfId="25202"/>
    <cellStyle name="Normal 3 23 3" xfId="6010"/>
    <cellStyle name="Normal 3 23 3 2" xfId="9110"/>
    <cellStyle name="Normal 3 23 3 2 2" xfId="15303"/>
    <cellStyle name="Normal 3 23 3 2 2 2" xfId="35186"/>
    <cellStyle name="Normal 3 23 3 2 3" xfId="21455"/>
    <cellStyle name="Normal 3 23 3 2 3 2" xfId="41338"/>
    <cellStyle name="Normal 3 23 3 2 4" xfId="29033"/>
    <cellStyle name="Normal 3 23 3 3" xfId="12237"/>
    <cellStyle name="Normal 3 23 3 3 2" xfId="32120"/>
    <cellStyle name="Normal 3 23 3 4" xfId="18389"/>
    <cellStyle name="Normal 3 23 3 4 2" xfId="38272"/>
    <cellStyle name="Normal 3 23 3 5" xfId="25967"/>
    <cellStyle name="Normal 3 23 4" xfId="7575"/>
    <cellStyle name="Normal 3 23 4 2" xfId="13769"/>
    <cellStyle name="Normal 3 23 4 2 2" xfId="33652"/>
    <cellStyle name="Normal 3 23 4 3" xfId="19921"/>
    <cellStyle name="Normal 3 23 4 3 2" xfId="39804"/>
    <cellStyle name="Normal 3 23 4 4" xfId="27499"/>
    <cellStyle name="Normal 3 23 5" xfId="10703"/>
    <cellStyle name="Normal 3 23 5 2" xfId="30586"/>
    <cellStyle name="Normal 3 23 6" xfId="16855"/>
    <cellStyle name="Normal 3 23 6 2" xfId="36738"/>
    <cellStyle name="Normal 3 23 7" xfId="3740"/>
    <cellStyle name="Normal 3 23 7 2" xfId="24433"/>
    <cellStyle name="Normal 3 24" xfId="615"/>
    <cellStyle name="Normal 3 24 2" xfId="5169"/>
    <cellStyle name="Normal 3 24 2 2" xfId="6794"/>
    <cellStyle name="Normal 3 24 2 2 2" xfId="9880"/>
    <cellStyle name="Normal 3 24 2 2 2 2" xfId="16073"/>
    <cellStyle name="Normal 3 24 2 2 2 2 2" xfId="35956"/>
    <cellStyle name="Normal 3 24 2 2 2 3" xfId="22225"/>
    <cellStyle name="Normal 3 24 2 2 2 3 2" xfId="42108"/>
    <cellStyle name="Normal 3 24 2 2 2 4" xfId="29803"/>
    <cellStyle name="Normal 3 24 2 2 3" xfId="13007"/>
    <cellStyle name="Normal 3 24 2 2 3 2" xfId="32890"/>
    <cellStyle name="Normal 3 24 2 2 4" xfId="19159"/>
    <cellStyle name="Normal 3 24 2 2 4 2" xfId="39042"/>
    <cellStyle name="Normal 3 24 2 2 5" xfId="26737"/>
    <cellStyle name="Normal 3 24 2 3" xfId="8345"/>
    <cellStyle name="Normal 3 24 2 3 2" xfId="14539"/>
    <cellStyle name="Normal 3 24 2 3 2 2" xfId="34422"/>
    <cellStyle name="Normal 3 24 2 3 3" xfId="20691"/>
    <cellStyle name="Normal 3 24 2 3 3 2" xfId="40574"/>
    <cellStyle name="Normal 3 24 2 3 4" xfId="28269"/>
    <cellStyle name="Normal 3 24 2 4" xfId="11473"/>
    <cellStyle name="Normal 3 24 2 4 2" xfId="31356"/>
    <cellStyle name="Normal 3 24 2 5" xfId="17625"/>
    <cellStyle name="Normal 3 24 2 5 2" xfId="37508"/>
    <cellStyle name="Normal 3 24 2 6" xfId="25203"/>
    <cellStyle name="Normal 3 24 3" xfId="6011"/>
    <cellStyle name="Normal 3 24 3 2" xfId="9111"/>
    <cellStyle name="Normal 3 24 3 2 2" xfId="15304"/>
    <cellStyle name="Normal 3 24 3 2 2 2" xfId="35187"/>
    <cellStyle name="Normal 3 24 3 2 3" xfId="21456"/>
    <cellStyle name="Normal 3 24 3 2 3 2" xfId="41339"/>
    <cellStyle name="Normal 3 24 3 2 4" xfId="29034"/>
    <cellStyle name="Normal 3 24 3 3" xfId="12238"/>
    <cellStyle name="Normal 3 24 3 3 2" xfId="32121"/>
    <cellStyle name="Normal 3 24 3 4" xfId="18390"/>
    <cellStyle name="Normal 3 24 3 4 2" xfId="38273"/>
    <cellStyle name="Normal 3 24 3 5" xfId="25968"/>
    <cellStyle name="Normal 3 24 4" xfId="7576"/>
    <cellStyle name="Normal 3 24 4 2" xfId="13770"/>
    <cellStyle name="Normal 3 24 4 2 2" xfId="33653"/>
    <cellStyle name="Normal 3 24 4 3" xfId="19922"/>
    <cellStyle name="Normal 3 24 4 3 2" xfId="39805"/>
    <cellStyle name="Normal 3 24 4 4" xfId="27500"/>
    <cellStyle name="Normal 3 24 5" xfId="10704"/>
    <cellStyle name="Normal 3 24 5 2" xfId="30587"/>
    <cellStyle name="Normal 3 24 6" xfId="16856"/>
    <cellStyle name="Normal 3 24 6 2" xfId="36739"/>
    <cellStyle name="Normal 3 24 7" xfId="3741"/>
    <cellStyle name="Normal 3 24 7 2" xfId="24434"/>
    <cellStyle name="Normal 3 25" xfId="633"/>
    <cellStyle name="Normal 3 25 2" xfId="3742"/>
    <cellStyle name="Normal 3 26" xfId="597"/>
    <cellStyle name="Normal 3 26 2" xfId="3744"/>
    <cellStyle name="Normal 3 26 3" xfId="3745"/>
    <cellStyle name="Normal 3 26 4" xfId="3746"/>
    <cellStyle name="Normal 3 26 5" xfId="3743"/>
    <cellStyle name="Normal 3 27" xfId="675"/>
    <cellStyle name="Normal 3 27 2" xfId="3747"/>
    <cellStyle name="Normal 3 28" xfId="611"/>
    <cellStyle name="Normal 3 28 2" xfId="4618"/>
    <cellStyle name="Normal 3 29" xfId="677"/>
    <cellStyle name="Normal 3 29 2" xfId="1327"/>
    <cellStyle name="Normal 3 3" xfId="73"/>
    <cellStyle name="Normal 3 3 10" xfId="3748"/>
    <cellStyle name="Normal 3 3 10 2" xfId="24435"/>
    <cellStyle name="Normal 3 3 11" xfId="1169"/>
    <cellStyle name="Normal 3 3 12" xfId="22831"/>
    <cellStyle name="Normal 3 3 12 2" xfId="42705"/>
    <cellStyle name="Normal 3 3 13" xfId="209"/>
    <cellStyle name="Normal 3 3 13 2" xfId="23408"/>
    <cellStyle name="Normal 3 3 14" xfId="23268"/>
    <cellStyle name="Normal 3 3 14 2" xfId="43027"/>
    <cellStyle name="Normal 3 3 2" xfId="868"/>
    <cellStyle name="Normal 3 3 2 2" xfId="5171"/>
    <cellStyle name="Normal 3 3 2 2 2" xfId="6796"/>
    <cellStyle name="Normal 3 3 2 2 2 2" xfId="9882"/>
    <cellStyle name="Normal 3 3 2 2 2 2 2" xfId="16075"/>
    <cellStyle name="Normal 3 3 2 2 2 2 2 2" xfId="35958"/>
    <cellStyle name="Normal 3 3 2 2 2 2 3" xfId="22227"/>
    <cellStyle name="Normal 3 3 2 2 2 2 3 2" xfId="42110"/>
    <cellStyle name="Normal 3 3 2 2 2 2 4" xfId="29805"/>
    <cellStyle name="Normal 3 3 2 2 2 3" xfId="13009"/>
    <cellStyle name="Normal 3 3 2 2 2 3 2" xfId="32892"/>
    <cellStyle name="Normal 3 3 2 2 2 4" xfId="19161"/>
    <cellStyle name="Normal 3 3 2 2 2 4 2" xfId="39044"/>
    <cellStyle name="Normal 3 3 2 2 2 5" xfId="26739"/>
    <cellStyle name="Normal 3 3 2 2 3" xfId="8347"/>
    <cellStyle name="Normal 3 3 2 2 3 2" xfId="14541"/>
    <cellStyle name="Normal 3 3 2 2 3 2 2" xfId="34424"/>
    <cellStyle name="Normal 3 3 2 2 3 3" xfId="20693"/>
    <cellStyle name="Normal 3 3 2 2 3 3 2" xfId="40576"/>
    <cellStyle name="Normal 3 3 2 2 3 4" xfId="28271"/>
    <cellStyle name="Normal 3 3 2 2 4" xfId="11475"/>
    <cellStyle name="Normal 3 3 2 2 4 2" xfId="31358"/>
    <cellStyle name="Normal 3 3 2 2 5" xfId="17627"/>
    <cellStyle name="Normal 3 3 2 2 5 2" xfId="37510"/>
    <cellStyle name="Normal 3 3 2 2 6" xfId="23270"/>
    <cellStyle name="Normal 3 3 2 2 6 2" xfId="43029"/>
    <cellStyle name="Normal 3 3 2 2 7" xfId="25205"/>
    <cellStyle name="Normal 3 3 2 3" xfId="6013"/>
    <cellStyle name="Normal 3 3 2 3 2" xfId="9113"/>
    <cellStyle name="Normal 3 3 2 3 2 2" xfId="15306"/>
    <cellStyle name="Normal 3 3 2 3 2 2 2" xfId="35189"/>
    <cellStyle name="Normal 3 3 2 3 2 3" xfId="21458"/>
    <cellStyle name="Normal 3 3 2 3 2 3 2" xfId="41341"/>
    <cellStyle name="Normal 3 3 2 3 2 4" xfId="29036"/>
    <cellStyle name="Normal 3 3 2 3 3" xfId="12240"/>
    <cellStyle name="Normal 3 3 2 3 3 2" xfId="32123"/>
    <cellStyle name="Normal 3 3 2 3 4" xfId="18392"/>
    <cellStyle name="Normal 3 3 2 3 4 2" xfId="38275"/>
    <cellStyle name="Normal 3 3 2 3 5" xfId="25970"/>
    <cellStyle name="Normal 3 3 2 4" xfId="7578"/>
    <cellStyle name="Normal 3 3 2 4 2" xfId="13772"/>
    <cellStyle name="Normal 3 3 2 4 2 2" xfId="33655"/>
    <cellStyle name="Normal 3 3 2 4 3" xfId="19924"/>
    <cellStyle name="Normal 3 3 2 4 3 2" xfId="39807"/>
    <cellStyle name="Normal 3 3 2 4 4" xfId="27502"/>
    <cellStyle name="Normal 3 3 2 5" xfId="10706"/>
    <cellStyle name="Normal 3 3 2 5 2" xfId="30589"/>
    <cellStyle name="Normal 3 3 2 6" xfId="16858"/>
    <cellStyle name="Normal 3 3 2 6 2" xfId="36741"/>
    <cellStyle name="Normal 3 3 2 7" xfId="3749"/>
    <cellStyle name="Normal 3 3 2 7 2" xfId="24436"/>
    <cellStyle name="Normal 3 3 2 8" xfId="23269"/>
    <cellStyle name="Normal 3 3 2 8 2" xfId="43028"/>
    <cellStyle name="Normal 3 3 2 9" xfId="23711"/>
    <cellStyle name="Normal 3 3 3" xfId="3750"/>
    <cellStyle name="Normal 3 3 3 2" xfId="5172"/>
    <cellStyle name="Normal 3 3 3 2 2" xfId="6797"/>
    <cellStyle name="Normal 3 3 3 2 2 2" xfId="9883"/>
    <cellStyle name="Normal 3 3 3 2 2 2 2" xfId="16076"/>
    <cellStyle name="Normal 3 3 3 2 2 2 2 2" xfId="35959"/>
    <cellStyle name="Normal 3 3 3 2 2 2 3" xfId="22228"/>
    <cellStyle name="Normal 3 3 3 2 2 2 3 2" xfId="42111"/>
    <cellStyle name="Normal 3 3 3 2 2 2 4" xfId="29806"/>
    <cellStyle name="Normal 3 3 3 2 2 3" xfId="13010"/>
    <cellStyle name="Normal 3 3 3 2 2 3 2" xfId="32893"/>
    <cellStyle name="Normal 3 3 3 2 2 4" xfId="19162"/>
    <cellStyle name="Normal 3 3 3 2 2 4 2" xfId="39045"/>
    <cellStyle name="Normal 3 3 3 2 2 5" xfId="26740"/>
    <cellStyle name="Normal 3 3 3 2 3" xfId="8348"/>
    <cellStyle name="Normal 3 3 3 2 3 2" xfId="14542"/>
    <cellStyle name="Normal 3 3 3 2 3 2 2" xfId="34425"/>
    <cellStyle name="Normal 3 3 3 2 3 3" xfId="20694"/>
    <cellStyle name="Normal 3 3 3 2 3 3 2" xfId="40577"/>
    <cellStyle name="Normal 3 3 3 2 3 4" xfId="28272"/>
    <cellStyle name="Normal 3 3 3 2 4" xfId="11476"/>
    <cellStyle name="Normal 3 3 3 2 4 2" xfId="31359"/>
    <cellStyle name="Normal 3 3 3 2 5" xfId="17628"/>
    <cellStyle name="Normal 3 3 3 2 5 2" xfId="37511"/>
    <cellStyle name="Normal 3 3 3 2 6" xfId="25206"/>
    <cellStyle name="Normal 3 3 3 3" xfId="6014"/>
    <cellStyle name="Normal 3 3 3 3 2" xfId="9114"/>
    <cellStyle name="Normal 3 3 3 3 2 2" xfId="15307"/>
    <cellStyle name="Normal 3 3 3 3 2 2 2" xfId="35190"/>
    <cellStyle name="Normal 3 3 3 3 2 3" xfId="21459"/>
    <cellStyle name="Normal 3 3 3 3 2 3 2" xfId="41342"/>
    <cellStyle name="Normal 3 3 3 3 2 4" xfId="29037"/>
    <cellStyle name="Normal 3 3 3 3 3" xfId="12241"/>
    <cellStyle name="Normal 3 3 3 3 3 2" xfId="32124"/>
    <cellStyle name="Normal 3 3 3 3 4" xfId="18393"/>
    <cellStyle name="Normal 3 3 3 3 4 2" xfId="38276"/>
    <cellStyle name="Normal 3 3 3 3 5" xfId="25971"/>
    <cellStyle name="Normal 3 3 3 4" xfId="7579"/>
    <cellStyle name="Normal 3 3 3 4 2" xfId="13773"/>
    <cellStyle name="Normal 3 3 3 4 2 2" xfId="33656"/>
    <cellStyle name="Normal 3 3 3 4 3" xfId="19925"/>
    <cellStyle name="Normal 3 3 3 4 3 2" xfId="39808"/>
    <cellStyle name="Normal 3 3 3 4 4" xfId="27503"/>
    <cellStyle name="Normal 3 3 3 5" xfId="10707"/>
    <cellStyle name="Normal 3 3 3 5 2" xfId="30590"/>
    <cellStyle name="Normal 3 3 3 6" xfId="16859"/>
    <cellStyle name="Normal 3 3 3 6 2" xfId="36742"/>
    <cellStyle name="Normal 3 3 3 7" xfId="23271"/>
    <cellStyle name="Normal 3 3 3 7 2" xfId="43030"/>
    <cellStyle name="Normal 3 3 3 8" xfId="24437"/>
    <cellStyle name="Normal 3 3 4" xfId="3751"/>
    <cellStyle name="Normal 3 3 5" xfId="5170"/>
    <cellStyle name="Normal 3 3 5 2" xfId="6795"/>
    <cellStyle name="Normal 3 3 5 2 2" xfId="9881"/>
    <cellStyle name="Normal 3 3 5 2 2 2" xfId="16074"/>
    <cellStyle name="Normal 3 3 5 2 2 2 2" xfId="35957"/>
    <cellStyle name="Normal 3 3 5 2 2 3" xfId="22226"/>
    <cellStyle name="Normal 3 3 5 2 2 3 2" xfId="42109"/>
    <cellStyle name="Normal 3 3 5 2 2 4" xfId="29804"/>
    <cellStyle name="Normal 3 3 5 2 3" xfId="13008"/>
    <cellStyle name="Normal 3 3 5 2 3 2" xfId="32891"/>
    <cellStyle name="Normal 3 3 5 2 4" xfId="19160"/>
    <cellStyle name="Normal 3 3 5 2 4 2" xfId="39043"/>
    <cellStyle name="Normal 3 3 5 2 5" xfId="26738"/>
    <cellStyle name="Normal 3 3 5 3" xfId="8346"/>
    <cellStyle name="Normal 3 3 5 3 2" xfId="14540"/>
    <cellStyle name="Normal 3 3 5 3 2 2" xfId="34423"/>
    <cellStyle name="Normal 3 3 5 3 3" xfId="20692"/>
    <cellStyle name="Normal 3 3 5 3 3 2" xfId="40575"/>
    <cellStyle name="Normal 3 3 5 3 4" xfId="28270"/>
    <cellStyle name="Normal 3 3 5 4" xfId="11474"/>
    <cellStyle name="Normal 3 3 5 4 2" xfId="31357"/>
    <cellStyle name="Normal 3 3 5 5" xfId="17626"/>
    <cellStyle name="Normal 3 3 5 5 2" xfId="37509"/>
    <cellStyle name="Normal 3 3 5 6" xfId="25204"/>
    <cellStyle name="Normal 3 3 6" xfId="6012"/>
    <cellStyle name="Normal 3 3 6 2" xfId="9112"/>
    <cellStyle name="Normal 3 3 6 2 2" xfId="15305"/>
    <cellStyle name="Normal 3 3 6 2 2 2" xfId="35188"/>
    <cellStyle name="Normal 3 3 6 2 3" xfId="21457"/>
    <cellStyle name="Normal 3 3 6 2 3 2" xfId="41340"/>
    <cellStyle name="Normal 3 3 6 2 4" xfId="29035"/>
    <cellStyle name="Normal 3 3 6 3" xfId="12239"/>
    <cellStyle name="Normal 3 3 6 3 2" xfId="32122"/>
    <cellStyle name="Normal 3 3 6 4" xfId="18391"/>
    <cellStyle name="Normal 3 3 6 4 2" xfId="38274"/>
    <cellStyle name="Normal 3 3 6 5" xfId="25969"/>
    <cellStyle name="Normal 3 3 7" xfId="7577"/>
    <cellStyle name="Normal 3 3 7 2" xfId="13771"/>
    <cellStyle name="Normal 3 3 7 2 2" xfId="33654"/>
    <cellStyle name="Normal 3 3 7 3" xfId="19923"/>
    <cellStyle name="Normal 3 3 7 3 2" xfId="39806"/>
    <cellStyle name="Normal 3 3 7 4" xfId="27501"/>
    <cellStyle name="Normal 3 3 8" xfId="10705"/>
    <cellStyle name="Normal 3 3 8 2" xfId="30588"/>
    <cellStyle name="Normal 3 3 9" xfId="16857"/>
    <cellStyle name="Normal 3 3 9 2" xfId="36740"/>
    <cellStyle name="Normal 3 30" xfId="696"/>
    <cellStyle name="Normal 3 30 2" xfId="10234"/>
    <cellStyle name="Normal 3 31" xfId="728"/>
    <cellStyle name="Normal 3 32" xfId="23258"/>
    <cellStyle name="Normal 3 32 2" xfId="43017"/>
    <cellStyle name="Normal 3 4" xfId="221"/>
    <cellStyle name="Normal 3 4 2" xfId="3753"/>
    <cellStyle name="Normal 3 4 2 2" xfId="5174"/>
    <cellStyle name="Normal 3 4 2 2 2" xfId="6799"/>
    <cellStyle name="Normal 3 4 2 2 2 2" xfId="9885"/>
    <cellStyle name="Normal 3 4 2 2 2 2 2" xfId="16078"/>
    <cellStyle name="Normal 3 4 2 2 2 2 2 2" xfId="35961"/>
    <cellStyle name="Normal 3 4 2 2 2 2 3" xfId="22230"/>
    <cellStyle name="Normal 3 4 2 2 2 2 3 2" xfId="42113"/>
    <cellStyle name="Normal 3 4 2 2 2 2 4" xfId="29808"/>
    <cellStyle name="Normal 3 4 2 2 2 3" xfId="13012"/>
    <cellStyle name="Normal 3 4 2 2 2 3 2" xfId="32895"/>
    <cellStyle name="Normal 3 4 2 2 2 4" xfId="19164"/>
    <cellStyle name="Normal 3 4 2 2 2 4 2" xfId="39047"/>
    <cellStyle name="Normal 3 4 2 2 2 5" xfId="26742"/>
    <cellStyle name="Normal 3 4 2 2 3" xfId="8350"/>
    <cellStyle name="Normal 3 4 2 2 3 2" xfId="14544"/>
    <cellStyle name="Normal 3 4 2 2 3 2 2" xfId="34427"/>
    <cellStyle name="Normal 3 4 2 2 3 3" xfId="20696"/>
    <cellStyle name="Normal 3 4 2 2 3 3 2" xfId="40579"/>
    <cellStyle name="Normal 3 4 2 2 3 4" xfId="28274"/>
    <cellStyle name="Normal 3 4 2 2 4" xfId="11478"/>
    <cellStyle name="Normal 3 4 2 2 4 2" xfId="31361"/>
    <cellStyle name="Normal 3 4 2 2 5" xfId="17630"/>
    <cellStyle name="Normal 3 4 2 2 5 2" xfId="37513"/>
    <cellStyle name="Normal 3 4 2 2 6" xfId="25208"/>
    <cellStyle name="Normal 3 4 2 3" xfId="6016"/>
    <cellStyle name="Normal 3 4 2 3 2" xfId="9116"/>
    <cellStyle name="Normal 3 4 2 3 2 2" xfId="15309"/>
    <cellStyle name="Normal 3 4 2 3 2 2 2" xfId="35192"/>
    <cellStyle name="Normal 3 4 2 3 2 3" xfId="21461"/>
    <cellStyle name="Normal 3 4 2 3 2 3 2" xfId="41344"/>
    <cellStyle name="Normal 3 4 2 3 2 4" xfId="29039"/>
    <cellStyle name="Normal 3 4 2 3 3" xfId="12243"/>
    <cellStyle name="Normal 3 4 2 3 3 2" xfId="32126"/>
    <cellStyle name="Normal 3 4 2 3 4" xfId="18395"/>
    <cellStyle name="Normal 3 4 2 3 4 2" xfId="38278"/>
    <cellStyle name="Normal 3 4 2 3 5" xfId="25973"/>
    <cellStyle name="Normal 3 4 2 4" xfId="7581"/>
    <cellStyle name="Normal 3 4 2 4 2" xfId="13775"/>
    <cellStyle name="Normal 3 4 2 4 2 2" xfId="33658"/>
    <cellStyle name="Normal 3 4 2 4 3" xfId="19927"/>
    <cellStyle name="Normal 3 4 2 4 3 2" xfId="39810"/>
    <cellStyle name="Normal 3 4 2 4 4" xfId="27505"/>
    <cellStyle name="Normal 3 4 2 5" xfId="10709"/>
    <cellStyle name="Normal 3 4 2 5 2" xfId="30592"/>
    <cellStyle name="Normal 3 4 2 6" xfId="16861"/>
    <cellStyle name="Normal 3 4 2 6 2" xfId="36744"/>
    <cellStyle name="Normal 3 4 2 7" xfId="23273"/>
    <cellStyle name="Normal 3 4 2 7 2" xfId="43032"/>
    <cellStyle name="Normal 3 4 2 8" xfId="24439"/>
    <cellStyle name="Normal 3 4 3" xfId="5173"/>
    <cellStyle name="Normal 3 4 3 2" xfId="6798"/>
    <cellStyle name="Normal 3 4 3 2 2" xfId="9884"/>
    <cellStyle name="Normal 3 4 3 2 2 2" xfId="16077"/>
    <cellStyle name="Normal 3 4 3 2 2 2 2" xfId="35960"/>
    <cellStyle name="Normal 3 4 3 2 2 3" xfId="22229"/>
    <cellStyle name="Normal 3 4 3 2 2 3 2" xfId="42112"/>
    <cellStyle name="Normal 3 4 3 2 2 4" xfId="29807"/>
    <cellStyle name="Normal 3 4 3 2 3" xfId="13011"/>
    <cellStyle name="Normal 3 4 3 2 3 2" xfId="32894"/>
    <cellStyle name="Normal 3 4 3 2 4" xfId="19163"/>
    <cellStyle name="Normal 3 4 3 2 4 2" xfId="39046"/>
    <cellStyle name="Normal 3 4 3 2 5" xfId="26741"/>
    <cellStyle name="Normal 3 4 3 3" xfId="8349"/>
    <cellStyle name="Normal 3 4 3 3 2" xfId="14543"/>
    <cellStyle name="Normal 3 4 3 3 2 2" xfId="34426"/>
    <cellStyle name="Normal 3 4 3 3 3" xfId="20695"/>
    <cellStyle name="Normal 3 4 3 3 3 2" xfId="40578"/>
    <cellStyle name="Normal 3 4 3 3 4" xfId="28273"/>
    <cellStyle name="Normal 3 4 3 4" xfId="11477"/>
    <cellStyle name="Normal 3 4 3 4 2" xfId="31360"/>
    <cellStyle name="Normal 3 4 3 5" xfId="17629"/>
    <cellStyle name="Normal 3 4 3 5 2" xfId="37512"/>
    <cellStyle name="Normal 3 4 3 6" xfId="25207"/>
    <cellStyle name="Normal 3 4 4" xfId="6015"/>
    <cellStyle name="Normal 3 4 4 2" xfId="9115"/>
    <cellStyle name="Normal 3 4 4 2 2" xfId="15308"/>
    <cellStyle name="Normal 3 4 4 2 2 2" xfId="35191"/>
    <cellStyle name="Normal 3 4 4 2 3" xfId="21460"/>
    <cellStyle name="Normal 3 4 4 2 3 2" xfId="41343"/>
    <cellStyle name="Normal 3 4 4 2 4" xfId="29038"/>
    <cellStyle name="Normal 3 4 4 3" xfId="12242"/>
    <cellStyle name="Normal 3 4 4 3 2" xfId="32125"/>
    <cellStyle name="Normal 3 4 4 4" xfId="18394"/>
    <cellStyle name="Normal 3 4 4 4 2" xfId="38277"/>
    <cellStyle name="Normal 3 4 4 5" xfId="25972"/>
    <cellStyle name="Normal 3 4 5" xfId="7580"/>
    <cellStyle name="Normal 3 4 5 2" xfId="13774"/>
    <cellStyle name="Normal 3 4 5 2 2" xfId="33657"/>
    <cellStyle name="Normal 3 4 5 3" xfId="19926"/>
    <cellStyle name="Normal 3 4 5 3 2" xfId="39809"/>
    <cellStyle name="Normal 3 4 5 4" xfId="27504"/>
    <cellStyle name="Normal 3 4 6" xfId="10708"/>
    <cellStyle name="Normal 3 4 6 2" xfId="30591"/>
    <cellStyle name="Normal 3 4 7" xfId="16860"/>
    <cellStyle name="Normal 3 4 7 2" xfId="36743"/>
    <cellStyle name="Normal 3 4 8" xfId="3752"/>
    <cellStyle name="Normal 3 4 8 2" xfId="24438"/>
    <cellStyle name="Normal 3 4 9" xfId="23272"/>
    <cellStyle name="Normal 3 4 9 2" xfId="43031"/>
    <cellStyle name="Normal 3 5" xfId="243"/>
    <cellStyle name="Normal 3 5 2" xfId="3755"/>
    <cellStyle name="Normal 3 5 2 2" xfId="5176"/>
    <cellStyle name="Normal 3 5 2 2 2" xfId="6801"/>
    <cellStyle name="Normal 3 5 2 2 2 2" xfId="9887"/>
    <cellStyle name="Normal 3 5 2 2 2 2 2" xfId="16080"/>
    <cellStyle name="Normal 3 5 2 2 2 2 2 2" xfId="35963"/>
    <cellStyle name="Normal 3 5 2 2 2 2 3" xfId="22232"/>
    <cellStyle name="Normal 3 5 2 2 2 2 3 2" xfId="42115"/>
    <cellStyle name="Normal 3 5 2 2 2 2 4" xfId="29810"/>
    <cellStyle name="Normal 3 5 2 2 2 3" xfId="13014"/>
    <cellStyle name="Normal 3 5 2 2 2 3 2" xfId="32897"/>
    <cellStyle name="Normal 3 5 2 2 2 4" xfId="19166"/>
    <cellStyle name="Normal 3 5 2 2 2 4 2" xfId="39049"/>
    <cellStyle name="Normal 3 5 2 2 2 5" xfId="26744"/>
    <cellStyle name="Normal 3 5 2 2 3" xfId="8352"/>
    <cellStyle name="Normal 3 5 2 2 3 2" xfId="14546"/>
    <cellStyle name="Normal 3 5 2 2 3 2 2" xfId="34429"/>
    <cellStyle name="Normal 3 5 2 2 3 3" xfId="20698"/>
    <cellStyle name="Normal 3 5 2 2 3 3 2" xfId="40581"/>
    <cellStyle name="Normal 3 5 2 2 3 4" xfId="28276"/>
    <cellStyle name="Normal 3 5 2 2 4" xfId="11480"/>
    <cellStyle name="Normal 3 5 2 2 4 2" xfId="31363"/>
    <cellStyle name="Normal 3 5 2 2 5" xfId="17632"/>
    <cellStyle name="Normal 3 5 2 2 5 2" xfId="37515"/>
    <cellStyle name="Normal 3 5 2 2 6" xfId="25210"/>
    <cellStyle name="Normal 3 5 2 3" xfId="6018"/>
    <cellStyle name="Normal 3 5 2 3 2" xfId="9118"/>
    <cellStyle name="Normal 3 5 2 3 2 2" xfId="15311"/>
    <cellStyle name="Normal 3 5 2 3 2 2 2" xfId="35194"/>
    <cellStyle name="Normal 3 5 2 3 2 3" xfId="21463"/>
    <cellStyle name="Normal 3 5 2 3 2 3 2" xfId="41346"/>
    <cellStyle name="Normal 3 5 2 3 2 4" xfId="29041"/>
    <cellStyle name="Normal 3 5 2 3 3" xfId="12245"/>
    <cellStyle name="Normal 3 5 2 3 3 2" xfId="32128"/>
    <cellStyle name="Normal 3 5 2 3 4" xfId="18397"/>
    <cellStyle name="Normal 3 5 2 3 4 2" xfId="38280"/>
    <cellStyle name="Normal 3 5 2 3 5" xfId="25975"/>
    <cellStyle name="Normal 3 5 2 4" xfId="7583"/>
    <cellStyle name="Normal 3 5 2 4 2" xfId="13777"/>
    <cellStyle name="Normal 3 5 2 4 2 2" xfId="33660"/>
    <cellStyle name="Normal 3 5 2 4 3" xfId="19929"/>
    <cellStyle name="Normal 3 5 2 4 3 2" xfId="39812"/>
    <cellStyle name="Normal 3 5 2 4 4" xfId="27507"/>
    <cellStyle name="Normal 3 5 2 5" xfId="10711"/>
    <cellStyle name="Normal 3 5 2 5 2" xfId="30594"/>
    <cellStyle name="Normal 3 5 2 6" xfId="16863"/>
    <cellStyle name="Normal 3 5 2 6 2" xfId="36746"/>
    <cellStyle name="Normal 3 5 2 7" xfId="24441"/>
    <cellStyle name="Normal 3 5 3" xfId="5175"/>
    <cellStyle name="Normal 3 5 3 2" xfId="6800"/>
    <cellStyle name="Normal 3 5 3 2 2" xfId="9886"/>
    <cellStyle name="Normal 3 5 3 2 2 2" xfId="16079"/>
    <cellStyle name="Normal 3 5 3 2 2 2 2" xfId="35962"/>
    <cellStyle name="Normal 3 5 3 2 2 3" xfId="22231"/>
    <cellStyle name="Normal 3 5 3 2 2 3 2" xfId="42114"/>
    <cellStyle name="Normal 3 5 3 2 2 4" xfId="29809"/>
    <cellStyle name="Normal 3 5 3 2 3" xfId="13013"/>
    <cellStyle name="Normal 3 5 3 2 3 2" xfId="32896"/>
    <cellStyle name="Normal 3 5 3 2 4" xfId="19165"/>
    <cellStyle name="Normal 3 5 3 2 4 2" xfId="39048"/>
    <cellStyle name="Normal 3 5 3 2 5" xfId="26743"/>
    <cellStyle name="Normal 3 5 3 3" xfId="8351"/>
    <cellStyle name="Normal 3 5 3 3 2" xfId="14545"/>
    <cellStyle name="Normal 3 5 3 3 2 2" xfId="34428"/>
    <cellStyle name="Normal 3 5 3 3 3" xfId="20697"/>
    <cellStyle name="Normal 3 5 3 3 3 2" xfId="40580"/>
    <cellStyle name="Normal 3 5 3 3 4" xfId="28275"/>
    <cellStyle name="Normal 3 5 3 4" xfId="11479"/>
    <cellStyle name="Normal 3 5 3 4 2" xfId="31362"/>
    <cellStyle name="Normal 3 5 3 5" xfId="17631"/>
    <cellStyle name="Normal 3 5 3 5 2" xfId="37514"/>
    <cellStyle name="Normal 3 5 3 6" xfId="25209"/>
    <cellStyle name="Normal 3 5 4" xfId="6017"/>
    <cellStyle name="Normal 3 5 4 2" xfId="9117"/>
    <cellStyle name="Normal 3 5 4 2 2" xfId="15310"/>
    <cellStyle name="Normal 3 5 4 2 2 2" xfId="35193"/>
    <cellStyle name="Normal 3 5 4 2 3" xfId="21462"/>
    <cellStyle name="Normal 3 5 4 2 3 2" xfId="41345"/>
    <cellStyle name="Normal 3 5 4 2 4" xfId="29040"/>
    <cellStyle name="Normal 3 5 4 3" xfId="12244"/>
    <cellStyle name="Normal 3 5 4 3 2" xfId="32127"/>
    <cellStyle name="Normal 3 5 4 4" xfId="18396"/>
    <cellStyle name="Normal 3 5 4 4 2" xfId="38279"/>
    <cellStyle name="Normal 3 5 4 5" xfId="25974"/>
    <cellStyle name="Normal 3 5 5" xfId="7582"/>
    <cellStyle name="Normal 3 5 5 2" xfId="13776"/>
    <cellStyle name="Normal 3 5 5 2 2" xfId="33659"/>
    <cellStyle name="Normal 3 5 5 3" xfId="19928"/>
    <cellStyle name="Normal 3 5 5 3 2" xfId="39811"/>
    <cellStyle name="Normal 3 5 5 4" xfId="27506"/>
    <cellStyle name="Normal 3 5 6" xfId="10710"/>
    <cellStyle name="Normal 3 5 6 2" xfId="30593"/>
    <cellStyle name="Normal 3 5 7" xfId="16862"/>
    <cellStyle name="Normal 3 5 7 2" xfId="36745"/>
    <cellStyle name="Normal 3 5 8" xfId="3754"/>
    <cellStyle name="Normal 3 5 8 2" xfId="24440"/>
    <cellStyle name="Normal 3 5 9" xfId="23274"/>
    <cellStyle name="Normal 3 5 9 2" xfId="43033"/>
    <cellStyle name="Normal 3 6" xfId="241"/>
    <cellStyle name="Normal 3 6 2" xfId="5177"/>
    <cellStyle name="Normal 3 6 2 2" xfId="6802"/>
    <cellStyle name="Normal 3 6 2 2 2" xfId="9888"/>
    <cellStyle name="Normal 3 6 2 2 2 2" xfId="16081"/>
    <cellStyle name="Normal 3 6 2 2 2 2 2" xfId="35964"/>
    <cellStyle name="Normal 3 6 2 2 2 3" xfId="22233"/>
    <cellStyle name="Normal 3 6 2 2 2 3 2" xfId="42116"/>
    <cellStyle name="Normal 3 6 2 2 2 4" xfId="29811"/>
    <cellStyle name="Normal 3 6 2 2 3" xfId="13015"/>
    <cellStyle name="Normal 3 6 2 2 3 2" xfId="32898"/>
    <cellStyle name="Normal 3 6 2 2 4" xfId="19167"/>
    <cellStyle name="Normal 3 6 2 2 4 2" xfId="39050"/>
    <cellStyle name="Normal 3 6 2 2 5" xfId="26745"/>
    <cellStyle name="Normal 3 6 2 3" xfId="8353"/>
    <cellStyle name="Normal 3 6 2 3 2" xfId="14547"/>
    <cellStyle name="Normal 3 6 2 3 2 2" xfId="34430"/>
    <cellStyle name="Normal 3 6 2 3 3" xfId="20699"/>
    <cellStyle name="Normal 3 6 2 3 3 2" xfId="40582"/>
    <cellStyle name="Normal 3 6 2 3 4" xfId="28277"/>
    <cellStyle name="Normal 3 6 2 4" xfId="11481"/>
    <cellStyle name="Normal 3 6 2 4 2" xfId="31364"/>
    <cellStyle name="Normal 3 6 2 5" xfId="17633"/>
    <cellStyle name="Normal 3 6 2 5 2" xfId="37516"/>
    <cellStyle name="Normal 3 6 2 6" xfId="25211"/>
    <cellStyle name="Normal 3 6 3" xfId="6019"/>
    <cellStyle name="Normal 3 6 3 2" xfId="9119"/>
    <cellStyle name="Normal 3 6 3 2 2" xfId="15312"/>
    <cellStyle name="Normal 3 6 3 2 2 2" xfId="35195"/>
    <cellStyle name="Normal 3 6 3 2 3" xfId="21464"/>
    <cellStyle name="Normal 3 6 3 2 3 2" xfId="41347"/>
    <cellStyle name="Normal 3 6 3 2 4" xfId="29042"/>
    <cellStyle name="Normal 3 6 3 3" xfId="12246"/>
    <cellStyle name="Normal 3 6 3 3 2" xfId="32129"/>
    <cellStyle name="Normal 3 6 3 4" xfId="18398"/>
    <cellStyle name="Normal 3 6 3 4 2" xfId="38281"/>
    <cellStyle name="Normal 3 6 3 5" xfId="25976"/>
    <cellStyle name="Normal 3 6 4" xfId="7584"/>
    <cellStyle name="Normal 3 6 4 2" xfId="13778"/>
    <cellStyle name="Normal 3 6 4 2 2" xfId="33661"/>
    <cellStyle name="Normal 3 6 4 3" xfId="19930"/>
    <cellStyle name="Normal 3 6 4 3 2" xfId="39813"/>
    <cellStyle name="Normal 3 6 4 4" xfId="27508"/>
    <cellStyle name="Normal 3 6 5" xfId="10712"/>
    <cellStyle name="Normal 3 6 5 2" xfId="30595"/>
    <cellStyle name="Normal 3 6 6" xfId="16864"/>
    <cellStyle name="Normal 3 6 6 2" xfId="36747"/>
    <cellStyle name="Normal 3 6 7" xfId="3756"/>
    <cellStyle name="Normal 3 6 7 2" xfId="24442"/>
    <cellStyle name="Normal 3 7" xfId="320"/>
    <cellStyle name="Normal 3 7 2" xfId="5178"/>
    <cellStyle name="Normal 3 7 2 2" xfId="6803"/>
    <cellStyle name="Normal 3 7 2 2 2" xfId="9889"/>
    <cellStyle name="Normal 3 7 2 2 2 2" xfId="16082"/>
    <cellStyle name="Normal 3 7 2 2 2 2 2" xfId="35965"/>
    <cellStyle name="Normal 3 7 2 2 2 3" xfId="22234"/>
    <cellStyle name="Normal 3 7 2 2 2 3 2" xfId="42117"/>
    <cellStyle name="Normal 3 7 2 2 2 4" xfId="29812"/>
    <cellStyle name="Normal 3 7 2 2 3" xfId="13016"/>
    <cellStyle name="Normal 3 7 2 2 3 2" xfId="32899"/>
    <cellStyle name="Normal 3 7 2 2 4" xfId="19168"/>
    <cellStyle name="Normal 3 7 2 2 4 2" xfId="39051"/>
    <cellStyle name="Normal 3 7 2 2 5" xfId="26746"/>
    <cellStyle name="Normal 3 7 2 3" xfId="8354"/>
    <cellStyle name="Normal 3 7 2 3 2" xfId="14548"/>
    <cellStyle name="Normal 3 7 2 3 2 2" xfId="34431"/>
    <cellStyle name="Normal 3 7 2 3 3" xfId="20700"/>
    <cellStyle name="Normal 3 7 2 3 3 2" xfId="40583"/>
    <cellStyle name="Normal 3 7 2 3 4" xfId="28278"/>
    <cellStyle name="Normal 3 7 2 4" xfId="11482"/>
    <cellStyle name="Normal 3 7 2 4 2" xfId="31365"/>
    <cellStyle name="Normal 3 7 2 5" xfId="17634"/>
    <cellStyle name="Normal 3 7 2 5 2" xfId="37517"/>
    <cellStyle name="Normal 3 7 2 6" xfId="25212"/>
    <cellStyle name="Normal 3 7 3" xfId="6020"/>
    <cellStyle name="Normal 3 7 3 2" xfId="9120"/>
    <cellStyle name="Normal 3 7 3 2 2" xfId="15313"/>
    <cellStyle name="Normal 3 7 3 2 2 2" xfId="35196"/>
    <cellStyle name="Normal 3 7 3 2 3" xfId="21465"/>
    <cellStyle name="Normal 3 7 3 2 3 2" xfId="41348"/>
    <cellStyle name="Normal 3 7 3 2 4" xfId="29043"/>
    <cellStyle name="Normal 3 7 3 3" xfId="12247"/>
    <cellStyle name="Normal 3 7 3 3 2" xfId="32130"/>
    <cellStyle name="Normal 3 7 3 4" xfId="18399"/>
    <cellStyle name="Normal 3 7 3 4 2" xfId="38282"/>
    <cellStyle name="Normal 3 7 3 5" xfId="25977"/>
    <cellStyle name="Normal 3 7 4" xfId="7585"/>
    <cellStyle name="Normal 3 7 4 2" xfId="13779"/>
    <cellStyle name="Normal 3 7 4 2 2" xfId="33662"/>
    <cellStyle name="Normal 3 7 4 3" xfId="19931"/>
    <cellStyle name="Normal 3 7 4 3 2" xfId="39814"/>
    <cellStyle name="Normal 3 7 4 4" xfId="27509"/>
    <cellStyle name="Normal 3 7 5" xfId="10713"/>
    <cellStyle name="Normal 3 7 5 2" xfId="30596"/>
    <cellStyle name="Normal 3 7 6" xfId="16865"/>
    <cellStyle name="Normal 3 7 6 2" xfId="36748"/>
    <cellStyle name="Normal 3 7 7" xfId="3757"/>
    <cellStyle name="Normal 3 7 7 2" xfId="24443"/>
    <cellStyle name="Normal 3 8" xfId="318"/>
    <cellStyle name="Normal 3 8 2" xfId="5179"/>
    <cellStyle name="Normal 3 8 2 2" xfId="6804"/>
    <cellStyle name="Normal 3 8 2 2 2" xfId="9890"/>
    <cellStyle name="Normal 3 8 2 2 2 2" xfId="16083"/>
    <cellStyle name="Normal 3 8 2 2 2 2 2" xfId="35966"/>
    <cellStyle name="Normal 3 8 2 2 2 3" xfId="22235"/>
    <cellStyle name="Normal 3 8 2 2 2 3 2" xfId="42118"/>
    <cellStyle name="Normal 3 8 2 2 2 4" xfId="29813"/>
    <cellStyle name="Normal 3 8 2 2 3" xfId="13017"/>
    <cellStyle name="Normal 3 8 2 2 3 2" xfId="32900"/>
    <cellStyle name="Normal 3 8 2 2 4" xfId="19169"/>
    <cellStyle name="Normal 3 8 2 2 4 2" xfId="39052"/>
    <cellStyle name="Normal 3 8 2 2 5" xfId="26747"/>
    <cellStyle name="Normal 3 8 2 3" xfId="8355"/>
    <cellStyle name="Normal 3 8 2 3 2" xfId="14549"/>
    <cellStyle name="Normal 3 8 2 3 2 2" xfId="34432"/>
    <cellStyle name="Normal 3 8 2 3 3" xfId="20701"/>
    <cellStyle name="Normal 3 8 2 3 3 2" xfId="40584"/>
    <cellStyle name="Normal 3 8 2 3 4" xfId="28279"/>
    <cellStyle name="Normal 3 8 2 4" xfId="11483"/>
    <cellStyle name="Normal 3 8 2 4 2" xfId="31366"/>
    <cellStyle name="Normal 3 8 2 5" xfId="17635"/>
    <cellStyle name="Normal 3 8 2 5 2" xfId="37518"/>
    <cellStyle name="Normal 3 8 2 6" xfId="25213"/>
    <cellStyle name="Normal 3 8 3" xfId="6021"/>
    <cellStyle name="Normal 3 8 3 2" xfId="9121"/>
    <cellStyle name="Normal 3 8 3 2 2" xfId="15314"/>
    <cellStyle name="Normal 3 8 3 2 2 2" xfId="35197"/>
    <cellStyle name="Normal 3 8 3 2 3" xfId="21466"/>
    <cellStyle name="Normal 3 8 3 2 3 2" xfId="41349"/>
    <cellStyle name="Normal 3 8 3 2 4" xfId="29044"/>
    <cellStyle name="Normal 3 8 3 3" xfId="12248"/>
    <cellStyle name="Normal 3 8 3 3 2" xfId="32131"/>
    <cellStyle name="Normal 3 8 3 4" xfId="18400"/>
    <cellStyle name="Normal 3 8 3 4 2" xfId="38283"/>
    <cellStyle name="Normal 3 8 3 5" xfId="25978"/>
    <cellStyle name="Normal 3 8 4" xfId="7586"/>
    <cellStyle name="Normal 3 8 4 2" xfId="13780"/>
    <cellStyle name="Normal 3 8 4 2 2" xfId="33663"/>
    <cellStyle name="Normal 3 8 4 3" xfId="19932"/>
    <cellStyle name="Normal 3 8 4 3 2" xfId="39815"/>
    <cellStyle name="Normal 3 8 4 4" xfId="27510"/>
    <cellStyle name="Normal 3 8 5" xfId="10714"/>
    <cellStyle name="Normal 3 8 5 2" xfId="30597"/>
    <cellStyle name="Normal 3 8 6" xfId="16866"/>
    <cellStyle name="Normal 3 8 6 2" xfId="36749"/>
    <cellStyle name="Normal 3 8 7" xfId="3758"/>
    <cellStyle name="Normal 3 8 7 2" xfId="24444"/>
    <cellStyle name="Normal 3 9" xfId="279"/>
    <cellStyle name="Normal 3 9 2" xfId="5180"/>
    <cellStyle name="Normal 3 9 2 2" xfId="6805"/>
    <cellStyle name="Normal 3 9 2 2 2" xfId="9891"/>
    <cellStyle name="Normal 3 9 2 2 2 2" xfId="16084"/>
    <cellStyle name="Normal 3 9 2 2 2 2 2" xfId="35967"/>
    <cellStyle name="Normal 3 9 2 2 2 3" xfId="22236"/>
    <cellStyle name="Normal 3 9 2 2 2 3 2" xfId="42119"/>
    <cellStyle name="Normal 3 9 2 2 2 4" xfId="29814"/>
    <cellStyle name="Normal 3 9 2 2 3" xfId="13018"/>
    <cellStyle name="Normal 3 9 2 2 3 2" xfId="32901"/>
    <cellStyle name="Normal 3 9 2 2 4" xfId="19170"/>
    <cellStyle name="Normal 3 9 2 2 4 2" xfId="39053"/>
    <cellStyle name="Normal 3 9 2 2 5" xfId="26748"/>
    <cellStyle name="Normal 3 9 2 3" xfId="8356"/>
    <cellStyle name="Normal 3 9 2 3 2" xfId="14550"/>
    <cellStyle name="Normal 3 9 2 3 2 2" xfId="34433"/>
    <cellStyle name="Normal 3 9 2 3 3" xfId="20702"/>
    <cellStyle name="Normal 3 9 2 3 3 2" xfId="40585"/>
    <cellStyle name="Normal 3 9 2 3 4" xfId="28280"/>
    <cellStyle name="Normal 3 9 2 4" xfId="11484"/>
    <cellStyle name="Normal 3 9 2 4 2" xfId="31367"/>
    <cellStyle name="Normal 3 9 2 5" xfId="17636"/>
    <cellStyle name="Normal 3 9 2 5 2" xfId="37519"/>
    <cellStyle name="Normal 3 9 2 6" xfId="25214"/>
    <cellStyle name="Normal 3 9 3" xfId="6022"/>
    <cellStyle name="Normal 3 9 3 2" xfId="9122"/>
    <cellStyle name="Normal 3 9 3 2 2" xfId="15315"/>
    <cellStyle name="Normal 3 9 3 2 2 2" xfId="35198"/>
    <cellStyle name="Normal 3 9 3 2 3" xfId="21467"/>
    <cellStyle name="Normal 3 9 3 2 3 2" xfId="41350"/>
    <cellStyle name="Normal 3 9 3 2 4" xfId="29045"/>
    <cellStyle name="Normal 3 9 3 3" xfId="12249"/>
    <cellStyle name="Normal 3 9 3 3 2" xfId="32132"/>
    <cellStyle name="Normal 3 9 3 4" xfId="18401"/>
    <cellStyle name="Normal 3 9 3 4 2" xfId="38284"/>
    <cellStyle name="Normal 3 9 3 5" xfId="25979"/>
    <cellStyle name="Normal 3 9 4" xfId="7587"/>
    <cellStyle name="Normal 3 9 4 2" xfId="13781"/>
    <cellStyle name="Normal 3 9 4 2 2" xfId="33664"/>
    <cellStyle name="Normal 3 9 4 3" xfId="19933"/>
    <cellStyle name="Normal 3 9 4 3 2" xfId="39816"/>
    <cellStyle name="Normal 3 9 4 4" xfId="27511"/>
    <cellStyle name="Normal 3 9 5" xfId="10715"/>
    <cellStyle name="Normal 3 9 5 2" xfId="30598"/>
    <cellStyle name="Normal 3 9 6" xfId="16867"/>
    <cellStyle name="Normal 3 9 6 2" xfId="36750"/>
    <cellStyle name="Normal 3 9 7" xfId="3759"/>
    <cellStyle name="Normal 3 9 7 2" xfId="24445"/>
    <cellStyle name="Normal 3_Gas CBR Summary" xfId="27"/>
    <cellStyle name="Normal 30" xfId="792"/>
    <cellStyle name="Normal 30 2" xfId="23275"/>
    <cellStyle name="Normal 30 2 2" xfId="43034"/>
    <cellStyle name="Normal 31" xfId="3760"/>
    <cellStyle name="Normal 31 2" xfId="3761"/>
    <cellStyle name="Normal 32" xfId="3762"/>
    <cellStyle name="Normal 32 2" xfId="3763"/>
    <cellStyle name="Normal 33" xfId="3764"/>
    <cellStyle name="Normal 33 2" xfId="3765"/>
    <cellStyle name="Normal 34" xfId="3766"/>
    <cellStyle name="Normal 34 10" xfId="3767"/>
    <cellStyle name="Normal 34 10 2" xfId="3768"/>
    <cellStyle name="Normal 34 11" xfId="3769"/>
    <cellStyle name="Normal 34 11 2" xfId="3770"/>
    <cellStyle name="Normal 34 12" xfId="3771"/>
    <cellStyle name="Normal 34 2" xfId="3772"/>
    <cellStyle name="Normal 34 2 2" xfId="3773"/>
    <cellStyle name="Normal 34 2 2 2" xfId="3774"/>
    <cellStyle name="Normal 34 2 2 2 2" xfId="3775"/>
    <cellStyle name="Normal 34 2 2 3" xfId="3776"/>
    <cellStyle name="Normal 34 2 3" xfId="3777"/>
    <cellStyle name="Normal 34 2 3 2" xfId="3778"/>
    <cellStyle name="Normal 34 2 4" xfId="3779"/>
    <cellStyle name="Normal 34 2 4 2" xfId="3780"/>
    <cellStyle name="Normal 34 2 5" xfId="3781"/>
    <cellStyle name="Normal 34 3" xfId="3782"/>
    <cellStyle name="Normal 34 3 2" xfId="3783"/>
    <cellStyle name="Normal 34 3 2 2" xfId="3784"/>
    <cellStyle name="Normal 34 3 2 2 2" xfId="3785"/>
    <cellStyle name="Normal 34 3 2 3" xfId="3786"/>
    <cellStyle name="Normal 34 3 3" xfId="3787"/>
    <cellStyle name="Normal 34 3 3 2" xfId="3788"/>
    <cellStyle name="Normal 34 3 4" xfId="3789"/>
    <cellStyle name="Normal 34 3 4 2" xfId="3790"/>
    <cellStyle name="Normal 34 3 5" xfId="3791"/>
    <cellStyle name="Normal 34 4" xfId="3792"/>
    <cellStyle name="Normal 34 4 2" xfId="3793"/>
    <cellStyle name="Normal 34 4 2 2" xfId="3794"/>
    <cellStyle name="Normal 34 4 2 2 2" xfId="3795"/>
    <cellStyle name="Normal 34 4 2 3" xfId="3796"/>
    <cellStyle name="Normal 34 4 3" xfId="3797"/>
    <cellStyle name="Normal 34 4 3 2" xfId="3798"/>
    <cellStyle name="Normal 34 4 4" xfId="3799"/>
    <cellStyle name="Normal 34 4 4 2" xfId="3800"/>
    <cellStyle name="Normal 34 4 5" xfId="3801"/>
    <cellStyle name="Normal 34 5" xfId="3802"/>
    <cellStyle name="Normal 34 5 2" xfId="3803"/>
    <cellStyle name="Normal 34 5 2 2" xfId="3804"/>
    <cellStyle name="Normal 34 5 2 2 2" xfId="3805"/>
    <cellStyle name="Normal 34 5 2 3" xfId="3806"/>
    <cellStyle name="Normal 34 5 3" xfId="3807"/>
    <cellStyle name="Normal 34 5 3 2" xfId="3808"/>
    <cellStyle name="Normal 34 5 4" xfId="3809"/>
    <cellStyle name="Normal 34 5 4 2" xfId="3810"/>
    <cellStyle name="Normal 34 5 5" xfId="3811"/>
    <cellStyle name="Normal 34 6" xfId="3812"/>
    <cellStyle name="Normal 34 6 2" xfId="3813"/>
    <cellStyle name="Normal 34 6 2 2" xfId="3814"/>
    <cellStyle name="Normal 34 6 2 2 2" xfId="3815"/>
    <cellStyle name="Normal 34 6 2 3" xfId="3816"/>
    <cellStyle name="Normal 34 6 3" xfId="3817"/>
    <cellStyle name="Normal 34 6 3 2" xfId="3818"/>
    <cellStyle name="Normal 34 6 4" xfId="3819"/>
    <cellStyle name="Normal 34 6 4 2" xfId="3820"/>
    <cellStyle name="Normal 34 6 5" xfId="3821"/>
    <cellStyle name="Normal 34 7" xfId="3822"/>
    <cellStyle name="Normal 34 7 2" xfId="3823"/>
    <cellStyle name="Normal 34 7 2 2" xfId="3824"/>
    <cellStyle name="Normal 34 7 2 2 2" xfId="3825"/>
    <cellStyle name="Normal 34 7 2 3" xfId="3826"/>
    <cellStyle name="Normal 34 7 3" xfId="3827"/>
    <cellStyle name="Normal 34 7 3 2" xfId="3828"/>
    <cellStyle name="Normal 34 7 4" xfId="3829"/>
    <cellStyle name="Normal 34 8" xfId="3830"/>
    <cellStyle name="Normal 34 8 2" xfId="3831"/>
    <cellStyle name="Normal 34 8 2 2" xfId="3832"/>
    <cellStyle name="Normal 34 8 2 2 2" xfId="3833"/>
    <cellStyle name="Normal 34 8 2 3" xfId="3834"/>
    <cellStyle name="Normal 34 8 3" xfId="3835"/>
    <cellStyle name="Normal 34 8 3 2" xfId="3836"/>
    <cellStyle name="Normal 34 8 4" xfId="3837"/>
    <cellStyle name="Normal 34 9" xfId="3838"/>
    <cellStyle name="Normal 34 9 2" xfId="3839"/>
    <cellStyle name="Normal 34 9 2 2" xfId="3840"/>
    <cellStyle name="Normal 34 9 3" xfId="3841"/>
    <cellStyle name="Normal 35" xfId="3842"/>
    <cellStyle name="Normal 35 10" xfId="3843"/>
    <cellStyle name="Normal 35 10 2" xfId="3844"/>
    <cellStyle name="Normal 35 11" xfId="3845"/>
    <cellStyle name="Normal 35 11 2" xfId="3846"/>
    <cellStyle name="Normal 35 12" xfId="3847"/>
    <cellStyle name="Normal 35 2" xfId="3848"/>
    <cellStyle name="Normal 35 2 2" xfId="3849"/>
    <cellStyle name="Normal 35 2 2 2" xfId="3850"/>
    <cellStyle name="Normal 35 2 2 2 2" xfId="3851"/>
    <cellStyle name="Normal 35 2 2 3" xfId="3852"/>
    <cellStyle name="Normal 35 2 3" xfId="3853"/>
    <cellStyle name="Normal 35 2 3 2" xfId="3854"/>
    <cellStyle name="Normal 35 2 4" xfId="3855"/>
    <cellStyle name="Normal 35 2 4 2" xfId="3856"/>
    <cellStyle name="Normal 35 2 5" xfId="3857"/>
    <cellStyle name="Normal 35 3" xfId="3858"/>
    <cellStyle name="Normal 35 3 2" xfId="3859"/>
    <cellStyle name="Normal 35 3 2 2" xfId="3860"/>
    <cellStyle name="Normal 35 3 2 2 2" xfId="3861"/>
    <cellStyle name="Normal 35 3 2 3" xfId="3862"/>
    <cellStyle name="Normal 35 3 3" xfId="3863"/>
    <cellStyle name="Normal 35 3 3 2" xfId="3864"/>
    <cellStyle name="Normal 35 3 4" xfId="3865"/>
    <cellStyle name="Normal 35 3 4 2" xfId="3866"/>
    <cellStyle name="Normal 35 3 5" xfId="3867"/>
    <cellStyle name="Normal 35 4" xfId="3868"/>
    <cellStyle name="Normal 35 4 2" xfId="3869"/>
    <cellStyle name="Normal 35 4 2 2" xfId="3870"/>
    <cellStyle name="Normal 35 4 2 2 2" xfId="3871"/>
    <cellStyle name="Normal 35 4 2 3" xfId="3872"/>
    <cellStyle name="Normal 35 4 3" xfId="3873"/>
    <cellStyle name="Normal 35 4 3 2" xfId="3874"/>
    <cellStyle name="Normal 35 4 4" xfId="3875"/>
    <cellStyle name="Normal 35 4 4 2" xfId="3876"/>
    <cellStyle name="Normal 35 4 5" xfId="3877"/>
    <cellStyle name="Normal 35 5" xfId="3878"/>
    <cellStyle name="Normal 35 5 2" xfId="3879"/>
    <cellStyle name="Normal 35 5 2 2" xfId="3880"/>
    <cellStyle name="Normal 35 5 2 2 2" xfId="3881"/>
    <cellStyle name="Normal 35 5 2 3" xfId="3882"/>
    <cellStyle name="Normal 35 5 3" xfId="3883"/>
    <cellStyle name="Normal 35 5 3 2" xfId="3884"/>
    <cellStyle name="Normal 35 5 4" xfId="3885"/>
    <cellStyle name="Normal 35 5 4 2" xfId="3886"/>
    <cellStyle name="Normal 35 5 5" xfId="3887"/>
    <cellStyle name="Normal 35 6" xfId="3888"/>
    <cellStyle name="Normal 35 6 2" xfId="3889"/>
    <cellStyle name="Normal 35 6 2 2" xfId="3890"/>
    <cellStyle name="Normal 35 6 2 2 2" xfId="3891"/>
    <cellStyle name="Normal 35 6 2 3" xfId="3892"/>
    <cellStyle name="Normal 35 6 3" xfId="3893"/>
    <cellStyle name="Normal 35 6 3 2" xfId="3894"/>
    <cellStyle name="Normal 35 6 4" xfId="3895"/>
    <cellStyle name="Normal 35 6 4 2" xfId="3896"/>
    <cellStyle name="Normal 35 6 5" xfId="3897"/>
    <cellStyle name="Normal 35 7" xfId="3898"/>
    <cellStyle name="Normal 35 7 2" xfId="3899"/>
    <cellStyle name="Normal 35 7 2 2" xfId="3900"/>
    <cellStyle name="Normal 35 7 2 2 2" xfId="3901"/>
    <cellStyle name="Normal 35 7 2 3" xfId="3902"/>
    <cellStyle name="Normal 35 7 3" xfId="3903"/>
    <cellStyle name="Normal 35 7 3 2" xfId="3904"/>
    <cellStyle name="Normal 35 7 4" xfId="3905"/>
    <cellStyle name="Normal 35 8" xfId="3906"/>
    <cellStyle name="Normal 35 8 2" xfId="3907"/>
    <cellStyle name="Normal 35 8 2 2" xfId="3908"/>
    <cellStyle name="Normal 35 8 2 2 2" xfId="3909"/>
    <cellStyle name="Normal 35 8 2 3" xfId="3910"/>
    <cellStyle name="Normal 35 8 3" xfId="3911"/>
    <cellStyle name="Normal 35 8 3 2" xfId="3912"/>
    <cellStyle name="Normal 35 8 4" xfId="3913"/>
    <cellStyle name="Normal 35 9" xfId="3914"/>
    <cellStyle name="Normal 35 9 2" xfId="3915"/>
    <cellStyle name="Normal 35 9 2 2" xfId="3916"/>
    <cellStyle name="Normal 35 9 3" xfId="3917"/>
    <cellStyle name="Normal 36" xfId="3918"/>
    <cellStyle name="Normal 36 2" xfId="3919"/>
    <cellStyle name="Normal 37" xfId="3920"/>
    <cellStyle name="Normal 37 2" xfId="3921"/>
    <cellStyle name="Normal 38" xfId="3922"/>
    <cellStyle name="Normal 38 2" xfId="3923"/>
    <cellStyle name="Normal 38 2 2" xfId="3924"/>
    <cellStyle name="Normal 38 2 2 2" xfId="3925"/>
    <cellStyle name="Normal 38 2 3" xfId="3926"/>
    <cellStyle name="Normal 38 3" xfId="3927"/>
    <cellStyle name="Normal 38 3 2" xfId="3928"/>
    <cellStyle name="Normal 38 4" xfId="3929"/>
    <cellStyle name="Normal 38 4 2" xfId="3930"/>
    <cellStyle name="Normal 38 5" xfId="3931"/>
    <cellStyle name="Normal 39" xfId="3932"/>
    <cellStyle name="Normal 39 2" xfId="3933"/>
    <cellStyle name="Normal 4" xfId="28"/>
    <cellStyle name="Normal 4 10" xfId="375"/>
    <cellStyle name="Normal 4 10 2" xfId="3934"/>
    <cellStyle name="Normal 4 11" xfId="391"/>
    <cellStyle name="Normal 4 12" xfId="405"/>
    <cellStyle name="Normal 4 12 2" xfId="3936"/>
    <cellStyle name="Normal 4 12 3" xfId="3935"/>
    <cellStyle name="Normal 4 13" xfId="417"/>
    <cellStyle name="Normal 4 13 2" xfId="3938"/>
    <cellStyle name="Normal 4 13 3" xfId="3937"/>
    <cellStyle name="Normal 4 14" xfId="429"/>
    <cellStyle name="Normal 4 14 2" xfId="4619"/>
    <cellStyle name="Normal 4 15" xfId="392"/>
    <cellStyle name="Normal 4 16" xfId="460"/>
    <cellStyle name="Normal 4 16 2" xfId="10235"/>
    <cellStyle name="Normal 4 17" xfId="467"/>
    <cellStyle name="Normal 4 17 2" xfId="1178"/>
    <cellStyle name="Normal 4 18" xfId="494"/>
    <cellStyle name="Normal 4 19" xfId="536"/>
    <cellStyle name="Normal 4 2" xfId="218"/>
    <cellStyle name="Normal 4 2 10" xfId="3940"/>
    <cellStyle name="Normal 4 2 10 2" xfId="5181"/>
    <cellStyle name="Normal 4 2 10 2 2" xfId="6806"/>
    <cellStyle name="Normal 4 2 10 2 2 2" xfId="9892"/>
    <cellStyle name="Normal 4 2 10 2 2 2 2" xfId="16085"/>
    <cellStyle name="Normal 4 2 10 2 2 2 2 2" xfId="35968"/>
    <cellStyle name="Normal 4 2 10 2 2 2 3" xfId="22237"/>
    <cellStyle name="Normal 4 2 10 2 2 2 3 2" xfId="42120"/>
    <cellStyle name="Normal 4 2 10 2 2 2 4" xfId="29815"/>
    <cellStyle name="Normal 4 2 10 2 2 3" xfId="13019"/>
    <cellStyle name="Normal 4 2 10 2 2 3 2" xfId="32902"/>
    <cellStyle name="Normal 4 2 10 2 2 4" xfId="19171"/>
    <cellStyle name="Normal 4 2 10 2 2 4 2" xfId="39054"/>
    <cellStyle name="Normal 4 2 10 2 2 5" xfId="26749"/>
    <cellStyle name="Normal 4 2 10 2 3" xfId="8357"/>
    <cellStyle name="Normal 4 2 10 2 3 2" xfId="14551"/>
    <cellStyle name="Normal 4 2 10 2 3 2 2" xfId="34434"/>
    <cellStyle name="Normal 4 2 10 2 3 3" xfId="20703"/>
    <cellStyle name="Normal 4 2 10 2 3 3 2" xfId="40586"/>
    <cellStyle name="Normal 4 2 10 2 3 4" xfId="28281"/>
    <cellStyle name="Normal 4 2 10 2 4" xfId="11485"/>
    <cellStyle name="Normal 4 2 10 2 4 2" xfId="31368"/>
    <cellStyle name="Normal 4 2 10 2 5" xfId="17637"/>
    <cellStyle name="Normal 4 2 10 2 5 2" xfId="37520"/>
    <cellStyle name="Normal 4 2 10 2 6" xfId="25215"/>
    <cellStyle name="Normal 4 2 10 3" xfId="6023"/>
    <cellStyle name="Normal 4 2 10 3 2" xfId="9123"/>
    <cellStyle name="Normal 4 2 10 3 2 2" xfId="15316"/>
    <cellStyle name="Normal 4 2 10 3 2 2 2" xfId="35199"/>
    <cellStyle name="Normal 4 2 10 3 2 3" xfId="21468"/>
    <cellStyle name="Normal 4 2 10 3 2 3 2" xfId="41351"/>
    <cellStyle name="Normal 4 2 10 3 2 4" xfId="29046"/>
    <cellStyle name="Normal 4 2 10 3 3" xfId="12250"/>
    <cellStyle name="Normal 4 2 10 3 3 2" xfId="32133"/>
    <cellStyle name="Normal 4 2 10 3 4" xfId="18402"/>
    <cellStyle name="Normal 4 2 10 3 4 2" xfId="38285"/>
    <cellStyle name="Normal 4 2 10 3 5" xfId="25980"/>
    <cellStyle name="Normal 4 2 10 4" xfId="7588"/>
    <cellStyle name="Normal 4 2 10 4 2" xfId="13782"/>
    <cellStyle name="Normal 4 2 10 4 2 2" xfId="33665"/>
    <cellStyle name="Normal 4 2 10 4 3" xfId="19934"/>
    <cellStyle name="Normal 4 2 10 4 3 2" xfId="39817"/>
    <cellStyle name="Normal 4 2 10 4 4" xfId="27512"/>
    <cellStyle name="Normal 4 2 10 5" xfId="10716"/>
    <cellStyle name="Normal 4 2 10 5 2" xfId="30599"/>
    <cellStyle name="Normal 4 2 10 6" xfId="16868"/>
    <cellStyle name="Normal 4 2 10 6 2" xfId="36751"/>
    <cellStyle name="Normal 4 2 10 7" xfId="24446"/>
    <cellStyle name="Normal 4 2 11" xfId="3941"/>
    <cellStyle name="Normal 4 2 11 2" xfId="5182"/>
    <cellStyle name="Normal 4 2 11 2 2" xfId="6807"/>
    <cellStyle name="Normal 4 2 11 2 2 2" xfId="9893"/>
    <cellStyle name="Normal 4 2 11 2 2 2 2" xfId="16086"/>
    <cellStyle name="Normal 4 2 11 2 2 2 2 2" xfId="35969"/>
    <cellStyle name="Normal 4 2 11 2 2 2 3" xfId="22238"/>
    <cellStyle name="Normal 4 2 11 2 2 2 3 2" xfId="42121"/>
    <cellStyle name="Normal 4 2 11 2 2 2 4" xfId="29816"/>
    <cellStyle name="Normal 4 2 11 2 2 3" xfId="13020"/>
    <cellStyle name="Normal 4 2 11 2 2 3 2" xfId="32903"/>
    <cellStyle name="Normal 4 2 11 2 2 4" xfId="19172"/>
    <cellStyle name="Normal 4 2 11 2 2 4 2" xfId="39055"/>
    <cellStyle name="Normal 4 2 11 2 2 5" xfId="26750"/>
    <cellStyle name="Normal 4 2 11 2 3" xfId="8358"/>
    <cellStyle name="Normal 4 2 11 2 3 2" xfId="14552"/>
    <cellStyle name="Normal 4 2 11 2 3 2 2" xfId="34435"/>
    <cellStyle name="Normal 4 2 11 2 3 3" xfId="20704"/>
    <cellStyle name="Normal 4 2 11 2 3 3 2" xfId="40587"/>
    <cellStyle name="Normal 4 2 11 2 3 4" xfId="28282"/>
    <cellStyle name="Normal 4 2 11 2 4" xfId="11486"/>
    <cellStyle name="Normal 4 2 11 2 4 2" xfId="31369"/>
    <cellStyle name="Normal 4 2 11 2 5" xfId="17638"/>
    <cellStyle name="Normal 4 2 11 2 5 2" xfId="37521"/>
    <cellStyle name="Normal 4 2 11 2 6" xfId="25216"/>
    <cellStyle name="Normal 4 2 11 3" xfId="6024"/>
    <cellStyle name="Normal 4 2 11 3 2" xfId="9124"/>
    <cellStyle name="Normal 4 2 11 3 2 2" xfId="15317"/>
    <cellStyle name="Normal 4 2 11 3 2 2 2" xfId="35200"/>
    <cellStyle name="Normal 4 2 11 3 2 3" xfId="21469"/>
    <cellStyle name="Normal 4 2 11 3 2 3 2" xfId="41352"/>
    <cellStyle name="Normal 4 2 11 3 2 4" xfId="29047"/>
    <cellStyle name="Normal 4 2 11 3 3" xfId="12251"/>
    <cellStyle name="Normal 4 2 11 3 3 2" xfId="32134"/>
    <cellStyle name="Normal 4 2 11 3 4" xfId="18403"/>
    <cellStyle name="Normal 4 2 11 3 4 2" xfId="38286"/>
    <cellStyle name="Normal 4 2 11 3 5" xfId="25981"/>
    <cellStyle name="Normal 4 2 11 4" xfId="7589"/>
    <cellStyle name="Normal 4 2 11 4 2" xfId="13783"/>
    <cellStyle name="Normal 4 2 11 4 2 2" xfId="33666"/>
    <cellStyle name="Normal 4 2 11 4 3" xfId="19935"/>
    <cellStyle name="Normal 4 2 11 4 3 2" xfId="39818"/>
    <cellStyle name="Normal 4 2 11 4 4" xfId="27513"/>
    <cellStyle name="Normal 4 2 11 5" xfId="10717"/>
    <cellStyle name="Normal 4 2 11 5 2" xfId="30600"/>
    <cellStyle name="Normal 4 2 11 6" xfId="16869"/>
    <cellStyle name="Normal 4 2 11 6 2" xfId="36752"/>
    <cellStyle name="Normal 4 2 11 7" xfId="24447"/>
    <cellStyle name="Normal 4 2 12" xfId="3942"/>
    <cellStyle name="Normal 4 2 12 2" xfId="5183"/>
    <cellStyle name="Normal 4 2 12 2 2" xfId="6808"/>
    <cellStyle name="Normal 4 2 12 2 2 2" xfId="9894"/>
    <cellStyle name="Normal 4 2 12 2 2 2 2" xfId="16087"/>
    <cellStyle name="Normal 4 2 12 2 2 2 2 2" xfId="35970"/>
    <cellStyle name="Normal 4 2 12 2 2 2 3" xfId="22239"/>
    <cellStyle name="Normal 4 2 12 2 2 2 3 2" xfId="42122"/>
    <cellStyle name="Normal 4 2 12 2 2 2 4" xfId="29817"/>
    <cellStyle name="Normal 4 2 12 2 2 3" xfId="13021"/>
    <cellStyle name="Normal 4 2 12 2 2 3 2" xfId="32904"/>
    <cellStyle name="Normal 4 2 12 2 2 4" xfId="19173"/>
    <cellStyle name="Normal 4 2 12 2 2 4 2" xfId="39056"/>
    <cellStyle name="Normal 4 2 12 2 2 5" xfId="26751"/>
    <cellStyle name="Normal 4 2 12 2 3" xfId="8359"/>
    <cellStyle name="Normal 4 2 12 2 3 2" xfId="14553"/>
    <cellStyle name="Normal 4 2 12 2 3 2 2" xfId="34436"/>
    <cellStyle name="Normal 4 2 12 2 3 3" xfId="20705"/>
    <cellStyle name="Normal 4 2 12 2 3 3 2" xfId="40588"/>
    <cellStyle name="Normal 4 2 12 2 3 4" xfId="28283"/>
    <cellStyle name="Normal 4 2 12 2 4" xfId="11487"/>
    <cellStyle name="Normal 4 2 12 2 4 2" xfId="31370"/>
    <cellStyle name="Normal 4 2 12 2 5" xfId="17639"/>
    <cellStyle name="Normal 4 2 12 2 5 2" xfId="37522"/>
    <cellStyle name="Normal 4 2 12 2 6" xfId="25217"/>
    <cellStyle name="Normal 4 2 12 3" xfId="6025"/>
    <cellStyle name="Normal 4 2 12 3 2" xfId="9125"/>
    <cellStyle name="Normal 4 2 12 3 2 2" xfId="15318"/>
    <cellStyle name="Normal 4 2 12 3 2 2 2" xfId="35201"/>
    <cellStyle name="Normal 4 2 12 3 2 3" xfId="21470"/>
    <cellStyle name="Normal 4 2 12 3 2 3 2" xfId="41353"/>
    <cellStyle name="Normal 4 2 12 3 2 4" xfId="29048"/>
    <cellStyle name="Normal 4 2 12 3 3" xfId="12252"/>
    <cellStyle name="Normal 4 2 12 3 3 2" xfId="32135"/>
    <cellStyle name="Normal 4 2 12 3 4" xfId="18404"/>
    <cellStyle name="Normal 4 2 12 3 4 2" xfId="38287"/>
    <cellStyle name="Normal 4 2 12 3 5" xfId="25982"/>
    <cellStyle name="Normal 4 2 12 4" xfId="7590"/>
    <cellStyle name="Normal 4 2 12 4 2" xfId="13784"/>
    <cellStyle name="Normal 4 2 12 4 2 2" xfId="33667"/>
    <cellStyle name="Normal 4 2 12 4 3" xfId="19936"/>
    <cellStyle name="Normal 4 2 12 4 3 2" xfId="39819"/>
    <cellStyle name="Normal 4 2 12 4 4" xfId="27514"/>
    <cellStyle name="Normal 4 2 12 5" xfId="10718"/>
    <cellStyle name="Normal 4 2 12 5 2" xfId="30601"/>
    <cellStyle name="Normal 4 2 12 6" xfId="16870"/>
    <cellStyle name="Normal 4 2 12 6 2" xfId="36753"/>
    <cellStyle name="Normal 4 2 12 7" xfId="24448"/>
    <cellStyle name="Normal 4 2 13" xfId="3943"/>
    <cellStyle name="Normal 4 2 13 2" xfId="5184"/>
    <cellStyle name="Normal 4 2 13 2 2" xfId="6809"/>
    <cellStyle name="Normal 4 2 13 2 2 2" xfId="9895"/>
    <cellStyle name="Normal 4 2 13 2 2 2 2" xfId="16088"/>
    <cellStyle name="Normal 4 2 13 2 2 2 2 2" xfId="35971"/>
    <cellStyle name="Normal 4 2 13 2 2 2 3" xfId="22240"/>
    <cellStyle name="Normal 4 2 13 2 2 2 3 2" xfId="42123"/>
    <cellStyle name="Normal 4 2 13 2 2 2 4" xfId="29818"/>
    <cellStyle name="Normal 4 2 13 2 2 3" xfId="13022"/>
    <cellStyle name="Normal 4 2 13 2 2 3 2" xfId="32905"/>
    <cellStyle name="Normal 4 2 13 2 2 4" xfId="19174"/>
    <cellStyle name="Normal 4 2 13 2 2 4 2" xfId="39057"/>
    <cellStyle name="Normal 4 2 13 2 2 5" xfId="26752"/>
    <cellStyle name="Normal 4 2 13 2 3" xfId="8360"/>
    <cellStyle name="Normal 4 2 13 2 3 2" xfId="14554"/>
    <cellStyle name="Normal 4 2 13 2 3 2 2" xfId="34437"/>
    <cellStyle name="Normal 4 2 13 2 3 3" xfId="20706"/>
    <cellStyle name="Normal 4 2 13 2 3 3 2" xfId="40589"/>
    <cellStyle name="Normal 4 2 13 2 3 4" xfId="28284"/>
    <cellStyle name="Normal 4 2 13 2 4" xfId="11488"/>
    <cellStyle name="Normal 4 2 13 2 4 2" xfId="31371"/>
    <cellStyle name="Normal 4 2 13 2 5" xfId="17640"/>
    <cellStyle name="Normal 4 2 13 2 5 2" xfId="37523"/>
    <cellStyle name="Normal 4 2 13 2 6" xfId="25218"/>
    <cellStyle name="Normal 4 2 13 3" xfId="6026"/>
    <cellStyle name="Normal 4 2 13 3 2" xfId="9126"/>
    <cellStyle name="Normal 4 2 13 3 2 2" xfId="15319"/>
    <cellStyle name="Normal 4 2 13 3 2 2 2" xfId="35202"/>
    <cellStyle name="Normal 4 2 13 3 2 3" xfId="21471"/>
    <cellStyle name="Normal 4 2 13 3 2 3 2" xfId="41354"/>
    <cellStyle name="Normal 4 2 13 3 2 4" xfId="29049"/>
    <cellStyle name="Normal 4 2 13 3 3" xfId="12253"/>
    <cellStyle name="Normal 4 2 13 3 3 2" xfId="32136"/>
    <cellStyle name="Normal 4 2 13 3 4" xfId="18405"/>
    <cellStyle name="Normal 4 2 13 3 4 2" xfId="38288"/>
    <cellStyle name="Normal 4 2 13 3 5" xfId="25983"/>
    <cellStyle name="Normal 4 2 13 4" xfId="7591"/>
    <cellStyle name="Normal 4 2 13 4 2" xfId="13785"/>
    <cellStyle name="Normal 4 2 13 4 2 2" xfId="33668"/>
    <cellStyle name="Normal 4 2 13 4 3" xfId="19937"/>
    <cellStyle name="Normal 4 2 13 4 3 2" xfId="39820"/>
    <cellStyle name="Normal 4 2 13 4 4" xfId="27515"/>
    <cellStyle name="Normal 4 2 13 5" xfId="10719"/>
    <cellStyle name="Normal 4 2 13 5 2" xfId="30602"/>
    <cellStyle name="Normal 4 2 13 6" xfId="16871"/>
    <cellStyle name="Normal 4 2 13 6 2" xfId="36754"/>
    <cellStyle name="Normal 4 2 13 7" xfId="24449"/>
    <cellStyle name="Normal 4 2 14" xfId="3944"/>
    <cellStyle name="Normal 4 2 14 2" xfId="5185"/>
    <cellStyle name="Normal 4 2 14 2 2" xfId="6810"/>
    <cellStyle name="Normal 4 2 14 2 2 2" xfId="9896"/>
    <cellStyle name="Normal 4 2 14 2 2 2 2" xfId="16089"/>
    <cellStyle name="Normal 4 2 14 2 2 2 2 2" xfId="35972"/>
    <cellStyle name="Normal 4 2 14 2 2 2 3" xfId="22241"/>
    <cellStyle name="Normal 4 2 14 2 2 2 3 2" xfId="42124"/>
    <cellStyle name="Normal 4 2 14 2 2 2 4" xfId="29819"/>
    <cellStyle name="Normal 4 2 14 2 2 3" xfId="13023"/>
    <cellStyle name="Normal 4 2 14 2 2 3 2" xfId="32906"/>
    <cellStyle name="Normal 4 2 14 2 2 4" xfId="19175"/>
    <cellStyle name="Normal 4 2 14 2 2 4 2" xfId="39058"/>
    <cellStyle name="Normal 4 2 14 2 2 5" xfId="26753"/>
    <cellStyle name="Normal 4 2 14 2 3" xfId="8361"/>
    <cellStyle name="Normal 4 2 14 2 3 2" xfId="14555"/>
    <cellStyle name="Normal 4 2 14 2 3 2 2" xfId="34438"/>
    <cellStyle name="Normal 4 2 14 2 3 3" xfId="20707"/>
    <cellStyle name="Normal 4 2 14 2 3 3 2" xfId="40590"/>
    <cellStyle name="Normal 4 2 14 2 3 4" xfId="28285"/>
    <cellStyle name="Normal 4 2 14 2 4" xfId="11489"/>
    <cellStyle name="Normal 4 2 14 2 4 2" xfId="31372"/>
    <cellStyle name="Normal 4 2 14 2 5" xfId="17641"/>
    <cellStyle name="Normal 4 2 14 2 5 2" xfId="37524"/>
    <cellStyle name="Normal 4 2 14 2 6" xfId="25219"/>
    <cellStyle name="Normal 4 2 14 3" xfId="6027"/>
    <cellStyle name="Normal 4 2 14 3 2" xfId="9127"/>
    <cellStyle name="Normal 4 2 14 3 2 2" xfId="15320"/>
    <cellStyle name="Normal 4 2 14 3 2 2 2" xfId="35203"/>
    <cellStyle name="Normal 4 2 14 3 2 3" xfId="21472"/>
    <cellStyle name="Normal 4 2 14 3 2 3 2" xfId="41355"/>
    <cellStyle name="Normal 4 2 14 3 2 4" xfId="29050"/>
    <cellStyle name="Normal 4 2 14 3 3" xfId="12254"/>
    <cellStyle name="Normal 4 2 14 3 3 2" xfId="32137"/>
    <cellStyle name="Normal 4 2 14 3 4" xfId="18406"/>
    <cellStyle name="Normal 4 2 14 3 4 2" xfId="38289"/>
    <cellStyle name="Normal 4 2 14 3 5" xfId="25984"/>
    <cellStyle name="Normal 4 2 14 4" xfId="7592"/>
    <cellStyle name="Normal 4 2 14 4 2" xfId="13786"/>
    <cellStyle name="Normal 4 2 14 4 2 2" xfId="33669"/>
    <cellStyle name="Normal 4 2 14 4 3" xfId="19938"/>
    <cellStyle name="Normal 4 2 14 4 3 2" xfId="39821"/>
    <cellStyle name="Normal 4 2 14 4 4" xfId="27516"/>
    <cellStyle name="Normal 4 2 14 5" xfId="10720"/>
    <cellStyle name="Normal 4 2 14 5 2" xfId="30603"/>
    <cellStyle name="Normal 4 2 14 6" xfId="16872"/>
    <cellStyle name="Normal 4 2 14 6 2" xfId="36755"/>
    <cellStyle name="Normal 4 2 14 7" xfId="24450"/>
    <cellStyle name="Normal 4 2 15" xfId="3945"/>
    <cellStyle name="Normal 4 2 15 2" xfId="5186"/>
    <cellStyle name="Normal 4 2 15 2 2" xfId="6811"/>
    <cellStyle name="Normal 4 2 15 2 2 2" xfId="9897"/>
    <cellStyle name="Normal 4 2 15 2 2 2 2" xfId="16090"/>
    <cellStyle name="Normal 4 2 15 2 2 2 2 2" xfId="35973"/>
    <cellStyle name="Normal 4 2 15 2 2 2 3" xfId="22242"/>
    <cellStyle name="Normal 4 2 15 2 2 2 3 2" xfId="42125"/>
    <cellStyle name="Normal 4 2 15 2 2 2 4" xfId="29820"/>
    <cellStyle name="Normal 4 2 15 2 2 3" xfId="13024"/>
    <cellStyle name="Normal 4 2 15 2 2 3 2" xfId="32907"/>
    <cellStyle name="Normal 4 2 15 2 2 4" xfId="19176"/>
    <cellStyle name="Normal 4 2 15 2 2 4 2" xfId="39059"/>
    <cellStyle name="Normal 4 2 15 2 2 5" xfId="26754"/>
    <cellStyle name="Normal 4 2 15 2 3" xfId="8362"/>
    <cellStyle name="Normal 4 2 15 2 3 2" xfId="14556"/>
    <cellStyle name="Normal 4 2 15 2 3 2 2" xfId="34439"/>
    <cellStyle name="Normal 4 2 15 2 3 3" xfId="20708"/>
    <cellStyle name="Normal 4 2 15 2 3 3 2" xfId="40591"/>
    <cellStyle name="Normal 4 2 15 2 3 4" xfId="28286"/>
    <cellStyle name="Normal 4 2 15 2 4" xfId="11490"/>
    <cellStyle name="Normal 4 2 15 2 4 2" xfId="31373"/>
    <cellStyle name="Normal 4 2 15 2 5" xfId="17642"/>
    <cellStyle name="Normal 4 2 15 2 5 2" xfId="37525"/>
    <cellStyle name="Normal 4 2 15 2 6" xfId="25220"/>
    <cellStyle name="Normal 4 2 15 3" xfId="6028"/>
    <cellStyle name="Normal 4 2 15 3 2" xfId="9128"/>
    <cellStyle name="Normal 4 2 15 3 2 2" xfId="15321"/>
    <cellStyle name="Normal 4 2 15 3 2 2 2" xfId="35204"/>
    <cellStyle name="Normal 4 2 15 3 2 3" xfId="21473"/>
    <cellStyle name="Normal 4 2 15 3 2 3 2" xfId="41356"/>
    <cellStyle name="Normal 4 2 15 3 2 4" xfId="29051"/>
    <cellStyle name="Normal 4 2 15 3 3" xfId="12255"/>
    <cellStyle name="Normal 4 2 15 3 3 2" xfId="32138"/>
    <cellStyle name="Normal 4 2 15 3 4" xfId="18407"/>
    <cellStyle name="Normal 4 2 15 3 4 2" xfId="38290"/>
    <cellStyle name="Normal 4 2 15 3 5" xfId="25985"/>
    <cellStyle name="Normal 4 2 15 4" xfId="7593"/>
    <cellStyle name="Normal 4 2 15 4 2" xfId="13787"/>
    <cellStyle name="Normal 4 2 15 4 2 2" xfId="33670"/>
    <cellStyle name="Normal 4 2 15 4 3" xfId="19939"/>
    <cellStyle name="Normal 4 2 15 4 3 2" xfId="39822"/>
    <cellStyle name="Normal 4 2 15 4 4" xfId="27517"/>
    <cellStyle name="Normal 4 2 15 5" xfId="10721"/>
    <cellStyle name="Normal 4 2 15 5 2" xfId="30604"/>
    <cellStyle name="Normal 4 2 15 6" xfId="16873"/>
    <cellStyle name="Normal 4 2 15 6 2" xfId="36756"/>
    <cellStyle name="Normal 4 2 15 7" xfId="24451"/>
    <cellStyle name="Normal 4 2 16" xfId="3946"/>
    <cellStyle name="Normal 4 2 16 2" xfId="5187"/>
    <cellStyle name="Normal 4 2 16 2 2" xfId="6812"/>
    <cellStyle name="Normal 4 2 16 2 2 2" xfId="9898"/>
    <cellStyle name="Normal 4 2 16 2 2 2 2" xfId="16091"/>
    <cellStyle name="Normal 4 2 16 2 2 2 2 2" xfId="35974"/>
    <cellStyle name="Normal 4 2 16 2 2 2 3" xfId="22243"/>
    <cellStyle name="Normal 4 2 16 2 2 2 3 2" xfId="42126"/>
    <cellStyle name="Normal 4 2 16 2 2 2 4" xfId="29821"/>
    <cellStyle name="Normal 4 2 16 2 2 3" xfId="13025"/>
    <cellStyle name="Normal 4 2 16 2 2 3 2" xfId="32908"/>
    <cellStyle name="Normal 4 2 16 2 2 4" xfId="19177"/>
    <cellStyle name="Normal 4 2 16 2 2 4 2" xfId="39060"/>
    <cellStyle name="Normal 4 2 16 2 2 5" xfId="26755"/>
    <cellStyle name="Normal 4 2 16 2 3" xfId="8363"/>
    <cellStyle name="Normal 4 2 16 2 3 2" xfId="14557"/>
    <cellStyle name="Normal 4 2 16 2 3 2 2" xfId="34440"/>
    <cellStyle name="Normal 4 2 16 2 3 3" xfId="20709"/>
    <cellStyle name="Normal 4 2 16 2 3 3 2" xfId="40592"/>
    <cellStyle name="Normal 4 2 16 2 3 4" xfId="28287"/>
    <cellStyle name="Normal 4 2 16 2 4" xfId="11491"/>
    <cellStyle name="Normal 4 2 16 2 4 2" xfId="31374"/>
    <cellStyle name="Normal 4 2 16 2 5" xfId="17643"/>
    <cellStyle name="Normal 4 2 16 2 5 2" xfId="37526"/>
    <cellStyle name="Normal 4 2 16 2 6" xfId="25221"/>
    <cellStyle name="Normal 4 2 16 3" xfId="6029"/>
    <cellStyle name="Normal 4 2 16 3 2" xfId="9129"/>
    <cellStyle name="Normal 4 2 16 3 2 2" xfId="15322"/>
    <cellStyle name="Normal 4 2 16 3 2 2 2" xfId="35205"/>
    <cellStyle name="Normal 4 2 16 3 2 3" xfId="21474"/>
    <cellStyle name="Normal 4 2 16 3 2 3 2" xfId="41357"/>
    <cellStyle name="Normal 4 2 16 3 2 4" xfId="29052"/>
    <cellStyle name="Normal 4 2 16 3 3" xfId="12256"/>
    <cellStyle name="Normal 4 2 16 3 3 2" xfId="32139"/>
    <cellStyle name="Normal 4 2 16 3 4" xfId="18408"/>
    <cellStyle name="Normal 4 2 16 3 4 2" xfId="38291"/>
    <cellStyle name="Normal 4 2 16 3 5" xfId="25986"/>
    <cellStyle name="Normal 4 2 16 4" xfId="7594"/>
    <cellStyle name="Normal 4 2 16 4 2" xfId="13788"/>
    <cellStyle name="Normal 4 2 16 4 2 2" xfId="33671"/>
    <cellStyle name="Normal 4 2 16 4 3" xfId="19940"/>
    <cellStyle name="Normal 4 2 16 4 3 2" xfId="39823"/>
    <cellStyle name="Normal 4 2 16 4 4" xfId="27518"/>
    <cellStyle name="Normal 4 2 16 5" xfId="10722"/>
    <cellStyle name="Normal 4 2 16 5 2" xfId="30605"/>
    <cellStyle name="Normal 4 2 16 6" xfId="16874"/>
    <cellStyle name="Normal 4 2 16 6 2" xfId="36757"/>
    <cellStyle name="Normal 4 2 16 7" xfId="24452"/>
    <cellStyle name="Normal 4 2 17" xfId="3947"/>
    <cellStyle name="Normal 4 2 17 2" xfId="5188"/>
    <cellStyle name="Normal 4 2 17 2 2" xfId="6813"/>
    <cellStyle name="Normal 4 2 17 2 2 2" xfId="9899"/>
    <cellStyle name="Normal 4 2 17 2 2 2 2" xfId="16092"/>
    <cellStyle name="Normal 4 2 17 2 2 2 2 2" xfId="35975"/>
    <cellStyle name="Normal 4 2 17 2 2 2 3" xfId="22244"/>
    <cellStyle name="Normal 4 2 17 2 2 2 3 2" xfId="42127"/>
    <cellStyle name="Normal 4 2 17 2 2 2 4" xfId="29822"/>
    <cellStyle name="Normal 4 2 17 2 2 3" xfId="13026"/>
    <cellStyle name="Normal 4 2 17 2 2 3 2" xfId="32909"/>
    <cellStyle name="Normal 4 2 17 2 2 4" xfId="19178"/>
    <cellStyle name="Normal 4 2 17 2 2 4 2" xfId="39061"/>
    <cellStyle name="Normal 4 2 17 2 2 5" xfId="26756"/>
    <cellStyle name="Normal 4 2 17 2 3" xfId="8364"/>
    <cellStyle name="Normal 4 2 17 2 3 2" xfId="14558"/>
    <cellStyle name="Normal 4 2 17 2 3 2 2" xfId="34441"/>
    <cellStyle name="Normal 4 2 17 2 3 3" xfId="20710"/>
    <cellStyle name="Normal 4 2 17 2 3 3 2" xfId="40593"/>
    <cellStyle name="Normal 4 2 17 2 3 4" xfId="28288"/>
    <cellStyle name="Normal 4 2 17 2 4" xfId="11492"/>
    <cellStyle name="Normal 4 2 17 2 4 2" xfId="31375"/>
    <cellStyle name="Normal 4 2 17 2 5" xfId="17644"/>
    <cellStyle name="Normal 4 2 17 2 5 2" xfId="37527"/>
    <cellStyle name="Normal 4 2 17 2 6" xfId="25222"/>
    <cellStyle name="Normal 4 2 17 3" xfId="6030"/>
    <cellStyle name="Normal 4 2 17 3 2" xfId="9130"/>
    <cellStyle name="Normal 4 2 17 3 2 2" xfId="15323"/>
    <cellStyle name="Normal 4 2 17 3 2 2 2" xfId="35206"/>
    <cellStyle name="Normal 4 2 17 3 2 3" xfId="21475"/>
    <cellStyle name="Normal 4 2 17 3 2 3 2" xfId="41358"/>
    <cellStyle name="Normal 4 2 17 3 2 4" xfId="29053"/>
    <cellStyle name="Normal 4 2 17 3 3" xfId="12257"/>
    <cellStyle name="Normal 4 2 17 3 3 2" xfId="32140"/>
    <cellStyle name="Normal 4 2 17 3 4" xfId="18409"/>
    <cellStyle name="Normal 4 2 17 3 4 2" xfId="38292"/>
    <cellStyle name="Normal 4 2 17 3 5" xfId="25987"/>
    <cellStyle name="Normal 4 2 17 4" xfId="7595"/>
    <cellStyle name="Normal 4 2 17 4 2" xfId="13789"/>
    <cellStyle name="Normal 4 2 17 4 2 2" xfId="33672"/>
    <cellStyle name="Normal 4 2 17 4 3" xfId="19941"/>
    <cellStyle name="Normal 4 2 17 4 3 2" xfId="39824"/>
    <cellStyle name="Normal 4 2 17 4 4" xfId="27519"/>
    <cellStyle name="Normal 4 2 17 5" xfId="10723"/>
    <cellStyle name="Normal 4 2 17 5 2" xfId="30606"/>
    <cellStyle name="Normal 4 2 17 6" xfId="16875"/>
    <cellStyle name="Normal 4 2 17 6 2" xfId="36758"/>
    <cellStyle name="Normal 4 2 17 7" xfId="24453"/>
    <cellStyle name="Normal 4 2 18" xfId="3948"/>
    <cellStyle name="Normal 4 2 18 2" xfId="5189"/>
    <cellStyle name="Normal 4 2 18 2 2" xfId="6814"/>
    <cellStyle name="Normal 4 2 18 2 2 2" xfId="9900"/>
    <cellStyle name="Normal 4 2 18 2 2 2 2" xfId="16093"/>
    <cellStyle name="Normal 4 2 18 2 2 2 2 2" xfId="35976"/>
    <cellStyle name="Normal 4 2 18 2 2 2 3" xfId="22245"/>
    <cellStyle name="Normal 4 2 18 2 2 2 3 2" xfId="42128"/>
    <cellStyle name="Normal 4 2 18 2 2 2 4" xfId="29823"/>
    <cellStyle name="Normal 4 2 18 2 2 3" xfId="13027"/>
    <cellStyle name="Normal 4 2 18 2 2 3 2" xfId="32910"/>
    <cellStyle name="Normal 4 2 18 2 2 4" xfId="19179"/>
    <cellStyle name="Normal 4 2 18 2 2 4 2" xfId="39062"/>
    <cellStyle name="Normal 4 2 18 2 2 5" xfId="26757"/>
    <cellStyle name="Normal 4 2 18 2 3" xfId="8365"/>
    <cellStyle name="Normal 4 2 18 2 3 2" xfId="14559"/>
    <cellStyle name="Normal 4 2 18 2 3 2 2" xfId="34442"/>
    <cellStyle name="Normal 4 2 18 2 3 3" xfId="20711"/>
    <cellStyle name="Normal 4 2 18 2 3 3 2" xfId="40594"/>
    <cellStyle name="Normal 4 2 18 2 3 4" xfId="28289"/>
    <cellStyle name="Normal 4 2 18 2 4" xfId="11493"/>
    <cellStyle name="Normal 4 2 18 2 4 2" xfId="31376"/>
    <cellStyle name="Normal 4 2 18 2 5" xfId="17645"/>
    <cellStyle name="Normal 4 2 18 2 5 2" xfId="37528"/>
    <cellStyle name="Normal 4 2 18 2 6" xfId="25223"/>
    <cellStyle name="Normal 4 2 18 3" xfId="6031"/>
    <cellStyle name="Normal 4 2 18 3 2" xfId="9131"/>
    <cellStyle name="Normal 4 2 18 3 2 2" xfId="15324"/>
    <cellStyle name="Normal 4 2 18 3 2 2 2" xfId="35207"/>
    <cellStyle name="Normal 4 2 18 3 2 3" xfId="21476"/>
    <cellStyle name="Normal 4 2 18 3 2 3 2" xfId="41359"/>
    <cellStyle name="Normal 4 2 18 3 2 4" xfId="29054"/>
    <cellStyle name="Normal 4 2 18 3 3" xfId="12258"/>
    <cellStyle name="Normal 4 2 18 3 3 2" xfId="32141"/>
    <cellStyle name="Normal 4 2 18 3 4" xfId="18410"/>
    <cellStyle name="Normal 4 2 18 3 4 2" xfId="38293"/>
    <cellStyle name="Normal 4 2 18 3 5" xfId="25988"/>
    <cellStyle name="Normal 4 2 18 4" xfId="7596"/>
    <cellStyle name="Normal 4 2 18 4 2" xfId="13790"/>
    <cellStyle name="Normal 4 2 18 4 2 2" xfId="33673"/>
    <cellStyle name="Normal 4 2 18 4 3" xfId="19942"/>
    <cellStyle name="Normal 4 2 18 4 3 2" xfId="39825"/>
    <cellStyle name="Normal 4 2 18 4 4" xfId="27520"/>
    <cellStyle name="Normal 4 2 18 5" xfId="10724"/>
    <cellStyle name="Normal 4 2 18 5 2" xfId="30607"/>
    <cellStyle name="Normal 4 2 18 6" xfId="16876"/>
    <cellStyle name="Normal 4 2 18 6 2" xfId="36759"/>
    <cellStyle name="Normal 4 2 18 7" xfId="24454"/>
    <cellStyle name="Normal 4 2 19" xfId="3949"/>
    <cellStyle name="Normal 4 2 19 2" xfId="5190"/>
    <cellStyle name="Normal 4 2 19 2 2" xfId="6815"/>
    <cellStyle name="Normal 4 2 19 2 2 2" xfId="9901"/>
    <cellStyle name="Normal 4 2 19 2 2 2 2" xfId="16094"/>
    <cellStyle name="Normal 4 2 19 2 2 2 2 2" xfId="35977"/>
    <cellStyle name="Normal 4 2 19 2 2 2 3" xfId="22246"/>
    <cellStyle name="Normal 4 2 19 2 2 2 3 2" xfId="42129"/>
    <cellStyle name="Normal 4 2 19 2 2 2 4" xfId="29824"/>
    <cellStyle name="Normal 4 2 19 2 2 3" xfId="13028"/>
    <cellStyle name="Normal 4 2 19 2 2 3 2" xfId="32911"/>
    <cellStyle name="Normal 4 2 19 2 2 4" xfId="19180"/>
    <cellStyle name="Normal 4 2 19 2 2 4 2" xfId="39063"/>
    <cellStyle name="Normal 4 2 19 2 2 5" xfId="26758"/>
    <cellStyle name="Normal 4 2 19 2 3" xfId="8366"/>
    <cellStyle name="Normal 4 2 19 2 3 2" xfId="14560"/>
    <cellStyle name="Normal 4 2 19 2 3 2 2" xfId="34443"/>
    <cellStyle name="Normal 4 2 19 2 3 3" xfId="20712"/>
    <cellStyle name="Normal 4 2 19 2 3 3 2" xfId="40595"/>
    <cellStyle name="Normal 4 2 19 2 3 4" xfId="28290"/>
    <cellStyle name="Normal 4 2 19 2 4" xfId="11494"/>
    <cellStyle name="Normal 4 2 19 2 4 2" xfId="31377"/>
    <cellStyle name="Normal 4 2 19 2 5" xfId="17646"/>
    <cellStyle name="Normal 4 2 19 2 5 2" xfId="37529"/>
    <cellStyle name="Normal 4 2 19 2 6" xfId="25224"/>
    <cellStyle name="Normal 4 2 19 3" xfId="6032"/>
    <cellStyle name="Normal 4 2 19 3 2" xfId="9132"/>
    <cellStyle name="Normal 4 2 19 3 2 2" xfId="15325"/>
    <cellStyle name="Normal 4 2 19 3 2 2 2" xfId="35208"/>
    <cellStyle name="Normal 4 2 19 3 2 3" xfId="21477"/>
    <cellStyle name="Normal 4 2 19 3 2 3 2" xfId="41360"/>
    <cellStyle name="Normal 4 2 19 3 2 4" xfId="29055"/>
    <cellStyle name="Normal 4 2 19 3 3" xfId="12259"/>
    <cellStyle name="Normal 4 2 19 3 3 2" xfId="32142"/>
    <cellStyle name="Normal 4 2 19 3 4" xfId="18411"/>
    <cellStyle name="Normal 4 2 19 3 4 2" xfId="38294"/>
    <cellStyle name="Normal 4 2 19 3 5" xfId="25989"/>
    <cellStyle name="Normal 4 2 19 4" xfId="7597"/>
    <cellStyle name="Normal 4 2 19 4 2" xfId="13791"/>
    <cellStyle name="Normal 4 2 19 4 2 2" xfId="33674"/>
    <cellStyle name="Normal 4 2 19 4 3" xfId="19943"/>
    <cellStyle name="Normal 4 2 19 4 3 2" xfId="39826"/>
    <cellStyle name="Normal 4 2 19 4 4" xfId="27521"/>
    <cellStyle name="Normal 4 2 19 5" xfId="10725"/>
    <cellStyle name="Normal 4 2 19 5 2" xfId="30608"/>
    <cellStyle name="Normal 4 2 19 6" xfId="16877"/>
    <cellStyle name="Normal 4 2 19 6 2" xfId="36760"/>
    <cellStyle name="Normal 4 2 19 7" xfId="24455"/>
    <cellStyle name="Normal 4 2 2" xfId="3950"/>
    <cellStyle name="Normal 4 2 2 10" xfId="16878"/>
    <cellStyle name="Normal 4 2 2 10 2" xfId="36761"/>
    <cellStyle name="Normal 4 2 2 11" xfId="24456"/>
    <cellStyle name="Normal 4 2 2 2" xfId="3951"/>
    <cellStyle name="Normal 4 2 2 2 2" xfId="5192"/>
    <cellStyle name="Normal 4 2 2 2 2 2" xfId="6817"/>
    <cellStyle name="Normal 4 2 2 2 2 2 2" xfId="9903"/>
    <cellStyle name="Normal 4 2 2 2 2 2 2 2" xfId="16096"/>
    <cellStyle name="Normal 4 2 2 2 2 2 2 2 2" xfId="35979"/>
    <cellStyle name="Normal 4 2 2 2 2 2 2 3" xfId="22248"/>
    <cellStyle name="Normal 4 2 2 2 2 2 2 3 2" xfId="42131"/>
    <cellStyle name="Normal 4 2 2 2 2 2 2 4" xfId="29826"/>
    <cellStyle name="Normal 4 2 2 2 2 2 3" xfId="13030"/>
    <cellStyle name="Normal 4 2 2 2 2 2 3 2" xfId="32913"/>
    <cellStyle name="Normal 4 2 2 2 2 2 4" xfId="19182"/>
    <cellStyle name="Normal 4 2 2 2 2 2 4 2" xfId="39065"/>
    <cellStyle name="Normal 4 2 2 2 2 2 5" xfId="26760"/>
    <cellStyle name="Normal 4 2 2 2 2 3" xfId="8368"/>
    <cellStyle name="Normal 4 2 2 2 2 3 2" xfId="14562"/>
    <cellStyle name="Normal 4 2 2 2 2 3 2 2" xfId="34445"/>
    <cellStyle name="Normal 4 2 2 2 2 3 3" xfId="20714"/>
    <cellStyle name="Normal 4 2 2 2 2 3 3 2" xfId="40597"/>
    <cellStyle name="Normal 4 2 2 2 2 3 4" xfId="28292"/>
    <cellStyle name="Normal 4 2 2 2 2 4" xfId="11496"/>
    <cellStyle name="Normal 4 2 2 2 2 4 2" xfId="31379"/>
    <cellStyle name="Normal 4 2 2 2 2 5" xfId="17648"/>
    <cellStyle name="Normal 4 2 2 2 2 5 2" xfId="37531"/>
    <cellStyle name="Normal 4 2 2 2 2 6" xfId="25226"/>
    <cellStyle name="Normal 4 2 2 2 3" xfId="6034"/>
    <cellStyle name="Normal 4 2 2 2 3 2" xfId="9134"/>
    <cellStyle name="Normal 4 2 2 2 3 2 2" xfId="15327"/>
    <cellStyle name="Normal 4 2 2 2 3 2 2 2" xfId="35210"/>
    <cellStyle name="Normal 4 2 2 2 3 2 3" xfId="21479"/>
    <cellStyle name="Normal 4 2 2 2 3 2 3 2" xfId="41362"/>
    <cellStyle name="Normal 4 2 2 2 3 2 4" xfId="29057"/>
    <cellStyle name="Normal 4 2 2 2 3 3" xfId="12261"/>
    <cellStyle name="Normal 4 2 2 2 3 3 2" xfId="32144"/>
    <cellStyle name="Normal 4 2 2 2 3 4" xfId="18413"/>
    <cellStyle name="Normal 4 2 2 2 3 4 2" xfId="38296"/>
    <cellStyle name="Normal 4 2 2 2 3 5" xfId="25991"/>
    <cellStyle name="Normal 4 2 2 2 4" xfId="7599"/>
    <cellStyle name="Normal 4 2 2 2 4 2" xfId="13793"/>
    <cellStyle name="Normal 4 2 2 2 4 2 2" xfId="33676"/>
    <cellStyle name="Normal 4 2 2 2 4 3" xfId="19945"/>
    <cellStyle name="Normal 4 2 2 2 4 3 2" xfId="39828"/>
    <cellStyle name="Normal 4 2 2 2 4 4" xfId="27523"/>
    <cellStyle name="Normal 4 2 2 2 5" xfId="10727"/>
    <cellStyle name="Normal 4 2 2 2 5 2" xfId="30610"/>
    <cellStyle name="Normal 4 2 2 2 6" xfId="16879"/>
    <cellStyle name="Normal 4 2 2 2 6 2" xfId="36762"/>
    <cellStyle name="Normal 4 2 2 2 7" xfId="24457"/>
    <cellStyle name="Normal 4 2 2 3" xfId="3952"/>
    <cellStyle name="Normal 4 2 2 3 2" xfId="5193"/>
    <cellStyle name="Normal 4 2 2 3 2 2" xfId="6818"/>
    <cellStyle name="Normal 4 2 2 3 2 2 2" xfId="9904"/>
    <cellStyle name="Normal 4 2 2 3 2 2 2 2" xfId="16097"/>
    <cellStyle name="Normal 4 2 2 3 2 2 2 2 2" xfId="35980"/>
    <cellStyle name="Normal 4 2 2 3 2 2 2 3" xfId="22249"/>
    <cellStyle name="Normal 4 2 2 3 2 2 2 3 2" xfId="42132"/>
    <cellStyle name="Normal 4 2 2 3 2 2 2 4" xfId="29827"/>
    <cellStyle name="Normal 4 2 2 3 2 2 3" xfId="13031"/>
    <cellStyle name="Normal 4 2 2 3 2 2 3 2" xfId="32914"/>
    <cellStyle name="Normal 4 2 2 3 2 2 4" xfId="19183"/>
    <cellStyle name="Normal 4 2 2 3 2 2 4 2" xfId="39066"/>
    <cellStyle name="Normal 4 2 2 3 2 2 5" xfId="26761"/>
    <cellStyle name="Normal 4 2 2 3 2 3" xfId="8369"/>
    <cellStyle name="Normal 4 2 2 3 2 3 2" xfId="14563"/>
    <cellStyle name="Normal 4 2 2 3 2 3 2 2" xfId="34446"/>
    <cellStyle name="Normal 4 2 2 3 2 3 3" xfId="20715"/>
    <cellStyle name="Normal 4 2 2 3 2 3 3 2" xfId="40598"/>
    <cellStyle name="Normal 4 2 2 3 2 3 4" xfId="28293"/>
    <cellStyle name="Normal 4 2 2 3 2 4" xfId="11497"/>
    <cellStyle name="Normal 4 2 2 3 2 4 2" xfId="31380"/>
    <cellStyle name="Normal 4 2 2 3 2 5" xfId="17649"/>
    <cellStyle name="Normal 4 2 2 3 2 5 2" xfId="37532"/>
    <cellStyle name="Normal 4 2 2 3 2 6" xfId="25227"/>
    <cellStyle name="Normal 4 2 2 3 3" xfId="6035"/>
    <cellStyle name="Normal 4 2 2 3 3 2" xfId="9135"/>
    <cellStyle name="Normal 4 2 2 3 3 2 2" xfId="15328"/>
    <cellStyle name="Normal 4 2 2 3 3 2 2 2" xfId="35211"/>
    <cellStyle name="Normal 4 2 2 3 3 2 3" xfId="21480"/>
    <cellStyle name="Normal 4 2 2 3 3 2 3 2" xfId="41363"/>
    <cellStyle name="Normal 4 2 2 3 3 2 4" xfId="29058"/>
    <cellStyle name="Normal 4 2 2 3 3 3" xfId="12262"/>
    <cellStyle name="Normal 4 2 2 3 3 3 2" xfId="32145"/>
    <cellStyle name="Normal 4 2 2 3 3 4" xfId="18414"/>
    <cellStyle name="Normal 4 2 2 3 3 4 2" xfId="38297"/>
    <cellStyle name="Normal 4 2 2 3 3 5" xfId="25992"/>
    <cellStyle name="Normal 4 2 2 3 4" xfId="7600"/>
    <cellStyle name="Normal 4 2 2 3 4 2" xfId="13794"/>
    <cellStyle name="Normal 4 2 2 3 4 2 2" xfId="33677"/>
    <cellStyle name="Normal 4 2 2 3 4 3" xfId="19946"/>
    <cellStyle name="Normal 4 2 2 3 4 3 2" xfId="39829"/>
    <cellStyle name="Normal 4 2 2 3 4 4" xfId="27524"/>
    <cellStyle name="Normal 4 2 2 3 5" xfId="10728"/>
    <cellStyle name="Normal 4 2 2 3 5 2" xfId="30611"/>
    <cellStyle name="Normal 4 2 2 3 6" xfId="16880"/>
    <cellStyle name="Normal 4 2 2 3 6 2" xfId="36763"/>
    <cellStyle name="Normal 4 2 2 3 7" xfId="24458"/>
    <cellStyle name="Normal 4 2 2 4" xfId="3953"/>
    <cellStyle name="Normal 4 2 2 4 2" xfId="5194"/>
    <cellStyle name="Normal 4 2 2 4 2 2" xfId="6819"/>
    <cellStyle name="Normal 4 2 2 4 2 2 2" xfId="9905"/>
    <cellStyle name="Normal 4 2 2 4 2 2 2 2" xfId="16098"/>
    <cellStyle name="Normal 4 2 2 4 2 2 2 2 2" xfId="35981"/>
    <cellStyle name="Normal 4 2 2 4 2 2 2 3" xfId="22250"/>
    <cellStyle name="Normal 4 2 2 4 2 2 2 3 2" xfId="42133"/>
    <cellStyle name="Normal 4 2 2 4 2 2 2 4" xfId="29828"/>
    <cellStyle name="Normal 4 2 2 4 2 2 3" xfId="13032"/>
    <cellStyle name="Normal 4 2 2 4 2 2 3 2" xfId="32915"/>
    <cellStyle name="Normal 4 2 2 4 2 2 4" xfId="19184"/>
    <cellStyle name="Normal 4 2 2 4 2 2 4 2" xfId="39067"/>
    <cellStyle name="Normal 4 2 2 4 2 2 5" xfId="26762"/>
    <cellStyle name="Normal 4 2 2 4 2 3" xfId="8370"/>
    <cellStyle name="Normal 4 2 2 4 2 3 2" xfId="14564"/>
    <cellStyle name="Normal 4 2 2 4 2 3 2 2" xfId="34447"/>
    <cellStyle name="Normal 4 2 2 4 2 3 3" xfId="20716"/>
    <cellStyle name="Normal 4 2 2 4 2 3 3 2" xfId="40599"/>
    <cellStyle name="Normal 4 2 2 4 2 3 4" xfId="28294"/>
    <cellStyle name="Normal 4 2 2 4 2 4" xfId="11498"/>
    <cellStyle name="Normal 4 2 2 4 2 4 2" xfId="31381"/>
    <cellStyle name="Normal 4 2 2 4 2 5" xfId="17650"/>
    <cellStyle name="Normal 4 2 2 4 2 5 2" xfId="37533"/>
    <cellStyle name="Normal 4 2 2 4 2 6" xfId="25228"/>
    <cellStyle name="Normal 4 2 2 4 3" xfId="6036"/>
    <cellStyle name="Normal 4 2 2 4 3 2" xfId="9136"/>
    <cellStyle name="Normal 4 2 2 4 3 2 2" xfId="15329"/>
    <cellStyle name="Normal 4 2 2 4 3 2 2 2" xfId="35212"/>
    <cellStyle name="Normal 4 2 2 4 3 2 3" xfId="21481"/>
    <cellStyle name="Normal 4 2 2 4 3 2 3 2" xfId="41364"/>
    <cellStyle name="Normal 4 2 2 4 3 2 4" xfId="29059"/>
    <cellStyle name="Normal 4 2 2 4 3 3" xfId="12263"/>
    <cellStyle name="Normal 4 2 2 4 3 3 2" xfId="32146"/>
    <cellStyle name="Normal 4 2 2 4 3 4" xfId="18415"/>
    <cellStyle name="Normal 4 2 2 4 3 4 2" xfId="38298"/>
    <cellStyle name="Normal 4 2 2 4 3 5" xfId="25993"/>
    <cellStyle name="Normal 4 2 2 4 4" xfId="7601"/>
    <cellStyle name="Normal 4 2 2 4 4 2" xfId="13795"/>
    <cellStyle name="Normal 4 2 2 4 4 2 2" xfId="33678"/>
    <cellStyle name="Normal 4 2 2 4 4 3" xfId="19947"/>
    <cellStyle name="Normal 4 2 2 4 4 3 2" xfId="39830"/>
    <cellStyle name="Normal 4 2 2 4 4 4" xfId="27525"/>
    <cellStyle name="Normal 4 2 2 4 5" xfId="10729"/>
    <cellStyle name="Normal 4 2 2 4 5 2" xfId="30612"/>
    <cellStyle name="Normal 4 2 2 4 6" xfId="16881"/>
    <cellStyle name="Normal 4 2 2 4 6 2" xfId="36764"/>
    <cellStyle name="Normal 4 2 2 4 7" xfId="24459"/>
    <cellStyle name="Normal 4 2 2 5" xfId="3954"/>
    <cellStyle name="Normal 4 2 2 5 2" xfId="5195"/>
    <cellStyle name="Normal 4 2 2 5 2 2" xfId="6820"/>
    <cellStyle name="Normal 4 2 2 5 2 2 2" xfId="9906"/>
    <cellStyle name="Normal 4 2 2 5 2 2 2 2" xfId="16099"/>
    <cellStyle name="Normal 4 2 2 5 2 2 2 2 2" xfId="35982"/>
    <cellStyle name="Normal 4 2 2 5 2 2 2 3" xfId="22251"/>
    <cellStyle name="Normal 4 2 2 5 2 2 2 3 2" xfId="42134"/>
    <cellStyle name="Normal 4 2 2 5 2 2 2 4" xfId="29829"/>
    <cellStyle name="Normal 4 2 2 5 2 2 3" xfId="13033"/>
    <cellStyle name="Normal 4 2 2 5 2 2 3 2" xfId="32916"/>
    <cellStyle name="Normal 4 2 2 5 2 2 4" xfId="19185"/>
    <cellStyle name="Normal 4 2 2 5 2 2 4 2" xfId="39068"/>
    <cellStyle name="Normal 4 2 2 5 2 2 5" xfId="26763"/>
    <cellStyle name="Normal 4 2 2 5 2 3" xfId="8371"/>
    <cellStyle name="Normal 4 2 2 5 2 3 2" xfId="14565"/>
    <cellStyle name="Normal 4 2 2 5 2 3 2 2" xfId="34448"/>
    <cellStyle name="Normal 4 2 2 5 2 3 3" xfId="20717"/>
    <cellStyle name="Normal 4 2 2 5 2 3 3 2" xfId="40600"/>
    <cellStyle name="Normal 4 2 2 5 2 3 4" xfId="28295"/>
    <cellStyle name="Normal 4 2 2 5 2 4" xfId="11499"/>
    <cellStyle name="Normal 4 2 2 5 2 4 2" xfId="31382"/>
    <cellStyle name="Normal 4 2 2 5 2 5" xfId="17651"/>
    <cellStyle name="Normal 4 2 2 5 2 5 2" xfId="37534"/>
    <cellStyle name="Normal 4 2 2 5 2 6" xfId="25229"/>
    <cellStyle name="Normal 4 2 2 5 3" xfId="6037"/>
    <cellStyle name="Normal 4 2 2 5 3 2" xfId="9137"/>
    <cellStyle name="Normal 4 2 2 5 3 2 2" xfId="15330"/>
    <cellStyle name="Normal 4 2 2 5 3 2 2 2" xfId="35213"/>
    <cellStyle name="Normal 4 2 2 5 3 2 3" xfId="21482"/>
    <cellStyle name="Normal 4 2 2 5 3 2 3 2" xfId="41365"/>
    <cellStyle name="Normal 4 2 2 5 3 2 4" xfId="29060"/>
    <cellStyle name="Normal 4 2 2 5 3 3" xfId="12264"/>
    <cellStyle name="Normal 4 2 2 5 3 3 2" xfId="32147"/>
    <cellStyle name="Normal 4 2 2 5 3 4" xfId="18416"/>
    <cellStyle name="Normal 4 2 2 5 3 4 2" xfId="38299"/>
    <cellStyle name="Normal 4 2 2 5 3 5" xfId="25994"/>
    <cellStyle name="Normal 4 2 2 5 4" xfId="7602"/>
    <cellStyle name="Normal 4 2 2 5 4 2" xfId="13796"/>
    <cellStyle name="Normal 4 2 2 5 4 2 2" xfId="33679"/>
    <cellStyle name="Normal 4 2 2 5 4 3" xfId="19948"/>
    <cellStyle name="Normal 4 2 2 5 4 3 2" xfId="39831"/>
    <cellStyle name="Normal 4 2 2 5 4 4" xfId="27526"/>
    <cellStyle name="Normal 4 2 2 5 5" xfId="10730"/>
    <cellStyle name="Normal 4 2 2 5 5 2" xfId="30613"/>
    <cellStyle name="Normal 4 2 2 5 6" xfId="16882"/>
    <cellStyle name="Normal 4 2 2 5 6 2" xfId="36765"/>
    <cellStyle name="Normal 4 2 2 5 7" xfId="24460"/>
    <cellStyle name="Normal 4 2 2 6" xfId="5191"/>
    <cellStyle name="Normal 4 2 2 6 2" xfId="6816"/>
    <cellStyle name="Normal 4 2 2 6 2 2" xfId="9902"/>
    <cellStyle name="Normal 4 2 2 6 2 2 2" xfId="16095"/>
    <cellStyle name="Normal 4 2 2 6 2 2 2 2" xfId="35978"/>
    <cellStyle name="Normal 4 2 2 6 2 2 3" xfId="22247"/>
    <cellStyle name="Normal 4 2 2 6 2 2 3 2" xfId="42130"/>
    <cellStyle name="Normal 4 2 2 6 2 2 4" xfId="29825"/>
    <cellStyle name="Normal 4 2 2 6 2 3" xfId="13029"/>
    <cellStyle name="Normal 4 2 2 6 2 3 2" xfId="32912"/>
    <cellStyle name="Normal 4 2 2 6 2 4" xfId="19181"/>
    <cellStyle name="Normal 4 2 2 6 2 4 2" xfId="39064"/>
    <cellStyle name="Normal 4 2 2 6 2 5" xfId="26759"/>
    <cellStyle name="Normal 4 2 2 6 3" xfId="8367"/>
    <cellStyle name="Normal 4 2 2 6 3 2" xfId="14561"/>
    <cellStyle name="Normal 4 2 2 6 3 2 2" xfId="34444"/>
    <cellStyle name="Normal 4 2 2 6 3 3" xfId="20713"/>
    <cellStyle name="Normal 4 2 2 6 3 3 2" xfId="40596"/>
    <cellStyle name="Normal 4 2 2 6 3 4" xfId="28291"/>
    <cellStyle name="Normal 4 2 2 6 4" xfId="11495"/>
    <cellStyle name="Normal 4 2 2 6 4 2" xfId="31378"/>
    <cellStyle name="Normal 4 2 2 6 5" xfId="17647"/>
    <cellStyle name="Normal 4 2 2 6 5 2" xfId="37530"/>
    <cellStyle name="Normal 4 2 2 6 6" xfId="25225"/>
    <cellStyle name="Normal 4 2 2 7" xfId="6033"/>
    <cellStyle name="Normal 4 2 2 7 2" xfId="9133"/>
    <cellStyle name="Normal 4 2 2 7 2 2" xfId="15326"/>
    <cellStyle name="Normal 4 2 2 7 2 2 2" xfId="35209"/>
    <cellStyle name="Normal 4 2 2 7 2 3" xfId="21478"/>
    <cellStyle name="Normal 4 2 2 7 2 3 2" xfId="41361"/>
    <cellStyle name="Normal 4 2 2 7 2 4" xfId="29056"/>
    <cellStyle name="Normal 4 2 2 7 3" xfId="12260"/>
    <cellStyle name="Normal 4 2 2 7 3 2" xfId="32143"/>
    <cellStyle name="Normal 4 2 2 7 4" xfId="18412"/>
    <cellStyle name="Normal 4 2 2 7 4 2" xfId="38295"/>
    <cellStyle name="Normal 4 2 2 7 5" xfId="25990"/>
    <cellStyle name="Normal 4 2 2 8" xfId="7598"/>
    <cellStyle name="Normal 4 2 2 8 2" xfId="13792"/>
    <cellStyle name="Normal 4 2 2 8 2 2" xfId="33675"/>
    <cellStyle name="Normal 4 2 2 8 3" xfId="19944"/>
    <cellStyle name="Normal 4 2 2 8 3 2" xfId="39827"/>
    <cellStyle name="Normal 4 2 2 8 4" xfId="27522"/>
    <cellStyle name="Normal 4 2 2 9" xfId="10726"/>
    <cellStyle name="Normal 4 2 2 9 2" xfId="30609"/>
    <cellStyle name="Normal 4 2 20" xfId="3955"/>
    <cellStyle name="Normal 4 2 20 2" xfId="5196"/>
    <cellStyle name="Normal 4 2 20 2 2" xfId="6821"/>
    <cellStyle name="Normal 4 2 20 2 2 2" xfId="9907"/>
    <cellStyle name="Normal 4 2 20 2 2 2 2" xfId="16100"/>
    <cellStyle name="Normal 4 2 20 2 2 2 2 2" xfId="35983"/>
    <cellStyle name="Normal 4 2 20 2 2 2 3" xfId="22252"/>
    <cellStyle name="Normal 4 2 20 2 2 2 3 2" xfId="42135"/>
    <cellStyle name="Normal 4 2 20 2 2 2 4" xfId="29830"/>
    <cellStyle name="Normal 4 2 20 2 2 3" xfId="13034"/>
    <cellStyle name="Normal 4 2 20 2 2 3 2" xfId="32917"/>
    <cellStyle name="Normal 4 2 20 2 2 4" xfId="19186"/>
    <cellStyle name="Normal 4 2 20 2 2 4 2" xfId="39069"/>
    <cellStyle name="Normal 4 2 20 2 2 5" xfId="26764"/>
    <cellStyle name="Normal 4 2 20 2 3" xfId="8372"/>
    <cellStyle name="Normal 4 2 20 2 3 2" xfId="14566"/>
    <cellStyle name="Normal 4 2 20 2 3 2 2" xfId="34449"/>
    <cellStyle name="Normal 4 2 20 2 3 3" xfId="20718"/>
    <cellStyle name="Normal 4 2 20 2 3 3 2" xfId="40601"/>
    <cellStyle name="Normal 4 2 20 2 3 4" xfId="28296"/>
    <cellStyle name="Normal 4 2 20 2 4" xfId="11500"/>
    <cellStyle name="Normal 4 2 20 2 4 2" xfId="31383"/>
    <cellStyle name="Normal 4 2 20 2 5" xfId="17652"/>
    <cellStyle name="Normal 4 2 20 2 5 2" xfId="37535"/>
    <cellStyle name="Normal 4 2 20 2 6" xfId="25230"/>
    <cellStyle name="Normal 4 2 20 3" xfId="6038"/>
    <cellStyle name="Normal 4 2 20 3 2" xfId="9138"/>
    <cellStyle name="Normal 4 2 20 3 2 2" xfId="15331"/>
    <cellStyle name="Normal 4 2 20 3 2 2 2" xfId="35214"/>
    <cellStyle name="Normal 4 2 20 3 2 3" xfId="21483"/>
    <cellStyle name="Normal 4 2 20 3 2 3 2" xfId="41366"/>
    <cellStyle name="Normal 4 2 20 3 2 4" xfId="29061"/>
    <cellStyle name="Normal 4 2 20 3 3" xfId="12265"/>
    <cellStyle name="Normal 4 2 20 3 3 2" xfId="32148"/>
    <cellStyle name="Normal 4 2 20 3 4" xfId="18417"/>
    <cellStyle name="Normal 4 2 20 3 4 2" xfId="38300"/>
    <cellStyle name="Normal 4 2 20 3 5" xfId="25995"/>
    <cellStyle name="Normal 4 2 20 4" xfId="7603"/>
    <cellStyle name="Normal 4 2 20 4 2" xfId="13797"/>
    <cellStyle name="Normal 4 2 20 4 2 2" xfId="33680"/>
    <cellStyle name="Normal 4 2 20 4 3" xfId="19949"/>
    <cellStyle name="Normal 4 2 20 4 3 2" xfId="39832"/>
    <cellStyle name="Normal 4 2 20 4 4" xfId="27527"/>
    <cellStyle name="Normal 4 2 20 5" xfId="10731"/>
    <cellStyle name="Normal 4 2 20 5 2" xfId="30614"/>
    <cellStyle name="Normal 4 2 20 6" xfId="16883"/>
    <cellStyle name="Normal 4 2 20 6 2" xfId="36766"/>
    <cellStyle name="Normal 4 2 20 7" xfId="24461"/>
    <cellStyle name="Normal 4 2 21" xfId="3956"/>
    <cellStyle name="Normal 4 2 21 2" xfId="5197"/>
    <cellStyle name="Normal 4 2 21 2 2" xfId="6822"/>
    <cellStyle name="Normal 4 2 21 2 2 2" xfId="9908"/>
    <cellStyle name="Normal 4 2 21 2 2 2 2" xfId="16101"/>
    <cellStyle name="Normal 4 2 21 2 2 2 2 2" xfId="35984"/>
    <cellStyle name="Normal 4 2 21 2 2 2 3" xfId="22253"/>
    <cellStyle name="Normal 4 2 21 2 2 2 3 2" xfId="42136"/>
    <cellStyle name="Normal 4 2 21 2 2 2 4" xfId="29831"/>
    <cellStyle name="Normal 4 2 21 2 2 3" xfId="13035"/>
    <cellStyle name="Normal 4 2 21 2 2 3 2" xfId="32918"/>
    <cellStyle name="Normal 4 2 21 2 2 4" xfId="19187"/>
    <cellStyle name="Normal 4 2 21 2 2 4 2" xfId="39070"/>
    <cellStyle name="Normal 4 2 21 2 2 5" xfId="26765"/>
    <cellStyle name="Normal 4 2 21 2 3" xfId="8373"/>
    <cellStyle name="Normal 4 2 21 2 3 2" xfId="14567"/>
    <cellStyle name="Normal 4 2 21 2 3 2 2" xfId="34450"/>
    <cellStyle name="Normal 4 2 21 2 3 3" xfId="20719"/>
    <cellStyle name="Normal 4 2 21 2 3 3 2" xfId="40602"/>
    <cellStyle name="Normal 4 2 21 2 3 4" xfId="28297"/>
    <cellStyle name="Normal 4 2 21 2 4" xfId="11501"/>
    <cellStyle name="Normal 4 2 21 2 4 2" xfId="31384"/>
    <cellStyle name="Normal 4 2 21 2 5" xfId="17653"/>
    <cellStyle name="Normal 4 2 21 2 5 2" xfId="37536"/>
    <cellStyle name="Normal 4 2 21 2 6" xfId="25231"/>
    <cellStyle name="Normal 4 2 21 3" xfId="6039"/>
    <cellStyle name="Normal 4 2 21 3 2" xfId="9139"/>
    <cellStyle name="Normal 4 2 21 3 2 2" xfId="15332"/>
    <cellStyle name="Normal 4 2 21 3 2 2 2" xfId="35215"/>
    <cellStyle name="Normal 4 2 21 3 2 3" xfId="21484"/>
    <cellStyle name="Normal 4 2 21 3 2 3 2" xfId="41367"/>
    <cellStyle name="Normal 4 2 21 3 2 4" xfId="29062"/>
    <cellStyle name="Normal 4 2 21 3 3" xfId="12266"/>
    <cellStyle name="Normal 4 2 21 3 3 2" xfId="32149"/>
    <cellStyle name="Normal 4 2 21 3 4" xfId="18418"/>
    <cellStyle name="Normal 4 2 21 3 4 2" xfId="38301"/>
    <cellStyle name="Normal 4 2 21 3 5" xfId="25996"/>
    <cellStyle name="Normal 4 2 21 4" xfId="7604"/>
    <cellStyle name="Normal 4 2 21 4 2" xfId="13798"/>
    <cellStyle name="Normal 4 2 21 4 2 2" xfId="33681"/>
    <cellStyle name="Normal 4 2 21 4 3" xfId="19950"/>
    <cellStyle name="Normal 4 2 21 4 3 2" xfId="39833"/>
    <cellStyle name="Normal 4 2 21 4 4" xfId="27528"/>
    <cellStyle name="Normal 4 2 21 5" xfId="10732"/>
    <cellStyle name="Normal 4 2 21 5 2" xfId="30615"/>
    <cellStyle name="Normal 4 2 21 6" xfId="16884"/>
    <cellStyle name="Normal 4 2 21 6 2" xfId="36767"/>
    <cellStyle name="Normal 4 2 21 7" xfId="24462"/>
    <cellStyle name="Normal 4 2 22" xfId="3957"/>
    <cellStyle name="Normal 4 2 22 2" xfId="5198"/>
    <cellStyle name="Normal 4 2 22 2 2" xfId="6823"/>
    <cellStyle name="Normal 4 2 22 2 2 2" xfId="9909"/>
    <cellStyle name="Normal 4 2 22 2 2 2 2" xfId="16102"/>
    <cellStyle name="Normal 4 2 22 2 2 2 2 2" xfId="35985"/>
    <cellStyle name="Normal 4 2 22 2 2 2 3" xfId="22254"/>
    <cellStyle name="Normal 4 2 22 2 2 2 3 2" xfId="42137"/>
    <cellStyle name="Normal 4 2 22 2 2 2 4" xfId="29832"/>
    <cellStyle name="Normal 4 2 22 2 2 3" xfId="13036"/>
    <cellStyle name="Normal 4 2 22 2 2 3 2" xfId="32919"/>
    <cellStyle name="Normal 4 2 22 2 2 4" xfId="19188"/>
    <cellStyle name="Normal 4 2 22 2 2 4 2" xfId="39071"/>
    <cellStyle name="Normal 4 2 22 2 2 5" xfId="26766"/>
    <cellStyle name="Normal 4 2 22 2 3" xfId="8374"/>
    <cellStyle name="Normal 4 2 22 2 3 2" xfId="14568"/>
    <cellStyle name="Normal 4 2 22 2 3 2 2" xfId="34451"/>
    <cellStyle name="Normal 4 2 22 2 3 3" xfId="20720"/>
    <cellStyle name="Normal 4 2 22 2 3 3 2" xfId="40603"/>
    <cellStyle name="Normal 4 2 22 2 3 4" xfId="28298"/>
    <cellStyle name="Normal 4 2 22 2 4" xfId="11502"/>
    <cellStyle name="Normal 4 2 22 2 4 2" xfId="31385"/>
    <cellStyle name="Normal 4 2 22 2 5" xfId="17654"/>
    <cellStyle name="Normal 4 2 22 2 5 2" xfId="37537"/>
    <cellStyle name="Normal 4 2 22 2 6" xfId="25232"/>
    <cellStyle name="Normal 4 2 22 3" xfId="6040"/>
    <cellStyle name="Normal 4 2 22 3 2" xfId="9140"/>
    <cellStyle name="Normal 4 2 22 3 2 2" xfId="15333"/>
    <cellStyle name="Normal 4 2 22 3 2 2 2" xfId="35216"/>
    <cellStyle name="Normal 4 2 22 3 2 3" xfId="21485"/>
    <cellStyle name="Normal 4 2 22 3 2 3 2" xfId="41368"/>
    <cellStyle name="Normal 4 2 22 3 2 4" xfId="29063"/>
    <cellStyle name="Normal 4 2 22 3 3" xfId="12267"/>
    <cellStyle name="Normal 4 2 22 3 3 2" xfId="32150"/>
    <cellStyle name="Normal 4 2 22 3 4" xfId="18419"/>
    <cellStyle name="Normal 4 2 22 3 4 2" xfId="38302"/>
    <cellStyle name="Normal 4 2 22 3 5" xfId="25997"/>
    <cellStyle name="Normal 4 2 22 4" xfId="7605"/>
    <cellStyle name="Normal 4 2 22 4 2" xfId="13799"/>
    <cellStyle name="Normal 4 2 22 4 2 2" xfId="33682"/>
    <cellStyle name="Normal 4 2 22 4 3" xfId="19951"/>
    <cellStyle name="Normal 4 2 22 4 3 2" xfId="39834"/>
    <cellStyle name="Normal 4 2 22 4 4" xfId="27529"/>
    <cellStyle name="Normal 4 2 22 5" xfId="10733"/>
    <cellStyle name="Normal 4 2 22 5 2" xfId="30616"/>
    <cellStyle name="Normal 4 2 22 6" xfId="16885"/>
    <cellStyle name="Normal 4 2 22 6 2" xfId="36768"/>
    <cellStyle name="Normal 4 2 22 7" xfId="24463"/>
    <cellStyle name="Normal 4 2 23" xfId="3958"/>
    <cellStyle name="Normal 4 2 23 2" xfId="5199"/>
    <cellStyle name="Normal 4 2 23 2 2" xfId="6824"/>
    <cellStyle name="Normal 4 2 23 2 2 2" xfId="9910"/>
    <cellStyle name="Normal 4 2 23 2 2 2 2" xfId="16103"/>
    <cellStyle name="Normal 4 2 23 2 2 2 2 2" xfId="35986"/>
    <cellStyle name="Normal 4 2 23 2 2 2 3" xfId="22255"/>
    <cellStyle name="Normal 4 2 23 2 2 2 3 2" xfId="42138"/>
    <cellStyle name="Normal 4 2 23 2 2 2 4" xfId="29833"/>
    <cellStyle name="Normal 4 2 23 2 2 3" xfId="13037"/>
    <cellStyle name="Normal 4 2 23 2 2 3 2" xfId="32920"/>
    <cellStyle name="Normal 4 2 23 2 2 4" xfId="19189"/>
    <cellStyle name="Normal 4 2 23 2 2 4 2" xfId="39072"/>
    <cellStyle name="Normal 4 2 23 2 2 5" xfId="26767"/>
    <cellStyle name="Normal 4 2 23 2 3" xfId="8375"/>
    <cellStyle name="Normal 4 2 23 2 3 2" xfId="14569"/>
    <cellStyle name="Normal 4 2 23 2 3 2 2" xfId="34452"/>
    <cellStyle name="Normal 4 2 23 2 3 3" xfId="20721"/>
    <cellStyle name="Normal 4 2 23 2 3 3 2" xfId="40604"/>
    <cellStyle name="Normal 4 2 23 2 3 4" xfId="28299"/>
    <cellStyle name="Normal 4 2 23 2 4" xfId="11503"/>
    <cellStyle name="Normal 4 2 23 2 4 2" xfId="31386"/>
    <cellStyle name="Normal 4 2 23 2 5" xfId="17655"/>
    <cellStyle name="Normal 4 2 23 2 5 2" xfId="37538"/>
    <cellStyle name="Normal 4 2 23 2 6" xfId="25233"/>
    <cellStyle name="Normal 4 2 23 3" xfId="6041"/>
    <cellStyle name="Normal 4 2 23 3 2" xfId="9141"/>
    <cellStyle name="Normal 4 2 23 3 2 2" xfId="15334"/>
    <cellStyle name="Normal 4 2 23 3 2 2 2" xfId="35217"/>
    <cellStyle name="Normal 4 2 23 3 2 3" xfId="21486"/>
    <cellStyle name="Normal 4 2 23 3 2 3 2" xfId="41369"/>
    <cellStyle name="Normal 4 2 23 3 2 4" xfId="29064"/>
    <cellStyle name="Normal 4 2 23 3 3" xfId="12268"/>
    <cellStyle name="Normal 4 2 23 3 3 2" xfId="32151"/>
    <cellStyle name="Normal 4 2 23 3 4" xfId="18420"/>
    <cellStyle name="Normal 4 2 23 3 4 2" xfId="38303"/>
    <cellStyle name="Normal 4 2 23 3 5" xfId="25998"/>
    <cellStyle name="Normal 4 2 23 4" xfId="7606"/>
    <cellStyle name="Normal 4 2 23 4 2" xfId="13800"/>
    <cellStyle name="Normal 4 2 23 4 2 2" xfId="33683"/>
    <cellStyle name="Normal 4 2 23 4 3" xfId="19952"/>
    <cellStyle name="Normal 4 2 23 4 3 2" xfId="39835"/>
    <cellStyle name="Normal 4 2 23 4 4" xfId="27530"/>
    <cellStyle name="Normal 4 2 23 5" xfId="10734"/>
    <cellStyle name="Normal 4 2 23 5 2" xfId="30617"/>
    <cellStyle name="Normal 4 2 23 6" xfId="16886"/>
    <cellStyle name="Normal 4 2 23 6 2" xfId="36769"/>
    <cellStyle name="Normal 4 2 23 7" xfId="24464"/>
    <cellStyle name="Normal 4 2 24" xfId="3959"/>
    <cellStyle name="Normal 4 2 24 2" xfId="5200"/>
    <cellStyle name="Normal 4 2 24 2 2" xfId="6825"/>
    <cellStyle name="Normal 4 2 24 2 2 2" xfId="9911"/>
    <cellStyle name="Normal 4 2 24 2 2 2 2" xfId="16104"/>
    <cellStyle name="Normal 4 2 24 2 2 2 2 2" xfId="35987"/>
    <cellStyle name="Normal 4 2 24 2 2 2 3" xfId="22256"/>
    <cellStyle name="Normal 4 2 24 2 2 2 3 2" xfId="42139"/>
    <cellStyle name="Normal 4 2 24 2 2 2 4" xfId="29834"/>
    <cellStyle name="Normal 4 2 24 2 2 3" xfId="13038"/>
    <cellStyle name="Normal 4 2 24 2 2 3 2" xfId="32921"/>
    <cellStyle name="Normal 4 2 24 2 2 4" xfId="19190"/>
    <cellStyle name="Normal 4 2 24 2 2 4 2" xfId="39073"/>
    <cellStyle name="Normal 4 2 24 2 2 5" xfId="26768"/>
    <cellStyle name="Normal 4 2 24 2 3" xfId="8376"/>
    <cellStyle name="Normal 4 2 24 2 3 2" xfId="14570"/>
    <cellStyle name="Normal 4 2 24 2 3 2 2" xfId="34453"/>
    <cellStyle name="Normal 4 2 24 2 3 3" xfId="20722"/>
    <cellStyle name="Normal 4 2 24 2 3 3 2" xfId="40605"/>
    <cellStyle name="Normal 4 2 24 2 3 4" xfId="28300"/>
    <cellStyle name="Normal 4 2 24 2 4" xfId="11504"/>
    <cellStyle name="Normal 4 2 24 2 4 2" xfId="31387"/>
    <cellStyle name="Normal 4 2 24 2 5" xfId="17656"/>
    <cellStyle name="Normal 4 2 24 2 5 2" xfId="37539"/>
    <cellStyle name="Normal 4 2 24 2 6" xfId="25234"/>
    <cellStyle name="Normal 4 2 24 3" xfId="6042"/>
    <cellStyle name="Normal 4 2 24 3 2" xfId="9142"/>
    <cellStyle name="Normal 4 2 24 3 2 2" xfId="15335"/>
    <cellStyle name="Normal 4 2 24 3 2 2 2" xfId="35218"/>
    <cellStyle name="Normal 4 2 24 3 2 3" xfId="21487"/>
    <cellStyle name="Normal 4 2 24 3 2 3 2" xfId="41370"/>
    <cellStyle name="Normal 4 2 24 3 2 4" xfId="29065"/>
    <cellStyle name="Normal 4 2 24 3 3" xfId="12269"/>
    <cellStyle name="Normal 4 2 24 3 3 2" xfId="32152"/>
    <cellStyle name="Normal 4 2 24 3 4" xfId="18421"/>
    <cellStyle name="Normal 4 2 24 3 4 2" xfId="38304"/>
    <cellStyle name="Normal 4 2 24 3 5" xfId="25999"/>
    <cellStyle name="Normal 4 2 24 4" xfId="7607"/>
    <cellStyle name="Normal 4 2 24 4 2" xfId="13801"/>
    <cellStyle name="Normal 4 2 24 4 2 2" xfId="33684"/>
    <cellStyle name="Normal 4 2 24 4 3" xfId="19953"/>
    <cellStyle name="Normal 4 2 24 4 3 2" xfId="39836"/>
    <cellStyle name="Normal 4 2 24 4 4" xfId="27531"/>
    <cellStyle name="Normal 4 2 24 5" xfId="10735"/>
    <cellStyle name="Normal 4 2 24 5 2" xfId="30618"/>
    <cellStyle name="Normal 4 2 24 6" xfId="16887"/>
    <cellStyle name="Normal 4 2 24 6 2" xfId="36770"/>
    <cellStyle name="Normal 4 2 24 7" xfId="24465"/>
    <cellStyle name="Normal 4 2 25" xfId="3960"/>
    <cellStyle name="Normal 4 2 26" xfId="3961"/>
    <cellStyle name="Normal 4 2 26 2" xfId="3962"/>
    <cellStyle name="Normal 4 2 27" xfId="3963"/>
    <cellStyle name="Normal 4 2 27 2" xfId="3964"/>
    <cellStyle name="Normal 4 2 28" xfId="10261"/>
    <cellStyle name="Normal 4 2 29" xfId="3939"/>
    <cellStyle name="Normal 4 2 3" xfId="3965"/>
    <cellStyle name="Normal 4 2 3 2" xfId="3966"/>
    <cellStyle name="Normal 4 2 3 2 2" xfId="5202"/>
    <cellStyle name="Normal 4 2 3 2 2 2" xfId="6827"/>
    <cellStyle name="Normal 4 2 3 2 2 2 2" xfId="9913"/>
    <cellStyle name="Normal 4 2 3 2 2 2 2 2" xfId="16106"/>
    <cellStyle name="Normal 4 2 3 2 2 2 2 2 2" xfId="35989"/>
    <cellStyle name="Normal 4 2 3 2 2 2 2 3" xfId="22258"/>
    <cellStyle name="Normal 4 2 3 2 2 2 2 3 2" xfId="42141"/>
    <cellStyle name="Normal 4 2 3 2 2 2 2 4" xfId="29836"/>
    <cellStyle name="Normal 4 2 3 2 2 2 3" xfId="13040"/>
    <cellStyle name="Normal 4 2 3 2 2 2 3 2" xfId="32923"/>
    <cellStyle name="Normal 4 2 3 2 2 2 4" xfId="19192"/>
    <cellStyle name="Normal 4 2 3 2 2 2 4 2" xfId="39075"/>
    <cellStyle name="Normal 4 2 3 2 2 2 5" xfId="26770"/>
    <cellStyle name="Normal 4 2 3 2 2 3" xfId="8378"/>
    <cellStyle name="Normal 4 2 3 2 2 3 2" xfId="14572"/>
    <cellStyle name="Normal 4 2 3 2 2 3 2 2" xfId="34455"/>
    <cellStyle name="Normal 4 2 3 2 2 3 3" xfId="20724"/>
    <cellStyle name="Normal 4 2 3 2 2 3 3 2" xfId="40607"/>
    <cellStyle name="Normal 4 2 3 2 2 3 4" xfId="28302"/>
    <cellStyle name="Normal 4 2 3 2 2 4" xfId="11506"/>
    <cellStyle name="Normal 4 2 3 2 2 4 2" xfId="31389"/>
    <cellStyle name="Normal 4 2 3 2 2 5" xfId="17658"/>
    <cellStyle name="Normal 4 2 3 2 2 5 2" xfId="37541"/>
    <cellStyle name="Normal 4 2 3 2 2 6" xfId="25236"/>
    <cellStyle name="Normal 4 2 3 2 3" xfId="6044"/>
    <cellStyle name="Normal 4 2 3 2 3 2" xfId="9144"/>
    <cellStyle name="Normal 4 2 3 2 3 2 2" xfId="15337"/>
    <cellStyle name="Normal 4 2 3 2 3 2 2 2" xfId="35220"/>
    <cellStyle name="Normal 4 2 3 2 3 2 3" xfId="21489"/>
    <cellStyle name="Normal 4 2 3 2 3 2 3 2" xfId="41372"/>
    <cellStyle name="Normal 4 2 3 2 3 2 4" xfId="29067"/>
    <cellStyle name="Normal 4 2 3 2 3 3" xfId="12271"/>
    <cellStyle name="Normal 4 2 3 2 3 3 2" xfId="32154"/>
    <cellStyle name="Normal 4 2 3 2 3 4" xfId="18423"/>
    <cellStyle name="Normal 4 2 3 2 3 4 2" xfId="38306"/>
    <cellStyle name="Normal 4 2 3 2 3 5" xfId="26001"/>
    <cellStyle name="Normal 4 2 3 2 4" xfId="7609"/>
    <cellStyle name="Normal 4 2 3 2 4 2" xfId="13803"/>
    <cellStyle name="Normal 4 2 3 2 4 2 2" xfId="33686"/>
    <cellStyle name="Normal 4 2 3 2 4 3" xfId="19955"/>
    <cellStyle name="Normal 4 2 3 2 4 3 2" xfId="39838"/>
    <cellStyle name="Normal 4 2 3 2 4 4" xfId="27533"/>
    <cellStyle name="Normal 4 2 3 2 5" xfId="10737"/>
    <cellStyle name="Normal 4 2 3 2 5 2" xfId="30620"/>
    <cellStyle name="Normal 4 2 3 2 6" xfId="16889"/>
    <cellStyle name="Normal 4 2 3 2 6 2" xfId="36772"/>
    <cellStyle name="Normal 4 2 3 2 7" xfId="24467"/>
    <cellStyle name="Normal 4 2 3 3" xfId="5201"/>
    <cellStyle name="Normal 4 2 3 3 2" xfId="6826"/>
    <cellStyle name="Normal 4 2 3 3 2 2" xfId="9912"/>
    <cellStyle name="Normal 4 2 3 3 2 2 2" xfId="16105"/>
    <cellStyle name="Normal 4 2 3 3 2 2 2 2" xfId="35988"/>
    <cellStyle name="Normal 4 2 3 3 2 2 3" xfId="22257"/>
    <cellStyle name="Normal 4 2 3 3 2 2 3 2" xfId="42140"/>
    <cellStyle name="Normal 4 2 3 3 2 2 4" xfId="29835"/>
    <cellStyle name="Normal 4 2 3 3 2 3" xfId="13039"/>
    <cellStyle name="Normal 4 2 3 3 2 3 2" xfId="32922"/>
    <cellStyle name="Normal 4 2 3 3 2 4" xfId="19191"/>
    <cellStyle name="Normal 4 2 3 3 2 4 2" xfId="39074"/>
    <cellStyle name="Normal 4 2 3 3 2 5" xfId="26769"/>
    <cellStyle name="Normal 4 2 3 3 3" xfId="8377"/>
    <cellStyle name="Normal 4 2 3 3 3 2" xfId="14571"/>
    <cellStyle name="Normal 4 2 3 3 3 2 2" xfId="34454"/>
    <cellStyle name="Normal 4 2 3 3 3 3" xfId="20723"/>
    <cellStyle name="Normal 4 2 3 3 3 3 2" xfId="40606"/>
    <cellStyle name="Normal 4 2 3 3 3 4" xfId="28301"/>
    <cellStyle name="Normal 4 2 3 3 4" xfId="11505"/>
    <cellStyle name="Normal 4 2 3 3 4 2" xfId="31388"/>
    <cellStyle name="Normal 4 2 3 3 5" xfId="17657"/>
    <cellStyle name="Normal 4 2 3 3 5 2" xfId="37540"/>
    <cellStyle name="Normal 4 2 3 3 6" xfId="25235"/>
    <cellStyle name="Normal 4 2 3 4" xfId="6043"/>
    <cellStyle name="Normal 4 2 3 4 2" xfId="9143"/>
    <cellStyle name="Normal 4 2 3 4 2 2" xfId="15336"/>
    <cellStyle name="Normal 4 2 3 4 2 2 2" xfId="35219"/>
    <cellStyle name="Normal 4 2 3 4 2 3" xfId="21488"/>
    <cellStyle name="Normal 4 2 3 4 2 3 2" xfId="41371"/>
    <cellStyle name="Normal 4 2 3 4 2 4" xfId="29066"/>
    <cellStyle name="Normal 4 2 3 4 3" xfId="12270"/>
    <cellStyle name="Normal 4 2 3 4 3 2" xfId="32153"/>
    <cellStyle name="Normal 4 2 3 4 4" xfId="18422"/>
    <cellStyle name="Normal 4 2 3 4 4 2" xfId="38305"/>
    <cellStyle name="Normal 4 2 3 4 5" xfId="26000"/>
    <cellStyle name="Normal 4 2 3 5" xfId="7608"/>
    <cellStyle name="Normal 4 2 3 5 2" xfId="13802"/>
    <cellStyle name="Normal 4 2 3 5 2 2" xfId="33685"/>
    <cellStyle name="Normal 4 2 3 5 3" xfId="19954"/>
    <cellStyle name="Normal 4 2 3 5 3 2" xfId="39837"/>
    <cellStyle name="Normal 4 2 3 5 4" xfId="27532"/>
    <cellStyle name="Normal 4 2 3 6" xfId="10736"/>
    <cellStyle name="Normal 4 2 3 6 2" xfId="30619"/>
    <cellStyle name="Normal 4 2 3 7" xfId="16888"/>
    <cellStyle name="Normal 4 2 3 7 2" xfId="36771"/>
    <cellStyle name="Normal 4 2 3 8" xfId="24466"/>
    <cellStyle name="Normal 4 2 30" xfId="23277"/>
    <cellStyle name="Normal 4 2 4" xfId="3967"/>
    <cellStyle name="Normal 4 2 4 2" xfId="3968"/>
    <cellStyle name="Normal 4 2 4 2 2" xfId="5204"/>
    <cellStyle name="Normal 4 2 4 2 2 2" xfId="6829"/>
    <cellStyle name="Normal 4 2 4 2 2 2 2" xfId="9915"/>
    <cellStyle name="Normal 4 2 4 2 2 2 2 2" xfId="16108"/>
    <cellStyle name="Normal 4 2 4 2 2 2 2 2 2" xfId="35991"/>
    <cellStyle name="Normal 4 2 4 2 2 2 2 3" xfId="22260"/>
    <cellStyle name="Normal 4 2 4 2 2 2 2 3 2" xfId="42143"/>
    <cellStyle name="Normal 4 2 4 2 2 2 2 4" xfId="29838"/>
    <cellStyle name="Normal 4 2 4 2 2 2 3" xfId="13042"/>
    <cellStyle name="Normal 4 2 4 2 2 2 3 2" xfId="32925"/>
    <cellStyle name="Normal 4 2 4 2 2 2 4" xfId="19194"/>
    <cellStyle name="Normal 4 2 4 2 2 2 4 2" xfId="39077"/>
    <cellStyle name="Normal 4 2 4 2 2 2 5" xfId="26772"/>
    <cellStyle name="Normal 4 2 4 2 2 3" xfId="8380"/>
    <cellStyle name="Normal 4 2 4 2 2 3 2" xfId="14574"/>
    <cellStyle name="Normal 4 2 4 2 2 3 2 2" xfId="34457"/>
    <cellStyle name="Normal 4 2 4 2 2 3 3" xfId="20726"/>
    <cellStyle name="Normal 4 2 4 2 2 3 3 2" xfId="40609"/>
    <cellStyle name="Normal 4 2 4 2 2 3 4" xfId="28304"/>
    <cellStyle name="Normal 4 2 4 2 2 4" xfId="11508"/>
    <cellStyle name="Normal 4 2 4 2 2 4 2" xfId="31391"/>
    <cellStyle name="Normal 4 2 4 2 2 5" xfId="17660"/>
    <cellStyle name="Normal 4 2 4 2 2 5 2" xfId="37543"/>
    <cellStyle name="Normal 4 2 4 2 2 6" xfId="25238"/>
    <cellStyle name="Normal 4 2 4 2 3" xfId="6046"/>
    <cellStyle name="Normal 4 2 4 2 3 2" xfId="9146"/>
    <cellStyle name="Normal 4 2 4 2 3 2 2" xfId="15339"/>
    <cellStyle name="Normal 4 2 4 2 3 2 2 2" xfId="35222"/>
    <cellStyle name="Normal 4 2 4 2 3 2 3" xfId="21491"/>
    <cellStyle name="Normal 4 2 4 2 3 2 3 2" xfId="41374"/>
    <cellStyle name="Normal 4 2 4 2 3 2 4" xfId="29069"/>
    <cellStyle name="Normal 4 2 4 2 3 3" xfId="12273"/>
    <cellStyle name="Normal 4 2 4 2 3 3 2" xfId="32156"/>
    <cellStyle name="Normal 4 2 4 2 3 4" xfId="18425"/>
    <cellStyle name="Normal 4 2 4 2 3 4 2" xfId="38308"/>
    <cellStyle name="Normal 4 2 4 2 3 5" xfId="26003"/>
    <cellStyle name="Normal 4 2 4 2 4" xfId="7611"/>
    <cellStyle name="Normal 4 2 4 2 4 2" xfId="13805"/>
    <cellStyle name="Normal 4 2 4 2 4 2 2" xfId="33688"/>
    <cellStyle name="Normal 4 2 4 2 4 3" xfId="19957"/>
    <cellStyle name="Normal 4 2 4 2 4 3 2" xfId="39840"/>
    <cellStyle name="Normal 4 2 4 2 4 4" xfId="27535"/>
    <cellStyle name="Normal 4 2 4 2 5" xfId="10739"/>
    <cellStyle name="Normal 4 2 4 2 5 2" xfId="30622"/>
    <cellStyle name="Normal 4 2 4 2 6" xfId="16891"/>
    <cellStyle name="Normal 4 2 4 2 6 2" xfId="36774"/>
    <cellStyle name="Normal 4 2 4 2 7" xfId="24469"/>
    <cellStyle name="Normal 4 2 4 3" xfId="5203"/>
    <cellStyle name="Normal 4 2 4 3 2" xfId="6828"/>
    <cellStyle name="Normal 4 2 4 3 2 2" xfId="9914"/>
    <cellStyle name="Normal 4 2 4 3 2 2 2" xfId="16107"/>
    <cellStyle name="Normal 4 2 4 3 2 2 2 2" xfId="35990"/>
    <cellStyle name="Normal 4 2 4 3 2 2 3" xfId="22259"/>
    <cellStyle name="Normal 4 2 4 3 2 2 3 2" xfId="42142"/>
    <cellStyle name="Normal 4 2 4 3 2 2 4" xfId="29837"/>
    <cellStyle name="Normal 4 2 4 3 2 3" xfId="13041"/>
    <cellStyle name="Normal 4 2 4 3 2 3 2" xfId="32924"/>
    <cellStyle name="Normal 4 2 4 3 2 4" xfId="19193"/>
    <cellStyle name="Normal 4 2 4 3 2 4 2" xfId="39076"/>
    <cellStyle name="Normal 4 2 4 3 2 5" xfId="26771"/>
    <cellStyle name="Normal 4 2 4 3 3" xfId="8379"/>
    <cellStyle name="Normal 4 2 4 3 3 2" xfId="14573"/>
    <cellStyle name="Normal 4 2 4 3 3 2 2" xfId="34456"/>
    <cellStyle name="Normal 4 2 4 3 3 3" xfId="20725"/>
    <cellStyle name="Normal 4 2 4 3 3 3 2" xfId="40608"/>
    <cellStyle name="Normal 4 2 4 3 3 4" xfId="28303"/>
    <cellStyle name="Normal 4 2 4 3 4" xfId="11507"/>
    <cellStyle name="Normal 4 2 4 3 4 2" xfId="31390"/>
    <cellStyle name="Normal 4 2 4 3 5" xfId="17659"/>
    <cellStyle name="Normal 4 2 4 3 5 2" xfId="37542"/>
    <cellStyle name="Normal 4 2 4 3 6" xfId="25237"/>
    <cellStyle name="Normal 4 2 4 4" xfId="6045"/>
    <cellStyle name="Normal 4 2 4 4 2" xfId="9145"/>
    <cellStyle name="Normal 4 2 4 4 2 2" xfId="15338"/>
    <cellStyle name="Normal 4 2 4 4 2 2 2" xfId="35221"/>
    <cellStyle name="Normal 4 2 4 4 2 3" xfId="21490"/>
    <cellStyle name="Normal 4 2 4 4 2 3 2" xfId="41373"/>
    <cellStyle name="Normal 4 2 4 4 2 4" xfId="29068"/>
    <cellStyle name="Normal 4 2 4 4 3" xfId="12272"/>
    <cellStyle name="Normal 4 2 4 4 3 2" xfId="32155"/>
    <cellStyle name="Normal 4 2 4 4 4" xfId="18424"/>
    <cellStyle name="Normal 4 2 4 4 4 2" xfId="38307"/>
    <cellStyle name="Normal 4 2 4 4 5" xfId="26002"/>
    <cellStyle name="Normal 4 2 4 5" xfId="7610"/>
    <cellStyle name="Normal 4 2 4 5 2" xfId="13804"/>
    <cellStyle name="Normal 4 2 4 5 2 2" xfId="33687"/>
    <cellStyle name="Normal 4 2 4 5 3" xfId="19956"/>
    <cellStyle name="Normal 4 2 4 5 3 2" xfId="39839"/>
    <cellStyle name="Normal 4 2 4 5 4" xfId="27534"/>
    <cellStyle name="Normal 4 2 4 6" xfId="10738"/>
    <cellStyle name="Normal 4 2 4 6 2" xfId="30621"/>
    <cellStyle name="Normal 4 2 4 7" xfId="16890"/>
    <cellStyle name="Normal 4 2 4 7 2" xfId="36773"/>
    <cellStyle name="Normal 4 2 4 8" xfId="24468"/>
    <cellStyle name="Normal 4 2 5" xfId="3969"/>
    <cellStyle name="Normal 4 2 5 2" xfId="3970"/>
    <cellStyle name="Normal 4 2 5 2 2" xfId="5206"/>
    <cellStyle name="Normal 4 2 5 2 2 2" xfId="6831"/>
    <cellStyle name="Normal 4 2 5 2 2 2 2" xfId="9917"/>
    <cellStyle name="Normal 4 2 5 2 2 2 2 2" xfId="16110"/>
    <cellStyle name="Normal 4 2 5 2 2 2 2 2 2" xfId="35993"/>
    <cellStyle name="Normal 4 2 5 2 2 2 2 3" xfId="22262"/>
    <cellStyle name="Normal 4 2 5 2 2 2 2 3 2" xfId="42145"/>
    <cellStyle name="Normal 4 2 5 2 2 2 2 4" xfId="29840"/>
    <cellStyle name="Normal 4 2 5 2 2 2 3" xfId="13044"/>
    <cellStyle name="Normal 4 2 5 2 2 2 3 2" xfId="32927"/>
    <cellStyle name="Normal 4 2 5 2 2 2 4" xfId="19196"/>
    <cellStyle name="Normal 4 2 5 2 2 2 4 2" xfId="39079"/>
    <cellStyle name="Normal 4 2 5 2 2 2 5" xfId="26774"/>
    <cellStyle name="Normal 4 2 5 2 2 3" xfId="8382"/>
    <cellStyle name="Normal 4 2 5 2 2 3 2" xfId="14576"/>
    <cellStyle name="Normal 4 2 5 2 2 3 2 2" xfId="34459"/>
    <cellStyle name="Normal 4 2 5 2 2 3 3" xfId="20728"/>
    <cellStyle name="Normal 4 2 5 2 2 3 3 2" xfId="40611"/>
    <cellStyle name="Normal 4 2 5 2 2 3 4" xfId="28306"/>
    <cellStyle name="Normal 4 2 5 2 2 4" xfId="11510"/>
    <cellStyle name="Normal 4 2 5 2 2 4 2" xfId="31393"/>
    <cellStyle name="Normal 4 2 5 2 2 5" xfId="17662"/>
    <cellStyle name="Normal 4 2 5 2 2 5 2" xfId="37545"/>
    <cellStyle name="Normal 4 2 5 2 2 6" xfId="25240"/>
    <cellStyle name="Normal 4 2 5 2 3" xfId="6048"/>
    <cellStyle name="Normal 4 2 5 2 3 2" xfId="9148"/>
    <cellStyle name="Normal 4 2 5 2 3 2 2" xfId="15341"/>
    <cellStyle name="Normal 4 2 5 2 3 2 2 2" xfId="35224"/>
    <cellStyle name="Normal 4 2 5 2 3 2 3" xfId="21493"/>
    <cellStyle name="Normal 4 2 5 2 3 2 3 2" xfId="41376"/>
    <cellStyle name="Normal 4 2 5 2 3 2 4" xfId="29071"/>
    <cellStyle name="Normal 4 2 5 2 3 3" xfId="12275"/>
    <cellStyle name="Normal 4 2 5 2 3 3 2" xfId="32158"/>
    <cellStyle name="Normal 4 2 5 2 3 4" xfId="18427"/>
    <cellStyle name="Normal 4 2 5 2 3 4 2" xfId="38310"/>
    <cellStyle name="Normal 4 2 5 2 3 5" xfId="26005"/>
    <cellStyle name="Normal 4 2 5 2 4" xfId="7613"/>
    <cellStyle name="Normal 4 2 5 2 4 2" xfId="13807"/>
    <cellStyle name="Normal 4 2 5 2 4 2 2" xfId="33690"/>
    <cellStyle name="Normal 4 2 5 2 4 3" xfId="19959"/>
    <cellStyle name="Normal 4 2 5 2 4 3 2" xfId="39842"/>
    <cellStyle name="Normal 4 2 5 2 4 4" xfId="27537"/>
    <cellStyle name="Normal 4 2 5 2 5" xfId="10741"/>
    <cellStyle name="Normal 4 2 5 2 5 2" xfId="30624"/>
    <cellStyle name="Normal 4 2 5 2 6" xfId="16893"/>
    <cellStyle name="Normal 4 2 5 2 6 2" xfId="36776"/>
    <cellStyle name="Normal 4 2 5 2 7" xfId="24471"/>
    <cellStyle name="Normal 4 2 5 3" xfId="5205"/>
    <cellStyle name="Normal 4 2 5 3 2" xfId="6830"/>
    <cellStyle name="Normal 4 2 5 3 2 2" xfId="9916"/>
    <cellStyle name="Normal 4 2 5 3 2 2 2" xfId="16109"/>
    <cellStyle name="Normal 4 2 5 3 2 2 2 2" xfId="35992"/>
    <cellStyle name="Normal 4 2 5 3 2 2 3" xfId="22261"/>
    <cellStyle name="Normal 4 2 5 3 2 2 3 2" xfId="42144"/>
    <cellStyle name="Normal 4 2 5 3 2 2 4" xfId="29839"/>
    <cellStyle name="Normal 4 2 5 3 2 3" xfId="13043"/>
    <cellStyle name="Normal 4 2 5 3 2 3 2" xfId="32926"/>
    <cellStyle name="Normal 4 2 5 3 2 4" xfId="19195"/>
    <cellStyle name="Normal 4 2 5 3 2 4 2" xfId="39078"/>
    <cellStyle name="Normal 4 2 5 3 2 5" xfId="26773"/>
    <cellStyle name="Normal 4 2 5 3 3" xfId="8381"/>
    <cellStyle name="Normal 4 2 5 3 3 2" xfId="14575"/>
    <cellStyle name="Normal 4 2 5 3 3 2 2" xfId="34458"/>
    <cellStyle name="Normal 4 2 5 3 3 3" xfId="20727"/>
    <cellStyle name="Normal 4 2 5 3 3 3 2" xfId="40610"/>
    <cellStyle name="Normal 4 2 5 3 3 4" xfId="28305"/>
    <cellStyle name="Normal 4 2 5 3 4" xfId="11509"/>
    <cellStyle name="Normal 4 2 5 3 4 2" xfId="31392"/>
    <cellStyle name="Normal 4 2 5 3 5" xfId="17661"/>
    <cellStyle name="Normal 4 2 5 3 5 2" xfId="37544"/>
    <cellStyle name="Normal 4 2 5 3 6" xfId="25239"/>
    <cellStyle name="Normal 4 2 5 4" xfId="6047"/>
    <cellStyle name="Normal 4 2 5 4 2" xfId="9147"/>
    <cellStyle name="Normal 4 2 5 4 2 2" xfId="15340"/>
    <cellStyle name="Normal 4 2 5 4 2 2 2" xfId="35223"/>
    <cellStyle name="Normal 4 2 5 4 2 3" xfId="21492"/>
    <cellStyle name="Normal 4 2 5 4 2 3 2" xfId="41375"/>
    <cellStyle name="Normal 4 2 5 4 2 4" xfId="29070"/>
    <cellStyle name="Normal 4 2 5 4 3" xfId="12274"/>
    <cellStyle name="Normal 4 2 5 4 3 2" xfId="32157"/>
    <cellStyle name="Normal 4 2 5 4 4" xfId="18426"/>
    <cellStyle name="Normal 4 2 5 4 4 2" xfId="38309"/>
    <cellStyle name="Normal 4 2 5 4 5" xfId="26004"/>
    <cellStyle name="Normal 4 2 5 5" xfId="7612"/>
    <cellStyle name="Normal 4 2 5 5 2" xfId="13806"/>
    <cellStyle name="Normal 4 2 5 5 2 2" xfId="33689"/>
    <cellStyle name="Normal 4 2 5 5 3" xfId="19958"/>
    <cellStyle name="Normal 4 2 5 5 3 2" xfId="39841"/>
    <cellStyle name="Normal 4 2 5 5 4" xfId="27536"/>
    <cellStyle name="Normal 4 2 5 6" xfId="10740"/>
    <cellStyle name="Normal 4 2 5 6 2" xfId="30623"/>
    <cellStyle name="Normal 4 2 5 7" xfId="16892"/>
    <cellStyle name="Normal 4 2 5 7 2" xfId="36775"/>
    <cellStyle name="Normal 4 2 5 8" xfId="24470"/>
    <cellStyle name="Normal 4 2 6" xfId="3971"/>
    <cellStyle name="Normal 4 2 6 2" xfId="5207"/>
    <cellStyle name="Normal 4 2 6 2 2" xfId="6832"/>
    <cellStyle name="Normal 4 2 6 2 2 2" xfId="9918"/>
    <cellStyle name="Normal 4 2 6 2 2 2 2" xfId="16111"/>
    <cellStyle name="Normal 4 2 6 2 2 2 2 2" xfId="35994"/>
    <cellStyle name="Normal 4 2 6 2 2 2 3" xfId="22263"/>
    <cellStyle name="Normal 4 2 6 2 2 2 3 2" xfId="42146"/>
    <cellStyle name="Normal 4 2 6 2 2 2 4" xfId="29841"/>
    <cellStyle name="Normal 4 2 6 2 2 3" xfId="13045"/>
    <cellStyle name="Normal 4 2 6 2 2 3 2" xfId="32928"/>
    <cellStyle name="Normal 4 2 6 2 2 4" xfId="19197"/>
    <cellStyle name="Normal 4 2 6 2 2 4 2" xfId="39080"/>
    <cellStyle name="Normal 4 2 6 2 2 5" xfId="26775"/>
    <cellStyle name="Normal 4 2 6 2 3" xfId="8383"/>
    <cellStyle name="Normal 4 2 6 2 3 2" xfId="14577"/>
    <cellStyle name="Normal 4 2 6 2 3 2 2" xfId="34460"/>
    <cellStyle name="Normal 4 2 6 2 3 3" xfId="20729"/>
    <cellStyle name="Normal 4 2 6 2 3 3 2" xfId="40612"/>
    <cellStyle name="Normal 4 2 6 2 3 4" xfId="28307"/>
    <cellStyle name="Normal 4 2 6 2 4" xfId="11511"/>
    <cellStyle name="Normal 4 2 6 2 4 2" xfId="31394"/>
    <cellStyle name="Normal 4 2 6 2 5" xfId="17663"/>
    <cellStyle name="Normal 4 2 6 2 5 2" xfId="37546"/>
    <cellStyle name="Normal 4 2 6 2 6" xfId="25241"/>
    <cellStyle name="Normal 4 2 6 3" xfId="6049"/>
    <cellStyle name="Normal 4 2 6 3 2" xfId="9149"/>
    <cellStyle name="Normal 4 2 6 3 2 2" xfId="15342"/>
    <cellStyle name="Normal 4 2 6 3 2 2 2" xfId="35225"/>
    <cellStyle name="Normal 4 2 6 3 2 3" xfId="21494"/>
    <cellStyle name="Normal 4 2 6 3 2 3 2" xfId="41377"/>
    <cellStyle name="Normal 4 2 6 3 2 4" xfId="29072"/>
    <cellStyle name="Normal 4 2 6 3 3" xfId="12276"/>
    <cellStyle name="Normal 4 2 6 3 3 2" xfId="32159"/>
    <cellStyle name="Normal 4 2 6 3 4" xfId="18428"/>
    <cellStyle name="Normal 4 2 6 3 4 2" xfId="38311"/>
    <cellStyle name="Normal 4 2 6 3 5" xfId="26006"/>
    <cellStyle name="Normal 4 2 6 4" xfId="7614"/>
    <cellStyle name="Normal 4 2 6 4 2" xfId="13808"/>
    <cellStyle name="Normal 4 2 6 4 2 2" xfId="33691"/>
    <cellStyle name="Normal 4 2 6 4 3" xfId="19960"/>
    <cellStyle name="Normal 4 2 6 4 3 2" xfId="39843"/>
    <cellStyle name="Normal 4 2 6 4 4" xfId="27538"/>
    <cellStyle name="Normal 4 2 6 5" xfId="10742"/>
    <cellStyle name="Normal 4 2 6 5 2" xfId="30625"/>
    <cellStyle name="Normal 4 2 6 6" xfId="16894"/>
    <cellStyle name="Normal 4 2 6 6 2" xfId="36777"/>
    <cellStyle name="Normal 4 2 6 7" xfId="24472"/>
    <cellStyle name="Normal 4 2 7" xfId="3972"/>
    <cellStyle name="Normal 4 2 7 2" xfId="5208"/>
    <cellStyle name="Normal 4 2 7 2 2" xfId="6833"/>
    <cellStyle name="Normal 4 2 7 2 2 2" xfId="9919"/>
    <cellStyle name="Normal 4 2 7 2 2 2 2" xfId="16112"/>
    <cellStyle name="Normal 4 2 7 2 2 2 2 2" xfId="35995"/>
    <cellStyle name="Normal 4 2 7 2 2 2 3" xfId="22264"/>
    <cellStyle name="Normal 4 2 7 2 2 2 3 2" xfId="42147"/>
    <cellStyle name="Normal 4 2 7 2 2 2 4" xfId="29842"/>
    <cellStyle name="Normal 4 2 7 2 2 3" xfId="13046"/>
    <cellStyle name="Normal 4 2 7 2 2 3 2" xfId="32929"/>
    <cellStyle name="Normal 4 2 7 2 2 4" xfId="19198"/>
    <cellStyle name="Normal 4 2 7 2 2 4 2" xfId="39081"/>
    <cellStyle name="Normal 4 2 7 2 2 5" xfId="26776"/>
    <cellStyle name="Normal 4 2 7 2 3" xfId="8384"/>
    <cellStyle name="Normal 4 2 7 2 3 2" xfId="14578"/>
    <cellStyle name="Normal 4 2 7 2 3 2 2" xfId="34461"/>
    <cellStyle name="Normal 4 2 7 2 3 3" xfId="20730"/>
    <cellStyle name="Normal 4 2 7 2 3 3 2" xfId="40613"/>
    <cellStyle name="Normal 4 2 7 2 3 4" xfId="28308"/>
    <cellStyle name="Normal 4 2 7 2 4" xfId="11512"/>
    <cellStyle name="Normal 4 2 7 2 4 2" xfId="31395"/>
    <cellStyle name="Normal 4 2 7 2 5" xfId="17664"/>
    <cellStyle name="Normal 4 2 7 2 5 2" xfId="37547"/>
    <cellStyle name="Normal 4 2 7 2 6" xfId="25242"/>
    <cellStyle name="Normal 4 2 7 3" xfId="6050"/>
    <cellStyle name="Normal 4 2 7 3 2" xfId="9150"/>
    <cellStyle name="Normal 4 2 7 3 2 2" xfId="15343"/>
    <cellStyle name="Normal 4 2 7 3 2 2 2" xfId="35226"/>
    <cellStyle name="Normal 4 2 7 3 2 3" xfId="21495"/>
    <cellStyle name="Normal 4 2 7 3 2 3 2" xfId="41378"/>
    <cellStyle name="Normal 4 2 7 3 2 4" xfId="29073"/>
    <cellStyle name="Normal 4 2 7 3 3" xfId="12277"/>
    <cellStyle name="Normal 4 2 7 3 3 2" xfId="32160"/>
    <cellStyle name="Normal 4 2 7 3 4" xfId="18429"/>
    <cellStyle name="Normal 4 2 7 3 4 2" xfId="38312"/>
    <cellStyle name="Normal 4 2 7 3 5" xfId="26007"/>
    <cellStyle name="Normal 4 2 7 4" xfId="7615"/>
    <cellStyle name="Normal 4 2 7 4 2" xfId="13809"/>
    <cellStyle name="Normal 4 2 7 4 2 2" xfId="33692"/>
    <cellStyle name="Normal 4 2 7 4 3" xfId="19961"/>
    <cellStyle name="Normal 4 2 7 4 3 2" xfId="39844"/>
    <cellStyle name="Normal 4 2 7 4 4" xfId="27539"/>
    <cellStyle name="Normal 4 2 7 5" xfId="10743"/>
    <cellStyle name="Normal 4 2 7 5 2" xfId="30626"/>
    <cellStyle name="Normal 4 2 7 6" xfId="16895"/>
    <cellStyle name="Normal 4 2 7 6 2" xfId="36778"/>
    <cellStyle name="Normal 4 2 7 7" xfId="24473"/>
    <cellStyle name="Normal 4 2 8" xfId="3973"/>
    <cellStyle name="Normal 4 2 8 2" xfId="5209"/>
    <cellStyle name="Normal 4 2 8 2 2" xfId="6834"/>
    <cellStyle name="Normal 4 2 8 2 2 2" xfId="9920"/>
    <cellStyle name="Normal 4 2 8 2 2 2 2" xfId="16113"/>
    <cellStyle name="Normal 4 2 8 2 2 2 2 2" xfId="35996"/>
    <cellStyle name="Normal 4 2 8 2 2 2 3" xfId="22265"/>
    <cellStyle name="Normal 4 2 8 2 2 2 3 2" xfId="42148"/>
    <cellStyle name="Normal 4 2 8 2 2 2 4" xfId="29843"/>
    <cellStyle name="Normal 4 2 8 2 2 3" xfId="13047"/>
    <cellStyle name="Normal 4 2 8 2 2 3 2" xfId="32930"/>
    <cellStyle name="Normal 4 2 8 2 2 4" xfId="19199"/>
    <cellStyle name="Normal 4 2 8 2 2 4 2" xfId="39082"/>
    <cellStyle name="Normal 4 2 8 2 2 5" xfId="26777"/>
    <cellStyle name="Normal 4 2 8 2 3" xfId="8385"/>
    <cellStyle name="Normal 4 2 8 2 3 2" xfId="14579"/>
    <cellStyle name="Normal 4 2 8 2 3 2 2" xfId="34462"/>
    <cellStyle name="Normal 4 2 8 2 3 3" xfId="20731"/>
    <cellStyle name="Normal 4 2 8 2 3 3 2" xfId="40614"/>
    <cellStyle name="Normal 4 2 8 2 3 4" xfId="28309"/>
    <cellStyle name="Normal 4 2 8 2 4" xfId="11513"/>
    <cellStyle name="Normal 4 2 8 2 4 2" xfId="31396"/>
    <cellStyle name="Normal 4 2 8 2 5" xfId="17665"/>
    <cellStyle name="Normal 4 2 8 2 5 2" xfId="37548"/>
    <cellStyle name="Normal 4 2 8 2 6" xfId="25243"/>
    <cellStyle name="Normal 4 2 8 3" xfId="6051"/>
    <cellStyle name="Normal 4 2 8 3 2" xfId="9151"/>
    <cellStyle name="Normal 4 2 8 3 2 2" xfId="15344"/>
    <cellStyle name="Normal 4 2 8 3 2 2 2" xfId="35227"/>
    <cellStyle name="Normal 4 2 8 3 2 3" xfId="21496"/>
    <cellStyle name="Normal 4 2 8 3 2 3 2" xfId="41379"/>
    <cellStyle name="Normal 4 2 8 3 2 4" xfId="29074"/>
    <cellStyle name="Normal 4 2 8 3 3" xfId="12278"/>
    <cellStyle name="Normal 4 2 8 3 3 2" xfId="32161"/>
    <cellStyle name="Normal 4 2 8 3 4" xfId="18430"/>
    <cellStyle name="Normal 4 2 8 3 4 2" xfId="38313"/>
    <cellStyle name="Normal 4 2 8 3 5" xfId="26008"/>
    <cellStyle name="Normal 4 2 8 4" xfId="7616"/>
    <cellStyle name="Normal 4 2 8 4 2" xfId="13810"/>
    <cellStyle name="Normal 4 2 8 4 2 2" xfId="33693"/>
    <cellStyle name="Normal 4 2 8 4 3" xfId="19962"/>
    <cellStyle name="Normal 4 2 8 4 3 2" xfId="39845"/>
    <cellStyle name="Normal 4 2 8 4 4" xfId="27540"/>
    <cellStyle name="Normal 4 2 8 5" xfId="10744"/>
    <cellStyle name="Normal 4 2 8 5 2" xfId="30627"/>
    <cellStyle name="Normal 4 2 8 6" xfId="16896"/>
    <cellStyle name="Normal 4 2 8 6 2" xfId="36779"/>
    <cellStyle name="Normal 4 2 8 7" xfId="24474"/>
    <cellStyle name="Normal 4 2 9" xfId="3974"/>
    <cellStyle name="Normal 4 2 9 2" xfId="5210"/>
    <cellStyle name="Normal 4 2 9 2 2" xfId="6835"/>
    <cellStyle name="Normal 4 2 9 2 2 2" xfId="9921"/>
    <cellStyle name="Normal 4 2 9 2 2 2 2" xfId="16114"/>
    <cellStyle name="Normal 4 2 9 2 2 2 2 2" xfId="35997"/>
    <cellStyle name="Normal 4 2 9 2 2 2 3" xfId="22266"/>
    <cellStyle name="Normal 4 2 9 2 2 2 3 2" xfId="42149"/>
    <cellStyle name="Normal 4 2 9 2 2 2 4" xfId="29844"/>
    <cellStyle name="Normal 4 2 9 2 2 3" xfId="13048"/>
    <cellStyle name="Normal 4 2 9 2 2 3 2" xfId="32931"/>
    <cellStyle name="Normal 4 2 9 2 2 4" xfId="19200"/>
    <cellStyle name="Normal 4 2 9 2 2 4 2" xfId="39083"/>
    <cellStyle name="Normal 4 2 9 2 2 5" xfId="26778"/>
    <cellStyle name="Normal 4 2 9 2 3" xfId="8386"/>
    <cellStyle name="Normal 4 2 9 2 3 2" xfId="14580"/>
    <cellStyle name="Normal 4 2 9 2 3 2 2" xfId="34463"/>
    <cellStyle name="Normal 4 2 9 2 3 3" xfId="20732"/>
    <cellStyle name="Normal 4 2 9 2 3 3 2" xfId="40615"/>
    <cellStyle name="Normal 4 2 9 2 3 4" xfId="28310"/>
    <cellStyle name="Normal 4 2 9 2 4" xfId="11514"/>
    <cellStyle name="Normal 4 2 9 2 4 2" xfId="31397"/>
    <cellStyle name="Normal 4 2 9 2 5" xfId="17666"/>
    <cellStyle name="Normal 4 2 9 2 5 2" xfId="37549"/>
    <cellStyle name="Normal 4 2 9 2 6" xfId="25244"/>
    <cellStyle name="Normal 4 2 9 3" xfId="6052"/>
    <cellStyle name="Normal 4 2 9 3 2" xfId="9152"/>
    <cellStyle name="Normal 4 2 9 3 2 2" xfId="15345"/>
    <cellStyle name="Normal 4 2 9 3 2 2 2" xfId="35228"/>
    <cellStyle name="Normal 4 2 9 3 2 3" xfId="21497"/>
    <cellStyle name="Normal 4 2 9 3 2 3 2" xfId="41380"/>
    <cellStyle name="Normal 4 2 9 3 2 4" xfId="29075"/>
    <cellStyle name="Normal 4 2 9 3 3" xfId="12279"/>
    <cellStyle name="Normal 4 2 9 3 3 2" xfId="32162"/>
    <cellStyle name="Normal 4 2 9 3 4" xfId="18431"/>
    <cellStyle name="Normal 4 2 9 3 4 2" xfId="38314"/>
    <cellStyle name="Normal 4 2 9 3 5" xfId="26009"/>
    <cellStyle name="Normal 4 2 9 4" xfId="7617"/>
    <cellStyle name="Normal 4 2 9 4 2" xfId="13811"/>
    <cellStyle name="Normal 4 2 9 4 2 2" xfId="33694"/>
    <cellStyle name="Normal 4 2 9 4 3" xfId="19963"/>
    <cellStyle name="Normal 4 2 9 4 3 2" xfId="39846"/>
    <cellStyle name="Normal 4 2 9 4 4" xfId="27541"/>
    <cellStyle name="Normal 4 2 9 5" xfId="10745"/>
    <cellStyle name="Normal 4 2 9 5 2" xfId="30628"/>
    <cellStyle name="Normal 4 2 9 6" xfId="16897"/>
    <cellStyle name="Normal 4 2 9 6 2" xfId="36780"/>
    <cellStyle name="Normal 4 2 9 7" xfId="24475"/>
    <cellStyle name="Normal 4 20" xfId="563"/>
    <cellStyle name="Normal 4 21" xfId="589"/>
    <cellStyle name="Normal 4 22" xfId="612"/>
    <cellStyle name="Normal 4 23" xfId="629"/>
    <cellStyle name="Normal 4 24" xfId="650"/>
    <cellStyle name="Normal 4 25" xfId="701"/>
    <cellStyle name="Normal 4 26" xfId="733"/>
    <cellStyle name="Normal 4 27" xfId="759"/>
    <cellStyle name="Normal 4 28" xfId="784"/>
    <cellStyle name="Normal 4 29" xfId="808"/>
    <cellStyle name="Normal 4 3" xfId="251"/>
    <cellStyle name="Normal 4 3 10" xfId="10746"/>
    <cellStyle name="Normal 4 3 10 2" xfId="30629"/>
    <cellStyle name="Normal 4 3 11" xfId="16898"/>
    <cellStyle name="Normal 4 3 11 2" xfId="36781"/>
    <cellStyle name="Normal 4 3 12" xfId="3975"/>
    <cellStyle name="Normal 4 3 12 2" xfId="24476"/>
    <cellStyle name="Normal 4 3 13" xfId="23278"/>
    <cellStyle name="Normal 4 3 2" xfId="3976"/>
    <cellStyle name="Normal 4 3 2 10" xfId="16899"/>
    <cellStyle name="Normal 4 3 2 10 2" xfId="36782"/>
    <cellStyle name="Normal 4 3 2 11" xfId="24477"/>
    <cellStyle name="Normal 4 3 2 2" xfId="3977"/>
    <cellStyle name="Normal 4 3 2 2 10" xfId="24478"/>
    <cellStyle name="Normal 4 3 2 2 2" xfId="3978"/>
    <cellStyle name="Normal 4 3 2 2 2 2" xfId="3979"/>
    <cellStyle name="Normal 4 3 2 2 2 2 2" xfId="5215"/>
    <cellStyle name="Normal 4 3 2 2 2 2 2 2" xfId="6840"/>
    <cellStyle name="Normal 4 3 2 2 2 2 2 2 2" xfId="9926"/>
    <cellStyle name="Normal 4 3 2 2 2 2 2 2 2 2" xfId="16119"/>
    <cellStyle name="Normal 4 3 2 2 2 2 2 2 2 2 2" xfId="36002"/>
    <cellStyle name="Normal 4 3 2 2 2 2 2 2 2 3" xfId="22271"/>
    <cellStyle name="Normal 4 3 2 2 2 2 2 2 2 3 2" xfId="42154"/>
    <cellStyle name="Normal 4 3 2 2 2 2 2 2 2 4" xfId="29849"/>
    <cellStyle name="Normal 4 3 2 2 2 2 2 2 3" xfId="13053"/>
    <cellStyle name="Normal 4 3 2 2 2 2 2 2 3 2" xfId="32936"/>
    <cellStyle name="Normal 4 3 2 2 2 2 2 2 4" xfId="19205"/>
    <cellStyle name="Normal 4 3 2 2 2 2 2 2 4 2" xfId="39088"/>
    <cellStyle name="Normal 4 3 2 2 2 2 2 2 5" xfId="26783"/>
    <cellStyle name="Normal 4 3 2 2 2 2 2 3" xfId="8391"/>
    <cellStyle name="Normal 4 3 2 2 2 2 2 3 2" xfId="14585"/>
    <cellStyle name="Normal 4 3 2 2 2 2 2 3 2 2" xfId="34468"/>
    <cellStyle name="Normal 4 3 2 2 2 2 2 3 3" xfId="20737"/>
    <cellStyle name="Normal 4 3 2 2 2 2 2 3 3 2" xfId="40620"/>
    <cellStyle name="Normal 4 3 2 2 2 2 2 3 4" xfId="28315"/>
    <cellStyle name="Normal 4 3 2 2 2 2 2 4" xfId="11519"/>
    <cellStyle name="Normal 4 3 2 2 2 2 2 4 2" xfId="31402"/>
    <cellStyle name="Normal 4 3 2 2 2 2 2 5" xfId="17671"/>
    <cellStyle name="Normal 4 3 2 2 2 2 2 5 2" xfId="37554"/>
    <cellStyle name="Normal 4 3 2 2 2 2 2 6" xfId="25249"/>
    <cellStyle name="Normal 4 3 2 2 2 2 3" xfId="6057"/>
    <cellStyle name="Normal 4 3 2 2 2 2 3 2" xfId="9157"/>
    <cellStyle name="Normal 4 3 2 2 2 2 3 2 2" xfId="15350"/>
    <cellStyle name="Normal 4 3 2 2 2 2 3 2 2 2" xfId="35233"/>
    <cellStyle name="Normal 4 3 2 2 2 2 3 2 3" xfId="21502"/>
    <cellStyle name="Normal 4 3 2 2 2 2 3 2 3 2" xfId="41385"/>
    <cellStyle name="Normal 4 3 2 2 2 2 3 2 4" xfId="29080"/>
    <cellStyle name="Normal 4 3 2 2 2 2 3 3" xfId="12284"/>
    <cellStyle name="Normal 4 3 2 2 2 2 3 3 2" xfId="32167"/>
    <cellStyle name="Normal 4 3 2 2 2 2 3 4" xfId="18436"/>
    <cellStyle name="Normal 4 3 2 2 2 2 3 4 2" xfId="38319"/>
    <cellStyle name="Normal 4 3 2 2 2 2 3 5" xfId="26014"/>
    <cellStyle name="Normal 4 3 2 2 2 2 4" xfId="7622"/>
    <cellStyle name="Normal 4 3 2 2 2 2 4 2" xfId="13816"/>
    <cellStyle name="Normal 4 3 2 2 2 2 4 2 2" xfId="33699"/>
    <cellStyle name="Normal 4 3 2 2 2 2 4 3" xfId="19968"/>
    <cellStyle name="Normal 4 3 2 2 2 2 4 3 2" xfId="39851"/>
    <cellStyle name="Normal 4 3 2 2 2 2 4 4" xfId="27546"/>
    <cellStyle name="Normal 4 3 2 2 2 2 5" xfId="10750"/>
    <cellStyle name="Normal 4 3 2 2 2 2 5 2" xfId="30633"/>
    <cellStyle name="Normal 4 3 2 2 2 2 6" xfId="16902"/>
    <cellStyle name="Normal 4 3 2 2 2 2 6 2" xfId="36785"/>
    <cellStyle name="Normal 4 3 2 2 2 2 7" xfId="24480"/>
    <cellStyle name="Normal 4 3 2 2 2 3" xfId="5214"/>
    <cellStyle name="Normal 4 3 2 2 2 3 2" xfId="6839"/>
    <cellStyle name="Normal 4 3 2 2 2 3 2 2" xfId="9925"/>
    <cellStyle name="Normal 4 3 2 2 2 3 2 2 2" xfId="16118"/>
    <cellStyle name="Normal 4 3 2 2 2 3 2 2 2 2" xfId="36001"/>
    <cellStyle name="Normal 4 3 2 2 2 3 2 2 3" xfId="22270"/>
    <cellStyle name="Normal 4 3 2 2 2 3 2 2 3 2" xfId="42153"/>
    <cellStyle name="Normal 4 3 2 2 2 3 2 2 4" xfId="29848"/>
    <cellStyle name="Normal 4 3 2 2 2 3 2 3" xfId="13052"/>
    <cellStyle name="Normal 4 3 2 2 2 3 2 3 2" xfId="32935"/>
    <cellStyle name="Normal 4 3 2 2 2 3 2 4" xfId="19204"/>
    <cellStyle name="Normal 4 3 2 2 2 3 2 4 2" xfId="39087"/>
    <cellStyle name="Normal 4 3 2 2 2 3 2 5" xfId="26782"/>
    <cellStyle name="Normal 4 3 2 2 2 3 3" xfId="8390"/>
    <cellStyle name="Normal 4 3 2 2 2 3 3 2" xfId="14584"/>
    <cellStyle name="Normal 4 3 2 2 2 3 3 2 2" xfId="34467"/>
    <cellStyle name="Normal 4 3 2 2 2 3 3 3" xfId="20736"/>
    <cellStyle name="Normal 4 3 2 2 2 3 3 3 2" xfId="40619"/>
    <cellStyle name="Normal 4 3 2 2 2 3 3 4" xfId="28314"/>
    <cellStyle name="Normal 4 3 2 2 2 3 4" xfId="11518"/>
    <cellStyle name="Normal 4 3 2 2 2 3 4 2" xfId="31401"/>
    <cellStyle name="Normal 4 3 2 2 2 3 5" xfId="17670"/>
    <cellStyle name="Normal 4 3 2 2 2 3 5 2" xfId="37553"/>
    <cellStyle name="Normal 4 3 2 2 2 3 6" xfId="25248"/>
    <cellStyle name="Normal 4 3 2 2 2 4" xfId="6056"/>
    <cellStyle name="Normal 4 3 2 2 2 4 2" xfId="9156"/>
    <cellStyle name="Normal 4 3 2 2 2 4 2 2" xfId="15349"/>
    <cellStyle name="Normal 4 3 2 2 2 4 2 2 2" xfId="35232"/>
    <cellStyle name="Normal 4 3 2 2 2 4 2 3" xfId="21501"/>
    <cellStyle name="Normal 4 3 2 2 2 4 2 3 2" xfId="41384"/>
    <cellStyle name="Normal 4 3 2 2 2 4 2 4" xfId="29079"/>
    <cellStyle name="Normal 4 3 2 2 2 4 3" xfId="12283"/>
    <cellStyle name="Normal 4 3 2 2 2 4 3 2" xfId="32166"/>
    <cellStyle name="Normal 4 3 2 2 2 4 4" xfId="18435"/>
    <cellStyle name="Normal 4 3 2 2 2 4 4 2" xfId="38318"/>
    <cellStyle name="Normal 4 3 2 2 2 4 5" xfId="26013"/>
    <cellStyle name="Normal 4 3 2 2 2 5" xfId="7621"/>
    <cellStyle name="Normal 4 3 2 2 2 5 2" xfId="13815"/>
    <cellStyle name="Normal 4 3 2 2 2 5 2 2" xfId="33698"/>
    <cellStyle name="Normal 4 3 2 2 2 5 3" xfId="19967"/>
    <cellStyle name="Normal 4 3 2 2 2 5 3 2" xfId="39850"/>
    <cellStyle name="Normal 4 3 2 2 2 5 4" xfId="27545"/>
    <cellStyle name="Normal 4 3 2 2 2 6" xfId="10749"/>
    <cellStyle name="Normal 4 3 2 2 2 6 2" xfId="30632"/>
    <cellStyle name="Normal 4 3 2 2 2 7" xfId="16901"/>
    <cellStyle name="Normal 4 3 2 2 2 7 2" xfId="36784"/>
    <cellStyle name="Normal 4 3 2 2 2 8" xfId="24479"/>
    <cellStyle name="Normal 4 3 2 2 3" xfId="3980"/>
    <cellStyle name="Normal 4 3 2 2 3 2" xfId="3981"/>
    <cellStyle name="Normal 4 3 2 2 3 2 2" xfId="5217"/>
    <cellStyle name="Normal 4 3 2 2 3 2 2 2" xfId="6842"/>
    <cellStyle name="Normal 4 3 2 2 3 2 2 2 2" xfId="9928"/>
    <cellStyle name="Normal 4 3 2 2 3 2 2 2 2 2" xfId="16121"/>
    <cellStyle name="Normal 4 3 2 2 3 2 2 2 2 2 2" xfId="36004"/>
    <cellStyle name="Normal 4 3 2 2 3 2 2 2 2 3" xfId="22273"/>
    <cellStyle name="Normal 4 3 2 2 3 2 2 2 2 3 2" xfId="42156"/>
    <cellStyle name="Normal 4 3 2 2 3 2 2 2 2 4" xfId="29851"/>
    <cellStyle name="Normal 4 3 2 2 3 2 2 2 3" xfId="13055"/>
    <cellStyle name="Normal 4 3 2 2 3 2 2 2 3 2" xfId="32938"/>
    <cellStyle name="Normal 4 3 2 2 3 2 2 2 4" xfId="19207"/>
    <cellStyle name="Normal 4 3 2 2 3 2 2 2 4 2" xfId="39090"/>
    <cellStyle name="Normal 4 3 2 2 3 2 2 2 5" xfId="26785"/>
    <cellStyle name="Normal 4 3 2 2 3 2 2 3" xfId="8393"/>
    <cellStyle name="Normal 4 3 2 2 3 2 2 3 2" xfId="14587"/>
    <cellStyle name="Normal 4 3 2 2 3 2 2 3 2 2" xfId="34470"/>
    <cellStyle name="Normal 4 3 2 2 3 2 2 3 3" xfId="20739"/>
    <cellStyle name="Normal 4 3 2 2 3 2 2 3 3 2" xfId="40622"/>
    <cellStyle name="Normal 4 3 2 2 3 2 2 3 4" xfId="28317"/>
    <cellStyle name="Normal 4 3 2 2 3 2 2 4" xfId="11521"/>
    <cellStyle name="Normal 4 3 2 2 3 2 2 4 2" xfId="31404"/>
    <cellStyle name="Normal 4 3 2 2 3 2 2 5" xfId="17673"/>
    <cellStyle name="Normal 4 3 2 2 3 2 2 5 2" xfId="37556"/>
    <cellStyle name="Normal 4 3 2 2 3 2 2 6" xfId="25251"/>
    <cellStyle name="Normal 4 3 2 2 3 2 3" xfId="6059"/>
    <cellStyle name="Normal 4 3 2 2 3 2 3 2" xfId="9159"/>
    <cellStyle name="Normal 4 3 2 2 3 2 3 2 2" xfId="15352"/>
    <cellStyle name="Normal 4 3 2 2 3 2 3 2 2 2" xfId="35235"/>
    <cellStyle name="Normal 4 3 2 2 3 2 3 2 3" xfId="21504"/>
    <cellStyle name="Normal 4 3 2 2 3 2 3 2 3 2" xfId="41387"/>
    <cellStyle name="Normal 4 3 2 2 3 2 3 2 4" xfId="29082"/>
    <cellStyle name="Normal 4 3 2 2 3 2 3 3" xfId="12286"/>
    <cellStyle name="Normal 4 3 2 2 3 2 3 3 2" xfId="32169"/>
    <cellStyle name="Normal 4 3 2 2 3 2 3 4" xfId="18438"/>
    <cellStyle name="Normal 4 3 2 2 3 2 3 4 2" xfId="38321"/>
    <cellStyle name="Normal 4 3 2 2 3 2 3 5" xfId="26016"/>
    <cellStyle name="Normal 4 3 2 2 3 2 4" xfId="7624"/>
    <cellStyle name="Normal 4 3 2 2 3 2 4 2" xfId="13818"/>
    <cellStyle name="Normal 4 3 2 2 3 2 4 2 2" xfId="33701"/>
    <cellStyle name="Normal 4 3 2 2 3 2 4 3" xfId="19970"/>
    <cellStyle name="Normal 4 3 2 2 3 2 4 3 2" xfId="39853"/>
    <cellStyle name="Normal 4 3 2 2 3 2 4 4" xfId="27548"/>
    <cellStyle name="Normal 4 3 2 2 3 2 5" xfId="10752"/>
    <cellStyle name="Normal 4 3 2 2 3 2 5 2" xfId="30635"/>
    <cellStyle name="Normal 4 3 2 2 3 2 6" xfId="16904"/>
    <cellStyle name="Normal 4 3 2 2 3 2 6 2" xfId="36787"/>
    <cellStyle name="Normal 4 3 2 2 3 2 7" xfId="24482"/>
    <cellStyle name="Normal 4 3 2 2 3 3" xfId="5216"/>
    <cellStyle name="Normal 4 3 2 2 3 3 2" xfId="6841"/>
    <cellStyle name="Normal 4 3 2 2 3 3 2 2" xfId="9927"/>
    <cellStyle name="Normal 4 3 2 2 3 3 2 2 2" xfId="16120"/>
    <cellStyle name="Normal 4 3 2 2 3 3 2 2 2 2" xfId="36003"/>
    <cellStyle name="Normal 4 3 2 2 3 3 2 2 3" xfId="22272"/>
    <cellStyle name="Normal 4 3 2 2 3 3 2 2 3 2" xfId="42155"/>
    <cellStyle name="Normal 4 3 2 2 3 3 2 2 4" xfId="29850"/>
    <cellStyle name="Normal 4 3 2 2 3 3 2 3" xfId="13054"/>
    <cellStyle name="Normal 4 3 2 2 3 3 2 3 2" xfId="32937"/>
    <cellStyle name="Normal 4 3 2 2 3 3 2 4" xfId="19206"/>
    <cellStyle name="Normal 4 3 2 2 3 3 2 4 2" xfId="39089"/>
    <cellStyle name="Normal 4 3 2 2 3 3 2 5" xfId="26784"/>
    <cellStyle name="Normal 4 3 2 2 3 3 3" xfId="8392"/>
    <cellStyle name="Normal 4 3 2 2 3 3 3 2" xfId="14586"/>
    <cellStyle name="Normal 4 3 2 2 3 3 3 2 2" xfId="34469"/>
    <cellStyle name="Normal 4 3 2 2 3 3 3 3" xfId="20738"/>
    <cellStyle name="Normal 4 3 2 2 3 3 3 3 2" xfId="40621"/>
    <cellStyle name="Normal 4 3 2 2 3 3 3 4" xfId="28316"/>
    <cellStyle name="Normal 4 3 2 2 3 3 4" xfId="11520"/>
    <cellStyle name="Normal 4 3 2 2 3 3 4 2" xfId="31403"/>
    <cellStyle name="Normal 4 3 2 2 3 3 5" xfId="17672"/>
    <cellStyle name="Normal 4 3 2 2 3 3 5 2" xfId="37555"/>
    <cellStyle name="Normal 4 3 2 2 3 3 6" xfId="25250"/>
    <cellStyle name="Normal 4 3 2 2 3 4" xfId="6058"/>
    <cellStyle name="Normal 4 3 2 2 3 4 2" xfId="9158"/>
    <cellStyle name="Normal 4 3 2 2 3 4 2 2" xfId="15351"/>
    <cellStyle name="Normal 4 3 2 2 3 4 2 2 2" xfId="35234"/>
    <cellStyle name="Normal 4 3 2 2 3 4 2 3" xfId="21503"/>
    <cellStyle name="Normal 4 3 2 2 3 4 2 3 2" xfId="41386"/>
    <cellStyle name="Normal 4 3 2 2 3 4 2 4" xfId="29081"/>
    <cellStyle name="Normal 4 3 2 2 3 4 3" xfId="12285"/>
    <cellStyle name="Normal 4 3 2 2 3 4 3 2" xfId="32168"/>
    <cellStyle name="Normal 4 3 2 2 3 4 4" xfId="18437"/>
    <cellStyle name="Normal 4 3 2 2 3 4 4 2" xfId="38320"/>
    <cellStyle name="Normal 4 3 2 2 3 4 5" xfId="26015"/>
    <cellStyle name="Normal 4 3 2 2 3 5" xfId="7623"/>
    <cellStyle name="Normal 4 3 2 2 3 5 2" xfId="13817"/>
    <cellStyle name="Normal 4 3 2 2 3 5 2 2" xfId="33700"/>
    <cellStyle name="Normal 4 3 2 2 3 5 3" xfId="19969"/>
    <cellStyle name="Normal 4 3 2 2 3 5 3 2" xfId="39852"/>
    <cellStyle name="Normal 4 3 2 2 3 5 4" xfId="27547"/>
    <cellStyle name="Normal 4 3 2 2 3 6" xfId="10751"/>
    <cellStyle name="Normal 4 3 2 2 3 6 2" xfId="30634"/>
    <cellStyle name="Normal 4 3 2 2 3 7" xfId="16903"/>
    <cellStyle name="Normal 4 3 2 2 3 7 2" xfId="36786"/>
    <cellStyle name="Normal 4 3 2 2 3 8" xfId="24481"/>
    <cellStyle name="Normal 4 3 2 2 4" xfId="3982"/>
    <cellStyle name="Normal 4 3 2 2 4 2" xfId="5218"/>
    <cellStyle name="Normal 4 3 2 2 4 2 2" xfId="6843"/>
    <cellStyle name="Normal 4 3 2 2 4 2 2 2" xfId="9929"/>
    <cellStyle name="Normal 4 3 2 2 4 2 2 2 2" xfId="16122"/>
    <cellStyle name="Normal 4 3 2 2 4 2 2 2 2 2" xfId="36005"/>
    <cellStyle name="Normal 4 3 2 2 4 2 2 2 3" xfId="22274"/>
    <cellStyle name="Normal 4 3 2 2 4 2 2 2 3 2" xfId="42157"/>
    <cellStyle name="Normal 4 3 2 2 4 2 2 2 4" xfId="29852"/>
    <cellStyle name="Normal 4 3 2 2 4 2 2 3" xfId="13056"/>
    <cellStyle name="Normal 4 3 2 2 4 2 2 3 2" xfId="32939"/>
    <cellStyle name="Normal 4 3 2 2 4 2 2 4" xfId="19208"/>
    <cellStyle name="Normal 4 3 2 2 4 2 2 4 2" xfId="39091"/>
    <cellStyle name="Normal 4 3 2 2 4 2 2 5" xfId="26786"/>
    <cellStyle name="Normal 4 3 2 2 4 2 3" xfId="8394"/>
    <cellStyle name="Normal 4 3 2 2 4 2 3 2" xfId="14588"/>
    <cellStyle name="Normal 4 3 2 2 4 2 3 2 2" xfId="34471"/>
    <cellStyle name="Normal 4 3 2 2 4 2 3 3" xfId="20740"/>
    <cellStyle name="Normal 4 3 2 2 4 2 3 3 2" xfId="40623"/>
    <cellStyle name="Normal 4 3 2 2 4 2 3 4" xfId="28318"/>
    <cellStyle name="Normal 4 3 2 2 4 2 4" xfId="11522"/>
    <cellStyle name="Normal 4 3 2 2 4 2 4 2" xfId="31405"/>
    <cellStyle name="Normal 4 3 2 2 4 2 5" xfId="17674"/>
    <cellStyle name="Normal 4 3 2 2 4 2 5 2" xfId="37557"/>
    <cellStyle name="Normal 4 3 2 2 4 2 6" xfId="25252"/>
    <cellStyle name="Normal 4 3 2 2 4 3" xfId="6060"/>
    <cellStyle name="Normal 4 3 2 2 4 3 2" xfId="9160"/>
    <cellStyle name="Normal 4 3 2 2 4 3 2 2" xfId="15353"/>
    <cellStyle name="Normal 4 3 2 2 4 3 2 2 2" xfId="35236"/>
    <cellStyle name="Normal 4 3 2 2 4 3 2 3" xfId="21505"/>
    <cellStyle name="Normal 4 3 2 2 4 3 2 3 2" xfId="41388"/>
    <cellStyle name="Normal 4 3 2 2 4 3 2 4" xfId="29083"/>
    <cellStyle name="Normal 4 3 2 2 4 3 3" xfId="12287"/>
    <cellStyle name="Normal 4 3 2 2 4 3 3 2" xfId="32170"/>
    <cellStyle name="Normal 4 3 2 2 4 3 4" xfId="18439"/>
    <cellStyle name="Normal 4 3 2 2 4 3 4 2" xfId="38322"/>
    <cellStyle name="Normal 4 3 2 2 4 3 5" xfId="26017"/>
    <cellStyle name="Normal 4 3 2 2 4 4" xfId="7625"/>
    <cellStyle name="Normal 4 3 2 2 4 4 2" xfId="13819"/>
    <cellStyle name="Normal 4 3 2 2 4 4 2 2" xfId="33702"/>
    <cellStyle name="Normal 4 3 2 2 4 4 3" xfId="19971"/>
    <cellStyle name="Normal 4 3 2 2 4 4 3 2" xfId="39854"/>
    <cellStyle name="Normal 4 3 2 2 4 4 4" xfId="27549"/>
    <cellStyle name="Normal 4 3 2 2 4 5" xfId="10753"/>
    <cellStyle name="Normal 4 3 2 2 4 5 2" xfId="30636"/>
    <cellStyle name="Normal 4 3 2 2 4 6" xfId="16905"/>
    <cellStyle name="Normal 4 3 2 2 4 6 2" xfId="36788"/>
    <cellStyle name="Normal 4 3 2 2 4 7" xfId="24483"/>
    <cellStyle name="Normal 4 3 2 2 5" xfId="5213"/>
    <cellStyle name="Normal 4 3 2 2 5 2" xfId="6838"/>
    <cellStyle name="Normal 4 3 2 2 5 2 2" xfId="9924"/>
    <cellStyle name="Normal 4 3 2 2 5 2 2 2" xfId="16117"/>
    <cellStyle name="Normal 4 3 2 2 5 2 2 2 2" xfId="36000"/>
    <cellStyle name="Normal 4 3 2 2 5 2 2 3" xfId="22269"/>
    <cellStyle name="Normal 4 3 2 2 5 2 2 3 2" xfId="42152"/>
    <cellStyle name="Normal 4 3 2 2 5 2 2 4" xfId="29847"/>
    <cellStyle name="Normal 4 3 2 2 5 2 3" xfId="13051"/>
    <cellStyle name="Normal 4 3 2 2 5 2 3 2" xfId="32934"/>
    <cellStyle name="Normal 4 3 2 2 5 2 4" xfId="19203"/>
    <cellStyle name="Normal 4 3 2 2 5 2 4 2" xfId="39086"/>
    <cellStyle name="Normal 4 3 2 2 5 2 5" xfId="26781"/>
    <cellStyle name="Normal 4 3 2 2 5 3" xfId="8389"/>
    <cellStyle name="Normal 4 3 2 2 5 3 2" xfId="14583"/>
    <cellStyle name="Normal 4 3 2 2 5 3 2 2" xfId="34466"/>
    <cellStyle name="Normal 4 3 2 2 5 3 3" xfId="20735"/>
    <cellStyle name="Normal 4 3 2 2 5 3 3 2" xfId="40618"/>
    <cellStyle name="Normal 4 3 2 2 5 3 4" xfId="28313"/>
    <cellStyle name="Normal 4 3 2 2 5 4" xfId="11517"/>
    <cellStyle name="Normal 4 3 2 2 5 4 2" xfId="31400"/>
    <cellStyle name="Normal 4 3 2 2 5 5" xfId="17669"/>
    <cellStyle name="Normal 4 3 2 2 5 5 2" xfId="37552"/>
    <cellStyle name="Normal 4 3 2 2 5 6" xfId="25247"/>
    <cellStyle name="Normal 4 3 2 2 6" xfId="6055"/>
    <cellStyle name="Normal 4 3 2 2 6 2" xfId="9155"/>
    <cellStyle name="Normal 4 3 2 2 6 2 2" xfId="15348"/>
    <cellStyle name="Normal 4 3 2 2 6 2 2 2" xfId="35231"/>
    <cellStyle name="Normal 4 3 2 2 6 2 3" xfId="21500"/>
    <cellStyle name="Normal 4 3 2 2 6 2 3 2" xfId="41383"/>
    <cellStyle name="Normal 4 3 2 2 6 2 4" xfId="29078"/>
    <cellStyle name="Normal 4 3 2 2 6 3" xfId="12282"/>
    <cellStyle name="Normal 4 3 2 2 6 3 2" xfId="32165"/>
    <cellStyle name="Normal 4 3 2 2 6 4" xfId="18434"/>
    <cellStyle name="Normal 4 3 2 2 6 4 2" xfId="38317"/>
    <cellStyle name="Normal 4 3 2 2 6 5" xfId="26012"/>
    <cellStyle name="Normal 4 3 2 2 7" xfId="7620"/>
    <cellStyle name="Normal 4 3 2 2 7 2" xfId="13814"/>
    <cellStyle name="Normal 4 3 2 2 7 2 2" xfId="33697"/>
    <cellStyle name="Normal 4 3 2 2 7 3" xfId="19966"/>
    <cellStyle name="Normal 4 3 2 2 7 3 2" xfId="39849"/>
    <cellStyle name="Normal 4 3 2 2 7 4" xfId="27544"/>
    <cellStyle name="Normal 4 3 2 2 8" xfId="10748"/>
    <cellStyle name="Normal 4 3 2 2 8 2" xfId="30631"/>
    <cellStyle name="Normal 4 3 2 2 9" xfId="16900"/>
    <cellStyle name="Normal 4 3 2 2 9 2" xfId="36783"/>
    <cellStyle name="Normal 4 3 2 3" xfId="3983"/>
    <cellStyle name="Normal 4 3 2 3 2" xfId="3984"/>
    <cellStyle name="Normal 4 3 2 3 2 2" xfId="5220"/>
    <cellStyle name="Normal 4 3 2 3 2 2 2" xfId="6845"/>
    <cellStyle name="Normal 4 3 2 3 2 2 2 2" xfId="9931"/>
    <cellStyle name="Normal 4 3 2 3 2 2 2 2 2" xfId="16124"/>
    <cellStyle name="Normal 4 3 2 3 2 2 2 2 2 2" xfId="36007"/>
    <cellStyle name="Normal 4 3 2 3 2 2 2 2 3" xfId="22276"/>
    <cellStyle name="Normal 4 3 2 3 2 2 2 2 3 2" xfId="42159"/>
    <cellStyle name="Normal 4 3 2 3 2 2 2 2 4" xfId="29854"/>
    <cellStyle name="Normal 4 3 2 3 2 2 2 3" xfId="13058"/>
    <cellStyle name="Normal 4 3 2 3 2 2 2 3 2" xfId="32941"/>
    <cellStyle name="Normal 4 3 2 3 2 2 2 4" xfId="19210"/>
    <cellStyle name="Normal 4 3 2 3 2 2 2 4 2" xfId="39093"/>
    <cellStyle name="Normal 4 3 2 3 2 2 2 5" xfId="26788"/>
    <cellStyle name="Normal 4 3 2 3 2 2 3" xfId="8396"/>
    <cellStyle name="Normal 4 3 2 3 2 2 3 2" xfId="14590"/>
    <cellStyle name="Normal 4 3 2 3 2 2 3 2 2" xfId="34473"/>
    <cellStyle name="Normal 4 3 2 3 2 2 3 3" xfId="20742"/>
    <cellStyle name="Normal 4 3 2 3 2 2 3 3 2" xfId="40625"/>
    <cellStyle name="Normal 4 3 2 3 2 2 3 4" xfId="28320"/>
    <cellStyle name="Normal 4 3 2 3 2 2 4" xfId="11524"/>
    <cellStyle name="Normal 4 3 2 3 2 2 4 2" xfId="31407"/>
    <cellStyle name="Normal 4 3 2 3 2 2 5" xfId="17676"/>
    <cellStyle name="Normal 4 3 2 3 2 2 5 2" xfId="37559"/>
    <cellStyle name="Normal 4 3 2 3 2 2 6" xfId="25254"/>
    <cellStyle name="Normal 4 3 2 3 2 3" xfId="6062"/>
    <cellStyle name="Normal 4 3 2 3 2 3 2" xfId="9162"/>
    <cellStyle name="Normal 4 3 2 3 2 3 2 2" xfId="15355"/>
    <cellStyle name="Normal 4 3 2 3 2 3 2 2 2" xfId="35238"/>
    <cellStyle name="Normal 4 3 2 3 2 3 2 3" xfId="21507"/>
    <cellStyle name="Normal 4 3 2 3 2 3 2 3 2" xfId="41390"/>
    <cellStyle name="Normal 4 3 2 3 2 3 2 4" xfId="29085"/>
    <cellStyle name="Normal 4 3 2 3 2 3 3" xfId="12289"/>
    <cellStyle name="Normal 4 3 2 3 2 3 3 2" xfId="32172"/>
    <cellStyle name="Normal 4 3 2 3 2 3 4" xfId="18441"/>
    <cellStyle name="Normal 4 3 2 3 2 3 4 2" xfId="38324"/>
    <cellStyle name="Normal 4 3 2 3 2 3 5" xfId="26019"/>
    <cellStyle name="Normal 4 3 2 3 2 4" xfId="7627"/>
    <cellStyle name="Normal 4 3 2 3 2 4 2" xfId="13821"/>
    <cellStyle name="Normal 4 3 2 3 2 4 2 2" xfId="33704"/>
    <cellStyle name="Normal 4 3 2 3 2 4 3" xfId="19973"/>
    <cellStyle name="Normal 4 3 2 3 2 4 3 2" xfId="39856"/>
    <cellStyle name="Normal 4 3 2 3 2 4 4" xfId="27551"/>
    <cellStyle name="Normal 4 3 2 3 2 5" xfId="10755"/>
    <cellStyle name="Normal 4 3 2 3 2 5 2" xfId="30638"/>
    <cellStyle name="Normal 4 3 2 3 2 6" xfId="16907"/>
    <cellStyle name="Normal 4 3 2 3 2 6 2" xfId="36790"/>
    <cellStyle name="Normal 4 3 2 3 2 7" xfId="24485"/>
    <cellStyle name="Normal 4 3 2 3 3" xfId="5219"/>
    <cellStyle name="Normal 4 3 2 3 3 2" xfId="6844"/>
    <cellStyle name="Normal 4 3 2 3 3 2 2" xfId="9930"/>
    <cellStyle name="Normal 4 3 2 3 3 2 2 2" xfId="16123"/>
    <cellStyle name="Normal 4 3 2 3 3 2 2 2 2" xfId="36006"/>
    <cellStyle name="Normal 4 3 2 3 3 2 2 3" xfId="22275"/>
    <cellStyle name="Normal 4 3 2 3 3 2 2 3 2" xfId="42158"/>
    <cellStyle name="Normal 4 3 2 3 3 2 2 4" xfId="29853"/>
    <cellStyle name="Normal 4 3 2 3 3 2 3" xfId="13057"/>
    <cellStyle name="Normal 4 3 2 3 3 2 3 2" xfId="32940"/>
    <cellStyle name="Normal 4 3 2 3 3 2 4" xfId="19209"/>
    <cellStyle name="Normal 4 3 2 3 3 2 4 2" xfId="39092"/>
    <cellStyle name="Normal 4 3 2 3 3 2 5" xfId="26787"/>
    <cellStyle name="Normal 4 3 2 3 3 3" xfId="8395"/>
    <cellStyle name="Normal 4 3 2 3 3 3 2" xfId="14589"/>
    <cellStyle name="Normal 4 3 2 3 3 3 2 2" xfId="34472"/>
    <cellStyle name="Normal 4 3 2 3 3 3 3" xfId="20741"/>
    <cellStyle name="Normal 4 3 2 3 3 3 3 2" xfId="40624"/>
    <cellStyle name="Normal 4 3 2 3 3 3 4" xfId="28319"/>
    <cellStyle name="Normal 4 3 2 3 3 4" xfId="11523"/>
    <cellStyle name="Normal 4 3 2 3 3 4 2" xfId="31406"/>
    <cellStyle name="Normal 4 3 2 3 3 5" xfId="17675"/>
    <cellStyle name="Normal 4 3 2 3 3 5 2" xfId="37558"/>
    <cellStyle name="Normal 4 3 2 3 3 6" xfId="25253"/>
    <cellStyle name="Normal 4 3 2 3 4" xfId="6061"/>
    <cellStyle name="Normal 4 3 2 3 4 2" xfId="9161"/>
    <cellStyle name="Normal 4 3 2 3 4 2 2" xfId="15354"/>
    <cellStyle name="Normal 4 3 2 3 4 2 2 2" xfId="35237"/>
    <cellStyle name="Normal 4 3 2 3 4 2 3" xfId="21506"/>
    <cellStyle name="Normal 4 3 2 3 4 2 3 2" xfId="41389"/>
    <cellStyle name="Normal 4 3 2 3 4 2 4" xfId="29084"/>
    <cellStyle name="Normal 4 3 2 3 4 3" xfId="12288"/>
    <cellStyle name="Normal 4 3 2 3 4 3 2" xfId="32171"/>
    <cellStyle name="Normal 4 3 2 3 4 4" xfId="18440"/>
    <cellStyle name="Normal 4 3 2 3 4 4 2" xfId="38323"/>
    <cellStyle name="Normal 4 3 2 3 4 5" xfId="26018"/>
    <cellStyle name="Normal 4 3 2 3 5" xfId="7626"/>
    <cellStyle name="Normal 4 3 2 3 5 2" xfId="13820"/>
    <cellStyle name="Normal 4 3 2 3 5 2 2" xfId="33703"/>
    <cellStyle name="Normal 4 3 2 3 5 3" xfId="19972"/>
    <cellStyle name="Normal 4 3 2 3 5 3 2" xfId="39855"/>
    <cellStyle name="Normal 4 3 2 3 5 4" xfId="27550"/>
    <cellStyle name="Normal 4 3 2 3 6" xfId="10754"/>
    <cellStyle name="Normal 4 3 2 3 6 2" xfId="30637"/>
    <cellStyle name="Normal 4 3 2 3 7" xfId="16906"/>
    <cellStyle name="Normal 4 3 2 3 7 2" xfId="36789"/>
    <cellStyle name="Normal 4 3 2 3 8" xfId="24484"/>
    <cellStyle name="Normal 4 3 2 4" xfId="3985"/>
    <cellStyle name="Normal 4 3 2 4 2" xfId="3986"/>
    <cellStyle name="Normal 4 3 2 4 2 2" xfId="5222"/>
    <cellStyle name="Normal 4 3 2 4 2 2 2" xfId="6847"/>
    <cellStyle name="Normal 4 3 2 4 2 2 2 2" xfId="9933"/>
    <cellStyle name="Normal 4 3 2 4 2 2 2 2 2" xfId="16126"/>
    <cellStyle name="Normal 4 3 2 4 2 2 2 2 2 2" xfId="36009"/>
    <cellStyle name="Normal 4 3 2 4 2 2 2 2 3" xfId="22278"/>
    <cellStyle name="Normal 4 3 2 4 2 2 2 2 3 2" xfId="42161"/>
    <cellStyle name="Normal 4 3 2 4 2 2 2 2 4" xfId="29856"/>
    <cellStyle name="Normal 4 3 2 4 2 2 2 3" xfId="13060"/>
    <cellStyle name="Normal 4 3 2 4 2 2 2 3 2" xfId="32943"/>
    <cellStyle name="Normal 4 3 2 4 2 2 2 4" xfId="19212"/>
    <cellStyle name="Normal 4 3 2 4 2 2 2 4 2" xfId="39095"/>
    <cellStyle name="Normal 4 3 2 4 2 2 2 5" xfId="26790"/>
    <cellStyle name="Normal 4 3 2 4 2 2 3" xfId="8398"/>
    <cellStyle name="Normal 4 3 2 4 2 2 3 2" xfId="14592"/>
    <cellStyle name="Normal 4 3 2 4 2 2 3 2 2" xfId="34475"/>
    <cellStyle name="Normal 4 3 2 4 2 2 3 3" xfId="20744"/>
    <cellStyle name="Normal 4 3 2 4 2 2 3 3 2" xfId="40627"/>
    <cellStyle name="Normal 4 3 2 4 2 2 3 4" xfId="28322"/>
    <cellStyle name="Normal 4 3 2 4 2 2 4" xfId="11526"/>
    <cellStyle name="Normal 4 3 2 4 2 2 4 2" xfId="31409"/>
    <cellStyle name="Normal 4 3 2 4 2 2 5" xfId="17678"/>
    <cellStyle name="Normal 4 3 2 4 2 2 5 2" xfId="37561"/>
    <cellStyle name="Normal 4 3 2 4 2 2 6" xfId="25256"/>
    <cellStyle name="Normal 4 3 2 4 2 3" xfId="6064"/>
    <cellStyle name="Normal 4 3 2 4 2 3 2" xfId="9164"/>
    <cellStyle name="Normal 4 3 2 4 2 3 2 2" xfId="15357"/>
    <cellStyle name="Normal 4 3 2 4 2 3 2 2 2" xfId="35240"/>
    <cellStyle name="Normal 4 3 2 4 2 3 2 3" xfId="21509"/>
    <cellStyle name="Normal 4 3 2 4 2 3 2 3 2" xfId="41392"/>
    <cellStyle name="Normal 4 3 2 4 2 3 2 4" xfId="29087"/>
    <cellStyle name="Normal 4 3 2 4 2 3 3" xfId="12291"/>
    <cellStyle name="Normal 4 3 2 4 2 3 3 2" xfId="32174"/>
    <cellStyle name="Normal 4 3 2 4 2 3 4" xfId="18443"/>
    <cellStyle name="Normal 4 3 2 4 2 3 4 2" xfId="38326"/>
    <cellStyle name="Normal 4 3 2 4 2 3 5" xfId="26021"/>
    <cellStyle name="Normal 4 3 2 4 2 4" xfId="7629"/>
    <cellStyle name="Normal 4 3 2 4 2 4 2" xfId="13823"/>
    <cellStyle name="Normal 4 3 2 4 2 4 2 2" xfId="33706"/>
    <cellStyle name="Normal 4 3 2 4 2 4 3" xfId="19975"/>
    <cellStyle name="Normal 4 3 2 4 2 4 3 2" xfId="39858"/>
    <cellStyle name="Normal 4 3 2 4 2 4 4" xfId="27553"/>
    <cellStyle name="Normal 4 3 2 4 2 5" xfId="10757"/>
    <cellStyle name="Normal 4 3 2 4 2 5 2" xfId="30640"/>
    <cellStyle name="Normal 4 3 2 4 2 6" xfId="16909"/>
    <cellStyle name="Normal 4 3 2 4 2 6 2" xfId="36792"/>
    <cellStyle name="Normal 4 3 2 4 2 7" xfId="24487"/>
    <cellStyle name="Normal 4 3 2 4 3" xfId="5221"/>
    <cellStyle name="Normal 4 3 2 4 3 2" xfId="6846"/>
    <cellStyle name="Normal 4 3 2 4 3 2 2" xfId="9932"/>
    <cellStyle name="Normal 4 3 2 4 3 2 2 2" xfId="16125"/>
    <cellStyle name="Normal 4 3 2 4 3 2 2 2 2" xfId="36008"/>
    <cellStyle name="Normal 4 3 2 4 3 2 2 3" xfId="22277"/>
    <cellStyle name="Normal 4 3 2 4 3 2 2 3 2" xfId="42160"/>
    <cellStyle name="Normal 4 3 2 4 3 2 2 4" xfId="29855"/>
    <cellStyle name="Normal 4 3 2 4 3 2 3" xfId="13059"/>
    <cellStyle name="Normal 4 3 2 4 3 2 3 2" xfId="32942"/>
    <cellStyle name="Normal 4 3 2 4 3 2 4" xfId="19211"/>
    <cellStyle name="Normal 4 3 2 4 3 2 4 2" xfId="39094"/>
    <cellStyle name="Normal 4 3 2 4 3 2 5" xfId="26789"/>
    <cellStyle name="Normal 4 3 2 4 3 3" xfId="8397"/>
    <cellStyle name="Normal 4 3 2 4 3 3 2" xfId="14591"/>
    <cellStyle name="Normal 4 3 2 4 3 3 2 2" xfId="34474"/>
    <cellStyle name="Normal 4 3 2 4 3 3 3" xfId="20743"/>
    <cellStyle name="Normal 4 3 2 4 3 3 3 2" xfId="40626"/>
    <cellStyle name="Normal 4 3 2 4 3 3 4" xfId="28321"/>
    <cellStyle name="Normal 4 3 2 4 3 4" xfId="11525"/>
    <cellStyle name="Normal 4 3 2 4 3 4 2" xfId="31408"/>
    <cellStyle name="Normal 4 3 2 4 3 5" xfId="17677"/>
    <cellStyle name="Normal 4 3 2 4 3 5 2" xfId="37560"/>
    <cellStyle name="Normal 4 3 2 4 3 6" xfId="25255"/>
    <cellStyle name="Normal 4 3 2 4 4" xfId="6063"/>
    <cellStyle name="Normal 4 3 2 4 4 2" xfId="9163"/>
    <cellStyle name="Normal 4 3 2 4 4 2 2" xfId="15356"/>
    <cellStyle name="Normal 4 3 2 4 4 2 2 2" xfId="35239"/>
    <cellStyle name="Normal 4 3 2 4 4 2 3" xfId="21508"/>
    <cellStyle name="Normal 4 3 2 4 4 2 3 2" xfId="41391"/>
    <cellStyle name="Normal 4 3 2 4 4 2 4" xfId="29086"/>
    <cellStyle name="Normal 4 3 2 4 4 3" xfId="12290"/>
    <cellStyle name="Normal 4 3 2 4 4 3 2" xfId="32173"/>
    <cellStyle name="Normal 4 3 2 4 4 4" xfId="18442"/>
    <cellStyle name="Normal 4 3 2 4 4 4 2" xfId="38325"/>
    <cellStyle name="Normal 4 3 2 4 4 5" xfId="26020"/>
    <cellStyle name="Normal 4 3 2 4 5" xfId="7628"/>
    <cellStyle name="Normal 4 3 2 4 5 2" xfId="13822"/>
    <cellStyle name="Normal 4 3 2 4 5 2 2" xfId="33705"/>
    <cellStyle name="Normal 4 3 2 4 5 3" xfId="19974"/>
    <cellStyle name="Normal 4 3 2 4 5 3 2" xfId="39857"/>
    <cellStyle name="Normal 4 3 2 4 5 4" xfId="27552"/>
    <cellStyle name="Normal 4 3 2 4 6" xfId="10756"/>
    <cellStyle name="Normal 4 3 2 4 6 2" xfId="30639"/>
    <cellStyle name="Normal 4 3 2 4 7" xfId="16908"/>
    <cellStyle name="Normal 4 3 2 4 7 2" xfId="36791"/>
    <cellStyle name="Normal 4 3 2 4 8" xfId="24486"/>
    <cellStyle name="Normal 4 3 2 5" xfId="3987"/>
    <cellStyle name="Normal 4 3 2 5 2" xfId="5223"/>
    <cellStyle name="Normal 4 3 2 5 2 2" xfId="6848"/>
    <cellStyle name="Normal 4 3 2 5 2 2 2" xfId="9934"/>
    <cellStyle name="Normal 4 3 2 5 2 2 2 2" xfId="16127"/>
    <cellStyle name="Normal 4 3 2 5 2 2 2 2 2" xfId="36010"/>
    <cellStyle name="Normal 4 3 2 5 2 2 2 3" xfId="22279"/>
    <cellStyle name="Normal 4 3 2 5 2 2 2 3 2" xfId="42162"/>
    <cellStyle name="Normal 4 3 2 5 2 2 2 4" xfId="29857"/>
    <cellStyle name="Normal 4 3 2 5 2 2 3" xfId="13061"/>
    <cellStyle name="Normal 4 3 2 5 2 2 3 2" xfId="32944"/>
    <cellStyle name="Normal 4 3 2 5 2 2 4" xfId="19213"/>
    <cellStyle name="Normal 4 3 2 5 2 2 4 2" xfId="39096"/>
    <cellStyle name="Normal 4 3 2 5 2 2 5" xfId="26791"/>
    <cellStyle name="Normal 4 3 2 5 2 3" xfId="8399"/>
    <cellStyle name="Normal 4 3 2 5 2 3 2" xfId="14593"/>
    <cellStyle name="Normal 4 3 2 5 2 3 2 2" xfId="34476"/>
    <cellStyle name="Normal 4 3 2 5 2 3 3" xfId="20745"/>
    <cellStyle name="Normal 4 3 2 5 2 3 3 2" xfId="40628"/>
    <cellStyle name="Normal 4 3 2 5 2 3 4" xfId="28323"/>
    <cellStyle name="Normal 4 3 2 5 2 4" xfId="11527"/>
    <cellStyle name="Normal 4 3 2 5 2 4 2" xfId="31410"/>
    <cellStyle name="Normal 4 3 2 5 2 5" xfId="17679"/>
    <cellStyle name="Normal 4 3 2 5 2 5 2" xfId="37562"/>
    <cellStyle name="Normal 4 3 2 5 2 6" xfId="25257"/>
    <cellStyle name="Normal 4 3 2 5 3" xfId="6065"/>
    <cellStyle name="Normal 4 3 2 5 3 2" xfId="9165"/>
    <cellStyle name="Normal 4 3 2 5 3 2 2" xfId="15358"/>
    <cellStyle name="Normal 4 3 2 5 3 2 2 2" xfId="35241"/>
    <cellStyle name="Normal 4 3 2 5 3 2 3" xfId="21510"/>
    <cellStyle name="Normal 4 3 2 5 3 2 3 2" xfId="41393"/>
    <cellStyle name="Normal 4 3 2 5 3 2 4" xfId="29088"/>
    <cellStyle name="Normal 4 3 2 5 3 3" xfId="12292"/>
    <cellStyle name="Normal 4 3 2 5 3 3 2" xfId="32175"/>
    <cellStyle name="Normal 4 3 2 5 3 4" xfId="18444"/>
    <cellStyle name="Normal 4 3 2 5 3 4 2" xfId="38327"/>
    <cellStyle name="Normal 4 3 2 5 3 5" xfId="26022"/>
    <cellStyle name="Normal 4 3 2 5 4" xfId="7630"/>
    <cellStyle name="Normal 4 3 2 5 4 2" xfId="13824"/>
    <cellStyle name="Normal 4 3 2 5 4 2 2" xfId="33707"/>
    <cellStyle name="Normal 4 3 2 5 4 3" xfId="19976"/>
    <cellStyle name="Normal 4 3 2 5 4 3 2" xfId="39859"/>
    <cellStyle name="Normal 4 3 2 5 4 4" xfId="27554"/>
    <cellStyle name="Normal 4 3 2 5 5" xfId="10758"/>
    <cellStyle name="Normal 4 3 2 5 5 2" xfId="30641"/>
    <cellStyle name="Normal 4 3 2 5 6" xfId="16910"/>
    <cellStyle name="Normal 4 3 2 5 6 2" xfId="36793"/>
    <cellStyle name="Normal 4 3 2 5 7" xfId="24488"/>
    <cellStyle name="Normal 4 3 2 6" xfId="5212"/>
    <cellStyle name="Normal 4 3 2 6 2" xfId="6837"/>
    <cellStyle name="Normal 4 3 2 6 2 2" xfId="9923"/>
    <cellStyle name="Normal 4 3 2 6 2 2 2" xfId="16116"/>
    <cellStyle name="Normal 4 3 2 6 2 2 2 2" xfId="35999"/>
    <cellStyle name="Normal 4 3 2 6 2 2 3" xfId="22268"/>
    <cellStyle name="Normal 4 3 2 6 2 2 3 2" xfId="42151"/>
    <cellStyle name="Normal 4 3 2 6 2 2 4" xfId="29846"/>
    <cellStyle name="Normal 4 3 2 6 2 3" xfId="13050"/>
    <cellStyle name="Normal 4 3 2 6 2 3 2" xfId="32933"/>
    <cellStyle name="Normal 4 3 2 6 2 4" xfId="19202"/>
    <cellStyle name="Normal 4 3 2 6 2 4 2" xfId="39085"/>
    <cellStyle name="Normal 4 3 2 6 2 5" xfId="26780"/>
    <cellStyle name="Normal 4 3 2 6 3" xfId="8388"/>
    <cellStyle name="Normal 4 3 2 6 3 2" xfId="14582"/>
    <cellStyle name="Normal 4 3 2 6 3 2 2" xfId="34465"/>
    <cellStyle name="Normal 4 3 2 6 3 3" xfId="20734"/>
    <cellStyle name="Normal 4 3 2 6 3 3 2" xfId="40617"/>
    <cellStyle name="Normal 4 3 2 6 3 4" xfId="28312"/>
    <cellStyle name="Normal 4 3 2 6 4" xfId="11516"/>
    <cellStyle name="Normal 4 3 2 6 4 2" xfId="31399"/>
    <cellStyle name="Normal 4 3 2 6 5" xfId="17668"/>
    <cellStyle name="Normal 4 3 2 6 5 2" xfId="37551"/>
    <cellStyle name="Normal 4 3 2 6 6" xfId="25246"/>
    <cellStyle name="Normal 4 3 2 7" xfId="6054"/>
    <cellStyle name="Normal 4 3 2 7 2" xfId="9154"/>
    <cellStyle name="Normal 4 3 2 7 2 2" xfId="15347"/>
    <cellStyle name="Normal 4 3 2 7 2 2 2" xfId="35230"/>
    <cellStyle name="Normal 4 3 2 7 2 3" xfId="21499"/>
    <cellStyle name="Normal 4 3 2 7 2 3 2" xfId="41382"/>
    <cellStyle name="Normal 4 3 2 7 2 4" xfId="29077"/>
    <cellStyle name="Normal 4 3 2 7 3" xfId="12281"/>
    <cellStyle name="Normal 4 3 2 7 3 2" xfId="32164"/>
    <cellStyle name="Normal 4 3 2 7 4" xfId="18433"/>
    <cellStyle name="Normal 4 3 2 7 4 2" xfId="38316"/>
    <cellStyle name="Normal 4 3 2 7 5" xfId="26011"/>
    <cellStyle name="Normal 4 3 2 8" xfId="7619"/>
    <cellStyle name="Normal 4 3 2 8 2" xfId="13813"/>
    <cellStyle name="Normal 4 3 2 8 2 2" xfId="33696"/>
    <cellStyle name="Normal 4 3 2 8 3" xfId="19965"/>
    <cellStyle name="Normal 4 3 2 8 3 2" xfId="39848"/>
    <cellStyle name="Normal 4 3 2 8 4" xfId="27543"/>
    <cellStyle name="Normal 4 3 2 9" xfId="10747"/>
    <cellStyle name="Normal 4 3 2 9 2" xfId="30630"/>
    <cellStyle name="Normal 4 3 3" xfId="3988"/>
    <cellStyle name="Normal 4 3 3 10" xfId="24489"/>
    <cellStyle name="Normal 4 3 3 2" xfId="3989"/>
    <cellStyle name="Normal 4 3 3 2 2" xfId="3990"/>
    <cellStyle name="Normal 4 3 3 2 2 2" xfId="5226"/>
    <cellStyle name="Normal 4 3 3 2 2 2 2" xfId="6851"/>
    <cellStyle name="Normal 4 3 3 2 2 2 2 2" xfId="9937"/>
    <cellStyle name="Normal 4 3 3 2 2 2 2 2 2" xfId="16130"/>
    <cellStyle name="Normal 4 3 3 2 2 2 2 2 2 2" xfId="36013"/>
    <cellStyle name="Normal 4 3 3 2 2 2 2 2 3" xfId="22282"/>
    <cellStyle name="Normal 4 3 3 2 2 2 2 2 3 2" xfId="42165"/>
    <cellStyle name="Normal 4 3 3 2 2 2 2 2 4" xfId="29860"/>
    <cellStyle name="Normal 4 3 3 2 2 2 2 3" xfId="13064"/>
    <cellStyle name="Normal 4 3 3 2 2 2 2 3 2" xfId="32947"/>
    <cellStyle name="Normal 4 3 3 2 2 2 2 4" xfId="19216"/>
    <cellStyle name="Normal 4 3 3 2 2 2 2 4 2" xfId="39099"/>
    <cellStyle name="Normal 4 3 3 2 2 2 2 5" xfId="26794"/>
    <cellStyle name="Normal 4 3 3 2 2 2 3" xfId="8402"/>
    <cellStyle name="Normal 4 3 3 2 2 2 3 2" xfId="14596"/>
    <cellStyle name="Normal 4 3 3 2 2 2 3 2 2" xfId="34479"/>
    <cellStyle name="Normal 4 3 3 2 2 2 3 3" xfId="20748"/>
    <cellStyle name="Normal 4 3 3 2 2 2 3 3 2" xfId="40631"/>
    <cellStyle name="Normal 4 3 3 2 2 2 3 4" xfId="28326"/>
    <cellStyle name="Normal 4 3 3 2 2 2 4" xfId="11530"/>
    <cellStyle name="Normal 4 3 3 2 2 2 4 2" xfId="31413"/>
    <cellStyle name="Normal 4 3 3 2 2 2 5" xfId="17682"/>
    <cellStyle name="Normal 4 3 3 2 2 2 5 2" xfId="37565"/>
    <cellStyle name="Normal 4 3 3 2 2 2 6" xfId="25260"/>
    <cellStyle name="Normal 4 3 3 2 2 3" xfId="6068"/>
    <cellStyle name="Normal 4 3 3 2 2 3 2" xfId="9168"/>
    <cellStyle name="Normal 4 3 3 2 2 3 2 2" xfId="15361"/>
    <cellStyle name="Normal 4 3 3 2 2 3 2 2 2" xfId="35244"/>
    <cellStyle name="Normal 4 3 3 2 2 3 2 3" xfId="21513"/>
    <cellStyle name="Normal 4 3 3 2 2 3 2 3 2" xfId="41396"/>
    <cellStyle name="Normal 4 3 3 2 2 3 2 4" xfId="29091"/>
    <cellStyle name="Normal 4 3 3 2 2 3 3" xfId="12295"/>
    <cellStyle name="Normal 4 3 3 2 2 3 3 2" xfId="32178"/>
    <cellStyle name="Normal 4 3 3 2 2 3 4" xfId="18447"/>
    <cellStyle name="Normal 4 3 3 2 2 3 4 2" xfId="38330"/>
    <cellStyle name="Normal 4 3 3 2 2 3 5" xfId="26025"/>
    <cellStyle name="Normal 4 3 3 2 2 4" xfId="7633"/>
    <cellStyle name="Normal 4 3 3 2 2 4 2" xfId="13827"/>
    <cellStyle name="Normal 4 3 3 2 2 4 2 2" xfId="33710"/>
    <cellStyle name="Normal 4 3 3 2 2 4 3" xfId="19979"/>
    <cellStyle name="Normal 4 3 3 2 2 4 3 2" xfId="39862"/>
    <cellStyle name="Normal 4 3 3 2 2 4 4" xfId="27557"/>
    <cellStyle name="Normal 4 3 3 2 2 5" xfId="10761"/>
    <cellStyle name="Normal 4 3 3 2 2 5 2" xfId="30644"/>
    <cellStyle name="Normal 4 3 3 2 2 6" xfId="16913"/>
    <cellStyle name="Normal 4 3 3 2 2 6 2" xfId="36796"/>
    <cellStyle name="Normal 4 3 3 2 2 7" xfId="24491"/>
    <cellStyle name="Normal 4 3 3 2 3" xfId="5225"/>
    <cellStyle name="Normal 4 3 3 2 3 2" xfId="6850"/>
    <cellStyle name="Normal 4 3 3 2 3 2 2" xfId="9936"/>
    <cellStyle name="Normal 4 3 3 2 3 2 2 2" xfId="16129"/>
    <cellStyle name="Normal 4 3 3 2 3 2 2 2 2" xfId="36012"/>
    <cellStyle name="Normal 4 3 3 2 3 2 2 3" xfId="22281"/>
    <cellStyle name="Normal 4 3 3 2 3 2 2 3 2" xfId="42164"/>
    <cellStyle name="Normal 4 3 3 2 3 2 2 4" xfId="29859"/>
    <cellStyle name="Normal 4 3 3 2 3 2 3" xfId="13063"/>
    <cellStyle name="Normal 4 3 3 2 3 2 3 2" xfId="32946"/>
    <cellStyle name="Normal 4 3 3 2 3 2 4" xfId="19215"/>
    <cellStyle name="Normal 4 3 3 2 3 2 4 2" xfId="39098"/>
    <cellStyle name="Normal 4 3 3 2 3 2 5" xfId="26793"/>
    <cellStyle name="Normal 4 3 3 2 3 3" xfId="8401"/>
    <cellStyle name="Normal 4 3 3 2 3 3 2" xfId="14595"/>
    <cellStyle name="Normal 4 3 3 2 3 3 2 2" xfId="34478"/>
    <cellStyle name="Normal 4 3 3 2 3 3 3" xfId="20747"/>
    <cellStyle name="Normal 4 3 3 2 3 3 3 2" xfId="40630"/>
    <cellStyle name="Normal 4 3 3 2 3 3 4" xfId="28325"/>
    <cellStyle name="Normal 4 3 3 2 3 4" xfId="11529"/>
    <cellStyle name="Normal 4 3 3 2 3 4 2" xfId="31412"/>
    <cellStyle name="Normal 4 3 3 2 3 5" xfId="17681"/>
    <cellStyle name="Normal 4 3 3 2 3 5 2" xfId="37564"/>
    <cellStyle name="Normal 4 3 3 2 3 6" xfId="25259"/>
    <cellStyle name="Normal 4 3 3 2 4" xfId="6067"/>
    <cellStyle name="Normal 4 3 3 2 4 2" xfId="9167"/>
    <cellStyle name="Normal 4 3 3 2 4 2 2" xfId="15360"/>
    <cellStyle name="Normal 4 3 3 2 4 2 2 2" xfId="35243"/>
    <cellStyle name="Normal 4 3 3 2 4 2 3" xfId="21512"/>
    <cellStyle name="Normal 4 3 3 2 4 2 3 2" xfId="41395"/>
    <cellStyle name="Normal 4 3 3 2 4 2 4" xfId="29090"/>
    <cellStyle name="Normal 4 3 3 2 4 3" xfId="12294"/>
    <cellStyle name="Normal 4 3 3 2 4 3 2" xfId="32177"/>
    <cellStyle name="Normal 4 3 3 2 4 4" xfId="18446"/>
    <cellStyle name="Normal 4 3 3 2 4 4 2" xfId="38329"/>
    <cellStyle name="Normal 4 3 3 2 4 5" xfId="26024"/>
    <cellStyle name="Normal 4 3 3 2 5" xfId="7632"/>
    <cellStyle name="Normal 4 3 3 2 5 2" xfId="13826"/>
    <cellStyle name="Normal 4 3 3 2 5 2 2" xfId="33709"/>
    <cellStyle name="Normal 4 3 3 2 5 3" xfId="19978"/>
    <cellStyle name="Normal 4 3 3 2 5 3 2" xfId="39861"/>
    <cellStyle name="Normal 4 3 3 2 5 4" xfId="27556"/>
    <cellStyle name="Normal 4 3 3 2 6" xfId="10760"/>
    <cellStyle name="Normal 4 3 3 2 6 2" xfId="30643"/>
    <cellStyle name="Normal 4 3 3 2 7" xfId="16912"/>
    <cellStyle name="Normal 4 3 3 2 7 2" xfId="36795"/>
    <cellStyle name="Normal 4 3 3 2 8" xfId="24490"/>
    <cellStyle name="Normal 4 3 3 3" xfId="3991"/>
    <cellStyle name="Normal 4 3 3 3 2" xfId="3992"/>
    <cellStyle name="Normal 4 3 3 3 2 2" xfId="5228"/>
    <cellStyle name="Normal 4 3 3 3 2 2 2" xfId="6853"/>
    <cellStyle name="Normal 4 3 3 3 2 2 2 2" xfId="9939"/>
    <cellStyle name="Normal 4 3 3 3 2 2 2 2 2" xfId="16132"/>
    <cellStyle name="Normal 4 3 3 3 2 2 2 2 2 2" xfId="36015"/>
    <cellStyle name="Normal 4 3 3 3 2 2 2 2 3" xfId="22284"/>
    <cellStyle name="Normal 4 3 3 3 2 2 2 2 3 2" xfId="42167"/>
    <cellStyle name="Normal 4 3 3 3 2 2 2 2 4" xfId="29862"/>
    <cellStyle name="Normal 4 3 3 3 2 2 2 3" xfId="13066"/>
    <cellStyle name="Normal 4 3 3 3 2 2 2 3 2" xfId="32949"/>
    <cellStyle name="Normal 4 3 3 3 2 2 2 4" xfId="19218"/>
    <cellStyle name="Normal 4 3 3 3 2 2 2 4 2" xfId="39101"/>
    <cellStyle name="Normal 4 3 3 3 2 2 2 5" xfId="26796"/>
    <cellStyle name="Normal 4 3 3 3 2 2 3" xfId="8404"/>
    <cellStyle name="Normal 4 3 3 3 2 2 3 2" xfId="14598"/>
    <cellStyle name="Normal 4 3 3 3 2 2 3 2 2" xfId="34481"/>
    <cellStyle name="Normal 4 3 3 3 2 2 3 3" xfId="20750"/>
    <cellStyle name="Normal 4 3 3 3 2 2 3 3 2" xfId="40633"/>
    <cellStyle name="Normal 4 3 3 3 2 2 3 4" xfId="28328"/>
    <cellStyle name="Normal 4 3 3 3 2 2 4" xfId="11532"/>
    <cellStyle name="Normal 4 3 3 3 2 2 4 2" xfId="31415"/>
    <cellStyle name="Normal 4 3 3 3 2 2 5" xfId="17684"/>
    <cellStyle name="Normal 4 3 3 3 2 2 5 2" xfId="37567"/>
    <cellStyle name="Normal 4 3 3 3 2 2 6" xfId="25262"/>
    <cellStyle name="Normal 4 3 3 3 2 3" xfId="6070"/>
    <cellStyle name="Normal 4 3 3 3 2 3 2" xfId="9170"/>
    <cellStyle name="Normal 4 3 3 3 2 3 2 2" xfId="15363"/>
    <cellStyle name="Normal 4 3 3 3 2 3 2 2 2" xfId="35246"/>
    <cellStyle name="Normal 4 3 3 3 2 3 2 3" xfId="21515"/>
    <cellStyle name="Normal 4 3 3 3 2 3 2 3 2" xfId="41398"/>
    <cellStyle name="Normal 4 3 3 3 2 3 2 4" xfId="29093"/>
    <cellStyle name="Normal 4 3 3 3 2 3 3" xfId="12297"/>
    <cellStyle name="Normal 4 3 3 3 2 3 3 2" xfId="32180"/>
    <cellStyle name="Normal 4 3 3 3 2 3 4" xfId="18449"/>
    <cellStyle name="Normal 4 3 3 3 2 3 4 2" xfId="38332"/>
    <cellStyle name="Normal 4 3 3 3 2 3 5" xfId="26027"/>
    <cellStyle name="Normal 4 3 3 3 2 4" xfId="7635"/>
    <cellStyle name="Normal 4 3 3 3 2 4 2" xfId="13829"/>
    <cellStyle name="Normal 4 3 3 3 2 4 2 2" xfId="33712"/>
    <cellStyle name="Normal 4 3 3 3 2 4 3" xfId="19981"/>
    <cellStyle name="Normal 4 3 3 3 2 4 3 2" xfId="39864"/>
    <cellStyle name="Normal 4 3 3 3 2 4 4" xfId="27559"/>
    <cellStyle name="Normal 4 3 3 3 2 5" xfId="10763"/>
    <cellStyle name="Normal 4 3 3 3 2 5 2" xfId="30646"/>
    <cellStyle name="Normal 4 3 3 3 2 6" xfId="16915"/>
    <cellStyle name="Normal 4 3 3 3 2 6 2" xfId="36798"/>
    <cellStyle name="Normal 4 3 3 3 2 7" xfId="24493"/>
    <cellStyle name="Normal 4 3 3 3 3" xfId="5227"/>
    <cellStyle name="Normal 4 3 3 3 3 2" xfId="6852"/>
    <cellStyle name="Normal 4 3 3 3 3 2 2" xfId="9938"/>
    <cellStyle name="Normal 4 3 3 3 3 2 2 2" xfId="16131"/>
    <cellStyle name="Normal 4 3 3 3 3 2 2 2 2" xfId="36014"/>
    <cellStyle name="Normal 4 3 3 3 3 2 2 3" xfId="22283"/>
    <cellStyle name="Normal 4 3 3 3 3 2 2 3 2" xfId="42166"/>
    <cellStyle name="Normal 4 3 3 3 3 2 2 4" xfId="29861"/>
    <cellStyle name="Normal 4 3 3 3 3 2 3" xfId="13065"/>
    <cellStyle name="Normal 4 3 3 3 3 2 3 2" xfId="32948"/>
    <cellStyle name="Normal 4 3 3 3 3 2 4" xfId="19217"/>
    <cellStyle name="Normal 4 3 3 3 3 2 4 2" xfId="39100"/>
    <cellStyle name="Normal 4 3 3 3 3 2 5" xfId="26795"/>
    <cellStyle name="Normal 4 3 3 3 3 3" xfId="8403"/>
    <cellStyle name="Normal 4 3 3 3 3 3 2" xfId="14597"/>
    <cellStyle name="Normal 4 3 3 3 3 3 2 2" xfId="34480"/>
    <cellStyle name="Normal 4 3 3 3 3 3 3" xfId="20749"/>
    <cellStyle name="Normal 4 3 3 3 3 3 3 2" xfId="40632"/>
    <cellStyle name="Normal 4 3 3 3 3 3 4" xfId="28327"/>
    <cellStyle name="Normal 4 3 3 3 3 4" xfId="11531"/>
    <cellStyle name="Normal 4 3 3 3 3 4 2" xfId="31414"/>
    <cellStyle name="Normal 4 3 3 3 3 5" xfId="17683"/>
    <cellStyle name="Normal 4 3 3 3 3 5 2" xfId="37566"/>
    <cellStyle name="Normal 4 3 3 3 3 6" xfId="25261"/>
    <cellStyle name="Normal 4 3 3 3 4" xfId="6069"/>
    <cellStyle name="Normal 4 3 3 3 4 2" xfId="9169"/>
    <cellStyle name="Normal 4 3 3 3 4 2 2" xfId="15362"/>
    <cellStyle name="Normal 4 3 3 3 4 2 2 2" xfId="35245"/>
    <cellStyle name="Normal 4 3 3 3 4 2 3" xfId="21514"/>
    <cellStyle name="Normal 4 3 3 3 4 2 3 2" xfId="41397"/>
    <cellStyle name="Normal 4 3 3 3 4 2 4" xfId="29092"/>
    <cellStyle name="Normal 4 3 3 3 4 3" xfId="12296"/>
    <cellStyle name="Normal 4 3 3 3 4 3 2" xfId="32179"/>
    <cellStyle name="Normal 4 3 3 3 4 4" xfId="18448"/>
    <cellStyle name="Normal 4 3 3 3 4 4 2" xfId="38331"/>
    <cellStyle name="Normal 4 3 3 3 4 5" xfId="26026"/>
    <cellStyle name="Normal 4 3 3 3 5" xfId="7634"/>
    <cellStyle name="Normal 4 3 3 3 5 2" xfId="13828"/>
    <cellStyle name="Normal 4 3 3 3 5 2 2" xfId="33711"/>
    <cellStyle name="Normal 4 3 3 3 5 3" xfId="19980"/>
    <cellStyle name="Normal 4 3 3 3 5 3 2" xfId="39863"/>
    <cellStyle name="Normal 4 3 3 3 5 4" xfId="27558"/>
    <cellStyle name="Normal 4 3 3 3 6" xfId="10762"/>
    <cellStyle name="Normal 4 3 3 3 6 2" xfId="30645"/>
    <cellStyle name="Normal 4 3 3 3 7" xfId="16914"/>
    <cellStyle name="Normal 4 3 3 3 7 2" xfId="36797"/>
    <cellStyle name="Normal 4 3 3 3 8" xfId="24492"/>
    <cellStyle name="Normal 4 3 3 4" xfId="3993"/>
    <cellStyle name="Normal 4 3 3 4 2" xfId="5229"/>
    <cellStyle name="Normal 4 3 3 4 2 2" xfId="6854"/>
    <cellStyle name="Normal 4 3 3 4 2 2 2" xfId="9940"/>
    <cellStyle name="Normal 4 3 3 4 2 2 2 2" xfId="16133"/>
    <cellStyle name="Normal 4 3 3 4 2 2 2 2 2" xfId="36016"/>
    <cellStyle name="Normal 4 3 3 4 2 2 2 3" xfId="22285"/>
    <cellStyle name="Normal 4 3 3 4 2 2 2 3 2" xfId="42168"/>
    <cellStyle name="Normal 4 3 3 4 2 2 2 4" xfId="29863"/>
    <cellStyle name="Normal 4 3 3 4 2 2 3" xfId="13067"/>
    <cellStyle name="Normal 4 3 3 4 2 2 3 2" xfId="32950"/>
    <cellStyle name="Normal 4 3 3 4 2 2 4" xfId="19219"/>
    <cellStyle name="Normal 4 3 3 4 2 2 4 2" xfId="39102"/>
    <cellStyle name="Normal 4 3 3 4 2 2 5" xfId="26797"/>
    <cellStyle name="Normal 4 3 3 4 2 3" xfId="8405"/>
    <cellStyle name="Normal 4 3 3 4 2 3 2" xfId="14599"/>
    <cellStyle name="Normal 4 3 3 4 2 3 2 2" xfId="34482"/>
    <cellStyle name="Normal 4 3 3 4 2 3 3" xfId="20751"/>
    <cellStyle name="Normal 4 3 3 4 2 3 3 2" xfId="40634"/>
    <cellStyle name="Normal 4 3 3 4 2 3 4" xfId="28329"/>
    <cellStyle name="Normal 4 3 3 4 2 4" xfId="11533"/>
    <cellStyle name="Normal 4 3 3 4 2 4 2" xfId="31416"/>
    <cellStyle name="Normal 4 3 3 4 2 5" xfId="17685"/>
    <cellStyle name="Normal 4 3 3 4 2 5 2" xfId="37568"/>
    <cellStyle name="Normal 4 3 3 4 2 6" xfId="25263"/>
    <cellStyle name="Normal 4 3 3 4 3" xfId="6071"/>
    <cellStyle name="Normal 4 3 3 4 3 2" xfId="9171"/>
    <cellStyle name="Normal 4 3 3 4 3 2 2" xfId="15364"/>
    <cellStyle name="Normal 4 3 3 4 3 2 2 2" xfId="35247"/>
    <cellStyle name="Normal 4 3 3 4 3 2 3" xfId="21516"/>
    <cellStyle name="Normal 4 3 3 4 3 2 3 2" xfId="41399"/>
    <cellStyle name="Normal 4 3 3 4 3 2 4" xfId="29094"/>
    <cellStyle name="Normal 4 3 3 4 3 3" xfId="12298"/>
    <cellStyle name="Normal 4 3 3 4 3 3 2" xfId="32181"/>
    <cellStyle name="Normal 4 3 3 4 3 4" xfId="18450"/>
    <cellStyle name="Normal 4 3 3 4 3 4 2" xfId="38333"/>
    <cellStyle name="Normal 4 3 3 4 3 5" xfId="26028"/>
    <cellStyle name="Normal 4 3 3 4 4" xfId="7636"/>
    <cellStyle name="Normal 4 3 3 4 4 2" xfId="13830"/>
    <cellStyle name="Normal 4 3 3 4 4 2 2" xfId="33713"/>
    <cellStyle name="Normal 4 3 3 4 4 3" xfId="19982"/>
    <cellStyle name="Normal 4 3 3 4 4 3 2" xfId="39865"/>
    <cellStyle name="Normal 4 3 3 4 4 4" xfId="27560"/>
    <cellStyle name="Normal 4 3 3 4 5" xfId="10764"/>
    <cellStyle name="Normal 4 3 3 4 5 2" xfId="30647"/>
    <cellStyle name="Normal 4 3 3 4 6" xfId="16916"/>
    <cellStyle name="Normal 4 3 3 4 6 2" xfId="36799"/>
    <cellStyle name="Normal 4 3 3 4 7" xfId="24494"/>
    <cellStyle name="Normal 4 3 3 5" xfId="5224"/>
    <cellStyle name="Normal 4 3 3 5 2" xfId="6849"/>
    <cellStyle name="Normal 4 3 3 5 2 2" xfId="9935"/>
    <cellStyle name="Normal 4 3 3 5 2 2 2" xfId="16128"/>
    <cellStyle name="Normal 4 3 3 5 2 2 2 2" xfId="36011"/>
    <cellStyle name="Normal 4 3 3 5 2 2 3" xfId="22280"/>
    <cellStyle name="Normal 4 3 3 5 2 2 3 2" xfId="42163"/>
    <cellStyle name="Normal 4 3 3 5 2 2 4" xfId="29858"/>
    <cellStyle name="Normal 4 3 3 5 2 3" xfId="13062"/>
    <cellStyle name="Normal 4 3 3 5 2 3 2" xfId="32945"/>
    <cellStyle name="Normal 4 3 3 5 2 4" xfId="19214"/>
    <cellStyle name="Normal 4 3 3 5 2 4 2" xfId="39097"/>
    <cellStyle name="Normal 4 3 3 5 2 5" xfId="26792"/>
    <cellStyle name="Normal 4 3 3 5 3" xfId="8400"/>
    <cellStyle name="Normal 4 3 3 5 3 2" xfId="14594"/>
    <cellStyle name="Normal 4 3 3 5 3 2 2" xfId="34477"/>
    <cellStyle name="Normal 4 3 3 5 3 3" xfId="20746"/>
    <cellStyle name="Normal 4 3 3 5 3 3 2" xfId="40629"/>
    <cellStyle name="Normal 4 3 3 5 3 4" xfId="28324"/>
    <cellStyle name="Normal 4 3 3 5 4" xfId="11528"/>
    <cellStyle name="Normal 4 3 3 5 4 2" xfId="31411"/>
    <cellStyle name="Normal 4 3 3 5 5" xfId="17680"/>
    <cellStyle name="Normal 4 3 3 5 5 2" xfId="37563"/>
    <cellStyle name="Normal 4 3 3 5 6" xfId="25258"/>
    <cellStyle name="Normal 4 3 3 6" xfId="6066"/>
    <cellStyle name="Normal 4 3 3 6 2" xfId="9166"/>
    <cellStyle name="Normal 4 3 3 6 2 2" xfId="15359"/>
    <cellStyle name="Normal 4 3 3 6 2 2 2" xfId="35242"/>
    <cellStyle name="Normal 4 3 3 6 2 3" xfId="21511"/>
    <cellStyle name="Normal 4 3 3 6 2 3 2" xfId="41394"/>
    <cellStyle name="Normal 4 3 3 6 2 4" xfId="29089"/>
    <cellStyle name="Normal 4 3 3 6 3" xfId="12293"/>
    <cellStyle name="Normal 4 3 3 6 3 2" xfId="32176"/>
    <cellStyle name="Normal 4 3 3 6 4" xfId="18445"/>
    <cellStyle name="Normal 4 3 3 6 4 2" xfId="38328"/>
    <cellStyle name="Normal 4 3 3 6 5" xfId="26023"/>
    <cellStyle name="Normal 4 3 3 7" xfId="7631"/>
    <cellStyle name="Normal 4 3 3 7 2" xfId="13825"/>
    <cellStyle name="Normal 4 3 3 7 2 2" xfId="33708"/>
    <cellStyle name="Normal 4 3 3 7 3" xfId="19977"/>
    <cellStyle name="Normal 4 3 3 7 3 2" xfId="39860"/>
    <cellStyle name="Normal 4 3 3 7 4" xfId="27555"/>
    <cellStyle name="Normal 4 3 3 8" xfId="10759"/>
    <cellStyle name="Normal 4 3 3 8 2" xfId="30642"/>
    <cellStyle name="Normal 4 3 3 9" xfId="16911"/>
    <cellStyle name="Normal 4 3 3 9 2" xfId="36794"/>
    <cellStyle name="Normal 4 3 4" xfId="3994"/>
    <cellStyle name="Normal 4 3 4 2" xfId="3995"/>
    <cellStyle name="Normal 4 3 4 2 2" xfId="5231"/>
    <cellStyle name="Normal 4 3 4 2 2 2" xfId="6856"/>
    <cellStyle name="Normal 4 3 4 2 2 2 2" xfId="9942"/>
    <cellStyle name="Normal 4 3 4 2 2 2 2 2" xfId="16135"/>
    <cellStyle name="Normal 4 3 4 2 2 2 2 2 2" xfId="36018"/>
    <cellStyle name="Normal 4 3 4 2 2 2 2 3" xfId="22287"/>
    <cellStyle name="Normal 4 3 4 2 2 2 2 3 2" xfId="42170"/>
    <cellStyle name="Normal 4 3 4 2 2 2 2 4" xfId="29865"/>
    <cellStyle name="Normal 4 3 4 2 2 2 3" xfId="13069"/>
    <cellStyle name="Normal 4 3 4 2 2 2 3 2" xfId="32952"/>
    <cellStyle name="Normal 4 3 4 2 2 2 4" xfId="19221"/>
    <cellStyle name="Normal 4 3 4 2 2 2 4 2" xfId="39104"/>
    <cellStyle name="Normal 4 3 4 2 2 2 5" xfId="26799"/>
    <cellStyle name="Normal 4 3 4 2 2 3" xfId="8407"/>
    <cellStyle name="Normal 4 3 4 2 2 3 2" xfId="14601"/>
    <cellStyle name="Normal 4 3 4 2 2 3 2 2" xfId="34484"/>
    <cellStyle name="Normal 4 3 4 2 2 3 3" xfId="20753"/>
    <cellStyle name="Normal 4 3 4 2 2 3 3 2" xfId="40636"/>
    <cellStyle name="Normal 4 3 4 2 2 3 4" xfId="28331"/>
    <cellStyle name="Normal 4 3 4 2 2 4" xfId="11535"/>
    <cellStyle name="Normal 4 3 4 2 2 4 2" xfId="31418"/>
    <cellStyle name="Normal 4 3 4 2 2 5" xfId="17687"/>
    <cellStyle name="Normal 4 3 4 2 2 5 2" xfId="37570"/>
    <cellStyle name="Normal 4 3 4 2 2 6" xfId="25265"/>
    <cellStyle name="Normal 4 3 4 2 3" xfId="6073"/>
    <cellStyle name="Normal 4 3 4 2 3 2" xfId="9173"/>
    <cellStyle name="Normal 4 3 4 2 3 2 2" xfId="15366"/>
    <cellStyle name="Normal 4 3 4 2 3 2 2 2" xfId="35249"/>
    <cellStyle name="Normal 4 3 4 2 3 2 3" xfId="21518"/>
    <cellStyle name="Normal 4 3 4 2 3 2 3 2" xfId="41401"/>
    <cellStyle name="Normal 4 3 4 2 3 2 4" xfId="29096"/>
    <cellStyle name="Normal 4 3 4 2 3 3" xfId="12300"/>
    <cellStyle name="Normal 4 3 4 2 3 3 2" xfId="32183"/>
    <cellStyle name="Normal 4 3 4 2 3 4" xfId="18452"/>
    <cellStyle name="Normal 4 3 4 2 3 4 2" xfId="38335"/>
    <cellStyle name="Normal 4 3 4 2 3 5" xfId="26030"/>
    <cellStyle name="Normal 4 3 4 2 4" xfId="7638"/>
    <cellStyle name="Normal 4 3 4 2 4 2" xfId="13832"/>
    <cellStyle name="Normal 4 3 4 2 4 2 2" xfId="33715"/>
    <cellStyle name="Normal 4 3 4 2 4 3" xfId="19984"/>
    <cellStyle name="Normal 4 3 4 2 4 3 2" xfId="39867"/>
    <cellStyle name="Normal 4 3 4 2 4 4" xfId="27562"/>
    <cellStyle name="Normal 4 3 4 2 5" xfId="10766"/>
    <cellStyle name="Normal 4 3 4 2 5 2" xfId="30649"/>
    <cellStyle name="Normal 4 3 4 2 6" xfId="16918"/>
    <cellStyle name="Normal 4 3 4 2 6 2" xfId="36801"/>
    <cellStyle name="Normal 4 3 4 2 7" xfId="24496"/>
    <cellStyle name="Normal 4 3 4 3" xfId="5230"/>
    <cellStyle name="Normal 4 3 4 3 2" xfId="6855"/>
    <cellStyle name="Normal 4 3 4 3 2 2" xfId="9941"/>
    <cellStyle name="Normal 4 3 4 3 2 2 2" xfId="16134"/>
    <cellStyle name="Normal 4 3 4 3 2 2 2 2" xfId="36017"/>
    <cellStyle name="Normal 4 3 4 3 2 2 3" xfId="22286"/>
    <cellStyle name="Normal 4 3 4 3 2 2 3 2" xfId="42169"/>
    <cellStyle name="Normal 4 3 4 3 2 2 4" xfId="29864"/>
    <cellStyle name="Normal 4 3 4 3 2 3" xfId="13068"/>
    <cellStyle name="Normal 4 3 4 3 2 3 2" xfId="32951"/>
    <cellStyle name="Normal 4 3 4 3 2 4" xfId="19220"/>
    <cellStyle name="Normal 4 3 4 3 2 4 2" xfId="39103"/>
    <cellStyle name="Normal 4 3 4 3 2 5" xfId="26798"/>
    <cellStyle name="Normal 4 3 4 3 3" xfId="8406"/>
    <cellStyle name="Normal 4 3 4 3 3 2" xfId="14600"/>
    <cellStyle name="Normal 4 3 4 3 3 2 2" xfId="34483"/>
    <cellStyle name="Normal 4 3 4 3 3 3" xfId="20752"/>
    <cellStyle name="Normal 4 3 4 3 3 3 2" xfId="40635"/>
    <cellStyle name="Normal 4 3 4 3 3 4" xfId="28330"/>
    <cellStyle name="Normal 4 3 4 3 4" xfId="11534"/>
    <cellStyle name="Normal 4 3 4 3 4 2" xfId="31417"/>
    <cellStyle name="Normal 4 3 4 3 5" xfId="17686"/>
    <cellStyle name="Normal 4 3 4 3 5 2" xfId="37569"/>
    <cellStyle name="Normal 4 3 4 3 6" xfId="25264"/>
    <cellStyle name="Normal 4 3 4 4" xfId="6072"/>
    <cellStyle name="Normal 4 3 4 4 2" xfId="9172"/>
    <cellStyle name="Normal 4 3 4 4 2 2" xfId="15365"/>
    <cellStyle name="Normal 4 3 4 4 2 2 2" xfId="35248"/>
    <cellStyle name="Normal 4 3 4 4 2 3" xfId="21517"/>
    <cellStyle name="Normal 4 3 4 4 2 3 2" xfId="41400"/>
    <cellStyle name="Normal 4 3 4 4 2 4" xfId="29095"/>
    <cellStyle name="Normal 4 3 4 4 3" xfId="12299"/>
    <cellStyle name="Normal 4 3 4 4 3 2" xfId="32182"/>
    <cellStyle name="Normal 4 3 4 4 4" xfId="18451"/>
    <cellStyle name="Normal 4 3 4 4 4 2" xfId="38334"/>
    <cellStyle name="Normal 4 3 4 4 5" xfId="26029"/>
    <cellStyle name="Normal 4 3 4 5" xfId="7637"/>
    <cellStyle name="Normal 4 3 4 5 2" xfId="13831"/>
    <cellStyle name="Normal 4 3 4 5 2 2" xfId="33714"/>
    <cellStyle name="Normal 4 3 4 5 3" xfId="19983"/>
    <cellStyle name="Normal 4 3 4 5 3 2" xfId="39866"/>
    <cellStyle name="Normal 4 3 4 5 4" xfId="27561"/>
    <cellStyle name="Normal 4 3 4 6" xfId="10765"/>
    <cellStyle name="Normal 4 3 4 6 2" xfId="30648"/>
    <cellStyle name="Normal 4 3 4 7" xfId="16917"/>
    <cellStyle name="Normal 4 3 4 7 2" xfId="36800"/>
    <cellStyle name="Normal 4 3 4 8" xfId="24495"/>
    <cellStyle name="Normal 4 3 5" xfId="3996"/>
    <cellStyle name="Normal 4 3 5 2" xfId="3997"/>
    <cellStyle name="Normal 4 3 5 2 2" xfId="5233"/>
    <cellStyle name="Normal 4 3 5 2 2 2" xfId="6858"/>
    <cellStyle name="Normal 4 3 5 2 2 2 2" xfId="9944"/>
    <cellStyle name="Normal 4 3 5 2 2 2 2 2" xfId="16137"/>
    <cellStyle name="Normal 4 3 5 2 2 2 2 2 2" xfId="36020"/>
    <cellStyle name="Normal 4 3 5 2 2 2 2 3" xfId="22289"/>
    <cellStyle name="Normal 4 3 5 2 2 2 2 3 2" xfId="42172"/>
    <cellStyle name="Normal 4 3 5 2 2 2 2 4" xfId="29867"/>
    <cellStyle name="Normal 4 3 5 2 2 2 3" xfId="13071"/>
    <cellStyle name="Normal 4 3 5 2 2 2 3 2" xfId="32954"/>
    <cellStyle name="Normal 4 3 5 2 2 2 4" xfId="19223"/>
    <cellStyle name="Normal 4 3 5 2 2 2 4 2" xfId="39106"/>
    <cellStyle name="Normal 4 3 5 2 2 2 5" xfId="26801"/>
    <cellStyle name="Normal 4 3 5 2 2 3" xfId="8409"/>
    <cellStyle name="Normal 4 3 5 2 2 3 2" xfId="14603"/>
    <cellStyle name="Normal 4 3 5 2 2 3 2 2" xfId="34486"/>
    <cellStyle name="Normal 4 3 5 2 2 3 3" xfId="20755"/>
    <cellStyle name="Normal 4 3 5 2 2 3 3 2" xfId="40638"/>
    <cellStyle name="Normal 4 3 5 2 2 3 4" xfId="28333"/>
    <cellStyle name="Normal 4 3 5 2 2 4" xfId="11537"/>
    <cellStyle name="Normal 4 3 5 2 2 4 2" xfId="31420"/>
    <cellStyle name="Normal 4 3 5 2 2 5" xfId="17689"/>
    <cellStyle name="Normal 4 3 5 2 2 5 2" xfId="37572"/>
    <cellStyle name="Normal 4 3 5 2 2 6" xfId="25267"/>
    <cellStyle name="Normal 4 3 5 2 3" xfId="6075"/>
    <cellStyle name="Normal 4 3 5 2 3 2" xfId="9175"/>
    <cellStyle name="Normal 4 3 5 2 3 2 2" xfId="15368"/>
    <cellStyle name="Normal 4 3 5 2 3 2 2 2" xfId="35251"/>
    <cellStyle name="Normal 4 3 5 2 3 2 3" xfId="21520"/>
    <cellStyle name="Normal 4 3 5 2 3 2 3 2" xfId="41403"/>
    <cellStyle name="Normal 4 3 5 2 3 2 4" xfId="29098"/>
    <cellStyle name="Normal 4 3 5 2 3 3" xfId="12302"/>
    <cellStyle name="Normal 4 3 5 2 3 3 2" xfId="32185"/>
    <cellStyle name="Normal 4 3 5 2 3 4" xfId="18454"/>
    <cellStyle name="Normal 4 3 5 2 3 4 2" xfId="38337"/>
    <cellStyle name="Normal 4 3 5 2 3 5" xfId="26032"/>
    <cellStyle name="Normal 4 3 5 2 4" xfId="7640"/>
    <cellStyle name="Normal 4 3 5 2 4 2" xfId="13834"/>
    <cellStyle name="Normal 4 3 5 2 4 2 2" xfId="33717"/>
    <cellStyle name="Normal 4 3 5 2 4 3" xfId="19986"/>
    <cellStyle name="Normal 4 3 5 2 4 3 2" xfId="39869"/>
    <cellStyle name="Normal 4 3 5 2 4 4" xfId="27564"/>
    <cellStyle name="Normal 4 3 5 2 5" xfId="10768"/>
    <cellStyle name="Normal 4 3 5 2 5 2" xfId="30651"/>
    <cellStyle name="Normal 4 3 5 2 6" xfId="16920"/>
    <cellStyle name="Normal 4 3 5 2 6 2" xfId="36803"/>
    <cellStyle name="Normal 4 3 5 2 7" xfId="24498"/>
    <cellStyle name="Normal 4 3 5 3" xfId="5232"/>
    <cellStyle name="Normal 4 3 5 3 2" xfId="6857"/>
    <cellStyle name="Normal 4 3 5 3 2 2" xfId="9943"/>
    <cellStyle name="Normal 4 3 5 3 2 2 2" xfId="16136"/>
    <cellStyle name="Normal 4 3 5 3 2 2 2 2" xfId="36019"/>
    <cellStyle name="Normal 4 3 5 3 2 2 3" xfId="22288"/>
    <cellStyle name="Normal 4 3 5 3 2 2 3 2" xfId="42171"/>
    <cellStyle name="Normal 4 3 5 3 2 2 4" xfId="29866"/>
    <cellStyle name="Normal 4 3 5 3 2 3" xfId="13070"/>
    <cellStyle name="Normal 4 3 5 3 2 3 2" xfId="32953"/>
    <cellStyle name="Normal 4 3 5 3 2 4" xfId="19222"/>
    <cellStyle name="Normal 4 3 5 3 2 4 2" xfId="39105"/>
    <cellStyle name="Normal 4 3 5 3 2 5" xfId="26800"/>
    <cellStyle name="Normal 4 3 5 3 3" xfId="8408"/>
    <cellStyle name="Normal 4 3 5 3 3 2" xfId="14602"/>
    <cellStyle name="Normal 4 3 5 3 3 2 2" xfId="34485"/>
    <cellStyle name="Normal 4 3 5 3 3 3" xfId="20754"/>
    <cellStyle name="Normal 4 3 5 3 3 3 2" xfId="40637"/>
    <cellStyle name="Normal 4 3 5 3 3 4" xfId="28332"/>
    <cellStyle name="Normal 4 3 5 3 4" xfId="11536"/>
    <cellStyle name="Normal 4 3 5 3 4 2" xfId="31419"/>
    <cellStyle name="Normal 4 3 5 3 5" xfId="17688"/>
    <cellStyle name="Normal 4 3 5 3 5 2" xfId="37571"/>
    <cellStyle name="Normal 4 3 5 3 6" xfId="25266"/>
    <cellStyle name="Normal 4 3 5 4" xfId="6074"/>
    <cellStyle name="Normal 4 3 5 4 2" xfId="9174"/>
    <cellStyle name="Normal 4 3 5 4 2 2" xfId="15367"/>
    <cellStyle name="Normal 4 3 5 4 2 2 2" xfId="35250"/>
    <cellStyle name="Normal 4 3 5 4 2 3" xfId="21519"/>
    <cellStyle name="Normal 4 3 5 4 2 3 2" xfId="41402"/>
    <cellStyle name="Normal 4 3 5 4 2 4" xfId="29097"/>
    <cellStyle name="Normal 4 3 5 4 3" xfId="12301"/>
    <cellStyle name="Normal 4 3 5 4 3 2" xfId="32184"/>
    <cellStyle name="Normal 4 3 5 4 4" xfId="18453"/>
    <cellStyle name="Normal 4 3 5 4 4 2" xfId="38336"/>
    <cellStyle name="Normal 4 3 5 4 5" xfId="26031"/>
    <cellStyle name="Normal 4 3 5 5" xfId="7639"/>
    <cellStyle name="Normal 4 3 5 5 2" xfId="13833"/>
    <cellStyle name="Normal 4 3 5 5 2 2" xfId="33716"/>
    <cellStyle name="Normal 4 3 5 5 3" xfId="19985"/>
    <cellStyle name="Normal 4 3 5 5 3 2" xfId="39868"/>
    <cellStyle name="Normal 4 3 5 5 4" xfId="27563"/>
    <cellStyle name="Normal 4 3 5 6" xfId="10767"/>
    <cellStyle name="Normal 4 3 5 6 2" xfId="30650"/>
    <cellStyle name="Normal 4 3 5 7" xfId="16919"/>
    <cellStyle name="Normal 4 3 5 7 2" xfId="36802"/>
    <cellStyle name="Normal 4 3 5 8" xfId="24497"/>
    <cellStyle name="Normal 4 3 6" xfId="3998"/>
    <cellStyle name="Normal 4 3 6 2" xfId="5234"/>
    <cellStyle name="Normal 4 3 6 2 2" xfId="6859"/>
    <cellStyle name="Normal 4 3 6 2 2 2" xfId="9945"/>
    <cellStyle name="Normal 4 3 6 2 2 2 2" xfId="16138"/>
    <cellStyle name="Normal 4 3 6 2 2 2 2 2" xfId="36021"/>
    <cellStyle name="Normal 4 3 6 2 2 2 3" xfId="22290"/>
    <cellStyle name="Normal 4 3 6 2 2 2 3 2" xfId="42173"/>
    <cellStyle name="Normal 4 3 6 2 2 2 4" xfId="29868"/>
    <cellStyle name="Normal 4 3 6 2 2 3" xfId="13072"/>
    <cellStyle name="Normal 4 3 6 2 2 3 2" xfId="32955"/>
    <cellStyle name="Normal 4 3 6 2 2 4" xfId="19224"/>
    <cellStyle name="Normal 4 3 6 2 2 4 2" xfId="39107"/>
    <cellStyle name="Normal 4 3 6 2 2 5" xfId="26802"/>
    <cellStyle name="Normal 4 3 6 2 3" xfId="8410"/>
    <cellStyle name="Normal 4 3 6 2 3 2" xfId="14604"/>
    <cellStyle name="Normal 4 3 6 2 3 2 2" xfId="34487"/>
    <cellStyle name="Normal 4 3 6 2 3 3" xfId="20756"/>
    <cellStyle name="Normal 4 3 6 2 3 3 2" xfId="40639"/>
    <cellStyle name="Normal 4 3 6 2 3 4" xfId="28334"/>
    <cellStyle name="Normal 4 3 6 2 4" xfId="11538"/>
    <cellStyle name="Normal 4 3 6 2 4 2" xfId="31421"/>
    <cellStyle name="Normal 4 3 6 2 5" xfId="17690"/>
    <cellStyle name="Normal 4 3 6 2 5 2" xfId="37573"/>
    <cellStyle name="Normal 4 3 6 2 6" xfId="25268"/>
    <cellStyle name="Normal 4 3 6 3" xfId="6076"/>
    <cellStyle name="Normal 4 3 6 3 2" xfId="9176"/>
    <cellStyle name="Normal 4 3 6 3 2 2" xfId="15369"/>
    <cellStyle name="Normal 4 3 6 3 2 2 2" xfId="35252"/>
    <cellStyle name="Normal 4 3 6 3 2 3" xfId="21521"/>
    <cellStyle name="Normal 4 3 6 3 2 3 2" xfId="41404"/>
    <cellStyle name="Normal 4 3 6 3 2 4" xfId="29099"/>
    <cellStyle name="Normal 4 3 6 3 3" xfId="12303"/>
    <cellStyle name="Normal 4 3 6 3 3 2" xfId="32186"/>
    <cellStyle name="Normal 4 3 6 3 4" xfId="18455"/>
    <cellStyle name="Normal 4 3 6 3 4 2" xfId="38338"/>
    <cellStyle name="Normal 4 3 6 3 5" xfId="26033"/>
    <cellStyle name="Normal 4 3 6 4" xfId="7641"/>
    <cellStyle name="Normal 4 3 6 4 2" xfId="13835"/>
    <cellStyle name="Normal 4 3 6 4 2 2" xfId="33718"/>
    <cellStyle name="Normal 4 3 6 4 3" xfId="19987"/>
    <cellStyle name="Normal 4 3 6 4 3 2" xfId="39870"/>
    <cellStyle name="Normal 4 3 6 4 4" xfId="27565"/>
    <cellStyle name="Normal 4 3 6 5" xfId="10769"/>
    <cellStyle name="Normal 4 3 6 5 2" xfId="30652"/>
    <cellStyle name="Normal 4 3 6 6" xfId="16921"/>
    <cellStyle name="Normal 4 3 6 6 2" xfId="36804"/>
    <cellStyle name="Normal 4 3 6 7" xfId="24499"/>
    <cellStyle name="Normal 4 3 7" xfId="5211"/>
    <cellStyle name="Normal 4 3 7 2" xfId="6836"/>
    <cellStyle name="Normal 4 3 7 2 2" xfId="9922"/>
    <cellStyle name="Normal 4 3 7 2 2 2" xfId="16115"/>
    <cellStyle name="Normal 4 3 7 2 2 2 2" xfId="35998"/>
    <cellStyle name="Normal 4 3 7 2 2 3" xfId="22267"/>
    <cellStyle name="Normal 4 3 7 2 2 3 2" xfId="42150"/>
    <cellStyle name="Normal 4 3 7 2 2 4" xfId="29845"/>
    <cellStyle name="Normal 4 3 7 2 3" xfId="13049"/>
    <cellStyle name="Normal 4 3 7 2 3 2" xfId="32932"/>
    <cellStyle name="Normal 4 3 7 2 4" xfId="19201"/>
    <cellStyle name="Normal 4 3 7 2 4 2" xfId="39084"/>
    <cellStyle name="Normal 4 3 7 2 5" xfId="26779"/>
    <cellStyle name="Normal 4 3 7 3" xfId="8387"/>
    <cellStyle name="Normal 4 3 7 3 2" xfId="14581"/>
    <cellStyle name="Normal 4 3 7 3 2 2" xfId="34464"/>
    <cellStyle name="Normal 4 3 7 3 3" xfId="20733"/>
    <cellStyle name="Normal 4 3 7 3 3 2" xfId="40616"/>
    <cellStyle name="Normal 4 3 7 3 4" xfId="28311"/>
    <cellStyle name="Normal 4 3 7 4" xfId="11515"/>
    <cellStyle name="Normal 4 3 7 4 2" xfId="31398"/>
    <cellStyle name="Normal 4 3 7 5" xfId="17667"/>
    <cellStyle name="Normal 4 3 7 5 2" xfId="37550"/>
    <cellStyle name="Normal 4 3 7 6" xfId="25245"/>
    <cellStyle name="Normal 4 3 8" xfId="6053"/>
    <cellStyle name="Normal 4 3 8 2" xfId="9153"/>
    <cellStyle name="Normal 4 3 8 2 2" xfId="15346"/>
    <cellStyle name="Normal 4 3 8 2 2 2" xfId="35229"/>
    <cellStyle name="Normal 4 3 8 2 3" xfId="21498"/>
    <cellStyle name="Normal 4 3 8 2 3 2" xfId="41381"/>
    <cellStyle name="Normal 4 3 8 2 4" xfId="29076"/>
    <cellStyle name="Normal 4 3 8 3" xfId="12280"/>
    <cellStyle name="Normal 4 3 8 3 2" xfId="32163"/>
    <cellStyle name="Normal 4 3 8 4" xfId="18432"/>
    <cellStyle name="Normal 4 3 8 4 2" xfId="38315"/>
    <cellStyle name="Normal 4 3 8 5" xfId="26010"/>
    <cellStyle name="Normal 4 3 9" xfId="7618"/>
    <cellStyle name="Normal 4 3 9 2" xfId="13812"/>
    <cellStyle name="Normal 4 3 9 2 2" xfId="33695"/>
    <cellStyle name="Normal 4 3 9 3" xfId="19964"/>
    <cellStyle name="Normal 4 3 9 3 2" xfId="39847"/>
    <cellStyle name="Normal 4 3 9 4" xfId="27542"/>
    <cellStyle name="Normal 4 30" xfId="1161"/>
    <cellStyle name="Normal 4 31" xfId="23276"/>
    <cellStyle name="Normal 4 4" xfId="260"/>
    <cellStyle name="Normal 4 4 10" xfId="23279"/>
    <cellStyle name="Normal 4 4 2" xfId="4000"/>
    <cellStyle name="Normal 4 4 2 2" xfId="5236"/>
    <cellStyle name="Normal 4 4 2 2 2" xfId="6861"/>
    <cellStyle name="Normal 4 4 2 2 2 2" xfId="9947"/>
    <cellStyle name="Normal 4 4 2 2 2 2 2" xfId="16140"/>
    <cellStyle name="Normal 4 4 2 2 2 2 2 2" xfId="36023"/>
    <cellStyle name="Normal 4 4 2 2 2 2 3" xfId="22292"/>
    <cellStyle name="Normal 4 4 2 2 2 2 3 2" xfId="42175"/>
    <cellStyle name="Normal 4 4 2 2 2 2 4" xfId="29870"/>
    <cellStyle name="Normal 4 4 2 2 2 3" xfId="13074"/>
    <cellStyle name="Normal 4 4 2 2 2 3 2" xfId="32957"/>
    <cellStyle name="Normal 4 4 2 2 2 4" xfId="19226"/>
    <cellStyle name="Normal 4 4 2 2 2 4 2" xfId="39109"/>
    <cellStyle name="Normal 4 4 2 2 2 5" xfId="26804"/>
    <cellStyle name="Normal 4 4 2 2 3" xfId="8412"/>
    <cellStyle name="Normal 4 4 2 2 3 2" xfId="14606"/>
    <cellStyle name="Normal 4 4 2 2 3 2 2" xfId="34489"/>
    <cellStyle name="Normal 4 4 2 2 3 3" xfId="20758"/>
    <cellStyle name="Normal 4 4 2 2 3 3 2" xfId="40641"/>
    <cellStyle name="Normal 4 4 2 2 3 4" xfId="28336"/>
    <cellStyle name="Normal 4 4 2 2 4" xfId="11540"/>
    <cellStyle name="Normal 4 4 2 2 4 2" xfId="31423"/>
    <cellStyle name="Normal 4 4 2 2 5" xfId="17692"/>
    <cellStyle name="Normal 4 4 2 2 5 2" xfId="37575"/>
    <cellStyle name="Normal 4 4 2 2 6" xfId="25270"/>
    <cellStyle name="Normal 4 4 2 3" xfId="6078"/>
    <cellStyle name="Normal 4 4 2 3 2" xfId="9178"/>
    <cellStyle name="Normal 4 4 2 3 2 2" xfId="15371"/>
    <cellStyle name="Normal 4 4 2 3 2 2 2" xfId="35254"/>
    <cellStyle name="Normal 4 4 2 3 2 3" xfId="21523"/>
    <cellStyle name="Normal 4 4 2 3 2 3 2" xfId="41406"/>
    <cellStyle name="Normal 4 4 2 3 2 4" xfId="29101"/>
    <cellStyle name="Normal 4 4 2 3 3" xfId="12305"/>
    <cellStyle name="Normal 4 4 2 3 3 2" xfId="32188"/>
    <cellStyle name="Normal 4 4 2 3 4" xfId="18457"/>
    <cellStyle name="Normal 4 4 2 3 4 2" xfId="38340"/>
    <cellStyle name="Normal 4 4 2 3 5" xfId="26035"/>
    <cellStyle name="Normal 4 4 2 4" xfId="7643"/>
    <cellStyle name="Normal 4 4 2 4 2" xfId="13837"/>
    <cellStyle name="Normal 4 4 2 4 2 2" xfId="33720"/>
    <cellStyle name="Normal 4 4 2 4 3" xfId="19989"/>
    <cellStyle name="Normal 4 4 2 4 3 2" xfId="39872"/>
    <cellStyle name="Normal 4 4 2 4 4" xfId="27567"/>
    <cellStyle name="Normal 4 4 2 5" xfId="10771"/>
    <cellStyle name="Normal 4 4 2 5 2" xfId="30654"/>
    <cellStyle name="Normal 4 4 2 6" xfId="16923"/>
    <cellStyle name="Normal 4 4 2 6 2" xfId="36806"/>
    <cellStyle name="Normal 4 4 2 7" xfId="24501"/>
    <cellStyle name="Normal 4 4 3" xfId="4001"/>
    <cellStyle name="Normal 4 4 4" xfId="5235"/>
    <cellStyle name="Normal 4 4 4 2" xfId="6860"/>
    <cellStyle name="Normal 4 4 4 2 2" xfId="9946"/>
    <cellStyle name="Normal 4 4 4 2 2 2" xfId="16139"/>
    <cellStyle name="Normal 4 4 4 2 2 2 2" xfId="36022"/>
    <cellStyle name="Normal 4 4 4 2 2 3" xfId="22291"/>
    <cellStyle name="Normal 4 4 4 2 2 3 2" xfId="42174"/>
    <cellStyle name="Normal 4 4 4 2 2 4" xfId="29869"/>
    <cellStyle name="Normal 4 4 4 2 3" xfId="13073"/>
    <cellStyle name="Normal 4 4 4 2 3 2" xfId="32956"/>
    <cellStyle name="Normal 4 4 4 2 4" xfId="19225"/>
    <cellStyle name="Normal 4 4 4 2 4 2" xfId="39108"/>
    <cellStyle name="Normal 4 4 4 2 5" xfId="26803"/>
    <cellStyle name="Normal 4 4 4 3" xfId="8411"/>
    <cellStyle name="Normal 4 4 4 3 2" xfId="14605"/>
    <cellStyle name="Normal 4 4 4 3 2 2" xfId="34488"/>
    <cellStyle name="Normal 4 4 4 3 3" xfId="20757"/>
    <cellStyle name="Normal 4 4 4 3 3 2" xfId="40640"/>
    <cellStyle name="Normal 4 4 4 3 4" xfId="28335"/>
    <cellStyle name="Normal 4 4 4 4" xfId="11539"/>
    <cellStyle name="Normal 4 4 4 4 2" xfId="31422"/>
    <cellStyle name="Normal 4 4 4 5" xfId="17691"/>
    <cellStyle name="Normal 4 4 4 5 2" xfId="37574"/>
    <cellStyle name="Normal 4 4 4 6" xfId="25269"/>
    <cellStyle name="Normal 4 4 5" xfId="6077"/>
    <cellStyle name="Normal 4 4 5 2" xfId="9177"/>
    <cellStyle name="Normal 4 4 5 2 2" xfId="15370"/>
    <cellStyle name="Normal 4 4 5 2 2 2" xfId="35253"/>
    <cellStyle name="Normal 4 4 5 2 3" xfId="21522"/>
    <cellStyle name="Normal 4 4 5 2 3 2" xfId="41405"/>
    <cellStyle name="Normal 4 4 5 2 4" xfId="29100"/>
    <cellStyle name="Normal 4 4 5 3" xfId="12304"/>
    <cellStyle name="Normal 4 4 5 3 2" xfId="32187"/>
    <cellStyle name="Normal 4 4 5 4" xfId="18456"/>
    <cellStyle name="Normal 4 4 5 4 2" xfId="38339"/>
    <cellStyle name="Normal 4 4 5 5" xfId="26034"/>
    <cellStyle name="Normal 4 4 6" xfId="7642"/>
    <cellStyle name="Normal 4 4 6 2" xfId="13836"/>
    <cellStyle name="Normal 4 4 6 2 2" xfId="33719"/>
    <cellStyle name="Normal 4 4 6 3" xfId="19988"/>
    <cellStyle name="Normal 4 4 6 3 2" xfId="39871"/>
    <cellStyle name="Normal 4 4 6 4" xfId="27566"/>
    <cellStyle name="Normal 4 4 7" xfId="10770"/>
    <cellStyle name="Normal 4 4 7 2" xfId="30653"/>
    <cellStyle name="Normal 4 4 8" xfId="16922"/>
    <cellStyle name="Normal 4 4 8 2" xfId="36805"/>
    <cellStyle name="Normal 4 4 9" xfId="3999"/>
    <cellStyle name="Normal 4 4 9 2" xfId="24500"/>
    <cellStyle name="Normal 4 5" xfId="285"/>
    <cellStyle name="Normal 4 5 2" xfId="5237"/>
    <cellStyle name="Normal 4 5 2 2" xfId="6862"/>
    <cellStyle name="Normal 4 5 2 2 2" xfId="9948"/>
    <cellStyle name="Normal 4 5 2 2 2 2" xfId="16141"/>
    <cellStyle name="Normal 4 5 2 2 2 2 2" xfId="36024"/>
    <cellStyle name="Normal 4 5 2 2 2 3" xfId="22293"/>
    <cellStyle name="Normal 4 5 2 2 2 3 2" xfId="42176"/>
    <cellStyle name="Normal 4 5 2 2 2 4" xfId="29871"/>
    <cellStyle name="Normal 4 5 2 2 3" xfId="13075"/>
    <cellStyle name="Normal 4 5 2 2 3 2" xfId="32958"/>
    <cellStyle name="Normal 4 5 2 2 4" xfId="19227"/>
    <cellStyle name="Normal 4 5 2 2 4 2" xfId="39110"/>
    <cellStyle name="Normal 4 5 2 2 5" xfId="26805"/>
    <cellStyle name="Normal 4 5 2 3" xfId="8413"/>
    <cellStyle name="Normal 4 5 2 3 2" xfId="14607"/>
    <cellStyle name="Normal 4 5 2 3 2 2" xfId="34490"/>
    <cellStyle name="Normal 4 5 2 3 3" xfId="20759"/>
    <cellStyle name="Normal 4 5 2 3 3 2" xfId="40642"/>
    <cellStyle name="Normal 4 5 2 3 4" xfId="28337"/>
    <cellStyle name="Normal 4 5 2 4" xfId="11541"/>
    <cellStyle name="Normal 4 5 2 4 2" xfId="31424"/>
    <cellStyle name="Normal 4 5 2 5" xfId="17693"/>
    <cellStyle name="Normal 4 5 2 5 2" xfId="37576"/>
    <cellStyle name="Normal 4 5 2 6" xfId="25271"/>
    <cellStyle name="Normal 4 5 3" xfId="6079"/>
    <cellStyle name="Normal 4 5 3 2" xfId="9179"/>
    <cellStyle name="Normal 4 5 3 2 2" xfId="15372"/>
    <cellStyle name="Normal 4 5 3 2 2 2" xfId="35255"/>
    <cellStyle name="Normal 4 5 3 2 3" xfId="21524"/>
    <cellStyle name="Normal 4 5 3 2 3 2" xfId="41407"/>
    <cellStyle name="Normal 4 5 3 2 4" xfId="29102"/>
    <cellStyle name="Normal 4 5 3 3" xfId="12306"/>
    <cellStyle name="Normal 4 5 3 3 2" xfId="32189"/>
    <cellStyle name="Normal 4 5 3 4" xfId="18458"/>
    <cellStyle name="Normal 4 5 3 4 2" xfId="38341"/>
    <cellStyle name="Normal 4 5 3 5" xfId="26036"/>
    <cellStyle name="Normal 4 5 4" xfId="7644"/>
    <cellStyle name="Normal 4 5 4 2" xfId="13838"/>
    <cellStyle name="Normal 4 5 4 2 2" xfId="33721"/>
    <cellStyle name="Normal 4 5 4 3" xfId="19990"/>
    <cellStyle name="Normal 4 5 4 3 2" xfId="39873"/>
    <cellStyle name="Normal 4 5 4 4" xfId="27568"/>
    <cellStyle name="Normal 4 5 5" xfId="10772"/>
    <cellStyle name="Normal 4 5 5 2" xfId="30655"/>
    <cellStyle name="Normal 4 5 6" xfId="16924"/>
    <cellStyle name="Normal 4 5 6 2" xfId="36807"/>
    <cellStyle name="Normal 4 5 7" xfId="4002"/>
    <cellStyle name="Normal 4 5 7 2" xfId="24502"/>
    <cellStyle name="Normal 4 5 8" xfId="23280"/>
    <cellStyle name="Normal 4 6" xfId="311"/>
    <cellStyle name="Normal 4 6 2" xfId="5238"/>
    <cellStyle name="Normal 4 6 2 2" xfId="6863"/>
    <cellStyle name="Normal 4 6 2 2 2" xfId="9949"/>
    <cellStyle name="Normal 4 6 2 2 2 2" xfId="16142"/>
    <cellStyle name="Normal 4 6 2 2 2 2 2" xfId="36025"/>
    <cellStyle name="Normal 4 6 2 2 2 3" xfId="22294"/>
    <cellStyle name="Normal 4 6 2 2 2 3 2" xfId="42177"/>
    <cellStyle name="Normal 4 6 2 2 2 4" xfId="29872"/>
    <cellStyle name="Normal 4 6 2 2 3" xfId="13076"/>
    <cellStyle name="Normal 4 6 2 2 3 2" xfId="32959"/>
    <cellStyle name="Normal 4 6 2 2 4" xfId="19228"/>
    <cellStyle name="Normal 4 6 2 2 4 2" xfId="39111"/>
    <cellStyle name="Normal 4 6 2 2 5" xfId="26806"/>
    <cellStyle name="Normal 4 6 2 3" xfId="8414"/>
    <cellStyle name="Normal 4 6 2 3 2" xfId="14608"/>
    <cellStyle name="Normal 4 6 2 3 2 2" xfId="34491"/>
    <cellStyle name="Normal 4 6 2 3 3" xfId="20760"/>
    <cellStyle name="Normal 4 6 2 3 3 2" xfId="40643"/>
    <cellStyle name="Normal 4 6 2 3 4" xfId="28338"/>
    <cellStyle name="Normal 4 6 2 4" xfId="11542"/>
    <cellStyle name="Normal 4 6 2 4 2" xfId="31425"/>
    <cellStyle name="Normal 4 6 2 5" xfId="17694"/>
    <cellStyle name="Normal 4 6 2 5 2" xfId="37577"/>
    <cellStyle name="Normal 4 6 2 6" xfId="25272"/>
    <cellStyle name="Normal 4 6 3" xfId="6080"/>
    <cellStyle name="Normal 4 6 3 2" xfId="9180"/>
    <cellStyle name="Normal 4 6 3 2 2" xfId="15373"/>
    <cellStyle name="Normal 4 6 3 2 2 2" xfId="35256"/>
    <cellStyle name="Normal 4 6 3 2 3" xfId="21525"/>
    <cellStyle name="Normal 4 6 3 2 3 2" xfId="41408"/>
    <cellStyle name="Normal 4 6 3 2 4" xfId="29103"/>
    <cellStyle name="Normal 4 6 3 3" xfId="12307"/>
    <cellStyle name="Normal 4 6 3 3 2" xfId="32190"/>
    <cellStyle name="Normal 4 6 3 4" xfId="18459"/>
    <cellStyle name="Normal 4 6 3 4 2" xfId="38342"/>
    <cellStyle name="Normal 4 6 3 5" xfId="26037"/>
    <cellStyle name="Normal 4 6 4" xfId="7645"/>
    <cellStyle name="Normal 4 6 4 2" xfId="13839"/>
    <cellStyle name="Normal 4 6 4 2 2" xfId="33722"/>
    <cellStyle name="Normal 4 6 4 3" xfId="19991"/>
    <cellStyle name="Normal 4 6 4 3 2" xfId="39874"/>
    <cellStyle name="Normal 4 6 4 4" xfId="27569"/>
    <cellStyle name="Normal 4 6 5" xfId="10773"/>
    <cellStyle name="Normal 4 6 5 2" xfId="30656"/>
    <cellStyle name="Normal 4 6 6" xfId="16925"/>
    <cellStyle name="Normal 4 6 6 2" xfId="36808"/>
    <cellStyle name="Normal 4 6 7" xfId="4003"/>
    <cellStyle name="Normal 4 6 7 2" xfId="24503"/>
    <cellStyle name="Normal 4 7" xfId="314"/>
    <cellStyle name="Normal 4 7 2" xfId="5239"/>
    <cellStyle name="Normal 4 7 2 2" xfId="6864"/>
    <cellStyle name="Normal 4 7 2 2 2" xfId="9950"/>
    <cellStyle name="Normal 4 7 2 2 2 2" xfId="16143"/>
    <cellStyle name="Normal 4 7 2 2 2 2 2" xfId="36026"/>
    <cellStyle name="Normal 4 7 2 2 2 3" xfId="22295"/>
    <cellStyle name="Normal 4 7 2 2 2 3 2" xfId="42178"/>
    <cellStyle name="Normal 4 7 2 2 2 4" xfId="29873"/>
    <cellStyle name="Normal 4 7 2 2 3" xfId="13077"/>
    <cellStyle name="Normal 4 7 2 2 3 2" xfId="32960"/>
    <cellStyle name="Normal 4 7 2 2 4" xfId="19229"/>
    <cellStyle name="Normal 4 7 2 2 4 2" xfId="39112"/>
    <cellStyle name="Normal 4 7 2 2 5" xfId="26807"/>
    <cellStyle name="Normal 4 7 2 3" xfId="8415"/>
    <cellStyle name="Normal 4 7 2 3 2" xfId="14609"/>
    <cellStyle name="Normal 4 7 2 3 2 2" xfId="34492"/>
    <cellStyle name="Normal 4 7 2 3 3" xfId="20761"/>
    <cellStyle name="Normal 4 7 2 3 3 2" xfId="40644"/>
    <cellStyle name="Normal 4 7 2 3 4" xfId="28339"/>
    <cellStyle name="Normal 4 7 2 4" xfId="11543"/>
    <cellStyle name="Normal 4 7 2 4 2" xfId="31426"/>
    <cellStyle name="Normal 4 7 2 5" xfId="17695"/>
    <cellStyle name="Normal 4 7 2 5 2" xfId="37578"/>
    <cellStyle name="Normal 4 7 2 6" xfId="25273"/>
    <cellStyle name="Normal 4 7 3" xfId="6081"/>
    <cellStyle name="Normal 4 7 3 2" xfId="9181"/>
    <cellStyle name="Normal 4 7 3 2 2" xfId="15374"/>
    <cellStyle name="Normal 4 7 3 2 2 2" xfId="35257"/>
    <cellStyle name="Normal 4 7 3 2 3" xfId="21526"/>
    <cellStyle name="Normal 4 7 3 2 3 2" xfId="41409"/>
    <cellStyle name="Normal 4 7 3 2 4" xfId="29104"/>
    <cellStyle name="Normal 4 7 3 3" xfId="12308"/>
    <cellStyle name="Normal 4 7 3 3 2" xfId="32191"/>
    <cellStyle name="Normal 4 7 3 4" xfId="18460"/>
    <cellStyle name="Normal 4 7 3 4 2" xfId="38343"/>
    <cellStyle name="Normal 4 7 3 5" xfId="26038"/>
    <cellStyle name="Normal 4 7 4" xfId="7646"/>
    <cellStyle name="Normal 4 7 4 2" xfId="13840"/>
    <cellStyle name="Normal 4 7 4 2 2" xfId="33723"/>
    <cellStyle name="Normal 4 7 4 3" xfId="19992"/>
    <cellStyle name="Normal 4 7 4 3 2" xfId="39875"/>
    <cellStyle name="Normal 4 7 4 4" xfId="27570"/>
    <cellStyle name="Normal 4 7 5" xfId="10774"/>
    <cellStyle name="Normal 4 7 5 2" xfId="30657"/>
    <cellStyle name="Normal 4 7 6" xfId="16926"/>
    <cellStyle name="Normal 4 7 6 2" xfId="36809"/>
    <cellStyle name="Normal 4 7 7" xfId="4004"/>
    <cellStyle name="Normal 4 7 7 2" xfId="24504"/>
    <cellStyle name="Normal 4 8" xfId="341"/>
    <cellStyle name="Normal 4 8 2" xfId="5240"/>
    <cellStyle name="Normal 4 8 2 2" xfId="6865"/>
    <cellStyle name="Normal 4 8 2 2 2" xfId="9951"/>
    <cellStyle name="Normal 4 8 2 2 2 2" xfId="16144"/>
    <cellStyle name="Normal 4 8 2 2 2 2 2" xfId="36027"/>
    <cellStyle name="Normal 4 8 2 2 2 3" xfId="22296"/>
    <cellStyle name="Normal 4 8 2 2 2 3 2" xfId="42179"/>
    <cellStyle name="Normal 4 8 2 2 2 4" xfId="29874"/>
    <cellStyle name="Normal 4 8 2 2 3" xfId="13078"/>
    <cellStyle name="Normal 4 8 2 2 3 2" xfId="32961"/>
    <cellStyle name="Normal 4 8 2 2 4" xfId="19230"/>
    <cellStyle name="Normal 4 8 2 2 4 2" xfId="39113"/>
    <cellStyle name="Normal 4 8 2 2 5" xfId="26808"/>
    <cellStyle name="Normal 4 8 2 3" xfId="8416"/>
    <cellStyle name="Normal 4 8 2 3 2" xfId="14610"/>
    <cellStyle name="Normal 4 8 2 3 2 2" xfId="34493"/>
    <cellStyle name="Normal 4 8 2 3 3" xfId="20762"/>
    <cellStyle name="Normal 4 8 2 3 3 2" xfId="40645"/>
    <cellStyle name="Normal 4 8 2 3 4" xfId="28340"/>
    <cellStyle name="Normal 4 8 2 4" xfId="11544"/>
    <cellStyle name="Normal 4 8 2 4 2" xfId="31427"/>
    <cellStyle name="Normal 4 8 2 5" xfId="17696"/>
    <cellStyle name="Normal 4 8 2 5 2" xfId="37579"/>
    <cellStyle name="Normal 4 8 2 6" xfId="25274"/>
    <cellStyle name="Normal 4 8 3" xfId="6082"/>
    <cellStyle name="Normal 4 8 3 2" xfId="9182"/>
    <cellStyle name="Normal 4 8 3 2 2" xfId="15375"/>
    <cellStyle name="Normal 4 8 3 2 2 2" xfId="35258"/>
    <cellStyle name="Normal 4 8 3 2 3" xfId="21527"/>
    <cellStyle name="Normal 4 8 3 2 3 2" xfId="41410"/>
    <cellStyle name="Normal 4 8 3 2 4" xfId="29105"/>
    <cellStyle name="Normal 4 8 3 3" xfId="12309"/>
    <cellStyle name="Normal 4 8 3 3 2" xfId="32192"/>
    <cellStyle name="Normal 4 8 3 4" xfId="18461"/>
    <cellStyle name="Normal 4 8 3 4 2" xfId="38344"/>
    <cellStyle name="Normal 4 8 3 5" xfId="26039"/>
    <cellStyle name="Normal 4 8 4" xfId="7647"/>
    <cellStyle name="Normal 4 8 4 2" xfId="13841"/>
    <cellStyle name="Normal 4 8 4 2 2" xfId="33724"/>
    <cellStyle name="Normal 4 8 4 3" xfId="19993"/>
    <cellStyle name="Normal 4 8 4 3 2" xfId="39876"/>
    <cellStyle name="Normal 4 8 4 4" xfId="27571"/>
    <cellStyle name="Normal 4 8 5" xfId="10775"/>
    <cellStyle name="Normal 4 8 5 2" xfId="30658"/>
    <cellStyle name="Normal 4 8 6" xfId="16927"/>
    <cellStyle name="Normal 4 8 6 2" xfId="36810"/>
    <cellStyle name="Normal 4 8 7" xfId="4005"/>
    <cellStyle name="Normal 4 8 7 2" xfId="24505"/>
    <cellStyle name="Normal 4 9" xfId="360"/>
    <cellStyle name="Normal 4 9 2" xfId="4006"/>
    <cellStyle name="Normal 40" xfId="4007"/>
    <cellStyle name="Normal 40 2" xfId="4008"/>
    <cellStyle name="Normal 41" xfId="4009"/>
    <cellStyle name="Normal 41 2" xfId="4010"/>
    <cellStyle name="Normal 41 2 2" xfId="5241"/>
    <cellStyle name="Normal 41 2 2 2" xfId="6866"/>
    <cellStyle name="Normal 41 2 2 2 2" xfId="9952"/>
    <cellStyle name="Normal 41 2 2 2 2 2" xfId="16145"/>
    <cellStyle name="Normal 41 2 2 2 2 2 2" xfId="36028"/>
    <cellStyle name="Normal 41 2 2 2 2 3" xfId="22297"/>
    <cellStyle name="Normal 41 2 2 2 2 3 2" xfId="42180"/>
    <cellStyle name="Normal 41 2 2 2 2 4" xfId="29875"/>
    <cellStyle name="Normal 41 2 2 2 3" xfId="13079"/>
    <cellStyle name="Normal 41 2 2 2 3 2" xfId="32962"/>
    <cellStyle name="Normal 41 2 2 2 4" xfId="19231"/>
    <cellStyle name="Normal 41 2 2 2 4 2" xfId="39114"/>
    <cellStyle name="Normal 41 2 2 2 5" xfId="26809"/>
    <cellStyle name="Normal 41 2 2 3" xfId="8417"/>
    <cellStyle name="Normal 41 2 2 3 2" xfId="14611"/>
    <cellStyle name="Normal 41 2 2 3 2 2" xfId="34494"/>
    <cellStyle name="Normal 41 2 2 3 3" xfId="20763"/>
    <cellStyle name="Normal 41 2 2 3 3 2" xfId="40646"/>
    <cellStyle name="Normal 41 2 2 3 4" xfId="28341"/>
    <cellStyle name="Normal 41 2 2 4" xfId="11545"/>
    <cellStyle name="Normal 41 2 2 4 2" xfId="31428"/>
    <cellStyle name="Normal 41 2 2 5" xfId="17697"/>
    <cellStyle name="Normal 41 2 2 5 2" xfId="37580"/>
    <cellStyle name="Normal 41 2 2 6" xfId="25275"/>
    <cellStyle name="Normal 41 2 3" xfId="6083"/>
    <cellStyle name="Normal 41 2 3 2" xfId="9183"/>
    <cellStyle name="Normal 41 2 3 2 2" xfId="15376"/>
    <cellStyle name="Normal 41 2 3 2 2 2" xfId="35259"/>
    <cellStyle name="Normal 41 2 3 2 3" xfId="21528"/>
    <cellStyle name="Normal 41 2 3 2 3 2" xfId="41411"/>
    <cellStyle name="Normal 41 2 3 2 4" xfId="29106"/>
    <cellStyle name="Normal 41 2 3 3" xfId="12310"/>
    <cellStyle name="Normal 41 2 3 3 2" xfId="32193"/>
    <cellStyle name="Normal 41 2 3 4" xfId="18462"/>
    <cellStyle name="Normal 41 2 3 4 2" xfId="38345"/>
    <cellStyle name="Normal 41 2 3 5" xfId="26040"/>
    <cellStyle name="Normal 41 2 4" xfId="7648"/>
    <cellStyle name="Normal 41 2 4 2" xfId="13842"/>
    <cellStyle name="Normal 41 2 4 2 2" xfId="33725"/>
    <cellStyle name="Normal 41 2 4 3" xfId="19994"/>
    <cellStyle name="Normal 41 2 4 3 2" xfId="39877"/>
    <cellStyle name="Normal 41 2 4 4" xfId="27572"/>
    <cellStyle name="Normal 41 2 5" xfId="10776"/>
    <cellStyle name="Normal 41 2 5 2" xfId="30659"/>
    <cellStyle name="Normal 41 2 6" xfId="16928"/>
    <cellStyle name="Normal 41 2 6 2" xfId="36811"/>
    <cellStyle name="Normal 41 2 7" xfId="24506"/>
    <cellStyle name="Normal 41 3" xfId="4011"/>
    <cellStyle name="Normal 41 3 2" xfId="4012"/>
    <cellStyle name="Normal 41 4" xfId="4013"/>
    <cellStyle name="Normal 42" xfId="4014"/>
    <cellStyle name="Normal 42 2" xfId="4015"/>
    <cellStyle name="Normal 43" xfId="4016"/>
    <cellStyle name="Normal 44" xfId="4017"/>
    <cellStyle name="Normal 44 2" xfId="4018"/>
    <cellStyle name="Normal 45" xfId="4019"/>
    <cellStyle name="Normal 46" xfId="4020"/>
    <cellStyle name="Normal 46 2" xfId="5242"/>
    <cellStyle name="Normal 46 2 2" xfId="6867"/>
    <cellStyle name="Normal 46 2 2 2" xfId="9953"/>
    <cellStyle name="Normal 46 2 2 2 2" xfId="16146"/>
    <cellStyle name="Normal 46 2 2 2 2 2" xfId="36029"/>
    <cellStyle name="Normal 46 2 2 2 3" xfId="22298"/>
    <cellStyle name="Normal 46 2 2 2 3 2" xfId="42181"/>
    <cellStyle name="Normal 46 2 2 2 4" xfId="29876"/>
    <cellStyle name="Normal 46 2 2 3" xfId="13080"/>
    <cellStyle name="Normal 46 2 2 3 2" xfId="32963"/>
    <cellStyle name="Normal 46 2 2 4" xfId="19232"/>
    <cellStyle name="Normal 46 2 2 4 2" xfId="39115"/>
    <cellStyle name="Normal 46 2 2 5" xfId="26810"/>
    <cellStyle name="Normal 46 2 3" xfId="8418"/>
    <cellStyle name="Normal 46 2 3 2" xfId="14612"/>
    <cellStyle name="Normal 46 2 3 2 2" xfId="34495"/>
    <cellStyle name="Normal 46 2 3 3" xfId="20764"/>
    <cellStyle name="Normal 46 2 3 3 2" xfId="40647"/>
    <cellStyle name="Normal 46 2 3 4" xfId="28342"/>
    <cellStyle name="Normal 46 2 4" xfId="11546"/>
    <cellStyle name="Normal 46 2 4 2" xfId="31429"/>
    <cellStyle name="Normal 46 2 5" xfId="17698"/>
    <cellStyle name="Normal 46 2 5 2" xfId="37581"/>
    <cellStyle name="Normal 46 2 6" xfId="25276"/>
    <cellStyle name="Normal 46 3" xfId="6084"/>
    <cellStyle name="Normal 46 3 2" xfId="9184"/>
    <cellStyle name="Normal 46 3 2 2" xfId="15377"/>
    <cellStyle name="Normal 46 3 2 2 2" xfId="35260"/>
    <cellStyle name="Normal 46 3 2 3" xfId="21529"/>
    <cellStyle name="Normal 46 3 2 3 2" xfId="41412"/>
    <cellStyle name="Normal 46 3 2 4" xfId="29107"/>
    <cellStyle name="Normal 46 3 3" xfId="12311"/>
    <cellStyle name="Normal 46 3 3 2" xfId="32194"/>
    <cellStyle name="Normal 46 3 4" xfId="18463"/>
    <cellStyle name="Normal 46 3 4 2" xfId="38346"/>
    <cellStyle name="Normal 46 3 5" xfId="26041"/>
    <cellStyle name="Normal 46 4" xfId="7649"/>
    <cellStyle name="Normal 46 4 2" xfId="13843"/>
    <cellStyle name="Normal 46 4 2 2" xfId="33726"/>
    <cellStyle name="Normal 46 4 3" xfId="19995"/>
    <cellStyle name="Normal 46 4 3 2" xfId="39878"/>
    <cellStyle name="Normal 46 4 4" xfId="27573"/>
    <cellStyle name="Normal 46 5" xfId="10777"/>
    <cellStyle name="Normal 46 5 2" xfId="30660"/>
    <cellStyle name="Normal 46 6" xfId="16929"/>
    <cellStyle name="Normal 46 6 2" xfId="36812"/>
    <cellStyle name="Normal 46 7" xfId="24507"/>
    <cellStyle name="Normal 47" xfId="4021"/>
    <cellStyle name="Normal 48" xfId="4022"/>
    <cellStyle name="Normal 49" xfId="1320"/>
    <cellStyle name="Normal 5" xfId="29"/>
    <cellStyle name="Normal 5 10" xfId="408"/>
    <cellStyle name="Normal 5 10 2" xfId="914"/>
    <cellStyle name="Normal 5 10 2 2" xfId="23757"/>
    <cellStyle name="Normal 5 10 3" xfId="4024"/>
    <cellStyle name="Normal 5 10 4" xfId="22660"/>
    <cellStyle name="Normal 5 10 4 2" xfId="42534"/>
    <cellStyle name="Normal 5 10 5" xfId="22877"/>
    <cellStyle name="Normal 5 10 5 2" xfId="42751"/>
    <cellStyle name="Normal 5 10 6" xfId="23454"/>
    <cellStyle name="Normal 5 11" xfId="420"/>
    <cellStyle name="Normal 5 11 2" xfId="917"/>
    <cellStyle name="Normal 5 11 2 2" xfId="23760"/>
    <cellStyle name="Normal 5 11 3" xfId="4025"/>
    <cellStyle name="Normal 5 11 4" xfId="22625"/>
    <cellStyle name="Normal 5 11 4 2" xfId="42499"/>
    <cellStyle name="Normal 5 11 5" xfId="22880"/>
    <cellStyle name="Normal 5 11 5 2" xfId="42754"/>
    <cellStyle name="Normal 5 11 6" xfId="23457"/>
    <cellStyle name="Normal 5 12" xfId="431"/>
    <cellStyle name="Normal 5 12 2" xfId="920"/>
    <cellStyle name="Normal 5 12 2 2" xfId="23763"/>
    <cellStyle name="Normal 5 12 3" xfId="4026"/>
    <cellStyle name="Normal 5 12 4" xfId="22796"/>
    <cellStyle name="Normal 5 12 4 2" xfId="42670"/>
    <cellStyle name="Normal 5 12 5" xfId="22883"/>
    <cellStyle name="Normal 5 12 5 2" xfId="42757"/>
    <cellStyle name="Normal 5 12 6" xfId="23460"/>
    <cellStyle name="Normal 5 13" xfId="439"/>
    <cellStyle name="Normal 5 13 2" xfId="923"/>
    <cellStyle name="Normal 5 13 2 2" xfId="23766"/>
    <cellStyle name="Normal 5 13 3" xfId="4027"/>
    <cellStyle name="Normal 5 13 4" xfId="22597"/>
    <cellStyle name="Normal 5 13 4 2" xfId="42471"/>
    <cellStyle name="Normal 5 13 5" xfId="22886"/>
    <cellStyle name="Normal 5 13 5 2" xfId="42760"/>
    <cellStyle name="Normal 5 13 6" xfId="23463"/>
    <cellStyle name="Normal 5 14" xfId="443"/>
    <cellStyle name="Normal 5 14 2" xfId="926"/>
    <cellStyle name="Normal 5 14 2 2" xfId="23769"/>
    <cellStyle name="Normal 5 14 3" xfId="4028"/>
    <cellStyle name="Normal 5 14 4" xfId="22745"/>
    <cellStyle name="Normal 5 14 4 2" xfId="42619"/>
    <cellStyle name="Normal 5 14 5" xfId="22889"/>
    <cellStyle name="Normal 5 14 5 2" xfId="42763"/>
    <cellStyle name="Normal 5 14 6" xfId="23466"/>
    <cellStyle name="Normal 5 15" xfId="446"/>
    <cellStyle name="Normal 5 15 2" xfId="929"/>
    <cellStyle name="Normal 5 15 2 2" xfId="23772"/>
    <cellStyle name="Normal 5 15 3" xfId="4029"/>
    <cellStyle name="Normal 5 15 4" xfId="22645"/>
    <cellStyle name="Normal 5 15 4 2" xfId="42519"/>
    <cellStyle name="Normal 5 15 5" xfId="22892"/>
    <cellStyle name="Normal 5 15 5 2" xfId="42766"/>
    <cellStyle name="Normal 5 15 6" xfId="23469"/>
    <cellStyle name="Normal 5 16" xfId="510"/>
    <cellStyle name="Normal 5 16 2" xfId="944"/>
    <cellStyle name="Normal 5 16 2 2" xfId="23787"/>
    <cellStyle name="Normal 5 16 3" xfId="4030"/>
    <cellStyle name="Normal 5 16 4" xfId="22672"/>
    <cellStyle name="Normal 5 16 4 2" xfId="42546"/>
    <cellStyle name="Normal 5 16 5" xfId="22907"/>
    <cellStyle name="Normal 5 16 5 2" xfId="42781"/>
    <cellStyle name="Normal 5 16 6" xfId="23484"/>
    <cellStyle name="Normal 5 17" xfId="540"/>
    <cellStyle name="Normal 5 17 2" xfId="960"/>
    <cellStyle name="Normal 5 17 2 2" xfId="23803"/>
    <cellStyle name="Normal 5 17 3" xfId="4031"/>
    <cellStyle name="Normal 5 17 4" xfId="22783"/>
    <cellStyle name="Normal 5 17 4 2" xfId="42657"/>
    <cellStyle name="Normal 5 17 5" xfId="22923"/>
    <cellStyle name="Normal 5 17 5 2" xfId="42797"/>
    <cellStyle name="Normal 5 17 6" xfId="23500"/>
    <cellStyle name="Normal 5 18" xfId="567"/>
    <cellStyle name="Normal 5 18 2" xfId="976"/>
    <cellStyle name="Normal 5 18 2 2" xfId="23819"/>
    <cellStyle name="Normal 5 18 3" xfId="4032"/>
    <cellStyle name="Normal 5 18 4" xfId="22764"/>
    <cellStyle name="Normal 5 18 4 2" xfId="42638"/>
    <cellStyle name="Normal 5 18 5" xfId="22939"/>
    <cellStyle name="Normal 5 18 5 2" xfId="42813"/>
    <cellStyle name="Normal 5 18 6" xfId="23516"/>
    <cellStyle name="Normal 5 19" xfId="593"/>
    <cellStyle name="Normal 5 19 2" xfId="992"/>
    <cellStyle name="Normal 5 19 2 2" xfId="23835"/>
    <cellStyle name="Normal 5 19 3" xfId="4033"/>
    <cellStyle name="Normal 5 19 4" xfId="22759"/>
    <cellStyle name="Normal 5 19 4 2" xfId="42633"/>
    <cellStyle name="Normal 5 19 5" xfId="22955"/>
    <cellStyle name="Normal 5 19 5 2" xfId="42829"/>
    <cellStyle name="Normal 5 19 6" xfId="23532"/>
    <cellStyle name="Normal 5 2" xfId="30"/>
    <cellStyle name="Normal 5 2 10" xfId="10779"/>
    <cellStyle name="Normal 5 2 10 2" xfId="30662"/>
    <cellStyle name="Normal 5 2 11" xfId="16931"/>
    <cellStyle name="Normal 5 2 11 2" xfId="36814"/>
    <cellStyle name="Normal 5 2 12" xfId="4034"/>
    <cellStyle name="Normal 5 2 12 2" xfId="24509"/>
    <cellStyle name="Normal 5 2 13" xfId="202"/>
    <cellStyle name="Normal 5 2 2" xfId="31"/>
    <cellStyle name="Normal 5 2 2 2" xfId="4035"/>
    <cellStyle name="Normal 5 2 2 2 2" xfId="4036"/>
    <cellStyle name="Normal 5 2 2 2 2 2" xfId="5245"/>
    <cellStyle name="Normal 5 2 2 2 2 2 2" xfId="6870"/>
    <cellStyle name="Normal 5 2 2 2 2 2 2 2" xfId="9956"/>
    <cellStyle name="Normal 5 2 2 2 2 2 2 2 2" xfId="16149"/>
    <cellStyle name="Normal 5 2 2 2 2 2 2 2 2 2" xfId="36032"/>
    <cellStyle name="Normal 5 2 2 2 2 2 2 2 3" xfId="22301"/>
    <cellStyle name="Normal 5 2 2 2 2 2 2 2 3 2" xfId="42184"/>
    <cellStyle name="Normal 5 2 2 2 2 2 2 2 4" xfId="29879"/>
    <cellStyle name="Normal 5 2 2 2 2 2 2 3" xfId="13083"/>
    <cellStyle name="Normal 5 2 2 2 2 2 2 3 2" xfId="32966"/>
    <cellStyle name="Normal 5 2 2 2 2 2 2 4" xfId="19235"/>
    <cellStyle name="Normal 5 2 2 2 2 2 2 4 2" xfId="39118"/>
    <cellStyle name="Normal 5 2 2 2 2 2 2 5" xfId="26813"/>
    <cellStyle name="Normal 5 2 2 2 2 2 3" xfId="8421"/>
    <cellStyle name="Normal 5 2 2 2 2 2 3 2" xfId="14615"/>
    <cellStyle name="Normal 5 2 2 2 2 2 3 2 2" xfId="34498"/>
    <cellStyle name="Normal 5 2 2 2 2 2 3 3" xfId="20767"/>
    <cellStyle name="Normal 5 2 2 2 2 2 3 3 2" xfId="40650"/>
    <cellStyle name="Normal 5 2 2 2 2 2 3 4" xfId="28345"/>
    <cellStyle name="Normal 5 2 2 2 2 2 4" xfId="11549"/>
    <cellStyle name="Normal 5 2 2 2 2 2 4 2" xfId="31432"/>
    <cellStyle name="Normal 5 2 2 2 2 2 5" xfId="17701"/>
    <cellStyle name="Normal 5 2 2 2 2 2 5 2" xfId="37584"/>
    <cellStyle name="Normal 5 2 2 2 2 2 6" xfId="25279"/>
    <cellStyle name="Normal 5 2 2 2 2 3" xfId="6087"/>
    <cellStyle name="Normal 5 2 2 2 2 3 2" xfId="9187"/>
    <cellStyle name="Normal 5 2 2 2 2 3 2 2" xfId="15380"/>
    <cellStyle name="Normal 5 2 2 2 2 3 2 2 2" xfId="35263"/>
    <cellStyle name="Normal 5 2 2 2 2 3 2 3" xfId="21532"/>
    <cellStyle name="Normal 5 2 2 2 2 3 2 3 2" xfId="41415"/>
    <cellStyle name="Normal 5 2 2 2 2 3 2 4" xfId="29110"/>
    <cellStyle name="Normal 5 2 2 2 2 3 3" xfId="12314"/>
    <cellStyle name="Normal 5 2 2 2 2 3 3 2" xfId="32197"/>
    <cellStyle name="Normal 5 2 2 2 2 3 4" xfId="18466"/>
    <cellStyle name="Normal 5 2 2 2 2 3 4 2" xfId="38349"/>
    <cellStyle name="Normal 5 2 2 2 2 3 5" xfId="26044"/>
    <cellStyle name="Normal 5 2 2 2 2 4" xfId="7652"/>
    <cellStyle name="Normal 5 2 2 2 2 4 2" xfId="13846"/>
    <cellStyle name="Normal 5 2 2 2 2 4 2 2" xfId="33729"/>
    <cellStyle name="Normal 5 2 2 2 2 4 3" xfId="19998"/>
    <cellStyle name="Normal 5 2 2 2 2 4 3 2" xfId="39881"/>
    <cellStyle name="Normal 5 2 2 2 2 4 4" xfId="27576"/>
    <cellStyle name="Normal 5 2 2 2 2 5" xfId="10780"/>
    <cellStyle name="Normal 5 2 2 2 2 5 2" xfId="30663"/>
    <cellStyle name="Normal 5 2 2 2 2 6" xfId="16932"/>
    <cellStyle name="Normal 5 2 2 2 2 6 2" xfId="36815"/>
    <cellStyle name="Normal 5 2 2 2 2 7" xfId="24510"/>
    <cellStyle name="Normal 5 2 2 3" xfId="4037"/>
    <cellStyle name="Normal 5 2 2 3 2" xfId="5246"/>
    <cellStyle name="Normal 5 2 2 3 2 2" xfId="6871"/>
    <cellStyle name="Normal 5 2 2 3 2 2 2" xfId="9957"/>
    <cellStyle name="Normal 5 2 2 3 2 2 2 2" xfId="16150"/>
    <cellStyle name="Normal 5 2 2 3 2 2 2 2 2" xfId="36033"/>
    <cellStyle name="Normal 5 2 2 3 2 2 2 3" xfId="22302"/>
    <cellStyle name="Normal 5 2 2 3 2 2 2 3 2" xfId="42185"/>
    <cellStyle name="Normal 5 2 2 3 2 2 2 4" xfId="29880"/>
    <cellStyle name="Normal 5 2 2 3 2 2 3" xfId="13084"/>
    <cellStyle name="Normal 5 2 2 3 2 2 3 2" xfId="32967"/>
    <cellStyle name="Normal 5 2 2 3 2 2 4" xfId="19236"/>
    <cellStyle name="Normal 5 2 2 3 2 2 4 2" xfId="39119"/>
    <cellStyle name="Normal 5 2 2 3 2 2 5" xfId="26814"/>
    <cellStyle name="Normal 5 2 2 3 2 3" xfId="8422"/>
    <cellStyle name="Normal 5 2 2 3 2 3 2" xfId="14616"/>
    <cellStyle name="Normal 5 2 2 3 2 3 2 2" xfId="34499"/>
    <cellStyle name="Normal 5 2 2 3 2 3 3" xfId="20768"/>
    <cellStyle name="Normal 5 2 2 3 2 3 3 2" xfId="40651"/>
    <cellStyle name="Normal 5 2 2 3 2 3 4" xfId="28346"/>
    <cellStyle name="Normal 5 2 2 3 2 4" xfId="11550"/>
    <cellStyle name="Normal 5 2 2 3 2 4 2" xfId="31433"/>
    <cellStyle name="Normal 5 2 2 3 2 5" xfId="17702"/>
    <cellStyle name="Normal 5 2 2 3 2 5 2" xfId="37585"/>
    <cellStyle name="Normal 5 2 2 3 2 6" xfId="25280"/>
    <cellStyle name="Normal 5 2 2 3 3" xfId="6088"/>
    <cellStyle name="Normal 5 2 2 3 3 2" xfId="9188"/>
    <cellStyle name="Normal 5 2 2 3 3 2 2" xfId="15381"/>
    <cellStyle name="Normal 5 2 2 3 3 2 2 2" xfId="35264"/>
    <cellStyle name="Normal 5 2 2 3 3 2 3" xfId="21533"/>
    <cellStyle name="Normal 5 2 2 3 3 2 3 2" xfId="41416"/>
    <cellStyle name="Normal 5 2 2 3 3 2 4" xfId="29111"/>
    <cellStyle name="Normal 5 2 2 3 3 3" xfId="12315"/>
    <cellStyle name="Normal 5 2 2 3 3 3 2" xfId="32198"/>
    <cellStyle name="Normal 5 2 2 3 3 4" xfId="18467"/>
    <cellStyle name="Normal 5 2 2 3 3 4 2" xfId="38350"/>
    <cellStyle name="Normal 5 2 2 3 3 5" xfId="26045"/>
    <cellStyle name="Normal 5 2 2 3 4" xfId="7653"/>
    <cellStyle name="Normal 5 2 2 3 4 2" xfId="13847"/>
    <cellStyle name="Normal 5 2 2 3 4 2 2" xfId="33730"/>
    <cellStyle name="Normal 5 2 2 3 4 3" xfId="19999"/>
    <cellStyle name="Normal 5 2 2 3 4 3 2" xfId="39882"/>
    <cellStyle name="Normal 5 2 2 3 4 4" xfId="27577"/>
    <cellStyle name="Normal 5 2 2 3 5" xfId="10781"/>
    <cellStyle name="Normal 5 2 2 3 5 2" xfId="30664"/>
    <cellStyle name="Normal 5 2 2 3 6" xfId="16933"/>
    <cellStyle name="Normal 5 2 2 3 6 2" xfId="36816"/>
    <cellStyle name="Normal 5 2 2 3 7" xfId="24511"/>
    <cellStyle name="Normal 5 2 3" xfId="4038"/>
    <cellStyle name="Normal 5 2 3 2" xfId="4039"/>
    <cellStyle name="Normal 5 2 3 2 2" xfId="4040"/>
    <cellStyle name="Normal 5 2 3 2 2 2" xfId="5247"/>
    <cellStyle name="Normal 5 2 3 2 2 2 2" xfId="6872"/>
    <cellStyle name="Normal 5 2 3 2 2 2 2 2" xfId="9958"/>
    <cellStyle name="Normal 5 2 3 2 2 2 2 2 2" xfId="16151"/>
    <cellStyle name="Normal 5 2 3 2 2 2 2 2 2 2" xfId="36034"/>
    <cellStyle name="Normal 5 2 3 2 2 2 2 2 3" xfId="22303"/>
    <cellStyle name="Normal 5 2 3 2 2 2 2 2 3 2" xfId="42186"/>
    <cellStyle name="Normal 5 2 3 2 2 2 2 2 4" xfId="29881"/>
    <cellStyle name="Normal 5 2 3 2 2 2 2 3" xfId="13085"/>
    <cellStyle name="Normal 5 2 3 2 2 2 2 3 2" xfId="32968"/>
    <cellStyle name="Normal 5 2 3 2 2 2 2 4" xfId="19237"/>
    <cellStyle name="Normal 5 2 3 2 2 2 2 4 2" xfId="39120"/>
    <cellStyle name="Normal 5 2 3 2 2 2 2 5" xfId="26815"/>
    <cellStyle name="Normal 5 2 3 2 2 2 3" xfId="8423"/>
    <cellStyle name="Normal 5 2 3 2 2 2 3 2" xfId="14617"/>
    <cellStyle name="Normal 5 2 3 2 2 2 3 2 2" xfId="34500"/>
    <cellStyle name="Normal 5 2 3 2 2 2 3 3" xfId="20769"/>
    <cellStyle name="Normal 5 2 3 2 2 2 3 3 2" xfId="40652"/>
    <cellStyle name="Normal 5 2 3 2 2 2 3 4" xfId="28347"/>
    <cellStyle name="Normal 5 2 3 2 2 2 4" xfId="11551"/>
    <cellStyle name="Normal 5 2 3 2 2 2 4 2" xfId="31434"/>
    <cellStyle name="Normal 5 2 3 2 2 2 5" xfId="17703"/>
    <cellStyle name="Normal 5 2 3 2 2 2 5 2" xfId="37586"/>
    <cellStyle name="Normal 5 2 3 2 2 2 6" xfId="25281"/>
    <cellStyle name="Normal 5 2 3 2 2 3" xfId="6089"/>
    <cellStyle name="Normal 5 2 3 2 2 3 2" xfId="9189"/>
    <cellStyle name="Normal 5 2 3 2 2 3 2 2" xfId="15382"/>
    <cellStyle name="Normal 5 2 3 2 2 3 2 2 2" xfId="35265"/>
    <cellStyle name="Normal 5 2 3 2 2 3 2 3" xfId="21534"/>
    <cellStyle name="Normal 5 2 3 2 2 3 2 3 2" xfId="41417"/>
    <cellStyle name="Normal 5 2 3 2 2 3 2 4" xfId="29112"/>
    <cellStyle name="Normal 5 2 3 2 2 3 3" xfId="12316"/>
    <cellStyle name="Normal 5 2 3 2 2 3 3 2" xfId="32199"/>
    <cellStyle name="Normal 5 2 3 2 2 3 4" xfId="18468"/>
    <cellStyle name="Normal 5 2 3 2 2 3 4 2" xfId="38351"/>
    <cellStyle name="Normal 5 2 3 2 2 3 5" xfId="26046"/>
    <cellStyle name="Normal 5 2 3 2 2 4" xfId="7654"/>
    <cellStyle name="Normal 5 2 3 2 2 4 2" xfId="13848"/>
    <cellStyle name="Normal 5 2 3 2 2 4 2 2" xfId="33731"/>
    <cellStyle name="Normal 5 2 3 2 2 4 3" xfId="20000"/>
    <cellStyle name="Normal 5 2 3 2 2 4 3 2" xfId="39883"/>
    <cellStyle name="Normal 5 2 3 2 2 4 4" xfId="27578"/>
    <cellStyle name="Normal 5 2 3 2 2 5" xfId="10782"/>
    <cellStyle name="Normal 5 2 3 2 2 5 2" xfId="30665"/>
    <cellStyle name="Normal 5 2 3 2 2 6" xfId="16934"/>
    <cellStyle name="Normal 5 2 3 2 2 6 2" xfId="36817"/>
    <cellStyle name="Normal 5 2 3 2 2 7" xfId="24512"/>
    <cellStyle name="Normal 5 2 3 3" xfId="4041"/>
    <cellStyle name="Normal 5 2 3 3 2" xfId="5248"/>
    <cellStyle name="Normal 5 2 3 3 2 2" xfId="6873"/>
    <cellStyle name="Normal 5 2 3 3 2 2 2" xfId="9959"/>
    <cellStyle name="Normal 5 2 3 3 2 2 2 2" xfId="16152"/>
    <cellStyle name="Normal 5 2 3 3 2 2 2 2 2" xfId="36035"/>
    <cellStyle name="Normal 5 2 3 3 2 2 2 3" xfId="22304"/>
    <cellStyle name="Normal 5 2 3 3 2 2 2 3 2" xfId="42187"/>
    <cellStyle name="Normal 5 2 3 3 2 2 2 4" xfId="29882"/>
    <cellStyle name="Normal 5 2 3 3 2 2 3" xfId="13086"/>
    <cellStyle name="Normal 5 2 3 3 2 2 3 2" xfId="32969"/>
    <cellStyle name="Normal 5 2 3 3 2 2 4" xfId="19238"/>
    <cellStyle name="Normal 5 2 3 3 2 2 4 2" xfId="39121"/>
    <cellStyle name="Normal 5 2 3 3 2 2 5" xfId="26816"/>
    <cellStyle name="Normal 5 2 3 3 2 3" xfId="8424"/>
    <cellStyle name="Normal 5 2 3 3 2 3 2" xfId="14618"/>
    <cellStyle name="Normal 5 2 3 3 2 3 2 2" xfId="34501"/>
    <cellStyle name="Normal 5 2 3 3 2 3 3" xfId="20770"/>
    <cellStyle name="Normal 5 2 3 3 2 3 3 2" xfId="40653"/>
    <cellStyle name="Normal 5 2 3 3 2 3 4" xfId="28348"/>
    <cellStyle name="Normal 5 2 3 3 2 4" xfId="11552"/>
    <cellStyle name="Normal 5 2 3 3 2 4 2" xfId="31435"/>
    <cellStyle name="Normal 5 2 3 3 2 5" xfId="17704"/>
    <cellStyle name="Normal 5 2 3 3 2 5 2" xfId="37587"/>
    <cellStyle name="Normal 5 2 3 3 2 6" xfId="25282"/>
    <cellStyle name="Normal 5 2 3 3 3" xfId="6090"/>
    <cellStyle name="Normal 5 2 3 3 3 2" xfId="9190"/>
    <cellStyle name="Normal 5 2 3 3 3 2 2" xfId="15383"/>
    <cellStyle name="Normal 5 2 3 3 3 2 2 2" xfId="35266"/>
    <cellStyle name="Normal 5 2 3 3 3 2 3" xfId="21535"/>
    <cellStyle name="Normal 5 2 3 3 3 2 3 2" xfId="41418"/>
    <cellStyle name="Normal 5 2 3 3 3 2 4" xfId="29113"/>
    <cellStyle name="Normal 5 2 3 3 3 3" xfId="12317"/>
    <cellStyle name="Normal 5 2 3 3 3 3 2" xfId="32200"/>
    <cellStyle name="Normal 5 2 3 3 3 4" xfId="18469"/>
    <cellStyle name="Normal 5 2 3 3 3 4 2" xfId="38352"/>
    <cellStyle name="Normal 5 2 3 3 3 5" xfId="26047"/>
    <cellStyle name="Normal 5 2 3 3 4" xfId="7655"/>
    <cellStyle name="Normal 5 2 3 3 4 2" xfId="13849"/>
    <cellStyle name="Normal 5 2 3 3 4 2 2" xfId="33732"/>
    <cellStyle name="Normal 5 2 3 3 4 3" xfId="20001"/>
    <cellStyle name="Normal 5 2 3 3 4 3 2" xfId="39884"/>
    <cellStyle name="Normal 5 2 3 3 4 4" xfId="27579"/>
    <cellStyle name="Normal 5 2 3 3 5" xfId="10783"/>
    <cellStyle name="Normal 5 2 3 3 5 2" xfId="30666"/>
    <cellStyle name="Normal 5 2 3 3 6" xfId="16935"/>
    <cellStyle name="Normal 5 2 3 3 6 2" xfId="36818"/>
    <cellStyle name="Normal 5 2 3 3 7" xfId="24513"/>
    <cellStyle name="Normal 5 2 4" xfId="4042"/>
    <cellStyle name="Normal 5 2 4 2" xfId="4043"/>
    <cellStyle name="Normal 5 2 4 2 2" xfId="5249"/>
    <cellStyle name="Normal 5 2 4 2 2 2" xfId="6874"/>
    <cellStyle name="Normal 5 2 4 2 2 2 2" xfId="9960"/>
    <cellStyle name="Normal 5 2 4 2 2 2 2 2" xfId="16153"/>
    <cellStyle name="Normal 5 2 4 2 2 2 2 2 2" xfId="36036"/>
    <cellStyle name="Normal 5 2 4 2 2 2 2 3" xfId="22305"/>
    <cellStyle name="Normal 5 2 4 2 2 2 2 3 2" xfId="42188"/>
    <cellStyle name="Normal 5 2 4 2 2 2 2 4" xfId="29883"/>
    <cellStyle name="Normal 5 2 4 2 2 2 3" xfId="13087"/>
    <cellStyle name="Normal 5 2 4 2 2 2 3 2" xfId="32970"/>
    <cellStyle name="Normal 5 2 4 2 2 2 4" xfId="19239"/>
    <cellStyle name="Normal 5 2 4 2 2 2 4 2" xfId="39122"/>
    <cellStyle name="Normal 5 2 4 2 2 2 5" xfId="26817"/>
    <cellStyle name="Normal 5 2 4 2 2 3" xfId="8425"/>
    <cellStyle name="Normal 5 2 4 2 2 3 2" xfId="14619"/>
    <cellStyle name="Normal 5 2 4 2 2 3 2 2" xfId="34502"/>
    <cellStyle name="Normal 5 2 4 2 2 3 3" xfId="20771"/>
    <cellStyle name="Normal 5 2 4 2 2 3 3 2" xfId="40654"/>
    <cellStyle name="Normal 5 2 4 2 2 3 4" xfId="28349"/>
    <cellStyle name="Normal 5 2 4 2 2 4" xfId="11553"/>
    <cellStyle name="Normal 5 2 4 2 2 4 2" xfId="31436"/>
    <cellStyle name="Normal 5 2 4 2 2 5" xfId="17705"/>
    <cellStyle name="Normal 5 2 4 2 2 5 2" xfId="37588"/>
    <cellStyle name="Normal 5 2 4 2 2 6" xfId="25283"/>
    <cellStyle name="Normal 5 2 4 2 3" xfId="6091"/>
    <cellStyle name="Normal 5 2 4 2 3 2" xfId="9191"/>
    <cellStyle name="Normal 5 2 4 2 3 2 2" xfId="15384"/>
    <cellStyle name="Normal 5 2 4 2 3 2 2 2" xfId="35267"/>
    <cellStyle name="Normal 5 2 4 2 3 2 3" xfId="21536"/>
    <cellStyle name="Normal 5 2 4 2 3 2 3 2" xfId="41419"/>
    <cellStyle name="Normal 5 2 4 2 3 2 4" xfId="29114"/>
    <cellStyle name="Normal 5 2 4 2 3 3" xfId="12318"/>
    <cellStyle name="Normal 5 2 4 2 3 3 2" xfId="32201"/>
    <cellStyle name="Normal 5 2 4 2 3 4" xfId="18470"/>
    <cellStyle name="Normal 5 2 4 2 3 4 2" xfId="38353"/>
    <cellStyle name="Normal 5 2 4 2 3 5" xfId="26048"/>
    <cellStyle name="Normal 5 2 4 2 4" xfId="7656"/>
    <cellStyle name="Normal 5 2 4 2 4 2" xfId="13850"/>
    <cellStyle name="Normal 5 2 4 2 4 2 2" xfId="33733"/>
    <cellStyle name="Normal 5 2 4 2 4 3" xfId="20002"/>
    <cellStyle name="Normal 5 2 4 2 4 3 2" xfId="39885"/>
    <cellStyle name="Normal 5 2 4 2 4 4" xfId="27580"/>
    <cellStyle name="Normal 5 2 4 2 5" xfId="10784"/>
    <cellStyle name="Normal 5 2 4 2 5 2" xfId="30667"/>
    <cellStyle name="Normal 5 2 4 2 6" xfId="16936"/>
    <cellStyle name="Normal 5 2 4 2 6 2" xfId="36819"/>
    <cellStyle name="Normal 5 2 4 2 7" xfId="24514"/>
    <cellStyle name="Normal 5 2 5" xfId="4044"/>
    <cellStyle name="Normal 5 2 6" xfId="4045"/>
    <cellStyle name="Normal 5 2 6 2" xfId="5250"/>
    <cellStyle name="Normal 5 2 6 2 2" xfId="6875"/>
    <cellStyle name="Normal 5 2 6 2 2 2" xfId="9961"/>
    <cellStyle name="Normal 5 2 6 2 2 2 2" xfId="16154"/>
    <cellStyle name="Normal 5 2 6 2 2 2 2 2" xfId="36037"/>
    <cellStyle name="Normal 5 2 6 2 2 2 3" xfId="22306"/>
    <cellStyle name="Normal 5 2 6 2 2 2 3 2" xfId="42189"/>
    <cellStyle name="Normal 5 2 6 2 2 2 4" xfId="29884"/>
    <cellStyle name="Normal 5 2 6 2 2 3" xfId="13088"/>
    <cellStyle name="Normal 5 2 6 2 2 3 2" xfId="32971"/>
    <cellStyle name="Normal 5 2 6 2 2 4" xfId="19240"/>
    <cellStyle name="Normal 5 2 6 2 2 4 2" xfId="39123"/>
    <cellStyle name="Normal 5 2 6 2 2 5" xfId="26818"/>
    <cellStyle name="Normal 5 2 6 2 3" xfId="8426"/>
    <cellStyle name="Normal 5 2 6 2 3 2" xfId="14620"/>
    <cellStyle name="Normal 5 2 6 2 3 2 2" xfId="34503"/>
    <cellStyle name="Normal 5 2 6 2 3 3" xfId="20772"/>
    <cellStyle name="Normal 5 2 6 2 3 3 2" xfId="40655"/>
    <cellStyle name="Normal 5 2 6 2 3 4" xfId="28350"/>
    <cellStyle name="Normal 5 2 6 2 4" xfId="11554"/>
    <cellStyle name="Normal 5 2 6 2 4 2" xfId="31437"/>
    <cellStyle name="Normal 5 2 6 2 5" xfId="17706"/>
    <cellStyle name="Normal 5 2 6 2 5 2" xfId="37589"/>
    <cellStyle name="Normal 5 2 6 2 6" xfId="25284"/>
    <cellStyle name="Normal 5 2 6 3" xfId="6092"/>
    <cellStyle name="Normal 5 2 6 3 2" xfId="9192"/>
    <cellStyle name="Normal 5 2 6 3 2 2" xfId="15385"/>
    <cellStyle name="Normal 5 2 6 3 2 2 2" xfId="35268"/>
    <cellStyle name="Normal 5 2 6 3 2 3" xfId="21537"/>
    <cellStyle name="Normal 5 2 6 3 2 3 2" xfId="41420"/>
    <cellStyle name="Normal 5 2 6 3 2 4" xfId="29115"/>
    <cellStyle name="Normal 5 2 6 3 3" xfId="12319"/>
    <cellStyle name="Normal 5 2 6 3 3 2" xfId="32202"/>
    <cellStyle name="Normal 5 2 6 3 4" xfId="18471"/>
    <cellStyle name="Normal 5 2 6 3 4 2" xfId="38354"/>
    <cellStyle name="Normal 5 2 6 3 5" xfId="26049"/>
    <cellStyle name="Normal 5 2 6 4" xfId="7657"/>
    <cellStyle name="Normal 5 2 6 4 2" xfId="13851"/>
    <cellStyle name="Normal 5 2 6 4 2 2" xfId="33734"/>
    <cellStyle name="Normal 5 2 6 4 3" xfId="20003"/>
    <cellStyle name="Normal 5 2 6 4 3 2" xfId="39886"/>
    <cellStyle name="Normal 5 2 6 4 4" xfId="27581"/>
    <cellStyle name="Normal 5 2 6 5" xfId="10785"/>
    <cellStyle name="Normal 5 2 6 5 2" xfId="30668"/>
    <cellStyle name="Normal 5 2 6 6" xfId="16937"/>
    <cellStyle name="Normal 5 2 6 6 2" xfId="36820"/>
    <cellStyle name="Normal 5 2 6 7" xfId="24515"/>
    <cellStyle name="Normal 5 2 7" xfId="5244"/>
    <cellStyle name="Normal 5 2 7 2" xfId="6869"/>
    <cellStyle name="Normal 5 2 7 2 2" xfId="9955"/>
    <cellStyle name="Normal 5 2 7 2 2 2" xfId="16148"/>
    <cellStyle name="Normal 5 2 7 2 2 2 2" xfId="36031"/>
    <cellStyle name="Normal 5 2 7 2 2 3" xfId="22300"/>
    <cellStyle name="Normal 5 2 7 2 2 3 2" xfId="42183"/>
    <cellStyle name="Normal 5 2 7 2 2 4" xfId="29878"/>
    <cellStyle name="Normal 5 2 7 2 3" xfId="13082"/>
    <cellStyle name="Normal 5 2 7 2 3 2" xfId="32965"/>
    <cellStyle name="Normal 5 2 7 2 4" xfId="19234"/>
    <cellStyle name="Normal 5 2 7 2 4 2" xfId="39117"/>
    <cellStyle name="Normal 5 2 7 2 5" xfId="26812"/>
    <cellStyle name="Normal 5 2 7 3" xfId="8420"/>
    <cellStyle name="Normal 5 2 7 3 2" xfId="14614"/>
    <cellStyle name="Normal 5 2 7 3 2 2" xfId="34497"/>
    <cellStyle name="Normal 5 2 7 3 3" xfId="20766"/>
    <cellStyle name="Normal 5 2 7 3 3 2" xfId="40649"/>
    <cellStyle name="Normal 5 2 7 3 4" xfId="28344"/>
    <cellStyle name="Normal 5 2 7 4" xfId="11548"/>
    <cellStyle name="Normal 5 2 7 4 2" xfId="31431"/>
    <cellStyle name="Normal 5 2 7 5" xfId="17700"/>
    <cellStyle name="Normal 5 2 7 5 2" xfId="37583"/>
    <cellStyle name="Normal 5 2 7 6" xfId="25278"/>
    <cellStyle name="Normal 5 2 8" xfId="6086"/>
    <cellStyle name="Normal 5 2 8 2" xfId="9186"/>
    <cellStyle name="Normal 5 2 8 2 2" xfId="15379"/>
    <cellStyle name="Normal 5 2 8 2 2 2" xfId="35262"/>
    <cellStyle name="Normal 5 2 8 2 3" xfId="21531"/>
    <cellStyle name="Normal 5 2 8 2 3 2" xfId="41414"/>
    <cellStyle name="Normal 5 2 8 2 4" xfId="29109"/>
    <cellStyle name="Normal 5 2 8 3" xfId="12313"/>
    <cellStyle name="Normal 5 2 8 3 2" xfId="32196"/>
    <cellStyle name="Normal 5 2 8 4" xfId="18465"/>
    <cellStyle name="Normal 5 2 8 4 2" xfId="38348"/>
    <cellStyle name="Normal 5 2 8 5" xfId="26043"/>
    <cellStyle name="Normal 5 2 9" xfId="7651"/>
    <cellStyle name="Normal 5 2 9 2" xfId="13845"/>
    <cellStyle name="Normal 5 2 9 2 2" xfId="33728"/>
    <cellStyle name="Normal 5 2 9 3" xfId="19997"/>
    <cellStyle name="Normal 5 2 9 3 2" xfId="39880"/>
    <cellStyle name="Normal 5 2 9 4" xfId="27575"/>
    <cellStyle name="Normal 5 20" xfId="619"/>
    <cellStyle name="Normal 5 20 2" xfId="1008"/>
    <cellStyle name="Normal 5 20 2 2" xfId="23851"/>
    <cellStyle name="Normal 5 20 3" xfId="4046"/>
    <cellStyle name="Normal 5 20 4" xfId="22673"/>
    <cellStyle name="Normal 5 20 4 2" xfId="42547"/>
    <cellStyle name="Normal 5 20 5" xfId="22971"/>
    <cellStyle name="Normal 5 20 5 2" xfId="42845"/>
    <cellStyle name="Normal 5 20 6" xfId="23548"/>
    <cellStyle name="Normal 5 21" xfId="643"/>
    <cellStyle name="Normal 5 21 2" xfId="1024"/>
    <cellStyle name="Normal 5 21 2 2" xfId="23867"/>
    <cellStyle name="Normal 5 21 3" xfId="4047"/>
    <cellStyle name="Normal 5 21 4" xfId="22605"/>
    <cellStyle name="Normal 5 21 4 2" xfId="42479"/>
    <cellStyle name="Normal 5 21 5" xfId="22987"/>
    <cellStyle name="Normal 5 21 5 2" xfId="42861"/>
    <cellStyle name="Normal 5 21 6" xfId="23564"/>
    <cellStyle name="Normal 5 22" xfId="669"/>
    <cellStyle name="Normal 5 22 2" xfId="1040"/>
    <cellStyle name="Normal 5 22 2 2" xfId="23883"/>
    <cellStyle name="Normal 5 22 3" xfId="4048"/>
    <cellStyle name="Normal 5 22 4" xfId="22664"/>
    <cellStyle name="Normal 5 22 4 2" xfId="42538"/>
    <cellStyle name="Normal 5 22 5" xfId="23003"/>
    <cellStyle name="Normal 5 22 5 2" xfId="42877"/>
    <cellStyle name="Normal 5 22 6" xfId="23580"/>
    <cellStyle name="Normal 5 23" xfId="709"/>
    <cellStyle name="Normal 5 23 2" xfId="1056"/>
    <cellStyle name="Normal 5 23 2 2" xfId="23899"/>
    <cellStyle name="Normal 5 23 3" xfId="4049"/>
    <cellStyle name="Normal 5 23 4" xfId="22699"/>
    <cellStyle name="Normal 5 23 4 2" xfId="42573"/>
    <cellStyle name="Normal 5 23 5" xfId="23019"/>
    <cellStyle name="Normal 5 23 5 2" xfId="42893"/>
    <cellStyle name="Normal 5 23 6" xfId="23596"/>
    <cellStyle name="Normal 5 24" xfId="737"/>
    <cellStyle name="Normal 5 24 2" xfId="1072"/>
    <cellStyle name="Normal 5 24 2 2" xfId="6876"/>
    <cellStyle name="Normal 5 24 2 2 2" xfId="9962"/>
    <cellStyle name="Normal 5 24 2 2 2 2" xfId="16155"/>
    <cellStyle name="Normal 5 24 2 2 2 2 2" xfId="36038"/>
    <cellStyle name="Normal 5 24 2 2 2 3" xfId="22307"/>
    <cellStyle name="Normal 5 24 2 2 2 3 2" xfId="42190"/>
    <cellStyle name="Normal 5 24 2 2 2 4" xfId="29885"/>
    <cellStyle name="Normal 5 24 2 2 3" xfId="13089"/>
    <cellStyle name="Normal 5 24 2 2 3 2" xfId="32972"/>
    <cellStyle name="Normal 5 24 2 2 4" xfId="19241"/>
    <cellStyle name="Normal 5 24 2 2 4 2" xfId="39124"/>
    <cellStyle name="Normal 5 24 2 2 5" xfId="26819"/>
    <cellStyle name="Normal 5 24 2 3" xfId="8427"/>
    <cellStyle name="Normal 5 24 2 3 2" xfId="14621"/>
    <cellStyle name="Normal 5 24 2 3 2 2" xfId="34504"/>
    <cellStyle name="Normal 5 24 2 3 3" xfId="20773"/>
    <cellStyle name="Normal 5 24 2 3 3 2" xfId="40656"/>
    <cellStyle name="Normal 5 24 2 3 4" xfId="28351"/>
    <cellStyle name="Normal 5 24 2 4" xfId="11555"/>
    <cellStyle name="Normal 5 24 2 4 2" xfId="31438"/>
    <cellStyle name="Normal 5 24 2 5" xfId="17707"/>
    <cellStyle name="Normal 5 24 2 5 2" xfId="37590"/>
    <cellStyle name="Normal 5 24 2 6" xfId="5251"/>
    <cellStyle name="Normal 5 24 2 6 2" xfId="25285"/>
    <cellStyle name="Normal 5 24 2 7" xfId="23915"/>
    <cellStyle name="Normal 5 24 3" xfId="6093"/>
    <cellStyle name="Normal 5 24 3 2" xfId="9193"/>
    <cellStyle name="Normal 5 24 3 2 2" xfId="15386"/>
    <cellStyle name="Normal 5 24 3 2 2 2" xfId="35269"/>
    <cellStyle name="Normal 5 24 3 2 3" xfId="21538"/>
    <cellStyle name="Normal 5 24 3 2 3 2" xfId="41421"/>
    <cellStyle name="Normal 5 24 3 2 4" xfId="29116"/>
    <cellStyle name="Normal 5 24 3 3" xfId="12320"/>
    <cellStyle name="Normal 5 24 3 3 2" xfId="32203"/>
    <cellStyle name="Normal 5 24 3 4" xfId="18472"/>
    <cellStyle name="Normal 5 24 3 4 2" xfId="38355"/>
    <cellStyle name="Normal 5 24 3 5" xfId="26050"/>
    <cellStyle name="Normal 5 24 4" xfId="7658"/>
    <cellStyle name="Normal 5 24 4 2" xfId="13852"/>
    <cellStyle name="Normal 5 24 4 2 2" xfId="33735"/>
    <cellStyle name="Normal 5 24 4 3" xfId="20004"/>
    <cellStyle name="Normal 5 24 4 3 2" xfId="39887"/>
    <cellStyle name="Normal 5 24 4 4" xfId="27582"/>
    <cellStyle name="Normal 5 24 5" xfId="10786"/>
    <cellStyle name="Normal 5 24 5 2" xfId="30669"/>
    <cellStyle name="Normal 5 24 6" xfId="16938"/>
    <cellStyle name="Normal 5 24 6 2" xfId="36821"/>
    <cellStyle name="Normal 5 24 7" xfId="4050"/>
    <cellStyle name="Normal 5 24 7 2" xfId="24516"/>
    <cellStyle name="Normal 5 24 8" xfId="23035"/>
    <cellStyle name="Normal 5 24 8 2" xfId="42909"/>
    <cellStyle name="Normal 5 24 9" xfId="23612"/>
    <cellStyle name="Normal 5 25" xfId="763"/>
    <cellStyle name="Normal 5 25 2" xfId="1088"/>
    <cellStyle name="Normal 5 25 2 2" xfId="4052"/>
    <cellStyle name="Normal 5 25 2 3" xfId="23931"/>
    <cellStyle name="Normal 5 25 3" xfId="4051"/>
    <cellStyle name="Normal 5 25 4" xfId="22623"/>
    <cellStyle name="Normal 5 25 4 2" xfId="42497"/>
    <cellStyle name="Normal 5 25 5" xfId="23051"/>
    <cellStyle name="Normal 5 25 5 2" xfId="42925"/>
    <cellStyle name="Normal 5 25 6" xfId="23628"/>
    <cellStyle name="Normal 5 26" xfId="788"/>
    <cellStyle name="Normal 5 26 2" xfId="1104"/>
    <cellStyle name="Normal 5 26 2 2" xfId="4054"/>
    <cellStyle name="Normal 5 26 2 3" xfId="23947"/>
    <cellStyle name="Normal 5 26 3" xfId="4053"/>
    <cellStyle name="Normal 5 26 4" xfId="22751"/>
    <cellStyle name="Normal 5 26 4 2" xfId="42625"/>
    <cellStyle name="Normal 5 26 5" xfId="23067"/>
    <cellStyle name="Normal 5 26 5 2" xfId="42941"/>
    <cellStyle name="Normal 5 26 6" xfId="23644"/>
    <cellStyle name="Normal 5 27" xfId="812"/>
    <cellStyle name="Normal 5 27 2" xfId="1120"/>
    <cellStyle name="Normal 5 27 2 2" xfId="23963"/>
    <cellStyle name="Normal 5 27 3" xfId="4620"/>
    <cellStyle name="Normal 5 27 4" xfId="22604"/>
    <cellStyle name="Normal 5 27 4 2" xfId="42478"/>
    <cellStyle name="Normal 5 27 5" xfId="23083"/>
    <cellStyle name="Normal 5 27 5 2" xfId="42957"/>
    <cellStyle name="Normal 5 27 6" xfId="23660"/>
    <cellStyle name="Normal 5 28" xfId="828"/>
    <cellStyle name="Normal 5 28 2" xfId="1136"/>
    <cellStyle name="Normal 5 28 2 2" xfId="6868"/>
    <cellStyle name="Normal 5 28 2 2 2" xfId="9954"/>
    <cellStyle name="Normal 5 28 2 2 2 2" xfId="16147"/>
    <cellStyle name="Normal 5 28 2 2 2 2 2" xfId="36030"/>
    <cellStyle name="Normal 5 28 2 2 2 3" xfId="22299"/>
    <cellStyle name="Normal 5 28 2 2 2 3 2" xfId="42182"/>
    <cellStyle name="Normal 5 28 2 2 2 4" xfId="29877"/>
    <cellStyle name="Normal 5 28 2 2 3" xfId="13081"/>
    <cellStyle name="Normal 5 28 2 2 3 2" xfId="32964"/>
    <cellStyle name="Normal 5 28 2 2 4" xfId="19233"/>
    <cellStyle name="Normal 5 28 2 2 4 2" xfId="39116"/>
    <cellStyle name="Normal 5 28 2 2 5" xfId="26811"/>
    <cellStyle name="Normal 5 28 2 3" xfId="8419"/>
    <cellStyle name="Normal 5 28 2 3 2" xfId="14613"/>
    <cellStyle name="Normal 5 28 2 3 2 2" xfId="34496"/>
    <cellStyle name="Normal 5 28 2 3 3" xfId="20765"/>
    <cellStyle name="Normal 5 28 2 3 3 2" xfId="40648"/>
    <cellStyle name="Normal 5 28 2 3 4" xfId="28343"/>
    <cellStyle name="Normal 5 28 2 4" xfId="11547"/>
    <cellStyle name="Normal 5 28 2 4 2" xfId="31430"/>
    <cellStyle name="Normal 5 28 2 5" xfId="17699"/>
    <cellStyle name="Normal 5 28 2 5 2" xfId="37582"/>
    <cellStyle name="Normal 5 28 2 6" xfId="5243"/>
    <cellStyle name="Normal 5 28 2 6 2" xfId="25277"/>
    <cellStyle name="Normal 5 28 2 7" xfId="23979"/>
    <cellStyle name="Normal 5 28 3" xfId="6085"/>
    <cellStyle name="Normal 5 28 3 2" xfId="9185"/>
    <cellStyle name="Normal 5 28 3 2 2" xfId="15378"/>
    <cellStyle name="Normal 5 28 3 2 2 2" xfId="35261"/>
    <cellStyle name="Normal 5 28 3 2 3" xfId="21530"/>
    <cellStyle name="Normal 5 28 3 2 3 2" xfId="41413"/>
    <cellStyle name="Normal 5 28 3 2 4" xfId="29108"/>
    <cellStyle name="Normal 5 28 3 3" xfId="12312"/>
    <cellStyle name="Normal 5 28 3 3 2" xfId="32195"/>
    <cellStyle name="Normal 5 28 3 4" xfId="18464"/>
    <cellStyle name="Normal 5 28 3 4 2" xfId="38347"/>
    <cellStyle name="Normal 5 28 3 5" xfId="26042"/>
    <cellStyle name="Normal 5 28 4" xfId="7650"/>
    <cellStyle name="Normal 5 28 4 2" xfId="13844"/>
    <cellStyle name="Normal 5 28 4 2 2" xfId="33727"/>
    <cellStyle name="Normal 5 28 4 3" xfId="19996"/>
    <cellStyle name="Normal 5 28 4 3 2" xfId="39879"/>
    <cellStyle name="Normal 5 28 4 4" xfId="27574"/>
    <cellStyle name="Normal 5 28 5" xfId="10778"/>
    <cellStyle name="Normal 5 28 5 2" xfId="30661"/>
    <cellStyle name="Normal 5 28 6" xfId="16930"/>
    <cellStyle name="Normal 5 28 6 2" xfId="36813"/>
    <cellStyle name="Normal 5 28 7" xfId="4023"/>
    <cellStyle name="Normal 5 28 7 2" xfId="24508"/>
    <cellStyle name="Normal 5 28 8" xfId="23099"/>
    <cellStyle name="Normal 5 28 8 2" xfId="42973"/>
    <cellStyle name="Normal 5 28 9" xfId="23676"/>
    <cellStyle name="Normal 5 29" xfId="844"/>
    <cellStyle name="Normal 5 29 2" xfId="1152"/>
    <cellStyle name="Normal 5 29 2 2" xfId="23995"/>
    <cellStyle name="Normal 5 29 3" xfId="1179"/>
    <cellStyle name="Normal 5 29 4" xfId="22729"/>
    <cellStyle name="Normal 5 29 4 2" xfId="42603"/>
    <cellStyle name="Normal 5 29 5" xfId="23115"/>
    <cellStyle name="Normal 5 29 5 2" xfId="42989"/>
    <cellStyle name="Normal 5 29 6" xfId="23692"/>
    <cellStyle name="Normal 5 3" xfId="296"/>
    <cellStyle name="Normal 5 3 10" xfId="23281"/>
    <cellStyle name="Normal 5 3 11" xfId="23432"/>
    <cellStyle name="Normal 5 3 2" xfId="892"/>
    <cellStyle name="Normal 5 3 2 2" xfId="4056"/>
    <cellStyle name="Normal 5 3 2 3" xfId="23735"/>
    <cellStyle name="Normal 5 3 3" xfId="5252"/>
    <cellStyle name="Normal 5 3 3 2" xfId="6877"/>
    <cellStyle name="Normal 5 3 3 2 2" xfId="9963"/>
    <cellStyle name="Normal 5 3 3 2 2 2" xfId="16156"/>
    <cellStyle name="Normal 5 3 3 2 2 2 2" xfId="36039"/>
    <cellStyle name="Normal 5 3 3 2 2 3" xfId="22308"/>
    <cellStyle name="Normal 5 3 3 2 2 3 2" xfId="42191"/>
    <cellStyle name="Normal 5 3 3 2 2 4" xfId="29886"/>
    <cellStyle name="Normal 5 3 3 2 3" xfId="13090"/>
    <cellStyle name="Normal 5 3 3 2 3 2" xfId="32973"/>
    <cellStyle name="Normal 5 3 3 2 4" xfId="19242"/>
    <cellStyle name="Normal 5 3 3 2 4 2" xfId="39125"/>
    <cellStyle name="Normal 5 3 3 2 5" xfId="26820"/>
    <cellStyle name="Normal 5 3 3 3" xfId="8428"/>
    <cellStyle name="Normal 5 3 3 3 2" xfId="14622"/>
    <cellStyle name="Normal 5 3 3 3 2 2" xfId="34505"/>
    <cellStyle name="Normal 5 3 3 3 3" xfId="20774"/>
    <cellStyle name="Normal 5 3 3 3 3 2" xfId="40657"/>
    <cellStyle name="Normal 5 3 3 3 4" xfId="28352"/>
    <cellStyle name="Normal 5 3 3 4" xfId="11556"/>
    <cellStyle name="Normal 5 3 3 4 2" xfId="31439"/>
    <cellStyle name="Normal 5 3 3 5" xfId="17708"/>
    <cellStyle name="Normal 5 3 3 5 2" xfId="37591"/>
    <cellStyle name="Normal 5 3 3 6" xfId="25286"/>
    <cellStyle name="Normal 5 3 4" xfId="6094"/>
    <cellStyle name="Normal 5 3 4 2" xfId="9194"/>
    <cellStyle name="Normal 5 3 4 2 2" xfId="15387"/>
    <cellStyle name="Normal 5 3 4 2 2 2" xfId="35270"/>
    <cellStyle name="Normal 5 3 4 2 3" xfId="21539"/>
    <cellStyle name="Normal 5 3 4 2 3 2" xfId="41422"/>
    <cellStyle name="Normal 5 3 4 2 4" xfId="29117"/>
    <cellStyle name="Normal 5 3 4 3" xfId="12321"/>
    <cellStyle name="Normal 5 3 4 3 2" xfId="32204"/>
    <cellStyle name="Normal 5 3 4 4" xfId="18473"/>
    <cellStyle name="Normal 5 3 4 4 2" xfId="38356"/>
    <cellStyle name="Normal 5 3 4 5" xfId="26051"/>
    <cellStyle name="Normal 5 3 5" xfId="7659"/>
    <cellStyle name="Normal 5 3 5 2" xfId="13853"/>
    <cellStyle name="Normal 5 3 5 2 2" xfId="33736"/>
    <cellStyle name="Normal 5 3 5 3" xfId="20005"/>
    <cellStyle name="Normal 5 3 5 3 2" xfId="39888"/>
    <cellStyle name="Normal 5 3 5 4" xfId="27583"/>
    <cellStyle name="Normal 5 3 6" xfId="10787"/>
    <cellStyle name="Normal 5 3 6 2" xfId="30670"/>
    <cellStyle name="Normal 5 3 7" xfId="16939"/>
    <cellStyle name="Normal 5 3 7 2" xfId="36822"/>
    <cellStyle name="Normal 5 3 8" xfId="4055"/>
    <cellStyle name="Normal 5 3 8 2" xfId="24517"/>
    <cellStyle name="Normal 5 3 9" xfId="22855"/>
    <cellStyle name="Normal 5 3 9 2" xfId="42729"/>
    <cellStyle name="Normal 5 30" xfId="201"/>
    <cellStyle name="Normal 5 4" xfId="319"/>
    <cellStyle name="Normal 5 4 10" xfId="23282"/>
    <cellStyle name="Normal 5 4 11" xfId="23436"/>
    <cellStyle name="Normal 5 4 2" xfId="896"/>
    <cellStyle name="Normal 5 4 2 2" xfId="4058"/>
    <cellStyle name="Normal 5 4 2 3" xfId="23739"/>
    <cellStyle name="Normal 5 4 3" xfId="5253"/>
    <cellStyle name="Normal 5 4 3 2" xfId="6878"/>
    <cellStyle name="Normal 5 4 3 2 2" xfId="9964"/>
    <cellStyle name="Normal 5 4 3 2 2 2" xfId="16157"/>
    <cellStyle name="Normal 5 4 3 2 2 2 2" xfId="36040"/>
    <cellStyle name="Normal 5 4 3 2 2 3" xfId="22309"/>
    <cellStyle name="Normal 5 4 3 2 2 3 2" xfId="42192"/>
    <cellStyle name="Normal 5 4 3 2 2 4" xfId="29887"/>
    <cellStyle name="Normal 5 4 3 2 3" xfId="13091"/>
    <cellStyle name="Normal 5 4 3 2 3 2" xfId="32974"/>
    <cellStyle name="Normal 5 4 3 2 4" xfId="19243"/>
    <cellStyle name="Normal 5 4 3 2 4 2" xfId="39126"/>
    <cellStyle name="Normal 5 4 3 2 5" xfId="26821"/>
    <cellStyle name="Normal 5 4 3 3" xfId="8429"/>
    <cellStyle name="Normal 5 4 3 3 2" xfId="14623"/>
    <cellStyle name="Normal 5 4 3 3 2 2" xfId="34506"/>
    <cellStyle name="Normal 5 4 3 3 3" xfId="20775"/>
    <cellStyle name="Normal 5 4 3 3 3 2" xfId="40658"/>
    <cellStyle name="Normal 5 4 3 3 4" xfId="28353"/>
    <cellStyle name="Normal 5 4 3 4" xfId="11557"/>
    <cellStyle name="Normal 5 4 3 4 2" xfId="31440"/>
    <cellStyle name="Normal 5 4 3 5" xfId="17709"/>
    <cellStyle name="Normal 5 4 3 5 2" xfId="37592"/>
    <cellStyle name="Normal 5 4 3 6" xfId="25287"/>
    <cellStyle name="Normal 5 4 4" xfId="6095"/>
    <cellStyle name="Normal 5 4 4 2" xfId="9195"/>
    <cellStyle name="Normal 5 4 4 2 2" xfId="15388"/>
    <cellStyle name="Normal 5 4 4 2 2 2" xfId="35271"/>
    <cellStyle name="Normal 5 4 4 2 3" xfId="21540"/>
    <cellStyle name="Normal 5 4 4 2 3 2" xfId="41423"/>
    <cellStyle name="Normal 5 4 4 2 4" xfId="29118"/>
    <cellStyle name="Normal 5 4 4 3" xfId="12322"/>
    <cellStyle name="Normal 5 4 4 3 2" xfId="32205"/>
    <cellStyle name="Normal 5 4 4 4" xfId="18474"/>
    <cellStyle name="Normal 5 4 4 4 2" xfId="38357"/>
    <cellStyle name="Normal 5 4 4 5" xfId="26052"/>
    <cellStyle name="Normal 5 4 5" xfId="7660"/>
    <cellStyle name="Normal 5 4 5 2" xfId="13854"/>
    <cellStyle name="Normal 5 4 5 2 2" xfId="33737"/>
    <cellStyle name="Normal 5 4 5 3" xfId="20006"/>
    <cellStyle name="Normal 5 4 5 3 2" xfId="39889"/>
    <cellStyle name="Normal 5 4 5 4" xfId="27584"/>
    <cellStyle name="Normal 5 4 6" xfId="10788"/>
    <cellStyle name="Normal 5 4 6 2" xfId="30671"/>
    <cellStyle name="Normal 5 4 7" xfId="16940"/>
    <cellStyle name="Normal 5 4 7 2" xfId="36823"/>
    <cellStyle name="Normal 5 4 8" xfId="4057"/>
    <cellStyle name="Normal 5 4 8 2" xfId="24518"/>
    <cellStyle name="Normal 5 4 9" xfId="22859"/>
    <cellStyle name="Normal 5 4 9 2" xfId="42733"/>
    <cellStyle name="Normal 5 5" xfId="334"/>
    <cellStyle name="Normal 5 5 10" xfId="23283"/>
    <cellStyle name="Normal 5 5 11" xfId="23439"/>
    <cellStyle name="Normal 5 5 2" xfId="899"/>
    <cellStyle name="Normal 5 5 2 2" xfId="4060"/>
    <cellStyle name="Normal 5 5 2 3" xfId="23742"/>
    <cellStyle name="Normal 5 5 3" xfId="5254"/>
    <cellStyle name="Normal 5 5 3 2" xfId="6879"/>
    <cellStyle name="Normal 5 5 3 2 2" xfId="9965"/>
    <cellStyle name="Normal 5 5 3 2 2 2" xfId="16158"/>
    <cellStyle name="Normal 5 5 3 2 2 2 2" xfId="36041"/>
    <cellStyle name="Normal 5 5 3 2 2 3" xfId="22310"/>
    <cellStyle name="Normal 5 5 3 2 2 3 2" xfId="42193"/>
    <cellStyle name="Normal 5 5 3 2 2 4" xfId="29888"/>
    <cellStyle name="Normal 5 5 3 2 3" xfId="13092"/>
    <cellStyle name="Normal 5 5 3 2 3 2" xfId="32975"/>
    <cellStyle name="Normal 5 5 3 2 4" xfId="19244"/>
    <cellStyle name="Normal 5 5 3 2 4 2" xfId="39127"/>
    <cellStyle name="Normal 5 5 3 2 5" xfId="26822"/>
    <cellStyle name="Normal 5 5 3 3" xfId="8430"/>
    <cellStyle name="Normal 5 5 3 3 2" xfId="14624"/>
    <cellStyle name="Normal 5 5 3 3 2 2" xfId="34507"/>
    <cellStyle name="Normal 5 5 3 3 3" xfId="20776"/>
    <cellStyle name="Normal 5 5 3 3 3 2" xfId="40659"/>
    <cellStyle name="Normal 5 5 3 3 4" xfId="28354"/>
    <cellStyle name="Normal 5 5 3 4" xfId="11558"/>
    <cellStyle name="Normal 5 5 3 4 2" xfId="31441"/>
    <cellStyle name="Normal 5 5 3 5" xfId="17710"/>
    <cellStyle name="Normal 5 5 3 5 2" xfId="37593"/>
    <cellStyle name="Normal 5 5 3 6" xfId="25288"/>
    <cellStyle name="Normal 5 5 4" xfId="6096"/>
    <cellStyle name="Normal 5 5 4 2" xfId="9196"/>
    <cellStyle name="Normal 5 5 4 2 2" xfId="15389"/>
    <cellStyle name="Normal 5 5 4 2 2 2" xfId="35272"/>
    <cellStyle name="Normal 5 5 4 2 3" xfId="21541"/>
    <cellStyle name="Normal 5 5 4 2 3 2" xfId="41424"/>
    <cellStyle name="Normal 5 5 4 2 4" xfId="29119"/>
    <cellStyle name="Normal 5 5 4 3" xfId="12323"/>
    <cellStyle name="Normal 5 5 4 3 2" xfId="32206"/>
    <cellStyle name="Normal 5 5 4 4" xfId="18475"/>
    <cellStyle name="Normal 5 5 4 4 2" xfId="38358"/>
    <cellStyle name="Normal 5 5 4 5" xfId="26053"/>
    <cellStyle name="Normal 5 5 5" xfId="7661"/>
    <cellStyle name="Normal 5 5 5 2" xfId="13855"/>
    <cellStyle name="Normal 5 5 5 2 2" xfId="33738"/>
    <cellStyle name="Normal 5 5 5 3" xfId="20007"/>
    <cellStyle name="Normal 5 5 5 3 2" xfId="39890"/>
    <cellStyle name="Normal 5 5 5 4" xfId="27585"/>
    <cellStyle name="Normal 5 5 6" xfId="10789"/>
    <cellStyle name="Normal 5 5 6 2" xfId="30672"/>
    <cellStyle name="Normal 5 5 7" xfId="16941"/>
    <cellStyle name="Normal 5 5 7 2" xfId="36824"/>
    <cellStyle name="Normal 5 5 8" xfId="4059"/>
    <cellStyle name="Normal 5 5 8 2" xfId="24519"/>
    <cellStyle name="Normal 5 5 9" xfId="22862"/>
    <cellStyle name="Normal 5 5 9 2" xfId="42736"/>
    <cellStyle name="Normal 5 6" xfId="348"/>
    <cellStyle name="Normal 5 6 10" xfId="23442"/>
    <cellStyle name="Normal 5 6 2" xfId="902"/>
    <cellStyle name="Normal 5 6 2 2" xfId="4062"/>
    <cellStyle name="Normal 5 6 2 3" xfId="23745"/>
    <cellStyle name="Normal 5 6 3" xfId="5255"/>
    <cellStyle name="Normal 5 6 3 2" xfId="6880"/>
    <cellStyle name="Normal 5 6 3 2 2" xfId="9966"/>
    <cellStyle name="Normal 5 6 3 2 2 2" xfId="16159"/>
    <cellStyle name="Normal 5 6 3 2 2 2 2" xfId="36042"/>
    <cellStyle name="Normal 5 6 3 2 2 3" xfId="22311"/>
    <cellStyle name="Normal 5 6 3 2 2 3 2" xfId="42194"/>
    <cellStyle name="Normal 5 6 3 2 2 4" xfId="29889"/>
    <cellStyle name="Normal 5 6 3 2 3" xfId="13093"/>
    <cellStyle name="Normal 5 6 3 2 3 2" xfId="32976"/>
    <cellStyle name="Normal 5 6 3 2 4" xfId="19245"/>
    <cellStyle name="Normal 5 6 3 2 4 2" xfId="39128"/>
    <cellStyle name="Normal 5 6 3 2 5" xfId="26823"/>
    <cellStyle name="Normal 5 6 3 3" xfId="8431"/>
    <cellStyle name="Normal 5 6 3 3 2" xfId="14625"/>
    <cellStyle name="Normal 5 6 3 3 2 2" xfId="34508"/>
    <cellStyle name="Normal 5 6 3 3 3" xfId="20777"/>
    <cellStyle name="Normal 5 6 3 3 3 2" xfId="40660"/>
    <cellStyle name="Normal 5 6 3 3 4" xfId="28355"/>
    <cellStyle name="Normal 5 6 3 4" xfId="11559"/>
    <cellStyle name="Normal 5 6 3 4 2" xfId="31442"/>
    <cellStyle name="Normal 5 6 3 5" xfId="17711"/>
    <cellStyle name="Normal 5 6 3 5 2" xfId="37594"/>
    <cellStyle name="Normal 5 6 3 6" xfId="25289"/>
    <cellStyle name="Normal 5 6 4" xfId="6097"/>
    <cellStyle name="Normal 5 6 4 2" xfId="9197"/>
    <cellStyle name="Normal 5 6 4 2 2" xfId="15390"/>
    <cellStyle name="Normal 5 6 4 2 2 2" xfId="35273"/>
    <cellStyle name="Normal 5 6 4 2 3" xfId="21542"/>
    <cellStyle name="Normal 5 6 4 2 3 2" xfId="41425"/>
    <cellStyle name="Normal 5 6 4 2 4" xfId="29120"/>
    <cellStyle name="Normal 5 6 4 3" xfId="12324"/>
    <cellStyle name="Normal 5 6 4 3 2" xfId="32207"/>
    <cellStyle name="Normal 5 6 4 4" xfId="18476"/>
    <cellStyle name="Normal 5 6 4 4 2" xfId="38359"/>
    <cellStyle name="Normal 5 6 4 5" xfId="26054"/>
    <cellStyle name="Normal 5 6 5" xfId="7662"/>
    <cellStyle name="Normal 5 6 5 2" xfId="13856"/>
    <cellStyle name="Normal 5 6 5 2 2" xfId="33739"/>
    <cellStyle name="Normal 5 6 5 3" xfId="20008"/>
    <cellStyle name="Normal 5 6 5 3 2" xfId="39891"/>
    <cellStyle name="Normal 5 6 5 4" xfId="27586"/>
    <cellStyle name="Normal 5 6 6" xfId="10790"/>
    <cellStyle name="Normal 5 6 6 2" xfId="30673"/>
    <cellStyle name="Normal 5 6 7" xfId="16942"/>
    <cellStyle name="Normal 5 6 7 2" xfId="36825"/>
    <cellStyle name="Normal 5 6 8" xfId="4061"/>
    <cellStyle name="Normal 5 6 8 2" xfId="24520"/>
    <cellStyle name="Normal 5 6 9" xfId="22865"/>
    <cellStyle name="Normal 5 6 9 2" xfId="42739"/>
    <cellStyle name="Normal 5 7" xfId="364"/>
    <cellStyle name="Normal 5 7 10" xfId="23445"/>
    <cellStyle name="Normal 5 7 2" xfId="905"/>
    <cellStyle name="Normal 5 7 2 2" xfId="4064"/>
    <cellStyle name="Normal 5 7 2 3" xfId="23748"/>
    <cellStyle name="Normal 5 7 3" xfId="5256"/>
    <cellStyle name="Normal 5 7 3 2" xfId="6881"/>
    <cellStyle name="Normal 5 7 3 2 2" xfId="9967"/>
    <cellStyle name="Normal 5 7 3 2 2 2" xfId="16160"/>
    <cellStyle name="Normal 5 7 3 2 2 2 2" xfId="36043"/>
    <cellStyle name="Normal 5 7 3 2 2 3" xfId="22312"/>
    <cellStyle name="Normal 5 7 3 2 2 3 2" xfId="42195"/>
    <cellStyle name="Normal 5 7 3 2 2 4" xfId="29890"/>
    <cellStyle name="Normal 5 7 3 2 3" xfId="13094"/>
    <cellStyle name="Normal 5 7 3 2 3 2" xfId="32977"/>
    <cellStyle name="Normal 5 7 3 2 4" xfId="19246"/>
    <cellStyle name="Normal 5 7 3 2 4 2" xfId="39129"/>
    <cellStyle name="Normal 5 7 3 2 5" xfId="26824"/>
    <cellStyle name="Normal 5 7 3 3" xfId="8432"/>
    <cellStyle name="Normal 5 7 3 3 2" xfId="14626"/>
    <cellStyle name="Normal 5 7 3 3 2 2" xfId="34509"/>
    <cellStyle name="Normal 5 7 3 3 3" xfId="20778"/>
    <cellStyle name="Normal 5 7 3 3 3 2" xfId="40661"/>
    <cellStyle name="Normal 5 7 3 3 4" xfId="28356"/>
    <cellStyle name="Normal 5 7 3 4" xfId="11560"/>
    <cellStyle name="Normal 5 7 3 4 2" xfId="31443"/>
    <cellStyle name="Normal 5 7 3 5" xfId="17712"/>
    <cellStyle name="Normal 5 7 3 5 2" xfId="37595"/>
    <cellStyle name="Normal 5 7 3 6" xfId="25290"/>
    <cellStyle name="Normal 5 7 4" xfId="6098"/>
    <cellStyle name="Normal 5 7 4 2" xfId="9198"/>
    <cellStyle name="Normal 5 7 4 2 2" xfId="15391"/>
    <cellStyle name="Normal 5 7 4 2 2 2" xfId="35274"/>
    <cellStyle name="Normal 5 7 4 2 3" xfId="21543"/>
    <cellStyle name="Normal 5 7 4 2 3 2" xfId="41426"/>
    <cellStyle name="Normal 5 7 4 2 4" xfId="29121"/>
    <cellStyle name="Normal 5 7 4 3" xfId="12325"/>
    <cellStyle name="Normal 5 7 4 3 2" xfId="32208"/>
    <cellStyle name="Normal 5 7 4 4" xfId="18477"/>
    <cellStyle name="Normal 5 7 4 4 2" xfId="38360"/>
    <cellStyle name="Normal 5 7 4 5" xfId="26055"/>
    <cellStyle name="Normal 5 7 5" xfId="7663"/>
    <cellStyle name="Normal 5 7 5 2" xfId="13857"/>
    <cellStyle name="Normal 5 7 5 2 2" xfId="33740"/>
    <cellStyle name="Normal 5 7 5 3" xfId="20009"/>
    <cellStyle name="Normal 5 7 5 3 2" xfId="39892"/>
    <cellStyle name="Normal 5 7 5 4" xfId="27587"/>
    <cellStyle name="Normal 5 7 6" xfId="10791"/>
    <cellStyle name="Normal 5 7 6 2" xfId="30674"/>
    <cellStyle name="Normal 5 7 7" xfId="16943"/>
    <cellStyle name="Normal 5 7 7 2" xfId="36826"/>
    <cellStyle name="Normal 5 7 8" xfId="4063"/>
    <cellStyle name="Normal 5 7 8 2" xfId="24521"/>
    <cellStyle name="Normal 5 7 9" xfId="22868"/>
    <cellStyle name="Normal 5 7 9 2" xfId="42742"/>
    <cellStyle name="Normal 5 8" xfId="379"/>
    <cellStyle name="Normal 5 8 2" xfId="908"/>
    <cellStyle name="Normal 5 8 2 2" xfId="23751"/>
    <cellStyle name="Normal 5 8 3" xfId="4065"/>
    <cellStyle name="Normal 5 8 4" xfId="22687"/>
    <cellStyle name="Normal 5 8 4 2" xfId="42561"/>
    <cellStyle name="Normal 5 8 5" xfId="22871"/>
    <cellStyle name="Normal 5 8 5 2" xfId="42745"/>
    <cellStyle name="Normal 5 8 6" xfId="23448"/>
    <cellStyle name="Normal 5 9" xfId="395"/>
    <cellStyle name="Normal 5 9 2" xfId="911"/>
    <cellStyle name="Normal 5 9 2 2" xfId="23754"/>
    <cellStyle name="Normal 5 9 3" xfId="4066"/>
    <cellStyle name="Normal 5 9 4" xfId="22634"/>
    <cellStyle name="Normal 5 9 4 2" xfId="42508"/>
    <cellStyle name="Normal 5 9 5" xfId="22874"/>
    <cellStyle name="Normal 5 9 5 2" xfId="42748"/>
    <cellStyle name="Normal 5 9 6" xfId="23451"/>
    <cellStyle name="Normal 5_GRCW" xfId="60"/>
    <cellStyle name="Normal 50" xfId="1317"/>
    <cellStyle name="Normal 50 2" xfId="4764"/>
    <cellStyle name="Normal 50 2 2" xfId="6389"/>
    <cellStyle name="Normal 50 2 2 2" xfId="9475"/>
    <cellStyle name="Normal 50 2 2 2 2" xfId="15668"/>
    <cellStyle name="Normal 50 2 2 2 2 2" xfId="35551"/>
    <cellStyle name="Normal 50 2 2 2 3" xfId="21820"/>
    <cellStyle name="Normal 50 2 2 2 3 2" xfId="41703"/>
    <cellStyle name="Normal 50 2 2 2 4" xfId="29398"/>
    <cellStyle name="Normal 50 2 2 3" xfId="12602"/>
    <cellStyle name="Normal 50 2 2 3 2" xfId="32485"/>
    <cellStyle name="Normal 50 2 2 4" xfId="18754"/>
    <cellStyle name="Normal 50 2 2 4 2" xfId="38637"/>
    <cellStyle name="Normal 50 2 2 5" xfId="26332"/>
    <cellStyle name="Normal 50 2 3" xfId="7940"/>
    <cellStyle name="Normal 50 2 3 2" xfId="14134"/>
    <cellStyle name="Normal 50 2 3 2 2" xfId="34017"/>
    <cellStyle name="Normal 50 2 3 3" xfId="20286"/>
    <cellStyle name="Normal 50 2 3 3 2" xfId="40169"/>
    <cellStyle name="Normal 50 2 3 4" xfId="27864"/>
    <cellStyle name="Normal 50 2 4" xfId="11068"/>
    <cellStyle name="Normal 50 2 4 2" xfId="30951"/>
    <cellStyle name="Normal 50 2 5" xfId="17220"/>
    <cellStyle name="Normal 50 2 5 2" xfId="37103"/>
    <cellStyle name="Normal 50 2 6" xfId="24798"/>
    <cellStyle name="Normal 50 3" xfId="5603"/>
    <cellStyle name="Normal 50 3 2" xfId="8706"/>
    <cellStyle name="Normal 50 3 2 2" xfId="14899"/>
    <cellStyle name="Normal 50 3 2 2 2" xfId="34782"/>
    <cellStyle name="Normal 50 3 2 3" xfId="21051"/>
    <cellStyle name="Normal 50 3 2 3 2" xfId="40934"/>
    <cellStyle name="Normal 50 3 2 4" xfId="28629"/>
    <cellStyle name="Normal 50 3 3" xfId="11833"/>
    <cellStyle name="Normal 50 3 3 2" xfId="31716"/>
    <cellStyle name="Normal 50 3 4" xfId="17985"/>
    <cellStyle name="Normal 50 3 4 2" xfId="37868"/>
    <cellStyle name="Normal 50 3 5" xfId="25563"/>
    <cellStyle name="Normal 50 4" xfId="7171"/>
    <cellStyle name="Normal 50 4 2" xfId="13365"/>
    <cellStyle name="Normal 50 4 2 2" xfId="33248"/>
    <cellStyle name="Normal 50 4 3" xfId="19517"/>
    <cellStyle name="Normal 50 4 3 2" xfId="39400"/>
    <cellStyle name="Normal 50 4 4" xfId="27095"/>
    <cellStyle name="Normal 50 5" xfId="10299"/>
    <cellStyle name="Normal 50 5 2" xfId="30182"/>
    <cellStyle name="Normal 50 6" xfId="16451"/>
    <cellStyle name="Normal 50 6 2" xfId="36334"/>
    <cellStyle name="Normal 50 7" xfId="24029"/>
    <cellStyle name="Normal 51" xfId="4728"/>
    <cellStyle name="Normal 51 2" xfId="4739"/>
    <cellStyle name="Normal 51 3" xfId="6360"/>
    <cellStyle name="Normal 51 3 2" xfId="9446"/>
    <cellStyle name="Normal 51 3 2 2" xfId="15639"/>
    <cellStyle name="Normal 51 3 2 2 2" xfId="35522"/>
    <cellStyle name="Normal 51 3 2 3" xfId="21791"/>
    <cellStyle name="Normal 51 3 2 3 2" xfId="41674"/>
    <cellStyle name="Normal 51 3 2 4" xfId="29369"/>
    <cellStyle name="Normal 51 3 3" xfId="12573"/>
    <cellStyle name="Normal 51 3 3 2" xfId="32456"/>
    <cellStyle name="Normal 51 3 4" xfId="18725"/>
    <cellStyle name="Normal 51 3 4 2" xfId="38608"/>
    <cellStyle name="Normal 51 3 5" xfId="26303"/>
    <cellStyle name="Normal 51 4" xfId="7911"/>
    <cellStyle name="Normal 51 4 2" xfId="14105"/>
    <cellStyle name="Normal 51 4 2 2" xfId="33988"/>
    <cellStyle name="Normal 51 4 3" xfId="20257"/>
    <cellStyle name="Normal 51 4 3 2" xfId="40140"/>
    <cellStyle name="Normal 51 4 4" xfId="27835"/>
    <cellStyle name="Normal 51 5" xfId="11039"/>
    <cellStyle name="Normal 51 5 2" xfId="30922"/>
    <cellStyle name="Normal 51 6" xfId="17191"/>
    <cellStyle name="Normal 51 6 2" xfId="37074"/>
    <cellStyle name="Normal 51 7" xfId="24769"/>
    <cellStyle name="Normal 52" xfId="5576"/>
    <cellStyle name="Normal 52 2" xfId="8680"/>
    <cellStyle name="Normal 52 2 2" xfId="14874"/>
    <cellStyle name="Normal 52 2 2 2" xfId="34757"/>
    <cellStyle name="Normal 52 2 3" xfId="21026"/>
    <cellStyle name="Normal 52 2 3 2" xfId="40909"/>
    <cellStyle name="Normal 52 2 4" xfId="28604"/>
    <cellStyle name="Normal 52 3" xfId="11808"/>
    <cellStyle name="Normal 52 3 2" xfId="31691"/>
    <cellStyle name="Normal 52 4" xfId="17960"/>
    <cellStyle name="Normal 52 4 2" xfId="37843"/>
    <cellStyle name="Normal 52 5" xfId="25538"/>
    <cellStyle name="Normal 53" xfId="7142"/>
    <cellStyle name="Normal 54" xfId="7141"/>
    <cellStyle name="Normal 54 2" xfId="13342"/>
    <cellStyle name="Normal 54 2 2" xfId="33225"/>
    <cellStyle name="Normal 54 3" xfId="19494"/>
    <cellStyle name="Normal 54 3 2" xfId="39377"/>
    <cellStyle name="Normal 54 4" xfId="27072"/>
    <cellStyle name="Normal 55" xfId="10218"/>
    <cellStyle name="Normal 56" xfId="10270"/>
    <cellStyle name="Normal 57" xfId="10269"/>
    <cellStyle name="Normal 57 2" xfId="30159"/>
    <cellStyle name="Normal 58" xfId="1175"/>
    <cellStyle name="Normal 59" xfId="1157"/>
    <cellStyle name="Normal 59 2" xfId="23999"/>
    <cellStyle name="Normal 6" xfId="32"/>
    <cellStyle name="Normal 6 2" xfId="74"/>
    <cellStyle name="Normal 6 2 2" xfId="4068"/>
    <cellStyle name="Normal 6 2 3" xfId="23284"/>
    <cellStyle name="Normal 6 3" xfId="4069"/>
    <cellStyle name="Normal 6 3 2" xfId="23285"/>
    <cellStyle name="Normal 6 4" xfId="4070"/>
    <cellStyle name="Normal 6 4 2" xfId="23286"/>
    <cellStyle name="Normal 6 5" xfId="4071"/>
    <cellStyle name="Normal 6 5 2" xfId="4072"/>
    <cellStyle name="Normal 6 5 3" xfId="23287"/>
    <cellStyle name="Normal 6 6" xfId="4073"/>
    <cellStyle name="Normal 6 6 2" xfId="4074"/>
    <cellStyle name="Normal 6 7" xfId="4621"/>
    <cellStyle name="Normal 6 8" xfId="4067"/>
    <cellStyle name="Normal 60" xfId="43041"/>
    <cellStyle name="Normal 7" xfId="33"/>
    <cellStyle name="Normal 7 10" xfId="4076"/>
    <cellStyle name="Normal 7 10 2" xfId="5258"/>
    <cellStyle name="Normal 7 10 2 2" xfId="6883"/>
    <cellStyle name="Normal 7 10 2 2 2" xfId="9969"/>
    <cellStyle name="Normal 7 10 2 2 2 2" xfId="16162"/>
    <cellStyle name="Normal 7 10 2 2 2 2 2" xfId="36045"/>
    <cellStyle name="Normal 7 10 2 2 2 3" xfId="22314"/>
    <cellStyle name="Normal 7 10 2 2 2 3 2" xfId="42197"/>
    <cellStyle name="Normal 7 10 2 2 2 4" xfId="29892"/>
    <cellStyle name="Normal 7 10 2 2 3" xfId="13096"/>
    <cellStyle name="Normal 7 10 2 2 3 2" xfId="32979"/>
    <cellStyle name="Normal 7 10 2 2 4" xfId="19248"/>
    <cellStyle name="Normal 7 10 2 2 4 2" xfId="39131"/>
    <cellStyle name="Normal 7 10 2 2 5" xfId="26826"/>
    <cellStyle name="Normal 7 10 2 3" xfId="8434"/>
    <cellStyle name="Normal 7 10 2 3 2" xfId="14628"/>
    <cellStyle name="Normal 7 10 2 3 2 2" xfId="34511"/>
    <cellStyle name="Normal 7 10 2 3 3" xfId="20780"/>
    <cellStyle name="Normal 7 10 2 3 3 2" xfId="40663"/>
    <cellStyle name="Normal 7 10 2 3 4" xfId="28358"/>
    <cellStyle name="Normal 7 10 2 4" xfId="11562"/>
    <cellStyle name="Normal 7 10 2 4 2" xfId="31445"/>
    <cellStyle name="Normal 7 10 2 5" xfId="17714"/>
    <cellStyle name="Normal 7 10 2 5 2" xfId="37597"/>
    <cellStyle name="Normal 7 10 2 6" xfId="25292"/>
    <cellStyle name="Normal 7 10 3" xfId="6100"/>
    <cellStyle name="Normal 7 10 3 2" xfId="9200"/>
    <cellStyle name="Normal 7 10 3 2 2" xfId="15393"/>
    <cellStyle name="Normal 7 10 3 2 2 2" xfId="35276"/>
    <cellStyle name="Normal 7 10 3 2 3" xfId="21545"/>
    <cellStyle name="Normal 7 10 3 2 3 2" xfId="41428"/>
    <cellStyle name="Normal 7 10 3 2 4" xfId="29123"/>
    <cellStyle name="Normal 7 10 3 3" xfId="12327"/>
    <cellStyle name="Normal 7 10 3 3 2" xfId="32210"/>
    <cellStyle name="Normal 7 10 3 4" xfId="18479"/>
    <cellStyle name="Normal 7 10 3 4 2" xfId="38362"/>
    <cellStyle name="Normal 7 10 3 5" xfId="26057"/>
    <cellStyle name="Normal 7 10 4" xfId="7665"/>
    <cellStyle name="Normal 7 10 4 2" xfId="13859"/>
    <cellStyle name="Normal 7 10 4 2 2" xfId="33742"/>
    <cellStyle name="Normal 7 10 4 3" xfId="20011"/>
    <cellStyle name="Normal 7 10 4 3 2" xfId="39894"/>
    <cellStyle name="Normal 7 10 4 4" xfId="27589"/>
    <cellStyle name="Normal 7 10 5" xfId="10793"/>
    <cellStyle name="Normal 7 10 5 2" xfId="30676"/>
    <cellStyle name="Normal 7 10 6" xfId="16945"/>
    <cellStyle name="Normal 7 10 6 2" xfId="36828"/>
    <cellStyle name="Normal 7 10 7" xfId="24523"/>
    <cellStyle name="Normal 7 11" xfId="4077"/>
    <cellStyle name="Normal 7 11 2" xfId="5259"/>
    <cellStyle name="Normal 7 11 2 2" xfId="6884"/>
    <cellStyle name="Normal 7 11 2 2 2" xfId="9970"/>
    <cellStyle name="Normal 7 11 2 2 2 2" xfId="16163"/>
    <cellStyle name="Normal 7 11 2 2 2 2 2" xfId="36046"/>
    <cellStyle name="Normal 7 11 2 2 2 3" xfId="22315"/>
    <cellStyle name="Normal 7 11 2 2 2 3 2" xfId="42198"/>
    <cellStyle name="Normal 7 11 2 2 2 4" xfId="29893"/>
    <cellStyle name="Normal 7 11 2 2 3" xfId="13097"/>
    <cellStyle name="Normal 7 11 2 2 3 2" xfId="32980"/>
    <cellStyle name="Normal 7 11 2 2 4" xfId="19249"/>
    <cellStyle name="Normal 7 11 2 2 4 2" xfId="39132"/>
    <cellStyle name="Normal 7 11 2 2 5" xfId="26827"/>
    <cellStyle name="Normal 7 11 2 3" xfId="8435"/>
    <cellStyle name="Normal 7 11 2 3 2" xfId="14629"/>
    <cellStyle name="Normal 7 11 2 3 2 2" xfId="34512"/>
    <cellStyle name="Normal 7 11 2 3 3" xfId="20781"/>
    <cellStyle name="Normal 7 11 2 3 3 2" xfId="40664"/>
    <cellStyle name="Normal 7 11 2 3 4" xfId="28359"/>
    <cellStyle name="Normal 7 11 2 4" xfId="11563"/>
    <cellStyle name="Normal 7 11 2 4 2" xfId="31446"/>
    <cellStyle name="Normal 7 11 2 5" xfId="17715"/>
    <cellStyle name="Normal 7 11 2 5 2" xfId="37598"/>
    <cellStyle name="Normal 7 11 2 6" xfId="25293"/>
    <cellStyle name="Normal 7 11 3" xfId="6101"/>
    <cellStyle name="Normal 7 11 3 2" xfId="9201"/>
    <cellStyle name="Normal 7 11 3 2 2" xfId="15394"/>
    <cellStyle name="Normal 7 11 3 2 2 2" xfId="35277"/>
    <cellStyle name="Normal 7 11 3 2 3" xfId="21546"/>
    <cellStyle name="Normal 7 11 3 2 3 2" xfId="41429"/>
    <cellStyle name="Normal 7 11 3 2 4" xfId="29124"/>
    <cellStyle name="Normal 7 11 3 3" xfId="12328"/>
    <cellStyle name="Normal 7 11 3 3 2" xfId="32211"/>
    <cellStyle name="Normal 7 11 3 4" xfId="18480"/>
    <cellStyle name="Normal 7 11 3 4 2" xfId="38363"/>
    <cellStyle name="Normal 7 11 3 5" xfId="26058"/>
    <cellStyle name="Normal 7 11 4" xfId="7666"/>
    <cellStyle name="Normal 7 11 4 2" xfId="13860"/>
    <cellStyle name="Normal 7 11 4 2 2" xfId="33743"/>
    <cellStyle name="Normal 7 11 4 3" xfId="20012"/>
    <cellStyle name="Normal 7 11 4 3 2" xfId="39895"/>
    <cellStyle name="Normal 7 11 4 4" xfId="27590"/>
    <cellStyle name="Normal 7 11 5" xfId="10794"/>
    <cellStyle name="Normal 7 11 5 2" xfId="30677"/>
    <cellStyle name="Normal 7 11 6" xfId="16946"/>
    <cellStyle name="Normal 7 11 6 2" xfId="36829"/>
    <cellStyle name="Normal 7 11 7" xfId="24524"/>
    <cellStyle name="Normal 7 12" xfId="4078"/>
    <cellStyle name="Normal 7 12 2" xfId="5260"/>
    <cellStyle name="Normal 7 12 2 2" xfId="6885"/>
    <cellStyle name="Normal 7 12 2 2 2" xfId="9971"/>
    <cellStyle name="Normal 7 12 2 2 2 2" xfId="16164"/>
    <cellStyle name="Normal 7 12 2 2 2 2 2" xfId="36047"/>
    <cellStyle name="Normal 7 12 2 2 2 3" xfId="22316"/>
    <cellStyle name="Normal 7 12 2 2 2 3 2" xfId="42199"/>
    <cellStyle name="Normal 7 12 2 2 2 4" xfId="29894"/>
    <cellStyle name="Normal 7 12 2 2 3" xfId="13098"/>
    <cellStyle name="Normal 7 12 2 2 3 2" xfId="32981"/>
    <cellStyle name="Normal 7 12 2 2 4" xfId="19250"/>
    <cellStyle name="Normal 7 12 2 2 4 2" xfId="39133"/>
    <cellStyle name="Normal 7 12 2 2 5" xfId="26828"/>
    <cellStyle name="Normal 7 12 2 3" xfId="8436"/>
    <cellStyle name="Normal 7 12 2 3 2" xfId="14630"/>
    <cellStyle name="Normal 7 12 2 3 2 2" xfId="34513"/>
    <cellStyle name="Normal 7 12 2 3 3" xfId="20782"/>
    <cellStyle name="Normal 7 12 2 3 3 2" xfId="40665"/>
    <cellStyle name="Normal 7 12 2 3 4" xfId="28360"/>
    <cellStyle name="Normal 7 12 2 4" xfId="11564"/>
    <cellStyle name="Normal 7 12 2 4 2" xfId="31447"/>
    <cellStyle name="Normal 7 12 2 5" xfId="17716"/>
    <cellStyle name="Normal 7 12 2 5 2" xfId="37599"/>
    <cellStyle name="Normal 7 12 2 6" xfId="25294"/>
    <cellStyle name="Normal 7 12 3" xfId="6102"/>
    <cellStyle name="Normal 7 12 3 2" xfId="9202"/>
    <cellStyle name="Normal 7 12 3 2 2" xfId="15395"/>
    <cellStyle name="Normal 7 12 3 2 2 2" xfId="35278"/>
    <cellStyle name="Normal 7 12 3 2 3" xfId="21547"/>
    <cellStyle name="Normal 7 12 3 2 3 2" xfId="41430"/>
    <cellStyle name="Normal 7 12 3 2 4" xfId="29125"/>
    <cellStyle name="Normal 7 12 3 3" xfId="12329"/>
    <cellStyle name="Normal 7 12 3 3 2" xfId="32212"/>
    <cellStyle name="Normal 7 12 3 4" xfId="18481"/>
    <cellStyle name="Normal 7 12 3 4 2" xfId="38364"/>
    <cellStyle name="Normal 7 12 3 5" xfId="26059"/>
    <cellStyle name="Normal 7 12 4" xfId="7667"/>
    <cellStyle name="Normal 7 12 4 2" xfId="13861"/>
    <cellStyle name="Normal 7 12 4 2 2" xfId="33744"/>
    <cellStyle name="Normal 7 12 4 3" xfId="20013"/>
    <cellStyle name="Normal 7 12 4 3 2" xfId="39896"/>
    <cellStyle name="Normal 7 12 4 4" xfId="27591"/>
    <cellStyle name="Normal 7 12 5" xfId="10795"/>
    <cellStyle name="Normal 7 12 5 2" xfId="30678"/>
    <cellStyle name="Normal 7 12 6" xfId="16947"/>
    <cellStyle name="Normal 7 12 6 2" xfId="36830"/>
    <cellStyle name="Normal 7 12 7" xfId="24525"/>
    <cellStyle name="Normal 7 13" xfId="4079"/>
    <cellStyle name="Normal 7 13 2" xfId="5261"/>
    <cellStyle name="Normal 7 13 2 2" xfId="6886"/>
    <cellStyle name="Normal 7 13 2 2 2" xfId="9972"/>
    <cellStyle name="Normal 7 13 2 2 2 2" xfId="16165"/>
    <cellStyle name="Normal 7 13 2 2 2 2 2" xfId="36048"/>
    <cellStyle name="Normal 7 13 2 2 2 3" xfId="22317"/>
    <cellStyle name="Normal 7 13 2 2 2 3 2" xfId="42200"/>
    <cellStyle name="Normal 7 13 2 2 2 4" xfId="29895"/>
    <cellStyle name="Normal 7 13 2 2 3" xfId="13099"/>
    <cellStyle name="Normal 7 13 2 2 3 2" xfId="32982"/>
    <cellStyle name="Normal 7 13 2 2 4" xfId="19251"/>
    <cellStyle name="Normal 7 13 2 2 4 2" xfId="39134"/>
    <cellStyle name="Normal 7 13 2 2 5" xfId="26829"/>
    <cellStyle name="Normal 7 13 2 3" xfId="8437"/>
    <cellStyle name="Normal 7 13 2 3 2" xfId="14631"/>
    <cellStyle name="Normal 7 13 2 3 2 2" xfId="34514"/>
    <cellStyle name="Normal 7 13 2 3 3" xfId="20783"/>
    <cellStyle name="Normal 7 13 2 3 3 2" xfId="40666"/>
    <cellStyle name="Normal 7 13 2 3 4" xfId="28361"/>
    <cellStyle name="Normal 7 13 2 4" xfId="11565"/>
    <cellStyle name="Normal 7 13 2 4 2" xfId="31448"/>
    <cellStyle name="Normal 7 13 2 5" xfId="17717"/>
    <cellStyle name="Normal 7 13 2 5 2" xfId="37600"/>
    <cellStyle name="Normal 7 13 2 6" xfId="25295"/>
    <cellStyle name="Normal 7 13 3" xfId="6103"/>
    <cellStyle name="Normal 7 13 3 2" xfId="9203"/>
    <cellStyle name="Normal 7 13 3 2 2" xfId="15396"/>
    <cellStyle name="Normal 7 13 3 2 2 2" xfId="35279"/>
    <cellStyle name="Normal 7 13 3 2 3" xfId="21548"/>
    <cellStyle name="Normal 7 13 3 2 3 2" xfId="41431"/>
    <cellStyle name="Normal 7 13 3 2 4" xfId="29126"/>
    <cellStyle name="Normal 7 13 3 3" xfId="12330"/>
    <cellStyle name="Normal 7 13 3 3 2" xfId="32213"/>
    <cellStyle name="Normal 7 13 3 4" xfId="18482"/>
    <cellStyle name="Normal 7 13 3 4 2" xfId="38365"/>
    <cellStyle name="Normal 7 13 3 5" xfId="26060"/>
    <cellStyle name="Normal 7 13 4" xfId="7668"/>
    <cellStyle name="Normal 7 13 4 2" xfId="13862"/>
    <cellStyle name="Normal 7 13 4 2 2" xfId="33745"/>
    <cellStyle name="Normal 7 13 4 3" xfId="20014"/>
    <cellStyle name="Normal 7 13 4 3 2" xfId="39897"/>
    <cellStyle name="Normal 7 13 4 4" xfId="27592"/>
    <cellStyle name="Normal 7 13 5" xfId="10796"/>
    <cellStyle name="Normal 7 13 5 2" xfId="30679"/>
    <cellStyle name="Normal 7 13 6" xfId="16948"/>
    <cellStyle name="Normal 7 13 6 2" xfId="36831"/>
    <cellStyle name="Normal 7 13 7" xfId="24526"/>
    <cellStyle name="Normal 7 14" xfId="4080"/>
    <cellStyle name="Normal 7 14 2" xfId="5262"/>
    <cellStyle name="Normal 7 14 2 2" xfId="6887"/>
    <cellStyle name="Normal 7 14 2 2 2" xfId="9973"/>
    <cellStyle name="Normal 7 14 2 2 2 2" xfId="16166"/>
    <cellStyle name="Normal 7 14 2 2 2 2 2" xfId="36049"/>
    <cellStyle name="Normal 7 14 2 2 2 3" xfId="22318"/>
    <cellStyle name="Normal 7 14 2 2 2 3 2" xfId="42201"/>
    <cellStyle name="Normal 7 14 2 2 2 4" xfId="29896"/>
    <cellStyle name="Normal 7 14 2 2 3" xfId="13100"/>
    <cellStyle name="Normal 7 14 2 2 3 2" xfId="32983"/>
    <cellStyle name="Normal 7 14 2 2 4" xfId="19252"/>
    <cellStyle name="Normal 7 14 2 2 4 2" xfId="39135"/>
    <cellStyle name="Normal 7 14 2 2 5" xfId="26830"/>
    <cellStyle name="Normal 7 14 2 3" xfId="8438"/>
    <cellStyle name="Normal 7 14 2 3 2" xfId="14632"/>
    <cellStyle name="Normal 7 14 2 3 2 2" xfId="34515"/>
    <cellStyle name="Normal 7 14 2 3 3" xfId="20784"/>
    <cellStyle name="Normal 7 14 2 3 3 2" xfId="40667"/>
    <cellStyle name="Normal 7 14 2 3 4" xfId="28362"/>
    <cellStyle name="Normal 7 14 2 4" xfId="11566"/>
    <cellStyle name="Normal 7 14 2 4 2" xfId="31449"/>
    <cellStyle name="Normal 7 14 2 5" xfId="17718"/>
    <cellStyle name="Normal 7 14 2 5 2" xfId="37601"/>
    <cellStyle name="Normal 7 14 2 6" xfId="25296"/>
    <cellStyle name="Normal 7 14 3" xfId="6104"/>
    <cellStyle name="Normal 7 14 3 2" xfId="9204"/>
    <cellStyle name="Normal 7 14 3 2 2" xfId="15397"/>
    <cellStyle name="Normal 7 14 3 2 2 2" xfId="35280"/>
    <cellStyle name="Normal 7 14 3 2 3" xfId="21549"/>
    <cellStyle name="Normal 7 14 3 2 3 2" xfId="41432"/>
    <cellStyle name="Normal 7 14 3 2 4" xfId="29127"/>
    <cellStyle name="Normal 7 14 3 3" xfId="12331"/>
    <cellStyle name="Normal 7 14 3 3 2" xfId="32214"/>
    <cellStyle name="Normal 7 14 3 4" xfId="18483"/>
    <cellStyle name="Normal 7 14 3 4 2" xfId="38366"/>
    <cellStyle name="Normal 7 14 3 5" xfId="26061"/>
    <cellStyle name="Normal 7 14 4" xfId="7669"/>
    <cellStyle name="Normal 7 14 4 2" xfId="13863"/>
    <cellStyle name="Normal 7 14 4 2 2" xfId="33746"/>
    <cellStyle name="Normal 7 14 4 3" xfId="20015"/>
    <cellStyle name="Normal 7 14 4 3 2" xfId="39898"/>
    <cellStyle name="Normal 7 14 4 4" xfId="27593"/>
    <cellStyle name="Normal 7 14 5" xfId="10797"/>
    <cellStyle name="Normal 7 14 5 2" xfId="30680"/>
    <cellStyle name="Normal 7 14 6" xfId="16949"/>
    <cellStyle name="Normal 7 14 6 2" xfId="36832"/>
    <cellStyle name="Normal 7 14 7" xfId="24527"/>
    <cellStyle name="Normal 7 15" xfId="4081"/>
    <cellStyle name="Normal 7 15 2" xfId="5263"/>
    <cellStyle name="Normal 7 15 2 2" xfId="6888"/>
    <cellStyle name="Normal 7 15 2 2 2" xfId="9974"/>
    <cellStyle name="Normal 7 15 2 2 2 2" xfId="16167"/>
    <cellStyle name="Normal 7 15 2 2 2 2 2" xfId="36050"/>
    <cellStyle name="Normal 7 15 2 2 2 3" xfId="22319"/>
    <cellStyle name="Normal 7 15 2 2 2 3 2" xfId="42202"/>
    <cellStyle name="Normal 7 15 2 2 2 4" xfId="29897"/>
    <cellStyle name="Normal 7 15 2 2 3" xfId="13101"/>
    <cellStyle name="Normal 7 15 2 2 3 2" xfId="32984"/>
    <cellStyle name="Normal 7 15 2 2 4" xfId="19253"/>
    <cellStyle name="Normal 7 15 2 2 4 2" xfId="39136"/>
    <cellStyle name="Normal 7 15 2 2 5" xfId="26831"/>
    <cellStyle name="Normal 7 15 2 3" xfId="8439"/>
    <cellStyle name="Normal 7 15 2 3 2" xfId="14633"/>
    <cellStyle name="Normal 7 15 2 3 2 2" xfId="34516"/>
    <cellStyle name="Normal 7 15 2 3 3" xfId="20785"/>
    <cellStyle name="Normal 7 15 2 3 3 2" xfId="40668"/>
    <cellStyle name="Normal 7 15 2 3 4" xfId="28363"/>
    <cellStyle name="Normal 7 15 2 4" xfId="11567"/>
    <cellStyle name="Normal 7 15 2 4 2" xfId="31450"/>
    <cellStyle name="Normal 7 15 2 5" xfId="17719"/>
    <cellStyle name="Normal 7 15 2 5 2" xfId="37602"/>
    <cellStyle name="Normal 7 15 2 6" xfId="25297"/>
    <cellStyle name="Normal 7 15 3" xfId="6105"/>
    <cellStyle name="Normal 7 15 3 2" xfId="9205"/>
    <cellStyle name="Normal 7 15 3 2 2" xfId="15398"/>
    <cellStyle name="Normal 7 15 3 2 2 2" xfId="35281"/>
    <cellStyle name="Normal 7 15 3 2 3" xfId="21550"/>
    <cellStyle name="Normal 7 15 3 2 3 2" xfId="41433"/>
    <cellStyle name="Normal 7 15 3 2 4" xfId="29128"/>
    <cellStyle name="Normal 7 15 3 3" xfId="12332"/>
    <cellStyle name="Normal 7 15 3 3 2" xfId="32215"/>
    <cellStyle name="Normal 7 15 3 4" xfId="18484"/>
    <cellStyle name="Normal 7 15 3 4 2" xfId="38367"/>
    <cellStyle name="Normal 7 15 3 5" xfId="26062"/>
    <cellStyle name="Normal 7 15 4" xfId="7670"/>
    <cellStyle name="Normal 7 15 4 2" xfId="13864"/>
    <cellStyle name="Normal 7 15 4 2 2" xfId="33747"/>
    <cellStyle name="Normal 7 15 4 3" xfId="20016"/>
    <cellStyle name="Normal 7 15 4 3 2" xfId="39899"/>
    <cellStyle name="Normal 7 15 4 4" xfId="27594"/>
    <cellStyle name="Normal 7 15 5" xfId="10798"/>
    <cellStyle name="Normal 7 15 5 2" xfId="30681"/>
    <cellStyle name="Normal 7 15 6" xfId="16950"/>
    <cellStyle name="Normal 7 15 6 2" xfId="36833"/>
    <cellStyle name="Normal 7 15 7" xfId="24528"/>
    <cellStyle name="Normal 7 16" xfId="4082"/>
    <cellStyle name="Normal 7 16 2" xfId="5264"/>
    <cellStyle name="Normal 7 16 2 2" xfId="6889"/>
    <cellStyle name="Normal 7 16 2 2 2" xfId="9975"/>
    <cellStyle name="Normal 7 16 2 2 2 2" xfId="16168"/>
    <cellStyle name="Normal 7 16 2 2 2 2 2" xfId="36051"/>
    <cellStyle name="Normal 7 16 2 2 2 3" xfId="22320"/>
    <cellStyle name="Normal 7 16 2 2 2 3 2" xfId="42203"/>
    <cellStyle name="Normal 7 16 2 2 2 4" xfId="29898"/>
    <cellStyle name="Normal 7 16 2 2 3" xfId="13102"/>
    <cellStyle name="Normal 7 16 2 2 3 2" xfId="32985"/>
    <cellStyle name="Normal 7 16 2 2 4" xfId="19254"/>
    <cellStyle name="Normal 7 16 2 2 4 2" xfId="39137"/>
    <cellStyle name="Normal 7 16 2 2 5" xfId="26832"/>
    <cellStyle name="Normal 7 16 2 3" xfId="8440"/>
    <cellStyle name="Normal 7 16 2 3 2" xfId="14634"/>
    <cellStyle name="Normal 7 16 2 3 2 2" xfId="34517"/>
    <cellStyle name="Normal 7 16 2 3 3" xfId="20786"/>
    <cellStyle name="Normal 7 16 2 3 3 2" xfId="40669"/>
    <cellStyle name="Normal 7 16 2 3 4" xfId="28364"/>
    <cellStyle name="Normal 7 16 2 4" xfId="11568"/>
    <cellStyle name="Normal 7 16 2 4 2" xfId="31451"/>
    <cellStyle name="Normal 7 16 2 5" xfId="17720"/>
    <cellStyle name="Normal 7 16 2 5 2" xfId="37603"/>
    <cellStyle name="Normal 7 16 2 6" xfId="25298"/>
    <cellStyle name="Normal 7 16 3" xfId="6106"/>
    <cellStyle name="Normal 7 16 3 2" xfId="9206"/>
    <cellStyle name="Normal 7 16 3 2 2" xfId="15399"/>
    <cellStyle name="Normal 7 16 3 2 2 2" xfId="35282"/>
    <cellStyle name="Normal 7 16 3 2 3" xfId="21551"/>
    <cellStyle name="Normal 7 16 3 2 3 2" xfId="41434"/>
    <cellStyle name="Normal 7 16 3 2 4" xfId="29129"/>
    <cellStyle name="Normal 7 16 3 3" xfId="12333"/>
    <cellStyle name="Normal 7 16 3 3 2" xfId="32216"/>
    <cellStyle name="Normal 7 16 3 4" xfId="18485"/>
    <cellStyle name="Normal 7 16 3 4 2" xfId="38368"/>
    <cellStyle name="Normal 7 16 3 5" xfId="26063"/>
    <cellStyle name="Normal 7 16 4" xfId="7671"/>
    <cellStyle name="Normal 7 16 4 2" xfId="13865"/>
    <cellStyle name="Normal 7 16 4 2 2" xfId="33748"/>
    <cellStyle name="Normal 7 16 4 3" xfId="20017"/>
    <cellStyle name="Normal 7 16 4 3 2" xfId="39900"/>
    <cellStyle name="Normal 7 16 4 4" xfId="27595"/>
    <cellStyle name="Normal 7 16 5" xfId="10799"/>
    <cellStyle name="Normal 7 16 5 2" xfId="30682"/>
    <cellStyle name="Normal 7 16 6" xfId="16951"/>
    <cellStyle name="Normal 7 16 6 2" xfId="36834"/>
    <cellStyle name="Normal 7 16 7" xfId="24529"/>
    <cellStyle name="Normal 7 17" xfId="4083"/>
    <cellStyle name="Normal 7 17 2" xfId="5265"/>
    <cellStyle name="Normal 7 17 2 2" xfId="6890"/>
    <cellStyle name="Normal 7 17 2 2 2" xfId="9976"/>
    <cellStyle name="Normal 7 17 2 2 2 2" xfId="16169"/>
    <cellStyle name="Normal 7 17 2 2 2 2 2" xfId="36052"/>
    <cellStyle name="Normal 7 17 2 2 2 3" xfId="22321"/>
    <cellStyle name="Normal 7 17 2 2 2 3 2" xfId="42204"/>
    <cellStyle name="Normal 7 17 2 2 2 4" xfId="29899"/>
    <cellStyle name="Normal 7 17 2 2 3" xfId="13103"/>
    <cellStyle name="Normal 7 17 2 2 3 2" xfId="32986"/>
    <cellStyle name="Normal 7 17 2 2 4" xfId="19255"/>
    <cellStyle name="Normal 7 17 2 2 4 2" xfId="39138"/>
    <cellStyle name="Normal 7 17 2 2 5" xfId="26833"/>
    <cellStyle name="Normal 7 17 2 3" xfId="8441"/>
    <cellStyle name="Normal 7 17 2 3 2" xfId="14635"/>
    <cellStyle name="Normal 7 17 2 3 2 2" xfId="34518"/>
    <cellStyle name="Normal 7 17 2 3 3" xfId="20787"/>
    <cellStyle name="Normal 7 17 2 3 3 2" xfId="40670"/>
    <cellStyle name="Normal 7 17 2 3 4" xfId="28365"/>
    <cellStyle name="Normal 7 17 2 4" xfId="11569"/>
    <cellStyle name="Normal 7 17 2 4 2" xfId="31452"/>
    <cellStyle name="Normal 7 17 2 5" xfId="17721"/>
    <cellStyle name="Normal 7 17 2 5 2" xfId="37604"/>
    <cellStyle name="Normal 7 17 2 6" xfId="25299"/>
    <cellStyle name="Normal 7 17 3" xfId="6107"/>
    <cellStyle name="Normal 7 17 3 2" xfId="9207"/>
    <cellStyle name="Normal 7 17 3 2 2" xfId="15400"/>
    <cellStyle name="Normal 7 17 3 2 2 2" xfId="35283"/>
    <cellStyle name="Normal 7 17 3 2 3" xfId="21552"/>
    <cellStyle name="Normal 7 17 3 2 3 2" xfId="41435"/>
    <cellStyle name="Normal 7 17 3 2 4" xfId="29130"/>
    <cellStyle name="Normal 7 17 3 3" xfId="12334"/>
    <cellStyle name="Normal 7 17 3 3 2" xfId="32217"/>
    <cellStyle name="Normal 7 17 3 4" xfId="18486"/>
    <cellStyle name="Normal 7 17 3 4 2" xfId="38369"/>
    <cellStyle name="Normal 7 17 3 5" xfId="26064"/>
    <cellStyle name="Normal 7 17 4" xfId="7672"/>
    <cellStyle name="Normal 7 17 4 2" xfId="13866"/>
    <cellStyle name="Normal 7 17 4 2 2" xfId="33749"/>
    <cellStyle name="Normal 7 17 4 3" xfId="20018"/>
    <cellStyle name="Normal 7 17 4 3 2" xfId="39901"/>
    <cellStyle name="Normal 7 17 4 4" xfId="27596"/>
    <cellStyle name="Normal 7 17 5" xfId="10800"/>
    <cellStyle name="Normal 7 17 5 2" xfId="30683"/>
    <cellStyle name="Normal 7 17 6" xfId="16952"/>
    <cellStyle name="Normal 7 17 6 2" xfId="36835"/>
    <cellStyle name="Normal 7 17 7" xfId="24530"/>
    <cellStyle name="Normal 7 18" xfId="4084"/>
    <cellStyle name="Normal 7 18 2" xfId="5266"/>
    <cellStyle name="Normal 7 18 2 2" xfId="6891"/>
    <cellStyle name="Normal 7 18 2 2 2" xfId="9977"/>
    <cellStyle name="Normal 7 18 2 2 2 2" xfId="16170"/>
    <cellStyle name="Normal 7 18 2 2 2 2 2" xfId="36053"/>
    <cellStyle name="Normal 7 18 2 2 2 3" xfId="22322"/>
    <cellStyle name="Normal 7 18 2 2 2 3 2" xfId="42205"/>
    <cellStyle name="Normal 7 18 2 2 2 4" xfId="29900"/>
    <cellStyle name="Normal 7 18 2 2 3" xfId="13104"/>
    <cellStyle name="Normal 7 18 2 2 3 2" xfId="32987"/>
    <cellStyle name="Normal 7 18 2 2 4" xfId="19256"/>
    <cellStyle name="Normal 7 18 2 2 4 2" xfId="39139"/>
    <cellStyle name="Normal 7 18 2 2 5" xfId="26834"/>
    <cellStyle name="Normal 7 18 2 3" xfId="8442"/>
    <cellStyle name="Normal 7 18 2 3 2" xfId="14636"/>
    <cellStyle name="Normal 7 18 2 3 2 2" xfId="34519"/>
    <cellStyle name="Normal 7 18 2 3 3" xfId="20788"/>
    <cellStyle name="Normal 7 18 2 3 3 2" xfId="40671"/>
    <cellStyle name="Normal 7 18 2 3 4" xfId="28366"/>
    <cellStyle name="Normal 7 18 2 4" xfId="11570"/>
    <cellStyle name="Normal 7 18 2 4 2" xfId="31453"/>
    <cellStyle name="Normal 7 18 2 5" xfId="17722"/>
    <cellStyle name="Normal 7 18 2 5 2" xfId="37605"/>
    <cellStyle name="Normal 7 18 2 6" xfId="25300"/>
    <cellStyle name="Normal 7 18 3" xfId="6108"/>
    <cellStyle name="Normal 7 18 3 2" xfId="9208"/>
    <cellStyle name="Normal 7 18 3 2 2" xfId="15401"/>
    <cellStyle name="Normal 7 18 3 2 2 2" xfId="35284"/>
    <cellStyle name="Normal 7 18 3 2 3" xfId="21553"/>
    <cellStyle name="Normal 7 18 3 2 3 2" xfId="41436"/>
    <cellStyle name="Normal 7 18 3 2 4" xfId="29131"/>
    <cellStyle name="Normal 7 18 3 3" xfId="12335"/>
    <cellStyle name="Normal 7 18 3 3 2" xfId="32218"/>
    <cellStyle name="Normal 7 18 3 4" xfId="18487"/>
    <cellStyle name="Normal 7 18 3 4 2" xfId="38370"/>
    <cellStyle name="Normal 7 18 3 5" xfId="26065"/>
    <cellStyle name="Normal 7 18 4" xfId="7673"/>
    <cellStyle name="Normal 7 18 4 2" xfId="13867"/>
    <cellStyle name="Normal 7 18 4 2 2" xfId="33750"/>
    <cellStyle name="Normal 7 18 4 3" xfId="20019"/>
    <cellStyle name="Normal 7 18 4 3 2" xfId="39902"/>
    <cellStyle name="Normal 7 18 4 4" xfId="27597"/>
    <cellStyle name="Normal 7 18 5" xfId="10801"/>
    <cellStyle name="Normal 7 18 5 2" xfId="30684"/>
    <cellStyle name="Normal 7 18 6" xfId="16953"/>
    <cellStyle name="Normal 7 18 6 2" xfId="36836"/>
    <cellStyle name="Normal 7 18 7" xfId="24531"/>
    <cellStyle name="Normal 7 19" xfId="4085"/>
    <cellStyle name="Normal 7 19 2" xfId="5267"/>
    <cellStyle name="Normal 7 19 2 2" xfId="6892"/>
    <cellStyle name="Normal 7 19 2 2 2" xfId="9978"/>
    <cellStyle name="Normal 7 19 2 2 2 2" xfId="16171"/>
    <cellStyle name="Normal 7 19 2 2 2 2 2" xfId="36054"/>
    <cellStyle name="Normal 7 19 2 2 2 3" xfId="22323"/>
    <cellStyle name="Normal 7 19 2 2 2 3 2" xfId="42206"/>
    <cellStyle name="Normal 7 19 2 2 2 4" xfId="29901"/>
    <cellStyle name="Normal 7 19 2 2 3" xfId="13105"/>
    <cellStyle name="Normal 7 19 2 2 3 2" xfId="32988"/>
    <cellStyle name="Normal 7 19 2 2 4" xfId="19257"/>
    <cellStyle name="Normal 7 19 2 2 4 2" xfId="39140"/>
    <cellStyle name="Normal 7 19 2 2 5" xfId="26835"/>
    <cellStyle name="Normal 7 19 2 3" xfId="8443"/>
    <cellStyle name="Normal 7 19 2 3 2" xfId="14637"/>
    <cellStyle name="Normal 7 19 2 3 2 2" xfId="34520"/>
    <cellStyle name="Normal 7 19 2 3 3" xfId="20789"/>
    <cellStyle name="Normal 7 19 2 3 3 2" xfId="40672"/>
    <cellStyle name="Normal 7 19 2 3 4" xfId="28367"/>
    <cellStyle name="Normal 7 19 2 4" xfId="11571"/>
    <cellStyle name="Normal 7 19 2 4 2" xfId="31454"/>
    <cellStyle name="Normal 7 19 2 5" xfId="17723"/>
    <cellStyle name="Normal 7 19 2 5 2" xfId="37606"/>
    <cellStyle name="Normal 7 19 2 6" xfId="25301"/>
    <cellStyle name="Normal 7 19 3" xfId="6109"/>
    <cellStyle name="Normal 7 19 3 2" xfId="9209"/>
    <cellStyle name="Normal 7 19 3 2 2" xfId="15402"/>
    <cellStyle name="Normal 7 19 3 2 2 2" xfId="35285"/>
    <cellStyle name="Normal 7 19 3 2 3" xfId="21554"/>
    <cellStyle name="Normal 7 19 3 2 3 2" xfId="41437"/>
    <cellStyle name="Normal 7 19 3 2 4" xfId="29132"/>
    <cellStyle name="Normal 7 19 3 3" xfId="12336"/>
    <cellStyle name="Normal 7 19 3 3 2" xfId="32219"/>
    <cellStyle name="Normal 7 19 3 4" xfId="18488"/>
    <cellStyle name="Normal 7 19 3 4 2" xfId="38371"/>
    <cellStyle name="Normal 7 19 3 5" xfId="26066"/>
    <cellStyle name="Normal 7 19 4" xfId="7674"/>
    <cellStyle name="Normal 7 19 4 2" xfId="13868"/>
    <cellStyle name="Normal 7 19 4 2 2" xfId="33751"/>
    <cellStyle name="Normal 7 19 4 3" xfId="20020"/>
    <cellStyle name="Normal 7 19 4 3 2" xfId="39903"/>
    <cellStyle name="Normal 7 19 4 4" xfId="27598"/>
    <cellStyle name="Normal 7 19 5" xfId="10802"/>
    <cellStyle name="Normal 7 19 5 2" xfId="30685"/>
    <cellStyle name="Normal 7 19 6" xfId="16954"/>
    <cellStyle name="Normal 7 19 6 2" xfId="36837"/>
    <cellStyle name="Normal 7 19 7" xfId="24532"/>
    <cellStyle name="Normal 7 2" xfId="34"/>
    <cellStyle name="Normal 7 2 10" xfId="10803"/>
    <cellStyle name="Normal 7 2 10 2" xfId="30686"/>
    <cellStyle name="Normal 7 2 11" xfId="16955"/>
    <cellStyle name="Normal 7 2 11 2" xfId="36838"/>
    <cellStyle name="Normal 7 2 12" xfId="4086"/>
    <cellStyle name="Normal 7 2 12 2" xfId="24533"/>
    <cellStyle name="Normal 7 2 13" xfId="23288"/>
    <cellStyle name="Normal 7 2 14" xfId="23334"/>
    <cellStyle name="Normal 7 2 2" xfId="35"/>
    <cellStyle name="Normal 7 2 2 2" xfId="97"/>
    <cellStyle name="Normal 7 2 2 2 2" xfId="143"/>
    <cellStyle name="Normal 7 2 2 2 2 2" xfId="9980"/>
    <cellStyle name="Normal 7 2 2 2 2 2 2" xfId="16173"/>
    <cellStyle name="Normal 7 2 2 2 2 2 2 2" xfId="36056"/>
    <cellStyle name="Normal 7 2 2 2 2 2 3" xfId="22325"/>
    <cellStyle name="Normal 7 2 2 2 2 2 3 2" xfId="42208"/>
    <cellStyle name="Normal 7 2 2 2 2 2 4" xfId="29903"/>
    <cellStyle name="Normal 7 2 2 2 2 3" xfId="13107"/>
    <cellStyle name="Normal 7 2 2 2 2 3 2" xfId="32990"/>
    <cellStyle name="Normal 7 2 2 2 2 4" xfId="19259"/>
    <cellStyle name="Normal 7 2 2 2 2 4 2" xfId="39142"/>
    <cellStyle name="Normal 7 2 2 2 2 5" xfId="6894"/>
    <cellStyle name="Normal 7 2 2 2 2 5 2" xfId="26837"/>
    <cellStyle name="Normal 7 2 2 2 2 6" xfId="23386"/>
    <cellStyle name="Normal 7 2 2 2 3" xfId="8445"/>
    <cellStyle name="Normal 7 2 2 2 3 2" xfId="14639"/>
    <cellStyle name="Normal 7 2 2 2 3 2 2" xfId="34522"/>
    <cellStyle name="Normal 7 2 2 2 3 3" xfId="20791"/>
    <cellStyle name="Normal 7 2 2 2 3 3 2" xfId="40674"/>
    <cellStyle name="Normal 7 2 2 2 3 4" xfId="28369"/>
    <cellStyle name="Normal 7 2 2 2 4" xfId="11573"/>
    <cellStyle name="Normal 7 2 2 2 4 2" xfId="31456"/>
    <cellStyle name="Normal 7 2 2 2 5" xfId="17725"/>
    <cellStyle name="Normal 7 2 2 2 5 2" xfId="37608"/>
    <cellStyle name="Normal 7 2 2 2 6" xfId="5269"/>
    <cellStyle name="Normal 7 2 2 2 6 2" xfId="25303"/>
    <cellStyle name="Normal 7 2 2 2 7" xfId="23348"/>
    <cellStyle name="Normal 7 2 2 3" xfId="127"/>
    <cellStyle name="Normal 7 2 2 3 2" xfId="9211"/>
    <cellStyle name="Normal 7 2 2 3 2 2" xfId="15404"/>
    <cellStyle name="Normal 7 2 2 3 2 2 2" xfId="35287"/>
    <cellStyle name="Normal 7 2 2 3 2 3" xfId="21556"/>
    <cellStyle name="Normal 7 2 2 3 2 3 2" xfId="41439"/>
    <cellStyle name="Normal 7 2 2 3 2 4" xfId="29134"/>
    <cellStyle name="Normal 7 2 2 3 3" xfId="12338"/>
    <cellStyle name="Normal 7 2 2 3 3 2" xfId="32221"/>
    <cellStyle name="Normal 7 2 2 3 4" xfId="18490"/>
    <cellStyle name="Normal 7 2 2 3 4 2" xfId="38373"/>
    <cellStyle name="Normal 7 2 2 3 5" xfId="6111"/>
    <cellStyle name="Normal 7 2 2 3 5 2" xfId="26068"/>
    <cellStyle name="Normal 7 2 2 3 6" xfId="23373"/>
    <cellStyle name="Normal 7 2 2 4" xfId="113"/>
    <cellStyle name="Normal 7 2 2 4 2" xfId="13870"/>
    <cellStyle name="Normal 7 2 2 4 2 2" xfId="33753"/>
    <cellStyle name="Normal 7 2 2 4 3" xfId="20022"/>
    <cellStyle name="Normal 7 2 2 4 3 2" xfId="39905"/>
    <cellStyle name="Normal 7 2 2 4 4" xfId="7676"/>
    <cellStyle name="Normal 7 2 2 4 4 2" xfId="27600"/>
    <cellStyle name="Normal 7 2 2 4 5" xfId="23361"/>
    <cellStyle name="Normal 7 2 2 5" xfId="10804"/>
    <cellStyle name="Normal 7 2 2 5 2" xfId="30687"/>
    <cellStyle name="Normal 7 2 2 6" xfId="16956"/>
    <cellStyle name="Normal 7 2 2 6 2" xfId="36839"/>
    <cellStyle name="Normal 7 2 2 7" xfId="4087"/>
    <cellStyle name="Normal 7 2 2 7 2" xfId="24534"/>
    <cellStyle name="Normal 7 2 2 8" xfId="23335"/>
    <cellStyle name="Normal 7 2 3" xfId="96"/>
    <cellStyle name="Normal 7 2 3 2" xfId="142"/>
    <cellStyle name="Normal 7 2 3 2 2" xfId="6895"/>
    <cellStyle name="Normal 7 2 3 2 2 2" xfId="9981"/>
    <cellStyle name="Normal 7 2 3 2 2 2 2" xfId="16174"/>
    <cellStyle name="Normal 7 2 3 2 2 2 2 2" xfId="36057"/>
    <cellStyle name="Normal 7 2 3 2 2 2 3" xfId="22326"/>
    <cellStyle name="Normal 7 2 3 2 2 2 3 2" xfId="42209"/>
    <cellStyle name="Normal 7 2 3 2 2 2 4" xfId="29904"/>
    <cellStyle name="Normal 7 2 3 2 2 3" xfId="13108"/>
    <cellStyle name="Normal 7 2 3 2 2 3 2" xfId="32991"/>
    <cellStyle name="Normal 7 2 3 2 2 4" xfId="19260"/>
    <cellStyle name="Normal 7 2 3 2 2 4 2" xfId="39143"/>
    <cellStyle name="Normal 7 2 3 2 2 5" xfId="26838"/>
    <cellStyle name="Normal 7 2 3 2 3" xfId="8446"/>
    <cellStyle name="Normal 7 2 3 2 3 2" xfId="14640"/>
    <cellStyle name="Normal 7 2 3 2 3 2 2" xfId="34523"/>
    <cellStyle name="Normal 7 2 3 2 3 3" xfId="20792"/>
    <cellStyle name="Normal 7 2 3 2 3 3 2" xfId="40675"/>
    <cellStyle name="Normal 7 2 3 2 3 4" xfId="28370"/>
    <cellStyle name="Normal 7 2 3 2 4" xfId="11574"/>
    <cellStyle name="Normal 7 2 3 2 4 2" xfId="31457"/>
    <cellStyle name="Normal 7 2 3 2 5" xfId="17726"/>
    <cellStyle name="Normal 7 2 3 2 5 2" xfId="37609"/>
    <cellStyle name="Normal 7 2 3 2 6" xfId="5270"/>
    <cellStyle name="Normal 7 2 3 2 6 2" xfId="25304"/>
    <cellStyle name="Normal 7 2 3 2 7" xfId="23385"/>
    <cellStyle name="Normal 7 2 3 3" xfId="6112"/>
    <cellStyle name="Normal 7 2 3 3 2" xfId="9212"/>
    <cellStyle name="Normal 7 2 3 3 2 2" xfId="15405"/>
    <cellStyle name="Normal 7 2 3 3 2 2 2" xfId="35288"/>
    <cellStyle name="Normal 7 2 3 3 2 3" xfId="21557"/>
    <cellStyle name="Normal 7 2 3 3 2 3 2" xfId="41440"/>
    <cellStyle name="Normal 7 2 3 3 2 4" xfId="29135"/>
    <cellStyle name="Normal 7 2 3 3 3" xfId="12339"/>
    <cellStyle name="Normal 7 2 3 3 3 2" xfId="32222"/>
    <cellStyle name="Normal 7 2 3 3 4" xfId="18491"/>
    <cellStyle name="Normal 7 2 3 3 4 2" xfId="38374"/>
    <cellStyle name="Normal 7 2 3 3 5" xfId="26069"/>
    <cellStyle name="Normal 7 2 3 4" xfId="7677"/>
    <cellStyle name="Normal 7 2 3 4 2" xfId="13871"/>
    <cellStyle name="Normal 7 2 3 4 2 2" xfId="33754"/>
    <cellStyle name="Normal 7 2 3 4 3" xfId="20023"/>
    <cellStyle name="Normal 7 2 3 4 3 2" xfId="39906"/>
    <cellStyle name="Normal 7 2 3 4 4" xfId="27601"/>
    <cellStyle name="Normal 7 2 3 5" xfId="10805"/>
    <cellStyle name="Normal 7 2 3 5 2" xfId="30688"/>
    <cellStyle name="Normal 7 2 3 6" xfId="16957"/>
    <cellStyle name="Normal 7 2 3 6 2" xfId="36840"/>
    <cellStyle name="Normal 7 2 3 7" xfId="4088"/>
    <cellStyle name="Normal 7 2 3 7 2" xfId="24535"/>
    <cellStyle name="Normal 7 2 3 8" xfId="23347"/>
    <cellStyle name="Normal 7 2 4" xfId="126"/>
    <cellStyle name="Normal 7 2 4 2" xfId="5271"/>
    <cellStyle name="Normal 7 2 4 2 2" xfId="6896"/>
    <cellStyle name="Normal 7 2 4 2 2 2" xfId="9982"/>
    <cellStyle name="Normal 7 2 4 2 2 2 2" xfId="16175"/>
    <cellStyle name="Normal 7 2 4 2 2 2 2 2" xfId="36058"/>
    <cellStyle name="Normal 7 2 4 2 2 2 3" xfId="22327"/>
    <cellStyle name="Normal 7 2 4 2 2 2 3 2" xfId="42210"/>
    <cellStyle name="Normal 7 2 4 2 2 2 4" xfId="29905"/>
    <cellStyle name="Normal 7 2 4 2 2 3" xfId="13109"/>
    <cellStyle name="Normal 7 2 4 2 2 3 2" xfId="32992"/>
    <cellStyle name="Normal 7 2 4 2 2 4" xfId="19261"/>
    <cellStyle name="Normal 7 2 4 2 2 4 2" xfId="39144"/>
    <cellStyle name="Normal 7 2 4 2 2 5" xfId="26839"/>
    <cellStyle name="Normal 7 2 4 2 3" xfId="8447"/>
    <cellStyle name="Normal 7 2 4 2 3 2" xfId="14641"/>
    <cellStyle name="Normal 7 2 4 2 3 2 2" xfId="34524"/>
    <cellStyle name="Normal 7 2 4 2 3 3" xfId="20793"/>
    <cellStyle name="Normal 7 2 4 2 3 3 2" xfId="40676"/>
    <cellStyle name="Normal 7 2 4 2 3 4" xfId="28371"/>
    <cellStyle name="Normal 7 2 4 2 4" xfId="11575"/>
    <cellStyle name="Normal 7 2 4 2 4 2" xfId="31458"/>
    <cellStyle name="Normal 7 2 4 2 5" xfId="17727"/>
    <cellStyle name="Normal 7 2 4 2 5 2" xfId="37610"/>
    <cellStyle name="Normal 7 2 4 2 6" xfId="25305"/>
    <cellStyle name="Normal 7 2 4 3" xfId="6113"/>
    <cellStyle name="Normal 7 2 4 3 2" xfId="9213"/>
    <cellStyle name="Normal 7 2 4 3 2 2" xfId="15406"/>
    <cellStyle name="Normal 7 2 4 3 2 2 2" xfId="35289"/>
    <cellStyle name="Normal 7 2 4 3 2 3" xfId="21558"/>
    <cellStyle name="Normal 7 2 4 3 2 3 2" xfId="41441"/>
    <cellStyle name="Normal 7 2 4 3 2 4" xfId="29136"/>
    <cellStyle name="Normal 7 2 4 3 3" xfId="12340"/>
    <cellStyle name="Normal 7 2 4 3 3 2" xfId="32223"/>
    <cellStyle name="Normal 7 2 4 3 4" xfId="18492"/>
    <cellStyle name="Normal 7 2 4 3 4 2" xfId="38375"/>
    <cellStyle name="Normal 7 2 4 3 5" xfId="26070"/>
    <cellStyle name="Normal 7 2 4 4" xfId="7678"/>
    <cellStyle name="Normal 7 2 4 4 2" xfId="13872"/>
    <cellStyle name="Normal 7 2 4 4 2 2" xfId="33755"/>
    <cellStyle name="Normal 7 2 4 4 3" xfId="20024"/>
    <cellStyle name="Normal 7 2 4 4 3 2" xfId="39907"/>
    <cellStyle name="Normal 7 2 4 4 4" xfId="27602"/>
    <cellStyle name="Normal 7 2 4 5" xfId="10806"/>
    <cellStyle name="Normal 7 2 4 5 2" xfId="30689"/>
    <cellStyle name="Normal 7 2 4 6" xfId="16958"/>
    <cellStyle name="Normal 7 2 4 6 2" xfId="36841"/>
    <cellStyle name="Normal 7 2 4 7" xfId="4089"/>
    <cellStyle name="Normal 7 2 4 7 2" xfId="24536"/>
    <cellStyle name="Normal 7 2 4 8" xfId="23372"/>
    <cellStyle name="Normal 7 2 5" xfId="112"/>
    <cellStyle name="Normal 7 2 5 2" xfId="5272"/>
    <cellStyle name="Normal 7 2 5 2 2" xfId="6897"/>
    <cellStyle name="Normal 7 2 5 2 2 2" xfId="9983"/>
    <cellStyle name="Normal 7 2 5 2 2 2 2" xfId="16176"/>
    <cellStyle name="Normal 7 2 5 2 2 2 2 2" xfId="36059"/>
    <cellStyle name="Normal 7 2 5 2 2 2 3" xfId="22328"/>
    <cellStyle name="Normal 7 2 5 2 2 2 3 2" xfId="42211"/>
    <cellStyle name="Normal 7 2 5 2 2 2 4" xfId="29906"/>
    <cellStyle name="Normal 7 2 5 2 2 3" xfId="13110"/>
    <cellStyle name="Normal 7 2 5 2 2 3 2" xfId="32993"/>
    <cellStyle name="Normal 7 2 5 2 2 4" xfId="19262"/>
    <cellStyle name="Normal 7 2 5 2 2 4 2" xfId="39145"/>
    <cellStyle name="Normal 7 2 5 2 2 5" xfId="26840"/>
    <cellStyle name="Normal 7 2 5 2 3" xfId="8448"/>
    <cellStyle name="Normal 7 2 5 2 3 2" xfId="14642"/>
    <cellStyle name="Normal 7 2 5 2 3 2 2" xfId="34525"/>
    <cellStyle name="Normal 7 2 5 2 3 3" xfId="20794"/>
    <cellStyle name="Normal 7 2 5 2 3 3 2" xfId="40677"/>
    <cellStyle name="Normal 7 2 5 2 3 4" xfId="28372"/>
    <cellStyle name="Normal 7 2 5 2 4" xfId="11576"/>
    <cellStyle name="Normal 7 2 5 2 4 2" xfId="31459"/>
    <cellStyle name="Normal 7 2 5 2 5" xfId="17728"/>
    <cellStyle name="Normal 7 2 5 2 5 2" xfId="37611"/>
    <cellStyle name="Normal 7 2 5 2 6" xfId="25306"/>
    <cellStyle name="Normal 7 2 5 3" xfId="6114"/>
    <cellStyle name="Normal 7 2 5 3 2" xfId="9214"/>
    <cellStyle name="Normal 7 2 5 3 2 2" xfId="15407"/>
    <cellStyle name="Normal 7 2 5 3 2 2 2" xfId="35290"/>
    <cellStyle name="Normal 7 2 5 3 2 3" xfId="21559"/>
    <cellStyle name="Normal 7 2 5 3 2 3 2" xfId="41442"/>
    <cellStyle name="Normal 7 2 5 3 2 4" xfId="29137"/>
    <cellStyle name="Normal 7 2 5 3 3" xfId="12341"/>
    <cellStyle name="Normal 7 2 5 3 3 2" xfId="32224"/>
    <cellStyle name="Normal 7 2 5 3 4" xfId="18493"/>
    <cellStyle name="Normal 7 2 5 3 4 2" xfId="38376"/>
    <cellStyle name="Normal 7 2 5 3 5" xfId="26071"/>
    <cellStyle name="Normal 7 2 5 4" xfId="7679"/>
    <cellStyle name="Normal 7 2 5 4 2" xfId="13873"/>
    <cellStyle name="Normal 7 2 5 4 2 2" xfId="33756"/>
    <cellStyle name="Normal 7 2 5 4 3" xfId="20025"/>
    <cellStyle name="Normal 7 2 5 4 3 2" xfId="39908"/>
    <cellStyle name="Normal 7 2 5 4 4" xfId="27603"/>
    <cellStyle name="Normal 7 2 5 5" xfId="10807"/>
    <cellStyle name="Normal 7 2 5 5 2" xfId="30690"/>
    <cellStyle name="Normal 7 2 5 6" xfId="16959"/>
    <cellStyle name="Normal 7 2 5 6 2" xfId="36842"/>
    <cellStyle name="Normal 7 2 5 7" xfId="4090"/>
    <cellStyle name="Normal 7 2 5 7 2" xfId="24537"/>
    <cellStyle name="Normal 7 2 5 8" xfId="23360"/>
    <cellStyle name="Normal 7 2 6" xfId="5268"/>
    <cellStyle name="Normal 7 2 6 2" xfId="6893"/>
    <cellStyle name="Normal 7 2 6 2 2" xfId="9979"/>
    <cellStyle name="Normal 7 2 6 2 2 2" xfId="16172"/>
    <cellStyle name="Normal 7 2 6 2 2 2 2" xfId="36055"/>
    <cellStyle name="Normal 7 2 6 2 2 3" xfId="22324"/>
    <cellStyle name="Normal 7 2 6 2 2 3 2" xfId="42207"/>
    <cellStyle name="Normal 7 2 6 2 2 4" xfId="29902"/>
    <cellStyle name="Normal 7 2 6 2 3" xfId="13106"/>
    <cellStyle name="Normal 7 2 6 2 3 2" xfId="32989"/>
    <cellStyle name="Normal 7 2 6 2 4" xfId="19258"/>
    <cellStyle name="Normal 7 2 6 2 4 2" xfId="39141"/>
    <cellStyle name="Normal 7 2 6 2 5" xfId="26836"/>
    <cellStyle name="Normal 7 2 6 3" xfId="8444"/>
    <cellStyle name="Normal 7 2 6 3 2" xfId="14638"/>
    <cellStyle name="Normal 7 2 6 3 2 2" xfId="34521"/>
    <cellStyle name="Normal 7 2 6 3 3" xfId="20790"/>
    <cellStyle name="Normal 7 2 6 3 3 2" xfId="40673"/>
    <cellStyle name="Normal 7 2 6 3 4" xfId="28368"/>
    <cellStyle name="Normal 7 2 6 4" xfId="11572"/>
    <cellStyle name="Normal 7 2 6 4 2" xfId="31455"/>
    <cellStyle name="Normal 7 2 6 5" xfId="17724"/>
    <cellStyle name="Normal 7 2 6 5 2" xfId="37607"/>
    <cellStyle name="Normal 7 2 6 6" xfId="25302"/>
    <cellStyle name="Normal 7 2 7" xfId="6110"/>
    <cellStyle name="Normal 7 2 7 2" xfId="9210"/>
    <cellStyle name="Normal 7 2 7 2 2" xfId="15403"/>
    <cellStyle name="Normal 7 2 7 2 2 2" xfId="35286"/>
    <cellStyle name="Normal 7 2 7 2 3" xfId="21555"/>
    <cellStyle name="Normal 7 2 7 2 3 2" xfId="41438"/>
    <cellStyle name="Normal 7 2 7 2 4" xfId="29133"/>
    <cellStyle name="Normal 7 2 7 3" xfId="12337"/>
    <cellStyle name="Normal 7 2 7 3 2" xfId="32220"/>
    <cellStyle name="Normal 7 2 7 4" xfId="18489"/>
    <cellStyle name="Normal 7 2 7 4 2" xfId="38372"/>
    <cellStyle name="Normal 7 2 7 5" xfId="26067"/>
    <cellStyle name="Normal 7 2 8" xfId="7675"/>
    <cellStyle name="Normal 7 2 8 2" xfId="13869"/>
    <cellStyle name="Normal 7 2 8 2 2" xfId="33752"/>
    <cellStyle name="Normal 7 2 8 3" xfId="20021"/>
    <cellStyle name="Normal 7 2 8 3 2" xfId="39904"/>
    <cellStyle name="Normal 7 2 8 4" xfId="27599"/>
    <cellStyle name="Normal 7 2 9" xfId="10249"/>
    <cellStyle name="Normal 7 2 9 2" xfId="16421"/>
    <cellStyle name="Normal 7 2 9 2 2" xfId="36304"/>
    <cellStyle name="Normal 7 2 9 3" xfId="22573"/>
    <cellStyle name="Normal 7 2 9 3 2" xfId="42456"/>
    <cellStyle name="Normal 7 2 9 4" xfId="30151"/>
    <cellStyle name="Normal 7 20" xfId="4091"/>
    <cellStyle name="Normal 7 20 2" xfId="5273"/>
    <cellStyle name="Normal 7 20 2 2" xfId="6898"/>
    <cellStyle name="Normal 7 20 2 2 2" xfId="9984"/>
    <cellStyle name="Normal 7 20 2 2 2 2" xfId="16177"/>
    <cellStyle name="Normal 7 20 2 2 2 2 2" xfId="36060"/>
    <cellStyle name="Normal 7 20 2 2 2 3" xfId="22329"/>
    <cellStyle name="Normal 7 20 2 2 2 3 2" xfId="42212"/>
    <cellStyle name="Normal 7 20 2 2 2 4" xfId="29907"/>
    <cellStyle name="Normal 7 20 2 2 3" xfId="13111"/>
    <cellStyle name="Normal 7 20 2 2 3 2" xfId="32994"/>
    <cellStyle name="Normal 7 20 2 2 4" xfId="19263"/>
    <cellStyle name="Normal 7 20 2 2 4 2" xfId="39146"/>
    <cellStyle name="Normal 7 20 2 2 5" xfId="26841"/>
    <cellStyle name="Normal 7 20 2 3" xfId="8449"/>
    <cellStyle name="Normal 7 20 2 3 2" xfId="14643"/>
    <cellStyle name="Normal 7 20 2 3 2 2" xfId="34526"/>
    <cellStyle name="Normal 7 20 2 3 3" xfId="20795"/>
    <cellStyle name="Normal 7 20 2 3 3 2" xfId="40678"/>
    <cellStyle name="Normal 7 20 2 3 4" xfId="28373"/>
    <cellStyle name="Normal 7 20 2 4" xfId="11577"/>
    <cellStyle name="Normal 7 20 2 4 2" xfId="31460"/>
    <cellStyle name="Normal 7 20 2 5" xfId="17729"/>
    <cellStyle name="Normal 7 20 2 5 2" xfId="37612"/>
    <cellStyle name="Normal 7 20 2 6" xfId="25307"/>
    <cellStyle name="Normal 7 20 3" xfId="6115"/>
    <cellStyle name="Normal 7 20 3 2" xfId="9215"/>
    <cellStyle name="Normal 7 20 3 2 2" xfId="15408"/>
    <cellStyle name="Normal 7 20 3 2 2 2" xfId="35291"/>
    <cellStyle name="Normal 7 20 3 2 3" xfId="21560"/>
    <cellStyle name="Normal 7 20 3 2 3 2" xfId="41443"/>
    <cellStyle name="Normal 7 20 3 2 4" xfId="29138"/>
    <cellStyle name="Normal 7 20 3 3" xfId="12342"/>
    <cellStyle name="Normal 7 20 3 3 2" xfId="32225"/>
    <cellStyle name="Normal 7 20 3 4" xfId="18494"/>
    <cellStyle name="Normal 7 20 3 4 2" xfId="38377"/>
    <cellStyle name="Normal 7 20 3 5" xfId="26072"/>
    <cellStyle name="Normal 7 20 4" xfId="7680"/>
    <cellStyle name="Normal 7 20 4 2" xfId="13874"/>
    <cellStyle name="Normal 7 20 4 2 2" xfId="33757"/>
    <cellStyle name="Normal 7 20 4 3" xfId="20026"/>
    <cellStyle name="Normal 7 20 4 3 2" xfId="39909"/>
    <cellStyle name="Normal 7 20 4 4" xfId="27604"/>
    <cellStyle name="Normal 7 20 5" xfId="10808"/>
    <cellStyle name="Normal 7 20 5 2" xfId="30691"/>
    <cellStyle name="Normal 7 20 6" xfId="16960"/>
    <cellStyle name="Normal 7 20 6 2" xfId="36843"/>
    <cellStyle name="Normal 7 20 7" xfId="24538"/>
    <cellStyle name="Normal 7 21" xfId="4092"/>
    <cellStyle name="Normal 7 22" xfId="4093"/>
    <cellStyle name="Normal 7 22 2" xfId="5274"/>
    <cellStyle name="Normal 7 22 2 2" xfId="6899"/>
    <cellStyle name="Normal 7 22 2 2 2" xfId="9985"/>
    <cellStyle name="Normal 7 22 2 2 2 2" xfId="16178"/>
    <cellStyle name="Normal 7 22 2 2 2 2 2" xfId="36061"/>
    <cellStyle name="Normal 7 22 2 2 2 3" xfId="22330"/>
    <cellStyle name="Normal 7 22 2 2 2 3 2" xfId="42213"/>
    <cellStyle name="Normal 7 22 2 2 2 4" xfId="29908"/>
    <cellStyle name="Normal 7 22 2 2 3" xfId="13112"/>
    <cellStyle name="Normal 7 22 2 2 3 2" xfId="32995"/>
    <cellStyle name="Normal 7 22 2 2 4" xfId="19264"/>
    <cellStyle name="Normal 7 22 2 2 4 2" xfId="39147"/>
    <cellStyle name="Normal 7 22 2 2 5" xfId="26842"/>
    <cellStyle name="Normal 7 22 2 3" xfId="8450"/>
    <cellStyle name="Normal 7 22 2 3 2" xfId="14644"/>
    <cellStyle name="Normal 7 22 2 3 2 2" xfId="34527"/>
    <cellStyle name="Normal 7 22 2 3 3" xfId="20796"/>
    <cellStyle name="Normal 7 22 2 3 3 2" xfId="40679"/>
    <cellStyle name="Normal 7 22 2 3 4" xfId="28374"/>
    <cellStyle name="Normal 7 22 2 4" xfId="11578"/>
    <cellStyle name="Normal 7 22 2 4 2" xfId="31461"/>
    <cellStyle name="Normal 7 22 2 5" xfId="17730"/>
    <cellStyle name="Normal 7 22 2 5 2" xfId="37613"/>
    <cellStyle name="Normal 7 22 2 6" xfId="25308"/>
    <cellStyle name="Normal 7 22 3" xfId="6116"/>
    <cellStyle name="Normal 7 22 3 2" xfId="9216"/>
    <cellStyle name="Normal 7 22 3 2 2" xfId="15409"/>
    <cellStyle name="Normal 7 22 3 2 2 2" xfId="35292"/>
    <cellStyle name="Normal 7 22 3 2 3" xfId="21561"/>
    <cellStyle name="Normal 7 22 3 2 3 2" xfId="41444"/>
    <cellStyle name="Normal 7 22 3 2 4" xfId="29139"/>
    <cellStyle name="Normal 7 22 3 3" xfId="12343"/>
    <cellStyle name="Normal 7 22 3 3 2" xfId="32226"/>
    <cellStyle name="Normal 7 22 3 4" xfId="18495"/>
    <cellStyle name="Normal 7 22 3 4 2" xfId="38378"/>
    <cellStyle name="Normal 7 22 3 5" xfId="26073"/>
    <cellStyle name="Normal 7 22 4" xfId="7681"/>
    <cellStyle name="Normal 7 22 4 2" xfId="13875"/>
    <cellStyle name="Normal 7 22 4 2 2" xfId="33758"/>
    <cellStyle name="Normal 7 22 4 3" xfId="20027"/>
    <cellStyle name="Normal 7 22 4 3 2" xfId="39910"/>
    <cellStyle name="Normal 7 22 4 4" xfId="27605"/>
    <cellStyle name="Normal 7 22 5" xfId="10809"/>
    <cellStyle name="Normal 7 22 5 2" xfId="30692"/>
    <cellStyle name="Normal 7 22 6" xfId="16961"/>
    <cellStyle name="Normal 7 22 6 2" xfId="36844"/>
    <cellStyle name="Normal 7 22 7" xfId="24539"/>
    <cellStyle name="Normal 7 23" xfId="4094"/>
    <cellStyle name="Normal 7 24" xfId="4622"/>
    <cellStyle name="Normal 7 25" xfId="4075"/>
    <cellStyle name="Normal 7 25 2" xfId="5257"/>
    <cellStyle name="Normal 7 25 2 2" xfId="6882"/>
    <cellStyle name="Normal 7 25 2 2 2" xfId="9968"/>
    <cellStyle name="Normal 7 25 2 2 2 2" xfId="16161"/>
    <cellStyle name="Normal 7 25 2 2 2 2 2" xfId="36044"/>
    <cellStyle name="Normal 7 25 2 2 2 3" xfId="22313"/>
    <cellStyle name="Normal 7 25 2 2 2 3 2" xfId="42196"/>
    <cellStyle name="Normal 7 25 2 2 2 4" xfId="29891"/>
    <cellStyle name="Normal 7 25 2 2 3" xfId="13095"/>
    <cellStyle name="Normal 7 25 2 2 3 2" xfId="32978"/>
    <cellStyle name="Normal 7 25 2 2 4" xfId="19247"/>
    <cellStyle name="Normal 7 25 2 2 4 2" xfId="39130"/>
    <cellStyle name="Normal 7 25 2 2 5" xfId="26825"/>
    <cellStyle name="Normal 7 25 2 3" xfId="8433"/>
    <cellStyle name="Normal 7 25 2 3 2" xfId="14627"/>
    <cellStyle name="Normal 7 25 2 3 2 2" xfId="34510"/>
    <cellStyle name="Normal 7 25 2 3 3" xfId="20779"/>
    <cellStyle name="Normal 7 25 2 3 3 2" xfId="40662"/>
    <cellStyle name="Normal 7 25 2 3 4" xfId="28357"/>
    <cellStyle name="Normal 7 25 2 4" xfId="11561"/>
    <cellStyle name="Normal 7 25 2 4 2" xfId="31444"/>
    <cellStyle name="Normal 7 25 2 5" xfId="17713"/>
    <cellStyle name="Normal 7 25 2 5 2" xfId="37596"/>
    <cellStyle name="Normal 7 25 2 6" xfId="25291"/>
    <cellStyle name="Normal 7 25 3" xfId="6099"/>
    <cellStyle name="Normal 7 25 3 2" xfId="9199"/>
    <cellStyle name="Normal 7 25 3 2 2" xfId="15392"/>
    <cellStyle name="Normal 7 25 3 2 2 2" xfId="35275"/>
    <cellStyle name="Normal 7 25 3 2 3" xfId="21544"/>
    <cellStyle name="Normal 7 25 3 2 3 2" xfId="41427"/>
    <cellStyle name="Normal 7 25 3 2 4" xfId="29122"/>
    <cellStyle name="Normal 7 25 3 3" xfId="12326"/>
    <cellStyle name="Normal 7 25 3 3 2" xfId="32209"/>
    <cellStyle name="Normal 7 25 3 4" xfId="18478"/>
    <cellStyle name="Normal 7 25 3 4 2" xfId="38361"/>
    <cellStyle name="Normal 7 25 3 5" xfId="26056"/>
    <cellStyle name="Normal 7 25 4" xfId="7664"/>
    <cellStyle name="Normal 7 25 4 2" xfId="13858"/>
    <cellStyle name="Normal 7 25 4 2 2" xfId="33741"/>
    <cellStyle name="Normal 7 25 4 3" xfId="20010"/>
    <cellStyle name="Normal 7 25 4 3 2" xfId="39893"/>
    <cellStyle name="Normal 7 25 4 4" xfId="27588"/>
    <cellStyle name="Normal 7 25 5" xfId="10792"/>
    <cellStyle name="Normal 7 25 5 2" xfId="30675"/>
    <cellStyle name="Normal 7 25 6" xfId="16944"/>
    <cellStyle name="Normal 7 25 6 2" xfId="36827"/>
    <cellStyle name="Normal 7 25 7" xfId="24522"/>
    <cellStyle name="Normal 7 26" xfId="10236"/>
    <cellStyle name="Normal 7 26 2" xfId="16412"/>
    <cellStyle name="Normal 7 26 2 2" xfId="36295"/>
    <cellStyle name="Normal 7 26 3" xfId="22564"/>
    <cellStyle name="Normal 7 26 3 2" xfId="42447"/>
    <cellStyle name="Normal 7 26 4" xfId="30142"/>
    <cellStyle name="Normal 7 27" xfId="1180"/>
    <cellStyle name="Normal 7 28" xfId="203"/>
    <cellStyle name="Normal 7 29" xfId="23333"/>
    <cellStyle name="Normal 7 3" xfId="95"/>
    <cellStyle name="Normal 7 3 10" xfId="16962"/>
    <cellStyle name="Normal 7 3 10 2" xfId="36845"/>
    <cellStyle name="Normal 7 3 11" xfId="4095"/>
    <cellStyle name="Normal 7 3 11 2" xfId="24540"/>
    <cellStyle name="Normal 7 3 12" xfId="23289"/>
    <cellStyle name="Normal 7 3 13" xfId="23346"/>
    <cellStyle name="Normal 7 3 2" xfId="141"/>
    <cellStyle name="Normal 7 3 2 2" xfId="5276"/>
    <cellStyle name="Normal 7 3 2 2 2" xfId="6901"/>
    <cellStyle name="Normal 7 3 2 2 2 2" xfId="9987"/>
    <cellStyle name="Normal 7 3 2 2 2 2 2" xfId="16180"/>
    <cellStyle name="Normal 7 3 2 2 2 2 2 2" xfId="36063"/>
    <cellStyle name="Normal 7 3 2 2 2 2 3" xfId="22332"/>
    <cellStyle name="Normal 7 3 2 2 2 2 3 2" xfId="42215"/>
    <cellStyle name="Normal 7 3 2 2 2 2 4" xfId="29910"/>
    <cellStyle name="Normal 7 3 2 2 2 3" xfId="13114"/>
    <cellStyle name="Normal 7 3 2 2 2 3 2" xfId="32997"/>
    <cellStyle name="Normal 7 3 2 2 2 4" xfId="19266"/>
    <cellStyle name="Normal 7 3 2 2 2 4 2" xfId="39149"/>
    <cellStyle name="Normal 7 3 2 2 2 5" xfId="26844"/>
    <cellStyle name="Normal 7 3 2 2 3" xfId="8452"/>
    <cellStyle name="Normal 7 3 2 2 3 2" xfId="14646"/>
    <cellStyle name="Normal 7 3 2 2 3 2 2" xfId="34529"/>
    <cellStyle name="Normal 7 3 2 2 3 3" xfId="20798"/>
    <cellStyle name="Normal 7 3 2 2 3 3 2" xfId="40681"/>
    <cellStyle name="Normal 7 3 2 2 3 4" xfId="28376"/>
    <cellStyle name="Normal 7 3 2 2 4" xfId="11580"/>
    <cellStyle name="Normal 7 3 2 2 4 2" xfId="31463"/>
    <cellStyle name="Normal 7 3 2 2 5" xfId="17732"/>
    <cellStyle name="Normal 7 3 2 2 5 2" xfId="37615"/>
    <cellStyle name="Normal 7 3 2 2 6" xfId="25310"/>
    <cellStyle name="Normal 7 3 2 3" xfId="6118"/>
    <cellStyle name="Normal 7 3 2 3 2" xfId="9218"/>
    <cellStyle name="Normal 7 3 2 3 2 2" xfId="15411"/>
    <cellStyle name="Normal 7 3 2 3 2 2 2" xfId="35294"/>
    <cellStyle name="Normal 7 3 2 3 2 3" xfId="21563"/>
    <cellStyle name="Normal 7 3 2 3 2 3 2" xfId="41446"/>
    <cellStyle name="Normal 7 3 2 3 2 4" xfId="29141"/>
    <cellStyle name="Normal 7 3 2 3 3" xfId="12345"/>
    <cellStyle name="Normal 7 3 2 3 3 2" xfId="32228"/>
    <cellStyle name="Normal 7 3 2 3 4" xfId="18497"/>
    <cellStyle name="Normal 7 3 2 3 4 2" xfId="38380"/>
    <cellStyle name="Normal 7 3 2 3 5" xfId="26075"/>
    <cellStyle name="Normal 7 3 2 4" xfId="7683"/>
    <cellStyle name="Normal 7 3 2 4 2" xfId="13877"/>
    <cellStyle name="Normal 7 3 2 4 2 2" xfId="33760"/>
    <cellStyle name="Normal 7 3 2 4 3" xfId="20029"/>
    <cellStyle name="Normal 7 3 2 4 3 2" xfId="39912"/>
    <cellStyle name="Normal 7 3 2 4 4" xfId="27607"/>
    <cellStyle name="Normal 7 3 2 5" xfId="10811"/>
    <cellStyle name="Normal 7 3 2 5 2" xfId="30694"/>
    <cellStyle name="Normal 7 3 2 6" xfId="16963"/>
    <cellStyle name="Normal 7 3 2 6 2" xfId="36846"/>
    <cellStyle name="Normal 7 3 2 7" xfId="4096"/>
    <cellStyle name="Normal 7 3 2 7 2" xfId="24541"/>
    <cellStyle name="Normal 7 3 2 8" xfId="23384"/>
    <cellStyle name="Normal 7 3 3" xfId="4097"/>
    <cellStyle name="Normal 7 3 3 2" xfId="5277"/>
    <cellStyle name="Normal 7 3 3 2 2" xfId="6902"/>
    <cellStyle name="Normal 7 3 3 2 2 2" xfId="9988"/>
    <cellStyle name="Normal 7 3 3 2 2 2 2" xfId="16181"/>
    <cellStyle name="Normal 7 3 3 2 2 2 2 2" xfId="36064"/>
    <cellStyle name="Normal 7 3 3 2 2 2 3" xfId="22333"/>
    <cellStyle name="Normal 7 3 3 2 2 2 3 2" xfId="42216"/>
    <cellStyle name="Normal 7 3 3 2 2 2 4" xfId="29911"/>
    <cellStyle name="Normal 7 3 3 2 2 3" xfId="13115"/>
    <cellStyle name="Normal 7 3 3 2 2 3 2" xfId="32998"/>
    <cellStyle name="Normal 7 3 3 2 2 4" xfId="19267"/>
    <cellStyle name="Normal 7 3 3 2 2 4 2" xfId="39150"/>
    <cellStyle name="Normal 7 3 3 2 2 5" xfId="26845"/>
    <cellStyle name="Normal 7 3 3 2 3" xfId="8453"/>
    <cellStyle name="Normal 7 3 3 2 3 2" xfId="14647"/>
    <cellStyle name="Normal 7 3 3 2 3 2 2" xfId="34530"/>
    <cellStyle name="Normal 7 3 3 2 3 3" xfId="20799"/>
    <cellStyle name="Normal 7 3 3 2 3 3 2" xfId="40682"/>
    <cellStyle name="Normal 7 3 3 2 3 4" xfId="28377"/>
    <cellStyle name="Normal 7 3 3 2 4" xfId="11581"/>
    <cellStyle name="Normal 7 3 3 2 4 2" xfId="31464"/>
    <cellStyle name="Normal 7 3 3 2 5" xfId="17733"/>
    <cellStyle name="Normal 7 3 3 2 5 2" xfId="37616"/>
    <cellStyle name="Normal 7 3 3 2 6" xfId="25311"/>
    <cellStyle name="Normal 7 3 3 3" xfId="6119"/>
    <cellStyle name="Normal 7 3 3 3 2" xfId="9219"/>
    <cellStyle name="Normal 7 3 3 3 2 2" xfId="15412"/>
    <cellStyle name="Normal 7 3 3 3 2 2 2" xfId="35295"/>
    <cellStyle name="Normal 7 3 3 3 2 3" xfId="21564"/>
    <cellStyle name="Normal 7 3 3 3 2 3 2" xfId="41447"/>
    <cellStyle name="Normal 7 3 3 3 2 4" xfId="29142"/>
    <cellStyle name="Normal 7 3 3 3 3" xfId="12346"/>
    <cellStyle name="Normal 7 3 3 3 3 2" xfId="32229"/>
    <cellStyle name="Normal 7 3 3 3 4" xfId="18498"/>
    <cellStyle name="Normal 7 3 3 3 4 2" xfId="38381"/>
    <cellStyle name="Normal 7 3 3 3 5" xfId="26076"/>
    <cellStyle name="Normal 7 3 3 4" xfId="7684"/>
    <cellStyle name="Normal 7 3 3 4 2" xfId="13878"/>
    <cellStyle name="Normal 7 3 3 4 2 2" xfId="33761"/>
    <cellStyle name="Normal 7 3 3 4 3" xfId="20030"/>
    <cellStyle name="Normal 7 3 3 4 3 2" xfId="39913"/>
    <cellStyle name="Normal 7 3 3 4 4" xfId="27608"/>
    <cellStyle name="Normal 7 3 3 5" xfId="10812"/>
    <cellStyle name="Normal 7 3 3 5 2" xfId="30695"/>
    <cellStyle name="Normal 7 3 3 6" xfId="16964"/>
    <cellStyle name="Normal 7 3 3 6 2" xfId="36847"/>
    <cellStyle name="Normal 7 3 3 7" xfId="24542"/>
    <cellStyle name="Normal 7 3 4" xfId="4098"/>
    <cellStyle name="Normal 7 3 4 2" xfId="5278"/>
    <cellStyle name="Normal 7 3 4 2 2" xfId="6903"/>
    <cellStyle name="Normal 7 3 4 2 2 2" xfId="9989"/>
    <cellStyle name="Normal 7 3 4 2 2 2 2" xfId="16182"/>
    <cellStyle name="Normal 7 3 4 2 2 2 2 2" xfId="36065"/>
    <cellStyle name="Normal 7 3 4 2 2 2 3" xfId="22334"/>
    <cellStyle name="Normal 7 3 4 2 2 2 3 2" xfId="42217"/>
    <cellStyle name="Normal 7 3 4 2 2 2 4" xfId="29912"/>
    <cellStyle name="Normal 7 3 4 2 2 3" xfId="13116"/>
    <cellStyle name="Normal 7 3 4 2 2 3 2" xfId="32999"/>
    <cellStyle name="Normal 7 3 4 2 2 4" xfId="19268"/>
    <cellStyle name="Normal 7 3 4 2 2 4 2" xfId="39151"/>
    <cellStyle name="Normal 7 3 4 2 2 5" xfId="26846"/>
    <cellStyle name="Normal 7 3 4 2 3" xfId="8454"/>
    <cellStyle name="Normal 7 3 4 2 3 2" xfId="14648"/>
    <cellStyle name="Normal 7 3 4 2 3 2 2" xfId="34531"/>
    <cellStyle name="Normal 7 3 4 2 3 3" xfId="20800"/>
    <cellStyle name="Normal 7 3 4 2 3 3 2" xfId="40683"/>
    <cellStyle name="Normal 7 3 4 2 3 4" xfId="28378"/>
    <cellStyle name="Normal 7 3 4 2 4" xfId="11582"/>
    <cellStyle name="Normal 7 3 4 2 4 2" xfId="31465"/>
    <cellStyle name="Normal 7 3 4 2 5" xfId="17734"/>
    <cellStyle name="Normal 7 3 4 2 5 2" xfId="37617"/>
    <cellStyle name="Normal 7 3 4 2 6" xfId="25312"/>
    <cellStyle name="Normal 7 3 4 3" xfId="6120"/>
    <cellStyle name="Normal 7 3 4 3 2" xfId="9220"/>
    <cellStyle name="Normal 7 3 4 3 2 2" xfId="15413"/>
    <cellStyle name="Normal 7 3 4 3 2 2 2" xfId="35296"/>
    <cellStyle name="Normal 7 3 4 3 2 3" xfId="21565"/>
    <cellStyle name="Normal 7 3 4 3 2 3 2" xfId="41448"/>
    <cellStyle name="Normal 7 3 4 3 2 4" xfId="29143"/>
    <cellStyle name="Normal 7 3 4 3 3" xfId="12347"/>
    <cellStyle name="Normal 7 3 4 3 3 2" xfId="32230"/>
    <cellStyle name="Normal 7 3 4 3 4" xfId="18499"/>
    <cellStyle name="Normal 7 3 4 3 4 2" xfId="38382"/>
    <cellStyle name="Normal 7 3 4 3 5" xfId="26077"/>
    <cellStyle name="Normal 7 3 4 4" xfId="7685"/>
    <cellStyle name="Normal 7 3 4 4 2" xfId="13879"/>
    <cellStyle name="Normal 7 3 4 4 2 2" xfId="33762"/>
    <cellStyle name="Normal 7 3 4 4 3" xfId="20031"/>
    <cellStyle name="Normal 7 3 4 4 3 2" xfId="39914"/>
    <cellStyle name="Normal 7 3 4 4 4" xfId="27609"/>
    <cellStyle name="Normal 7 3 4 5" xfId="10813"/>
    <cellStyle name="Normal 7 3 4 5 2" xfId="30696"/>
    <cellStyle name="Normal 7 3 4 6" xfId="16965"/>
    <cellStyle name="Normal 7 3 4 6 2" xfId="36848"/>
    <cellStyle name="Normal 7 3 4 7" xfId="24543"/>
    <cellStyle name="Normal 7 3 5" xfId="4099"/>
    <cellStyle name="Normal 7 3 5 2" xfId="5279"/>
    <cellStyle name="Normal 7 3 5 2 2" xfId="6904"/>
    <cellStyle name="Normal 7 3 5 2 2 2" xfId="9990"/>
    <cellStyle name="Normal 7 3 5 2 2 2 2" xfId="16183"/>
    <cellStyle name="Normal 7 3 5 2 2 2 2 2" xfId="36066"/>
    <cellStyle name="Normal 7 3 5 2 2 2 3" xfId="22335"/>
    <cellStyle name="Normal 7 3 5 2 2 2 3 2" xfId="42218"/>
    <cellStyle name="Normal 7 3 5 2 2 2 4" xfId="29913"/>
    <cellStyle name="Normal 7 3 5 2 2 3" xfId="13117"/>
    <cellStyle name="Normal 7 3 5 2 2 3 2" xfId="33000"/>
    <cellStyle name="Normal 7 3 5 2 2 4" xfId="19269"/>
    <cellStyle name="Normal 7 3 5 2 2 4 2" xfId="39152"/>
    <cellStyle name="Normal 7 3 5 2 2 5" xfId="26847"/>
    <cellStyle name="Normal 7 3 5 2 3" xfId="8455"/>
    <cellStyle name="Normal 7 3 5 2 3 2" xfId="14649"/>
    <cellStyle name="Normal 7 3 5 2 3 2 2" xfId="34532"/>
    <cellStyle name="Normal 7 3 5 2 3 3" xfId="20801"/>
    <cellStyle name="Normal 7 3 5 2 3 3 2" xfId="40684"/>
    <cellStyle name="Normal 7 3 5 2 3 4" xfId="28379"/>
    <cellStyle name="Normal 7 3 5 2 4" xfId="11583"/>
    <cellStyle name="Normal 7 3 5 2 4 2" xfId="31466"/>
    <cellStyle name="Normal 7 3 5 2 5" xfId="17735"/>
    <cellStyle name="Normal 7 3 5 2 5 2" xfId="37618"/>
    <cellStyle name="Normal 7 3 5 2 6" xfId="25313"/>
    <cellStyle name="Normal 7 3 5 3" xfId="6121"/>
    <cellStyle name="Normal 7 3 5 3 2" xfId="9221"/>
    <cellStyle name="Normal 7 3 5 3 2 2" xfId="15414"/>
    <cellStyle name="Normal 7 3 5 3 2 2 2" xfId="35297"/>
    <cellStyle name="Normal 7 3 5 3 2 3" xfId="21566"/>
    <cellStyle name="Normal 7 3 5 3 2 3 2" xfId="41449"/>
    <cellStyle name="Normal 7 3 5 3 2 4" xfId="29144"/>
    <cellStyle name="Normal 7 3 5 3 3" xfId="12348"/>
    <cellStyle name="Normal 7 3 5 3 3 2" xfId="32231"/>
    <cellStyle name="Normal 7 3 5 3 4" xfId="18500"/>
    <cellStyle name="Normal 7 3 5 3 4 2" xfId="38383"/>
    <cellStyle name="Normal 7 3 5 3 5" xfId="26078"/>
    <cellStyle name="Normal 7 3 5 4" xfId="7686"/>
    <cellStyle name="Normal 7 3 5 4 2" xfId="13880"/>
    <cellStyle name="Normal 7 3 5 4 2 2" xfId="33763"/>
    <cellStyle name="Normal 7 3 5 4 3" xfId="20032"/>
    <cellStyle name="Normal 7 3 5 4 3 2" xfId="39915"/>
    <cellStyle name="Normal 7 3 5 4 4" xfId="27610"/>
    <cellStyle name="Normal 7 3 5 5" xfId="10814"/>
    <cellStyle name="Normal 7 3 5 5 2" xfId="30697"/>
    <cellStyle name="Normal 7 3 5 6" xfId="16966"/>
    <cellStyle name="Normal 7 3 5 6 2" xfId="36849"/>
    <cellStyle name="Normal 7 3 5 7" xfId="24544"/>
    <cellStyle name="Normal 7 3 6" xfId="5275"/>
    <cellStyle name="Normal 7 3 6 2" xfId="6900"/>
    <cellStyle name="Normal 7 3 6 2 2" xfId="9986"/>
    <cellStyle name="Normal 7 3 6 2 2 2" xfId="16179"/>
    <cellStyle name="Normal 7 3 6 2 2 2 2" xfId="36062"/>
    <cellStyle name="Normal 7 3 6 2 2 3" xfId="22331"/>
    <cellStyle name="Normal 7 3 6 2 2 3 2" xfId="42214"/>
    <cellStyle name="Normal 7 3 6 2 2 4" xfId="29909"/>
    <cellStyle name="Normal 7 3 6 2 3" xfId="13113"/>
    <cellStyle name="Normal 7 3 6 2 3 2" xfId="32996"/>
    <cellStyle name="Normal 7 3 6 2 4" xfId="19265"/>
    <cellStyle name="Normal 7 3 6 2 4 2" xfId="39148"/>
    <cellStyle name="Normal 7 3 6 2 5" xfId="26843"/>
    <cellStyle name="Normal 7 3 6 3" xfId="8451"/>
    <cellStyle name="Normal 7 3 6 3 2" xfId="14645"/>
    <cellStyle name="Normal 7 3 6 3 2 2" xfId="34528"/>
    <cellStyle name="Normal 7 3 6 3 3" xfId="20797"/>
    <cellStyle name="Normal 7 3 6 3 3 2" xfId="40680"/>
    <cellStyle name="Normal 7 3 6 3 4" xfId="28375"/>
    <cellStyle name="Normal 7 3 6 4" xfId="11579"/>
    <cellStyle name="Normal 7 3 6 4 2" xfId="31462"/>
    <cellStyle name="Normal 7 3 6 5" xfId="17731"/>
    <cellStyle name="Normal 7 3 6 5 2" xfId="37614"/>
    <cellStyle name="Normal 7 3 6 6" xfId="25309"/>
    <cellStyle name="Normal 7 3 7" xfId="6117"/>
    <cellStyle name="Normal 7 3 7 2" xfId="9217"/>
    <cellStyle name="Normal 7 3 7 2 2" xfId="15410"/>
    <cellStyle name="Normal 7 3 7 2 2 2" xfId="35293"/>
    <cellStyle name="Normal 7 3 7 2 3" xfId="21562"/>
    <cellStyle name="Normal 7 3 7 2 3 2" xfId="41445"/>
    <cellStyle name="Normal 7 3 7 2 4" xfId="29140"/>
    <cellStyle name="Normal 7 3 7 3" xfId="12344"/>
    <cellStyle name="Normal 7 3 7 3 2" xfId="32227"/>
    <cellStyle name="Normal 7 3 7 4" xfId="18496"/>
    <cellStyle name="Normal 7 3 7 4 2" xfId="38379"/>
    <cellStyle name="Normal 7 3 7 5" xfId="26074"/>
    <cellStyle name="Normal 7 3 8" xfId="7682"/>
    <cellStyle name="Normal 7 3 8 2" xfId="13876"/>
    <cellStyle name="Normal 7 3 8 2 2" xfId="33759"/>
    <cellStyle name="Normal 7 3 8 3" xfId="20028"/>
    <cellStyle name="Normal 7 3 8 3 2" xfId="39911"/>
    <cellStyle name="Normal 7 3 8 4" xfId="27606"/>
    <cellStyle name="Normal 7 3 9" xfId="10810"/>
    <cellStyle name="Normal 7 3 9 2" xfId="30693"/>
    <cellStyle name="Normal 7 4" xfId="125"/>
    <cellStyle name="Normal 7 4 2" xfId="5280"/>
    <cellStyle name="Normal 7 4 2 2" xfId="6905"/>
    <cellStyle name="Normal 7 4 2 2 2" xfId="9991"/>
    <cellStyle name="Normal 7 4 2 2 2 2" xfId="16184"/>
    <cellStyle name="Normal 7 4 2 2 2 2 2" xfId="36067"/>
    <cellStyle name="Normal 7 4 2 2 2 3" xfId="22336"/>
    <cellStyle name="Normal 7 4 2 2 2 3 2" xfId="42219"/>
    <cellStyle name="Normal 7 4 2 2 2 4" xfId="29914"/>
    <cellStyle name="Normal 7 4 2 2 3" xfId="13118"/>
    <cellStyle name="Normal 7 4 2 2 3 2" xfId="33001"/>
    <cellStyle name="Normal 7 4 2 2 4" xfId="19270"/>
    <cellStyle name="Normal 7 4 2 2 4 2" xfId="39153"/>
    <cellStyle name="Normal 7 4 2 2 5" xfId="26848"/>
    <cellStyle name="Normal 7 4 2 3" xfId="8456"/>
    <cellStyle name="Normal 7 4 2 3 2" xfId="14650"/>
    <cellStyle name="Normal 7 4 2 3 2 2" xfId="34533"/>
    <cellStyle name="Normal 7 4 2 3 3" xfId="20802"/>
    <cellStyle name="Normal 7 4 2 3 3 2" xfId="40685"/>
    <cellStyle name="Normal 7 4 2 3 4" xfId="28380"/>
    <cellStyle name="Normal 7 4 2 4" xfId="11584"/>
    <cellStyle name="Normal 7 4 2 4 2" xfId="31467"/>
    <cellStyle name="Normal 7 4 2 5" xfId="17736"/>
    <cellStyle name="Normal 7 4 2 5 2" xfId="37619"/>
    <cellStyle name="Normal 7 4 2 6" xfId="25314"/>
    <cellStyle name="Normal 7 4 3" xfId="6122"/>
    <cellStyle name="Normal 7 4 3 2" xfId="9222"/>
    <cellStyle name="Normal 7 4 3 2 2" xfId="15415"/>
    <cellStyle name="Normal 7 4 3 2 2 2" xfId="35298"/>
    <cellStyle name="Normal 7 4 3 2 3" xfId="21567"/>
    <cellStyle name="Normal 7 4 3 2 3 2" xfId="41450"/>
    <cellStyle name="Normal 7 4 3 2 4" xfId="29145"/>
    <cellStyle name="Normal 7 4 3 3" xfId="12349"/>
    <cellStyle name="Normal 7 4 3 3 2" xfId="32232"/>
    <cellStyle name="Normal 7 4 3 4" xfId="18501"/>
    <cellStyle name="Normal 7 4 3 4 2" xfId="38384"/>
    <cellStyle name="Normal 7 4 3 5" xfId="26079"/>
    <cellStyle name="Normal 7 4 4" xfId="7687"/>
    <cellStyle name="Normal 7 4 4 2" xfId="13881"/>
    <cellStyle name="Normal 7 4 4 2 2" xfId="33764"/>
    <cellStyle name="Normal 7 4 4 3" xfId="20033"/>
    <cellStyle name="Normal 7 4 4 3 2" xfId="39916"/>
    <cellStyle name="Normal 7 4 4 4" xfId="27611"/>
    <cellStyle name="Normal 7 4 5" xfId="10815"/>
    <cellStyle name="Normal 7 4 5 2" xfId="30698"/>
    <cellStyle name="Normal 7 4 6" xfId="16967"/>
    <cellStyle name="Normal 7 4 6 2" xfId="36850"/>
    <cellStyle name="Normal 7 4 7" xfId="4100"/>
    <cellStyle name="Normal 7 4 7 2" xfId="24545"/>
    <cellStyle name="Normal 7 4 8" xfId="23290"/>
    <cellStyle name="Normal 7 4 9" xfId="23371"/>
    <cellStyle name="Normal 7 5" xfId="111"/>
    <cellStyle name="Normal 7 5 2" xfId="5281"/>
    <cellStyle name="Normal 7 5 2 2" xfId="6906"/>
    <cellStyle name="Normal 7 5 2 2 2" xfId="9992"/>
    <cellStyle name="Normal 7 5 2 2 2 2" xfId="16185"/>
    <cellStyle name="Normal 7 5 2 2 2 2 2" xfId="36068"/>
    <cellStyle name="Normal 7 5 2 2 2 3" xfId="22337"/>
    <cellStyle name="Normal 7 5 2 2 2 3 2" xfId="42220"/>
    <cellStyle name="Normal 7 5 2 2 2 4" xfId="29915"/>
    <cellStyle name="Normal 7 5 2 2 3" xfId="13119"/>
    <cellStyle name="Normal 7 5 2 2 3 2" xfId="33002"/>
    <cellStyle name="Normal 7 5 2 2 4" xfId="19271"/>
    <cellStyle name="Normal 7 5 2 2 4 2" xfId="39154"/>
    <cellStyle name="Normal 7 5 2 2 5" xfId="26849"/>
    <cellStyle name="Normal 7 5 2 3" xfId="8457"/>
    <cellStyle name="Normal 7 5 2 3 2" xfId="14651"/>
    <cellStyle name="Normal 7 5 2 3 2 2" xfId="34534"/>
    <cellStyle name="Normal 7 5 2 3 3" xfId="20803"/>
    <cellStyle name="Normal 7 5 2 3 3 2" xfId="40686"/>
    <cellStyle name="Normal 7 5 2 3 4" xfId="28381"/>
    <cellStyle name="Normal 7 5 2 4" xfId="11585"/>
    <cellStyle name="Normal 7 5 2 4 2" xfId="31468"/>
    <cellStyle name="Normal 7 5 2 5" xfId="17737"/>
    <cellStyle name="Normal 7 5 2 5 2" xfId="37620"/>
    <cellStyle name="Normal 7 5 2 6" xfId="25315"/>
    <cellStyle name="Normal 7 5 3" xfId="6123"/>
    <cellStyle name="Normal 7 5 3 2" xfId="9223"/>
    <cellStyle name="Normal 7 5 3 2 2" xfId="15416"/>
    <cellStyle name="Normal 7 5 3 2 2 2" xfId="35299"/>
    <cellStyle name="Normal 7 5 3 2 3" xfId="21568"/>
    <cellStyle name="Normal 7 5 3 2 3 2" xfId="41451"/>
    <cellStyle name="Normal 7 5 3 2 4" xfId="29146"/>
    <cellStyle name="Normal 7 5 3 3" xfId="12350"/>
    <cellStyle name="Normal 7 5 3 3 2" xfId="32233"/>
    <cellStyle name="Normal 7 5 3 4" xfId="18502"/>
    <cellStyle name="Normal 7 5 3 4 2" xfId="38385"/>
    <cellStyle name="Normal 7 5 3 5" xfId="26080"/>
    <cellStyle name="Normal 7 5 4" xfId="7688"/>
    <cellStyle name="Normal 7 5 4 2" xfId="13882"/>
    <cellStyle name="Normal 7 5 4 2 2" xfId="33765"/>
    <cellStyle name="Normal 7 5 4 3" xfId="20034"/>
    <cellStyle name="Normal 7 5 4 3 2" xfId="39917"/>
    <cellStyle name="Normal 7 5 4 4" xfId="27612"/>
    <cellStyle name="Normal 7 5 5" xfId="10816"/>
    <cellStyle name="Normal 7 5 5 2" xfId="30699"/>
    <cellStyle name="Normal 7 5 6" xfId="16968"/>
    <cellStyle name="Normal 7 5 6 2" xfId="36851"/>
    <cellStyle name="Normal 7 5 7" xfId="4101"/>
    <cellStyle name="Normal 7 5 7 2" xfId="24546"/>
    <cellStyle name="Normal 7 5 8" xfId="23291"/>
    <cellStyle name="Normal 7 5 9" xfId="23359"/>
    <cellStyle name="Normal 7 6" xfId="4102"/>
    <cellStyle name="Normal 7 6 2" xfId="5282"/>
    <cellStyle name="Normal 7 6 2 2" xfId="6907"/>
    <cellStyle name="Normal 7 6 2 2 2" xfId="9993"/>
    <cellStyle name="Normal 7 6 2 2 2 2" xfId="16186"/>
    <cellStyle name="Normal 7 6 2 2 2 2 2" xfId="36069"/>
    <cellStyle name="Normal 7 6 2 2 2 3" xfId="22338"/>
    <cellStyle name="Normal 7 6 2 2 2 3 2" xfId="42221"/>
    <cellStyle name="Normal 7 6 2 2 2 4" xfId="29916"/>
    <cellStyle name="Normal 7 6 2 2 3" xfId="13120"/>
    <cellStyle name="Normal 7 6 2 2 3 2" xfId="33003"/>
    <cellStyle name="Normal 7 6 2 2 4" xfId="19272"/>
    <cellStyle name="Normal 7 6 2 2 4 2" xfId="39155"/>
    <cellStyle name="Normal 7 6 2 2 5" xfId="26850"/>
    <cellStyle name="Normal 7 6 2 3" xfId="8458"/>
    <cellStyle name="Normal 7 6 2 3 2" xfId="14652"/>
    <cellStyle name="Normal 7 6 2 3 2 2" xfId="34535"/>
    <cellStyle name="Normal 7 6 2 3 3" xfId="20804"/>
    <cellStyle name="Normal 7 6 2 3 3 2" xfId="40687"/>
    <cellStyle name="Normal 7 6 2 3 4" xfId="28382"/>
    <cellStyle name="Normal 7 6 2 4" xfId="11586"/>
    <cellStyle name="Normal 7 6 2 4 2" xfId="31469"/>
    <cellStyle name="Normal 7 6 2 5" xfId="17738"/>
    <cellStyle name="Normal 7 6 2 5 2" xfId="37621"/>
    <cellStyle name="Normal 7 6 2 6" xfId="25316"/>
    <cellStyle name="Normal 7 6 3" xfId="6124"/>
    <cellStyle name="Normal 7 6 3 2" xfId="9224"/>
    <cellStyle name="Normal 7 6 3 2 2" xfId="15417"/>
    <cellStyle name="Normal 7 6 3 2 2 2" xfId="35300"/>
    <cellStyle name="Normal 7 6 3 2 3" xfId="21569"/>
    <cellStyle name="Normal 7 6 3 2 3 2" xfId="41452"/>
    <cellStyle name="Normal 7 6 3 2 4" xfId="29147"/>
    <cellStyle name="Normal 7 6 3 3" xfId="12351"/>
    <cellStyle name="Normal 7 6 3 3 2" xfId="32234"/>
    <cellStyle name="Normal 7 6 3 4" xfId="18503"/>
    <cellStyle name="Normal 7 6 3 4 2" xfId="38386"/>
    <cellStyle name="Normal 7 6 3 5" xfId="26081"/>
    <cellStyle name="Normal 7 6 4" xfId="7689"/>
    <cellStyle name="Normal 7 6 4 2" xfId="13883"/>
    <cellStyle name="Normal 7 6 4 2 2" xfId="33766"/>
    <cellStyle name="Normal 7 6 4 3" xfId="20035"/>
    <cellStyle name="Normal 7 6 4 3 2" xfId="39918"/>
    <cellStyle name="Normal 7 6 4 4" xfId="27613"/>
    <cellStyle name="Normal 7 6 5" xfId="10817"/>
    <cellStyle name="Normal 7 6 5 2" xfId="30700"/>
    <cellStyle name="Normal 7 6 6" xfId="16969"/>
    <cellStyle name="Normal 7 6 6 2" xfId="36852"/>
    <cellStyle name="Normal 7 6 7" xfId="24547"/>
    <cellStyle name="Normal 7 7" xfId="4103"/>
    <cellStyle name="Normal 7 7 2" xfId="5283"/>
    <cellStyle name="Normal 7 7 2 2" xfId="6908"/>
    <cellStyle name="Normal 7 7 2 2 2" xfId="9994"/>
    <cellStyle name="Normal 7 7 2 2 2 2" xfId="16187"/>
    <cellStyle name="Normal 7 7 2 2 2 2 2" xfId="36070"/>
    <cellStyle name="Normal 7 7 2 2 2 3" xfId="22339"/>
    <cellStyle name="Normal 7 7 2 2 2 3 2" xfId="42222"/>
    <cellStyle name="Normal 7 7 2 2 2 4" xfId="29917"/>
    <cellStyle name="Normal 7 7 2 2 3" xfId="13121"/>
    <cellStyle name="Normal 7 7 2 2 3 2" xfId="33004"/>
    <cellStyle name="Normal 7 7 2 2 4" xfId="19273"/>
    <cellStyle name="Normal 7 7 2 2 4 2" xfId="39156"/>
    <cellStyle name="Normal 7 7 2 2 5" xfId="26851"/>
    <cellStyle name="Normal 7 7 2 3" xfId="8459"/>
    <cellStyle name="Normal 7 7 2 3 2" xfId="14653"/>
    <cellStyle name="Normal 7 7 2 3 2 2" xfId="34536"/>
    <cellStyle name="Normal 7 7 2 3 3" xfId="20805"/>
    <cellStyle name="Normal 7 7 2 3 3 2" xfId="40688"/>
    <cellStyle name="Normal 7 7 2 3 4" xfId="28383"/>
    <cellStyle name="Normal 7 7 2 4" xfId="11587"/>
    <cellStyle name="Normal 7 7 2 4 2" xfId="31470"/>
    <cellStyle name="Normal 7 7 2 5" xfId="17739"/>
    <cellStyle name="Normal 7 7 2 5 2" xfId="37622"/>
    <cellStyle name="Normal 7 7 2 6" xfId="25317"/>
    <cellStyle name="Normal 7 7 3" xfId="6125"/>
    <cellStyle name="Normal 7 7 3 2" xfId="9225"/>
    <cellStyle name="Normal 7 7 3 2 2" xfId="15418"/>
    <cellStyle name="Normal 7 7 3 2 2 2" xfId="35301"/>
    <cellStyle name="Normal 7 7 3 2 3" xfId="21570"/>
    <cellStyle name="Normal 7 7 3 2 3 2" xfId="41453"/>
    <cellStyle name="Normal 7 7 3 2 4" xfId="29148"/>
    <cellStyle name="Normal 7 7 3 3" xfId="12352"/>
    <cellStyle name="Normal 7 7 3 3 2" xfId="32235"/>
    <cellStyle name="Normal 7 7 3 4" xfId="18504"/>
    <cellStyle name="Normal 7 7 3 4 2" xfId="38387"/>
    <cellStyle name="Normal 7 7 3 5" xfId="26082"/>
    <cellStyle name="Normal 7 7 4" xfId="7690"/>
    <cellStyle name="Normal 7 7 4 2" xfId="13884"/>
    <cellStyle name="Normal 7 7 4 2 2" xfId="33767"/>
    <cellStyle name="Normal 7 7 4 3" xfId="20036"/>
    <cellStyle name="Normal 7 7 4 3 2" xfId="39919"/>
    <cellStyle name="Normal 7 7 4 4" xfId="27614"/>
    <cellStyle name="Normal 7 7 5" xfId="10818"/>
    <cellStyle name="Normal 7 7 5 2" xfId="30701"/>
    <cellStyle name="Normal 7 7 6" xfId="16970"/>
    <cellStyle name="Normal 7 7 6 2" xfId="36853"/>
    <cellStyle name="Normal 7 7 7" xfId="24548"/>
    <cellStyle name="Normal 7 8" xfId="4104"/>
    <cellStyle name="Normal 7 8 2" xfId="5284"/>
    <cellStyle name="Normal 7 8 2 2" xfId="6909"/>
    <cellStyle name="Normal 7 8 2 2 2" xfId="9995"/>
    <cellStyle name="Normal 7 8 2 2 2 2" xfId="16188"/>
    <cellStyle name="Normal 7 8 2 2 2 2 2" xfId="36071"/>
    <cellStyle name="Normal 7 8 2 2 2 3" xfId="22340"/>
    <cellStyle name="Normal 7 8 2 2 2 3 2" xfId="42223"/>
    <cellStyle name="Normal 7 8 2 2 2 4" xfId="29918"/>
    <cellStyle name="Normal 7 8 2 2 3" xfId="13122"/>
    <cellStyle name="Normal 7 8 2 2 3 2" xfId="33005"/>
    <cellStyle name="Normal 7 8 2 2 4" xfId="19274"/>
    <cellStyle name="Normal 7 8 2 2 4 2" xfId="39157"/>
    <cellStyle name="Normal 7 8 2 2 5" xfId="26852"/>
    <cellStyle name="Normal 7 8 2 3" xfId="8460"/>
    <cellStyle name="Normal 7 8 2 3 2" xfId="14654"/>
    <cellStyle name="Normal 7 8 2 3 2 2" xfId="34537"/>
    <cellStyle name="Normal 7 8 2 3 3" xfId="20806"/>
    <cellStyle name="Normal 7 8 2 3 3 2" xfId="40689"/>
    <cellStyle name="Normal 7 8 2 3 4" xfId="28384"/>
    <cellStyle name="Normal 7 8 2 4" xfId="11588"/>
    <cellStyle name="Normal 7 8 2 4 2" xfId="31471"/>
    <cellStyle name="Normal 7 8 2 5" xfId="17740"/>
    <cellStyle name="Normal 7 8 2 5 2" xfId="37623"/>
    <cellStyle name="Normal 7 8 2 6" xfId="25318"/>
    <cellStyle name="Normal 7 8 3" xfId="6126"/>
    <cellStyle name="Normal 7 8 3 2" xfId="9226"/>
    <cellStyle name="Normal 7 8 3 2 2" xfId="15419"/>
    <cellStyle name="Normal 7 8 3 2 2 2" xfId="35302"/>
    <cellStyle name="Normal 7 8 3 2 3" xfId="21571"/>
    <cellStyle name="Normal 7 8 3 2 3 2" xfId="41454"/>
    <cellStyle name="Normal 7 8 3 2 4" xfId="29149"/>
    <cellStyle name="Normal 7 8 3 3" xfId="12353"/>
    <cellStyle name="Normal 7 8 3 3 2" xfId="32236"/>
    <cellStyle name="Normal 7 8 3 4" xfId="18505"/>
    <cellStyle name="Normal 7 8 3 4 2" xfId="38388"/>
    <cellStyle name="Normal 7 8 3 5" xfId="26083"/>
    <cellStyle name="Normal 7 8 4" xfId="7691"/>
    <cellStyle name="Normal 7 8 4 2" xfId="13885"/>
    <cellStyle name="Normal 7 8 4 2 2" xfId="33768"/>
    <cellStyle name="Normal 7 8 4 3" xfId="20037"/>
    <cellStyle name="Normal 7 8 4 3 2" xfId="39920"/>
    <cellStyle name="Normal 7 8 4 4" xfId="27615"/>
    <cellStyle name="Normal 7 8 5" xfId="10819"/>
    <cellStyle name="Normal 7 8 5 2" xfId="30702"/>
    <cellStyle name="Normal 7 8 6" xfId="16971"/>
    <cellStyle name="Normal 7 8 6 2" xfId="36854"/>
    <cellStyle name="Normal 7 8 7" xfId="24549"/>
    <cellStyle name="Normal 7 9" xfId="4105"/>
    <cellStyle name="Normal 7 9 2" xfId="5285"/>
    <cellStyle name="Normal 7 9 2 2" xfId="6910"/>
    <cellStyle name="Normal 7 9 2 2 2" xfId="9996"/>
    <cellStyle name="Normal 7 9 2 2 2 2" xfId="16189"/>
    <cellStyle name="Normal 7 9 2 2 2 2 2" xfId="36072"/>
    <cellStyle name="Normal 7 9 2 2 2 3" xfId="22341"/>
    <cellStyle name="Normal 7 9 2 2 2 3 2" xfId="42224"/>
    <cellStyle name="Normal 7 9 2 2 2 4" xfId="29919"/>
    <cellStyle name="Normal 7 9 2 2 3" xfId="13123"/>
    <cellStyle name="Normal 7 9 2 2 3 2" xfId="33006"/>
    <cellStyle name="Normal 7 9 2 2 4" xfId="19275"/>
    <cellStyle name="Normal 7 9 2 2 4 2" xfId="39158"/>
    <cellStyle name="Normal 7 9 2 2 5" xfId="26853"/>
    <cellStyle name="Normal 7 9 2 3" xfId="8461"/>
    <cellStyle name="Normal 7 9 2 3 2" xfId="14655"/>
    <cellStyle name="Normal 7 9 2 3 2 2" xfId="34538"/>
    <cellStyle name="Normal 7 9 2 3 3" xfId="20807"/>
    <cellStyle name="Normal 7 9 2 3 3 2" xfId="40690"/>
    <cellStyle name="Normal 7 9 2 3 4" xfId="28385"/>
    <cellStyle name="Normal 7 9 2 4" xfId="11589"/>
    <cellStyle name="Normal 7 9 2 4 2" xfId="31472"/>
    <cellStyle name="Normal 7 9 2 5" xfId="17741"/>
    <cellStyle name="Normal 7 9 2 5 2" xfId="37624"/>
    <cellStyle name="Normal 7 9 2 6" xfId="25319"/>
    <cellStyle name="Normal 7 9 3" xfId="6127"/>
    <cellStyle name="Normal 7 9 3 2" xfId="9227"/>
    <cellStyle name="Normal 7 9 3 2 2" xfId="15420"/>
    <cellStyle name="Normal 7 9 3 2 2 2" xfId="35303"/>
    <cellStyle name="Normal 7 9 3 2 3" xfId="21572"/>
    <cellStyle name="Normal 7 9 3 2 3 2" xfId="41455"/>
    <cellStyle name="Normal 7 9 3 2 4" xfId="29150"/>
    <cellStyle name="Normal 7 9 3 3" xfId="12354"/>
    <cellStyle name="Normal 7 9 3 3 2" xfId="32237"/>
    <cellStyle name="Normal 7 9 3 4" xfId="18506"/>
    <cellStyle name="Normal 7 9 3 4 2" xfId="38389"/>
    <cellStyle name="Normal 7 9 3 5" xfId="26084"/>
    <cellStyle name="Normal 7 9 4" xfId="7692"/>
    <cellStyle name="Normal 7 9 4 2" xfId="13886"/>
    <cellStyle name="Normal 7 9 4 2 2" xfId="33769"/>
    <cellStyle name="Normal 7 9 4 3" xfId="20038"/>
    <cellStyle name="Normal 7 9 4 3 2" xfId="39921"/>
    <cellStyle name="Normal 7 9 4 4" xfId="27616"/>
    <cellStyle name="Normal 7 9 5" xfId="10820"/>
    <cellStyle name="Normal 7 9 5 2" xfId="30703"/>
    <cellStyle name="Normal 7 9 6" xfId="16972"/>
    <cellStyle name="Normal 7 9 6 2" xfId="36855"/>
    <cellStyle name="Normal 7 9 7" xfId="24550"/>
    <cellStyle name="Normal 71" xfId="23292"/>
    <cellStyle name="Normal 8" xfId="36"/>
    <cellStyle name="Normal 8 10" xfId="4107"/>
    <cellStyle name="Normal 8 10 2" xfId="5287"/>
    <cellStyle name="Normal 8 10 2 2" xfId="6912"/>
    <cellStyle name="Normal 8 10 2 2 2" xfId="9998"/>
    <cellStyle name="Normal 8 10 2 2 2 2" xfId="16191"/>
    <cellStyle name="Normal 8 10 2 2 2 2 2" xfId="36074"/>
    <cellStyle name="Normal 8 10 2 2 2 3" xfId="22343"/>
    <cellStyle name="Normal 8 10 2 2 2 3 2" xfId="42226"/>
    <cellStyle name="Normal 8 10 2 2 2 4" xfId="29921"/>
    <cellStyle name="Normal 8 10 2 2 3" xfId="13125"/>
    <cellStyle name="Normal 8 10 2 2 3 2" xfId="33008"/>
    <cellStyle name="Normal 8 10 2 2 4" xfId="19277"/>
    <cellStyle name="Normal 8 10 2 2 4 2" xfId="39160"/>
    <cellStyle name="Normal 8 10 2 2 5" xfId="26855"/>
    <cellStyle name="Normal 8 10 2 3" xfId="8463"/>
    <cellStyle name="Normal 8 10 2 3 2" xfId="14657"/>
    <cellStyle name="Normal 8 10 2 3 2 2" xfId="34540"/>
    <cellStyle name="Normal 8 10 2 3 3" xfId="20809"/>
    <cellStyle name="Normal 8 10 2 3 3 2" xfId="40692"/>
    <cellStyle name="Normal 8 10 2 3 4" xfId="28387"/>
    <cellStyle name="Normal 8 10 2 4" xfId="11591"/>
    <cellStyle name="Normal 8 10 2 4 2" xfId="31474"/>
    <cellStyle name="Normal 8 10 2 5" xfId="17743"/>
    <cellStyle name="Normal 8 10 2 5 2" xfId="37626"/>
    <cellStyle name="Normal 8 10 2 6" xfId="25321"/>
    <cellStyle name="Normal 8 10 3" xfId="6129"/>
    <cellStyle name="Normal 8 10 3 2" xfId="9229"/>
    <cellStyle name="Normal 8 10 3 2 2" xfId="15422"/>
    <cellStyle name="Normal 8 10 3 2 2 2" xfId="35305"/>
    <cellStyle name="Normal 8 10 3 2 3" xfId="21574"/>
    <cellStyle name="Normal 8 10 3 2 3 2" xfId="41457"/>
    <cellStyle name="Normal 8 10 3 2 4" xfId="29152"/>
    <cellStyle name="Normal 8 10 3 3" xfId="12356"/>
    <cellStyle name="Normal 8 10 3 3 2" xfId="32239"/>
    <cellStyle name="Normal 8 10 3 4" xfId="18508"/>
    <cellStyle name="Normal 8 10 3 4 2" xfId="38391"/>
    <cellStyle name="Normal 8 10 3 5" xfId="26086"/>
    <cellStyle name="Normal 8 10 4" xfId="7694"/>
    <cellStyle name="Normal 8 10 4 2" xfId="13888"/>
    <cellStyle name="Normal 8 10 4 2 2" xfId="33771"/>
    <cellStyle name="Normal 8 10 4 3" xfId="20040"/>
    <cellStyle name="Normal 8 10 4 3 2" xfId="39923"/>
    <cellStyle name="Normal 8 10 4 4" xfId="27618"/>
    <cellStyle name="Normal 8 10 5" xfId="10822"/>
    <cellStyle name="Normal 8 10 5 2" xfId="30705"/>
    <cellStyle name="Normal 8 10 6" xfId="16974"/>
    <cellStyle name="Normal 8 10 6 2" xfId="36857"/>
    <cellStyle name="Normal 8 10 7" xfId="24552"/>
    <cellStyle name="Normal 8 11" xfId="4108"/>
    <cellStyle name="Normal 8 11 2" xfId="5288"/>
    <cellStyle name="Normal 8 11 2 2" xfId="6913"/>
    <cellStyle name="Normal 8 11 2 2 2" xfId="9999"/>
    <cellStyle name="Normal 8 11 2 2 2 2" xfId="16192"/>
    <cellStyle name="Normal 8 11 2 2 2 2 2" xfId="36075"/>
    <cellStyle name="Normal 8 11 2 2 2 3" xfId="22344"/>
    <cellStyle name="Normal 8 11 2 2 2 3 2" xfId="42227"/>
    <cellStyle name="Normal 8 11 2 2 2 4" xfId="29922"/>
    <cellStyle name="Normal 8 11 2 2 3" xfId="13126"/>
    <cellStyle name="Normal 8 11 2 2 3 2" xfId="33009"/>
    <cellStyle name="Normal 8 11 2 2 4" xfId="19278"/>
    <cellStyle name="Normal 8 11 2 2 4 2" xfId="39161"/>
    <cellStyle name="Normal 8 11 2 2 5" xfId="26856"/>
    <cellStyle name="Normal 8 11 2 3" xfId="8464"/>
    <cellStyle name="Normal 8 11 2 3 2" xfId="14658"/>
    <cellStyle name="Normal 8 11 2 3 2 2" xfId="34541"/>
    <cellStyle name="Normal 8 11 2 3 3" xfId="20810"/>
    <cellStyle name="Normal 8 11 2 3 3 2" xfId="40693"/>
    <cellStyle name="Normal 8 11 2 3 4" xfId="28388"/>
    <cellStyle name="Normal 8 11 2 4" xfId="11592"/>
    <cellStyle name="Normal 8 11 2 4 2" xfId="31475"/>
    <cellStyle name="Normal 8 11 2 5" xfId="17744"/>
    <cellStyle name="Normal 8 11 2 5 2" xfId="37627"/>
    <cellStyle name="Normal 8 11 2 6" xfId="25322"/>
    <cellStyle name="Normal 8 11 3" xfId="6130"/>
    <cellStyle name="Normal 8 11 3 2" xfId="9230"/>
    <cellStyle name="Normal 8 11 3 2 2" xfId="15423"/>
    <cellStyle name="Normal 8 11 3 2 2 2" xfId="35306"/>
    <cellStyle name="Normal 8 11 3 2 3" xfId="21575"/>
    <cellStyle name="Normal 8 11 3 2 3 2" xfId="41458"/>
    <cellStyle name="Normal 8 11 3 2 4" xfId="29153"/>
    <cellStyle name="Normal 8 11 3 3" xfId="12357"/>
    <cellStyle name="Normal 8 11 3 3 2" xfId="32240"/>
    <cellStyle name="Normal 8 11 3 4" xfId="18509"/>
    <cellStyle name="Normal 8 11 3 4 2" xfId="38392"/>
    <cellStyle name="Normal 8 11 3 5" xfId="26087"/>
    <cellStyle name="Normal 8 11 4" xfId="7695"/>
    <cellStyle name="Normal 8 11 4 2" xfId="13889"/>
    <cellStyle name="Normal 8 11 4 2 2" xfId="33772"/>
    <cellStyle name="Normal 8 11 4 3" xfId="20041"/>
    <cellStyle name="Normal 8 11 4 3 2" xfId="39924"/>
    <cellStyle name="Normal 8 11 4 4" xfId="27619"/>
    <cellStyle name="Normal 8 11 5" xfId="10823"/>
    <cellStyle name="Normal 8 11 5 2" xfId="30706"/>
    <cellStyle name="Normal 8 11 6" xfId="16975"/>
    <cellStyle name="Normal 8 11 6 2" xfId="36858"/>
    <cellStyle name="Normal 8 11 7" xfId="24553"/>
    <cellStyle name="Normal 8 12" xfId="4109"/>
    <cellStyle name="Normal 8 12 2" xfId="5289"/>
    <cellStyle name="Normal 8 12 2 2" xfId="6914"/>
    <cellStyle name="Normal 8 12 2 2 2" xfId="10000"/>
    <cellStyle name="Normal 8 12 2 2 2 2" xfId="16193"/>
    <cellStyle name="Normal 8 12 2 2 2 2 2" xfId="36076"/>
    <cellStyle name="Normal 8 12 2 2 2 3" xfId="22345"/>
    <cellStyle name="Normal 8 12 2 2 2 3 2" xfId="42228"/>
    <cellStyle name="Normal 8 12 2 2 2 4" xfId="29923"/>
    <cellStyle name="Normal 8 12 2 2 3" xfId="13127"/>
    <cellStyle name="Normal 8 12 2 2 3 2" xfId="33010"/>
    <cellStyle name="Normal 8 12 2 2 4" xfId="19279"/>
    <cellStyle name="Normal 8 12 2 2 4 2" xfId="39162"/>
    <cellStyle name="Normal 8 12 2 2 5" xfId="26857"/>
    <cellStyle name="Normal 8 12 2 3" xfId="8465"/>
    <cellStyle name="Normal 8 12 2 3 2" xfId="14659"/>
    <cellStyle name="Normal 8 12 2 3 2 2" xfId="34542"/>
    <cellStyle name="Normal 8 12 2 3 3" xfId="20811"/>
    <cellStyle name="Normal 8 12 2 3 3 2" xfId="40694"/>
    <cellStyle name="Normal 8 12 2 3 4" xfId="28389"/>
    <cellStyle name="Normal 8 12 2 4" xfId="11593"/>
    <cellStyle name="Normal 8 12 2 4 2" xfId="31476"/>
    <cellStyle name="Normal 8 12 2 5" xfId="17745"/>
    <cellStyle name="Normal 8 12 2 5 2" xfId="37628"/>
    <cellStyle name="Normal 8 12 2 6" xfId="25323"/>
    <cellStyle name="Normal 8 12 3" xfId="6131"/>
    <cellStyle name="Normal 8 12 3 2" xfId="9231"/>
    <cellStyle name="Normal 8 12 3 2 2" xfId="15424"/>
    <cellStyle name="Normal 8 12 3 2 2 2" xfId="35307"/>
    <cellStyle name="Normal 8 12 3 2 3" xfId="21576"/>
    <cellStyle name="Normal 8 12 3 2 3 2" xfId="41459"/>
    <cellStyle name="Normal 8 12 3 2 4" xfId="29154"/>
    <cellStyle name="Normal 8 12 3 3" xfId="12358"/>
    <cellStyle name="Normal 8 12 3 3 2" xfId="32241"/>
    <cellStyle name="Normal 8 12 3 4" xfId="18510"/>
    <cellStyle name="Normal 8 12 3 4 2" xfId="38393"/>
    <cellStyle name="Normal 8 12 3 5" xfId="26088"/>
    <cellStyle name="Normal 8 12 4" xfId="7696"/>
    <cellStyle name="Normal 8 12 4 2" xfId="13890"/>
    <cellStyle name="Normal 8 12 4 2 2" xfId="33773"/>
    <cellStyle name="Normal 8 12 4 3" xfId="20042"/>
    <cellStyle name="Normal 8 12 4 3 2" xfId="39925"/>
    <cellStyle name="Normal 8 12 4 4" xfId="27620"/>
    <cellStyle name="Normal 8 12 5" xfId="10824"/>
    <cellStyle name="Normal 8 12 5 2" xfId="30707"/>
    <cellStyle name="Normal 8 12 6" xfId="16976"/>
    <cellStyle name="Normal 8 12 6 2" xfId="36859"/>
    <cellStyle name="Normal 8 12 7" xfId="24554"/>
    <cellStyle name="Normal 8 13" xfId="4110"/>
    <cellStyle name="Normal 8 13 2" xfId="5290"/>
    <cellStyle name="Normal 8 13 2 2" xfId="6915"/>
    <cellStyle name="Normal 8 13 2 2 2" xfId="10001"/>
    <cellStyle name="Normal 8 13 2 2 2 2" xfId="16194"/>
    <cellStyle name="Normal 8 13 2 2 2 2 2" xfId="36077"/>
    <cellStyle name="Normal 8 13 2 2 2 3" xfId="22346"/>
    <cellStyle name="Normal 8 13 2 2 2 3 2" xfId="42229"/>
    <cellStyle name="Normal 8 13 2 2 2 4" xfId="29924"/>
    <cellStyle name="Normal 8 13 2 2 3" xfId="13128"/>
    <cellStyle name="Normal 8 13 2 2 3 2" xfId="33011"/>
    <cellStyle name="Normal 8 13 2 2 4" xfId="19280"/>
    <cellStyle name="Normal 8 13 2 2 4 2" xfId="39163"/>
    <cellStyle name="Normal 8 13 2 2 5" xfId="26858"/>
    <cellStyle name="Normal 8 13 2 3" xfId="8466"/>
    <cellStyle name="Normal 8 13 2 3 2" xfId="14660"/>
    <cellStyle name="Normal 8 13 2 3 2 2" xfId="34543"/>
    <cellStyle name="Normal 8 13 2 3 3" xfId="20812"/>
    <cellStyle name="Normal 8 13 2 3 3 2" xfId="40695"/>
    <cellStyle name="Normal 8 13 2 3 4" xfId="28390"/>
    <cellStyle name="Normal 8 13 2 4" xfId="11594"/>
    <cellStyle name="Normal 8 13 2 4 2" xfId="31477"/>
    <cellStyle name="Normal 8 13 2 5" xfId="17746"/>
    <cellStyle name="Normal 8 13 2 5 2" xfId="37629"/>
    <cellStyle name="Normal 8 13 2 6" xfId="25324"/>
    <cellStyle name="Normal 8 13 3" xfId="6132"/>
    <cellStyle name="Normal 8 13 3 2" xfId="9232"/>
    <cellStyle name="Normal 8 13 3 2 2" xfId="15425"/>
    <cellStyle name="Normal 8 13 3 2 2 2" xfId="35308"/>
    <cellStyle name="Normal 8 13 3 2 3" xfId="21577"/>
    <cellStyle name="Normal 8 13 3 2 3 2" xfId="41460"/>
    <cellStyle name="Normal 8 13 3 2 4" xfId="29155"/>
    <cellStyle name="Normal 8 13 3 3" xfId="12359"/>
    <cellStyle name="Normal 8 13 3 3 2" xfId="32242"/>
    <cellStyle name="Normal 8 13 3 4" xfId="18511"/>
    <cellStyle name="Normal 8 13 3 4 2" xfId="38394"/>
    <cellStyle name="Normal 8 13 3 5" xfId="26089"/>
    <cellStyle name="Normal 8 13 4" xfId="7697"/>
    <cellStyle name="Normal 8 13 4 2" xfId="13891"/>
    <cellStyle name="Normal 8 13 4 2 2" xfId="33774"/>
    <cellStyle name="Normal 8 13 4 3" xfId="20043"/>
    <cellStyle name="Normal 8 13 4 3 2" xfId="39926"/>
    <cellStyle name="Normal 8 13 4 4" xfId="27621"/>
    <cellStyle name="Normal 8 13 5" xfId="10825"/>
    <cellStyle name="Normal 8 13 5 2" xfId="30708"/>
    <cellStyle name="Normal 8 13 6" xfId="16977"/>
    <cellStyle name="Normal 8 13 6 2" xfId="36860"/>
    <cellStyle name="Normal 8 13 7" xfId="24555"/>
    <cellStyle name="Normal 8 14" xfId="4111"/>
    <cellStyle name="Normal 8 14 2" xfId="5291"/>
    <cellStyle name="Normal 8 14 2 2" xfId="6916"/>
    <cellStyle name="Normal 8 14 2 2 2" xfId="10002"/>
    <cellStyle name="Normal 8 14 2 2 2 2" xfId="16195"/>
    <cellStyle name="Normal 8 14 2 2 2 2 2" xfId="36078"/>
    <cellStyle name="Normal 8 14 2 2 2 3" xfId="22347"/>
    <cellStyle name="Normal 8 14 2 2 2 3 2" xfId="42230"/>
    <cellStyle name="Normal 8 14 2 2 2 4" xfId="29925"/>
    <cellStyle name="Normal 8 14 2 2 3" xfId="13129"/>
    <cellStyle name="Normal 8 14 2 2 3 2" xfId="33012"/>
    <cellStyle name="Normal 8 14 2 2 4" xfId="19281"/>
    <cellStyle name="Normal 8 14 2 2 4 2" xfId="39164"/>
    <cellStyle name="Normal 8 14 2 2 5" xfId="26859"/>
    <cellStyle name="Normal 8 14 2 3" xfId="8467"/>
    <cellStyle name="Normal 8 14 2 3 2" xfId="14661"/>
    <cellStyle name="Normal 8 14 2 3 2 2" xfId="34544"/>
    <cellStyle name="Normal 8 14 2 3 3" xfId="20813"/>
    <cellStyle name="Normal 8 14 2 3 3 2" xfId="40696"/>
    <cellStyle name="Normal 8 14 2 3 4" xfId="28391"/>
    <cellStyle name="Normal 8 14 2 4" xfId="11595"/>
    <cellStyle name="Normal 8 14 2 4 2" xfId="31478"/>
    <cellStyle name="Normal 8 14 2 5" xfId="17747"/>
    <cellStyle name="Normal 8 14 2 5 2" xfId="37630"/>
    <cellStyle name="Normal 8 14 2 6" xfId="25325"/>
    <cellStyle name="Normal 8 14 3" xfId="6133"/>
    <cellStyle name="Normal 8 14 3 2" xfId="9233"/>
    <cellStyle name="Normal 8 14 3 2 2" xfId="15426"/>
    <cellStyle name="Normal 8 14 3 2 2 2" xfId="35309"/>
    <cellStyle name="Normal 8 14 3 2 3" xfId="21578"/>
    <cellStyle name="Normal 8 14 3 2 3 2" xfId="41461"/>
    <cellStyle name="Normal 8 14 3 2 4" xfId="29156"/>
    <cellStyle name="Normal 8 14 3 3" xfId="12360"/>
    <cellStyle name="Normal 8 14 3 3 2" xfId="32243"/>
    <cellStyle name="Normal 8 14 3 4" xfId="18512"/>
    <cellStyle name="Normal 8 14 3 4 2" xfId="38395"/>
    <cellStyle name="Normal 8 14 3 5" xfId="26090"/>
    <cellStyle name="Normal 8 14 4" xfId="7698"/>
    <cellStyle name="Normal 8 14 4 2" xfId="13892"/>
    <cellStyle name="Normal 8 14 4 2 2" xfId="33775"/>
    <cellStyle name="Normal 8 14 4 3" xfId="20044"/>
    <cellStyle name="Normal 8 14 4 3 2" xfId="39927"/>
    <cellStyle name="Normal 8 14 4 4" xfId="27622"/>
    <cellStyle name="Normal 8 14 5" xfId="10826"/>
    <cellStyle name="Normal 8 14 5 2" xfId="30709"/>
    <cellStyle name="Normal 8 14 6" xfId="16978"/>
    <cellStyle name="Normal 8 14 6 2" xfId="36861"/>
    <cellStyle name="Normal 8 14 7" xfId="24556"/>
    <cellStyle name="Normal 8 15" xfId="4112"/>
    <cellStyle name="Normal 8 15 2" xfId="5292"/>
    <cellStyle name="Normal 8 15 2 2" xfId="6917"/>
    <cellStyle name="Normal 8 15 2 2 2" xfId="10003"/>
    <cellStyle name="Normal 8 15 2 2 2 2" xfId="16196"/>
    <cellStyle name="Normal 8 15 2 2 2 2 2" xfId="36079"/>
    <cellStyle name="Normal 8 15 2 2 2 3" xfId="22348"/>
    <cellStyle name="Normal 8 15 2 2 2 3 2" xfId="42231"/>
    <cellStyle name="Normal 8 15 2 2 2 4" xfId="29926"/>
    <cellStyle name="Normal 8 15 2 2 3" xfId="13130"/>
    <cellStyle name="Normal 8 15 2 2 3 2" xfId="33013"/>
    <cellStyle name="Normal 8 15 2 2 4" xfId="19282"/>
    <cellStyle name="Normal 8 15 2 2 4 2" xfId="39165"/>
    <cellStyle name="Normal 8 15 2 2 5" xfId="26860"/>
    <cellStyle name="Normal 8 15 2 3" xfId="8468"/>
    <cellStyle name="Normal 8 15 2 3 2" xfId="14662"/>
    <cellStyle name="Normal 8 15 2 3 2 2" xfId="34545"/>
    <cellStyle name="Normal 8 15 2 3 3" xfId="20814"/>
    <cellStyle name="Normal 8 15 2 3 3 2" xfId="40697"/>
    <cellStyle name="Normal 8 15 2 3 4" xfId="28392"/>
    <cellStyle name="Normal 8 15 2 4" xfId="11596"/>
    <cellStyle name="Normal 8 15 2 4 2" xfId="31479"/>
    <cellStyle name="Normal 8 15 2 5" xfId="17748"/>
    <cellStyle name="Normal 8 15 2 5 2" xfId="37631"/>
    <cellStyle name="Normal 8 15 2 6" xfId="25326"/>
    <cellStyle name="Normal 8 15 3" xfId="6134"/>
    <cellStyle name="Normal 8 15 3 2" xfId="9234"/>
    <cellStyle name="Normal 8 15 3 2 2" xfId="15427"/>
    <cellStyle name="Normal 8 15 3 2 2 2" xfId="35310"/>
    <cellStyle name="Normal 8 15 3 2 3" xfId="21579"/>
    <cellStyle name="Normal 8 15 3 2 3 2" xfId="41462"/>
    <cellStyle name="Normal 8 15 3 2 4" xfId="29157"/>
    <cellStyle name="Normal 8 15 3 3" xfId="12361"/>
    <cellStyle name="Normal 8 15 3 3 2" xfId="32244"/>
    <cellStyle name="Normal 8 15 3 4" xfId="18513"/>
    <cellStyle name="Normal 8 15 3 4 2" xfId="38396"/>
    <cellStyle name="Normal 8 15 3 5" xfId="26091"/>
    <cellStyle name="Normal 8 15 4" xfId="7699"/>
    <cellStyle name="Normal 8 15 4 2" xfId="13893"/>
    <cellStyle name="Normal 8 15 4 2 2" xfId="33776"/>
    <cellStyle name="Normal 8 15 4 3" xfId="20045"/>
    <cellStyle name="Normal 8 15 4 3 2" xfId="39928"/>
    <cellStyle name="Normal 8 15 4 4" xfId="27623"/>
    <cellStyle name="Normal 8 15 5" xfId="10827"/>
    <cellStyle name="Normal 8 15 5 2" xfId="30710"/>
    <cellStyle name="Normal 8 15 6" xfId="16979"/>
    <cellStyle name="Normal 8 15 6 2" xfId="36862"/>
    <cellStyle name="Normal 8 15 7" xfId="24557"/>
    <cellStyle name="Normal 8 16" xfId="4113"/>
    <cellStyle name="Normal 8 16 2" xfId="5293"/>
    <cellStyle name="Normal 8 16 2 2" xfId="6918"/>
    <cellStyle name="Normal 8 16 2 2 2" xfId="10004"/>
    <cellStyle name="Normal 8 16 2 2 2 2" xfId="16197"/>
    <cellStyle name="Normal 8 16 2 2 2 2 2" xfId="36080"/>
    <cellStyle name="Normal 8 16 2 2 2 3" xfId="22349"/>
    <cellStyle name="Normal 8 16 2 2 2 3 2" xfId="42232"/>
    <cellStyle name="Normal 8 16 2 2 2 4" xfId="29927"/>
    <cellStyle name="Normal 8 16 2 2 3" xfId="13131"/>
    <cellStyle name="Normal 8 16 2 2 3 2" xfId="33014"/>
    <cellStyle name="Normal 8 16 2 2 4" xfId="19283"/>
    <cellStyle name="Normal 8 16 2 2 4 2" xfId="39166"/>
    <cellStyle name="Normal 8 16 2 2 5" xfId="26861"/>
    <cellStyle name="Normal 8 16 2 3" xfId="8469"/>
    <cellStyle name="Normal 8 16 2 3 2" xfId="14663"/>
    <cellStyle name="Normal 8 16 2 3 2 2" xfId="34546"/>
    <cellStyle name="Normal 8 16 2 3 3" xfId="20815"/>
    <cellStyle name="Normal 8 16 2 3 3 2" xfId="40698"/>
    <cellStyle name="Normal 8 16 2 3 4" xfId="28393"/>
    <cellStyle name="Normal 8 16 2 4" xfId="11597"/>
    <cellStyle name="Normal 8 16 2 4 2" xfId="31480"/>
    <cellStyle name="Normal 8 16 2 5" xfId="17749"/>
    <cellStyle name="Normal 8 16 2 5 2" xfId="37632"/>
    <cellStyle name="Normal 8 16 2 6" xfId="25327"/>
    <cellStyle name="Normal 8 16 3" xfId="6135"/>
    <cellStyle name="Normal 8 16 3 2" xfId="9235"/>
    <cellStyle name="Normal 8 16 3 2 2" xfId="15428"/>
    <cellStyle name="Normal 8 16 3 2 2 2" xfId="35311"/>
    <cellStyle name="Normal 8 16 3 2 3" xfId="21580"/>
    <cellStyle name="Normal 8 16 3 2 3 2" xfId="41463"/>
    <cellStyle name="Normal 8 16 3 2 4" xfId="29158"/>
    <cellStyle name="Normal 8 16 3 3" xfId="12362"/>
    <cellStyle name="Normal 8 16 3 3 2" xfId="32245"/>
    <cellStyle name="Normal 8 16 3 4" xfId="18514"/>
    <cellStyle name="Normal 8 16 3 4 2" xfId="38397"/>
    <cellStyle name="Normal 8 16 3 5" xfId="26092"/>
    <cellStyle name="Normal 8 16 4" xfId="7700"/>
    <cellStyle name="Normal 8 16 4 2" xfId="13894"/>
    <cellStyle name="Normal 8 16 4 2 2" xfId="33777"/>
    <cellStyle name="Normal 8 16 4 3" xfId="20046"/>
    <cellStyle name="Normal 8 16 4 3 2" xfId="39929"/>
    <cellStyle name="Normal 8 16 4 4" xfId="27624"/>
    <cellStyle name="Normal 8 16 5" xfId="10828"/>
    <cellStyle name="Normal 8 16 5 2" xfId="30711"/>
    <cellStyle name="Normal 8 16 6" xfId="16980"/>
    <cellStyle name="Normal 8 16 6 2" xfId="36863"/>
    <cellStyle name="Normal 8 16 7" xfId="24558"/>
    <cellStyle name="Normal 8 17" xfId="4114"/>
    <cellStyle name="Normal 8 17 2" xfId="5294"/>
    <cellStyle name="Normal 8 17 2 2" xfId="6919"/>
    <cellStyle name="Normal 8 17 2 2 2" xfId="10005"/>
    <cellStyle name="Normal 8 17 2 2 2 2" xfId="16198"/>
    <cellStyle name="Normal 8 17 2 2 2 2 2" xfId="36081"/>
    <cellStyle name="Normal 8 17 2 2 2 3" xfId="22350"/>
    <cellStyle name="Normal 8 17 2 2 2 3 2" xfId="42233"/>
    <cellStyle name="Normal 8 17 2 2 2 4" xfId="29928"/>
    <cellStyle name="Normal 8 17 2 2 3" xfId="13132"/>
    <cellStyle name="Normal 8 17 2 2 3 2" xfId="33015"/>
    <cellStyle name="Normal 8 17 2 2 4" xfId="19284"/>
    <cellStyle name="Normal 8 17 2 2 4 2" xfId="39167"/>
    <cellStyle name="Normal 8 17 2 2 5" xfId="26862"/>
    <cellStyle name="Normal 8 17 2 3" xfId="8470"/>
    <cellStyle name="Normal 8 17 2 3 2" xfId="14664"/>
    <cellStyle name="Normal 8 17 2 3 2 2" xfId="34547"/>
    <cellStyle name="Normal 8 17 2 3 3" xfId="20816"/>
    <cellStyle name="Normal 8 17 2 3 3 2" xfId="40699"/>
    <cellStyle name="Normal 8 17 2 3 4" xfId="28394"/>
    <cellStyle name="Normal 8 17 2 4" xfId="11598"/>
    <cellStyle name="Normal 8 17 2 4 2" xfId="31481"/>
    <cellStyle name="Normal 8 17 2 5" xfId="17750"/>
    <cellStyle name="Normal 8 17 2 5 2" xfId="37633"/>
    <cellStyle name="Normal 8 17 2 6" xfId="25328"/>
    <cellStyle name="Normal 8 17 3" xfId="6136"/>
    <cellStyle name="Normal 8 17 3 2" xfId="9236"/>
    <cellStyle name="Normal 8 17 3 2 2" xfId="15429"/>
    <cellStyle name="Normal 8 17 3 2 2 2" xfId="35312"/>
    <cellStyle name="Normal 8 17 3 2 3" xfId="21581"/>
    <cellStyle name="Normal 8 17 3 2 3 2" xfId="41464"/>
    <cellStyle name="Normal 8 17 3 2 4" xfId="29159"/>
    <cellStyle name="Normal 8 17 3 3" xfId="12363"/>
    <cellStyle name="Normal 8 17 3 3 2" xfId="32246"/>
    <cellStyle name="Normal 8 17 3 4" xfId="18515"/>
    <cellStyle name="Normal 8 17 3 4 2" xfId="38398"/>
    <cellStyle name="Normal 8 17 3 5" xfId="26093"/>
    <cellStyle name="Normal 8 17 4" xfId="7701"/>
    <cellStyle name="Normal 8 17 4 2" xfId="13895"/>
    <cellStyle name="Normal 8 17 4 2 2" xfId="33778"/>
    <cellStyle name="Normal 8 17 4 3" xfId="20047"/>
    <cellStyle name="Normal 8 17 4 3 2" xfId="39930"/>
    <cellStyle name="Normal 8 17 4 4" xfId="27625"/>
    <cellStyle name="Normal 8 17 5" xfId="10829"/>
    <cellStyle name="Normal 8 17 5 2" xfId="30712"/>
    <cellStyle name="Normal 8 17 6" xfId="16981"/>
    <cellStyle name="Normal 8 17 6 2" xfId="36864"/>
    <cellStyle name="Normal 8 17 7" xfId="24559"/>
    <cellStyle name="Normal 8 18" xfId="4115"/>
    <cellStyle name="Normal 8 18 2" xfId="5295"/>
    <cellStyle name="Normal 8 18 2 2" xfId="6920"/>
    <cellStyle name="Normal 8 18 2 2 2" xfId="10006"/>
    <cellStyle name="Normal 8 18 2 2 2 2" xfId="16199"/>
    <cellStyle name="Normal 8 18 2 2 2 2 2" xfId="36082"/>
    <cellStyle name="Normal 8 18 2 2 2 3" xfId="22351"/>
    <cellStyle name="Normal 8 18 2 2 2 3 2" xfId="42234"/>
    <cellStyle name="Normal 8 18 2 2 2 4" xfId="29929"/>
    <cellStyle name="Normal 8 18 2 2 3" xfId="13133"/>
    <cellStyle name="Normal 8 18 2 2 3 2" xfId="33016"/>
    <cellStyle name="Normal 8 18 2 2 4" xfId="19285"/>
    <cellStyle name="Normal 8 18 2 2 4 2" xfId="39168"/>
    <cellStyle name="Normal 8 18 2 2 5" xfId="26863"/>
    <cellStyle name="Normal 8 18 2 3" xfId="8471"/>
    <cellStyle name="Normal 8 18 2 3 2" xfId="14665"/>
    <cellStyle name="Normal 8 18 2 3 2 2" xfId="34548"/>
    <cellStyle name="Normal 8 18 2 3 3" xfId="20817"/>
    <cellStyle name="Normal 8 18 2 3 3 2" xfId="40700"/>
    <cellStyle name="Normal 8 18 2 3 4" xfId="28395"/>
    <cellStyle name="Normal 8 18 2 4" xfId="11599"/>
    <cellStyle name="Normal 8 18 2 4 2" xfId="31482"/>
    <cellStyle name="Normal 8 18 2 5" xfId="17751"/>
    <cellStyle name="Normal 8 18 2 5 2" xfId="37634"/>
    <cellStyle name="Normal 8 18 2 6" xfId="25329"/>
    <cellStyle name="Normal 8 18 3" xfId="6137"/>
    <cellStyle name="Normal 8 18 3 2" xfId="9237"/>
    <cellStyle name="Normal 8 18 3 2 2" xfId="15430"/>
    <cellStyle name="Normal 8 18 3 2 2 2" xfId="35313"/>
    <cellStyle name="Normal 8 18 3 2 3" xfId="21582"/>
    <cellStyle name="Normal 8 18 3 2 3 2" xfId="41465"/>
    <cellStyle name="Normal 8 18 3 2 4" xfId="29160"/>
    <cellStyle name="Normal 8 18 3 3" xfId="12364"/>
    <cellStyle name="Normal 8 18 3 3 2" xfId="32247"/>
    <cellStyle name="Normal 8 18 3 4" xfId="18516"/>
    <cellStyle name="Normal 8 18 3 4 2" xfId="38399"/>
    <cellStyle name="Normal 8 18 3 5" xfId="26094"/>
    <cellStyle name="Normal 8 18 4" xfId="7702"/>
    <cellStyle name="Normal 8 18 4 2" xfId="13896"/>
    <cellStyle name="Normal 8 18 4 2 2" xfId="33779"/>
    <cellStyle name="Normal 8 18 4 3" xfId="20048"/>
    <cellStyle name="Normal 8 18 4 3 2" xfId="39931"/>
    <cellStyle name="Normal 8 18 4 4" xfId="27626"/>
    <cellStyle name="Normal 8 18 5" xfId="10830"/>
    <cellStyle name="Normal 8 18 5 2" xfId="30713"/>
    <cellStyle name="Normal 8 18 6" xfId="16982"/>
    <cellStyle name="Normal 8 18 6 2" xfId="36865"/>
    <cellStyle name="Normal 8 18 7" xfId="24560"/>
    <cellStyle name="Normal 8 19" xfId="4116"/>
    <cellStyle name="Normal 8 19 2" xfId="5296"/>
    <cellStyle name="Normal 8 19 2 2" xfId="6921"/>
    <cellStyle name="Normal 8 19 2 2 2" xfId="10007"/>
    <cellStyle name="Normal 8 19 2 2 2 2" xfId="16200"/>
    <cellStyle name="Normal 8 19 2 2 2 2 2" xfId="36083"/>
    <cellStyle name="Normal 8 19 2 2 2 3" xfId="22352"/>
    <cellStyle name="Normal 8 19 2 2 2 3 2" xfId="42235"/>
    <cellStyle name="Normal 8 19 2 2 2 4" xfId="29930"/>
    <cellStyle name="Normal 8 19 2 2 3" xfId="13134"/>
    <cellStyle name="Normal 8 19 2 2 3 2" xfId="33017"/>
    <cellStyle name="Normal 8 19 2 2 4" xfId="19286"/>
    <cellStyle name="Normal 8 19 2 2 4 2" xfId="39169"/>
    <cellStyle name="Normal 8 19 2 2 5" xfId="26864"/>
    <cellStyle name="Normal 8 19 2 3" xfId="8472"/>
    <cellStyle name="Normal 8 19 2 3 2" xfId="14666"/>
    <cellStyle name="Normal 8 19 2 3 2 2" xfId="34549"/>
    <cellStyle name="Normal 8 19 2 3 3" xfId="20818"/>
    <cellStyle name="Normal 8 19 2 3 3 2" xfId="40701"/>
    <cellStyle name="Normal 8 19 2 3 4" xfId="28396"/>
    <cellStyle name="Normal 8 19 2 4" xfId="11600"/>
    <cellStyle name="Normal 8 19 2 4 2" xfId="31483"/>
    <cellStyle name="Normal 8 19 2 5" xfId="17752"/>
    <cellStyle name="Normal 8 19 2 5 2" xfId="37635"/>
    <cellStyle name="Normal 8 19 2 6" xfId="25330"/>
    <cellStyle name="Normal 8 19 3" xfId="6138"/>
    <cellStyle name="Normal 8 19 3 2" xfId="9238"/>
    <cellStyle name="Normal 8 19 3 2 2" xfId="15431"/>
    <cellStyle name="Normal 8 19 3 2 2 2" xfId="35314"/>
    <cellStyle name="Normal 8 19 3 2 3" xfId="21583"/>
    <cellStyle name="Normal 8 19 3 2 3 2" xfId="41466"/>
    <cellStyle name="Normal 8 19 3 2 4" xfId="29161"/>
    <cellStyle name="Normal 8 19 3 3" xfId="12365"/>
    <cellStyle name="Normal 8 19 3 3 2" xfId="32248"/>
    <cellStyle name="Normal 8 19 3 4" xfId="18517"/>
    <cellStyle name="Normal 8 19 3 4 2" xfId="38400"/>
    <cellStyle name="Normal 8 19 3 5" xfId="26095"/>
    <cellStyle name="Normal 8 19 4" xfId="7703"/>
    <cellStyle name="Normal 8 19 4 2" xfId="13897"/>
    <cellStyle name="Normal 8 19 4 2 2" xfId="33780"/>
    <cellStyle name="Normal 8 19 4 3" xfId="20049"/>
    <cellStyle name="Normal 8 19 4 3 2" xfId="39932"/>
    <cellStyle name="Normal 8 19 4 4" xfId="27627"/>
    <cellStyle name="Normal 8 19 5" xfId="10831"/>
    <cellStyle name="Normal 8 19 5 2" xfId="30714"/>
    <cellStyle name="Normal 8 19 6" xfId="16983"/>
    <cellStyle name="Normal 8 19 6 2" xfId="36866"/>
    <cellStyle name="Normal 8 19 7" xfId="24561"/>
    <cellStyle name="Normal 8 2" xfId="1294"/>
    <cellStyle name="Normal 8 2 10" xfId="10284"/>
    <cellStyle name="Normal 8 2 10 2" xfId="30167"/>
    <cellStyle name="Normal 8 2 11" xfId="16436"/>
    <cellStyle name="Normal 8 2 11 2" xfId="36319"/>
    <cellStyle name="Normal 8 2 12" xfId="23294"/>
    <cellStyle name="Normal 8 2 13" xfId="24014"/>
    <cellStyle name="Normal 8 2 2" xfId="1313"/>
    <cellStyle name="Normal 8 2 2 2" xfId="4118"/>
    <cellStyle name="Normal 8 2 2 2 2" xfId="5298"/>
    <cellStyle name="Normal 8 2 2 2 2 2" xfId="6923"/>
    <cellStyle name="Normal 8 2 2 2 2 2 2" xfId="10009"/>
    <cellStyle name="Normal 8 2 2 2 2 2 2 2" xfId="16202"/>
    <cellStyle name="Normal 8 2 2 2 2 2 2 2 2" xfId="36085"/>
    <cellStyle name="Normal 8 2 2 2 2 2 2 3" xfId="22354"/>
    <cellStyle name="Normal 8 2 2 2 2 2 2 3 2" xfId="42237"/>
    <cellStyle name="Normal 8 2 2 2 2 2 2 4" xfId="29932"/>
    <cellStyle name="Normal 8 2 2 2 2 2 3" xfId="13136"/>
    <cellStyle name="Normal 8 2 2 2 2 2 3 2" xfId="33019"/>
    <cellStyle name="Normal 8 2 2 2 2 2 4" xfId="19288"/>
    <cellStyle name="Normal 8 2 2 2 2 2 4 2" xfId="39171"/>
    <cellStyle name="Normal 8 2 2 2 2 2 5" xfId="26866"/>
    <cellStyle name="Normal 8 2 2 2 2 3" xfId="8474"/>
    <cellStyle name="Normal 8 2 2 2 2 3 2" xfId="14668"/>
    <cellStyle name="Normal 8 2 2 2 2 3 2 2" xfId="34551"/>
    <cellStyle name="Normal 8 2 2 2 2 3 3" xfId="20820"/>
    <cellStyle name="Normal 8 2 2 2 2 3 3 2" xfId="40703"/>
    <cellStyle name="Normal 8 2 2 2 2 3 4" xfId="28398"/>
    <cellStyle name="Normal 8 2 2 2 2 4" xfId="11602"/>
    <cellStyle name="Normal 8 2 2 2 2 4 2" xfId="31485"/>
    <cellStyle name="Normal 8 2 2 2 2 5" xfId="17754"/>
    <cellStyle name="Normal 8 2 2 2 2 5 2" xfId="37637"/>
    <cellStyle name="Normal 8 2 2 2 2 6" xfId="25332"/>
    <cellStyle name="Normal 8 2 2 2 3" xfId="6140"/>
    <cellStyle name="Normal 8 2 2 2 3 2" xfId="9240"/>
    <cellStyle name="Normal 8 2 2 2 3 2 2" xfId="15433"/>
    <cellStyle name="Normal 8 2 2 2 3 2 2 2" xfId="35316"/>
    <cellStyle name="Normal 8 2 2 2 3 2 3" xfId="21585"/>
    <cellStyle name="Normal 8 2 2 2 3 2 3 2" xfId="41468"/>
    <cellStyle name="Normal 8 2 2 2 3 2 4" xfId="29163"/>
    <cellStyle name="Normal 8 2 2 2 3 3" xfId="12367"/>
    <cellStyle name="Normal 8 2 2 2 3 3 2" xfId="32250"/>
    <cellStyle name="Normal 8 2 2 2 3 4" xfId="18519"/>
    <cellStyle name="Normal 8 2 2 2 3 4 2" xfId="38402"/>
    <cellStyle name="Normal 8 2 2 2 3 5" xfId="26097"/>
    <cellStyle name="Normal 8 2 2 2 4" xfId="7705"/>
    <cellStyle name="Normal 8 2 2 2 4 2" xfId="13899"/>
    <cellStyle name="Normal 8 2 2 2 4 2 2" xfId="33782"/>
    <cellStyle name="Normal 8 2 2 2 4 3" xfId="20051"/>
    <cellStyle name="Normal 8 2 2 2 4 3 2" xfId="39934"/>
    <cellStyle name="Normal 8 2 2 2 4 4" xfId="27629"/>
    <cellStyle name="Normal 8 2 2 2 5" xfId="10833"/>
    <cellStyle name="Normal 8 2 2 2 5 2" xfId="30716"/>
    <cellStyle name="Normal 8 2 2 2 6" xfId="16985"/>
    <cellStyle name="Normal 8 2 2 2 6 2" xfId="36868"/>
    <cellStyle name="Normal 8 2 2 2 7" xfId="24563"/>
    <cellStyle name="Normal 8 2 2 3" xfId="4760"/>
    <cellStyle name="Normal 8 2 2 3 2" xfId="6385"/>
    <cellStyle name="Normal 8 2 2 3 2 2" xfId="9471"/>
    <cellStyle name="Normal 8 2 2 3 2 2 2" xfId="15664"/>
    <cellStyle name="Normal 8 2 2 3 2 2 2 2" xfId="35547"/>
    <cellStyle name="Normal 8 2 2 3 2 2 3" xfId="21816"/>
    <cellStyle name="Normal 8 2 2 3 2 2 3 2" xfId="41699"/>
    <cellStyle name="Normal 8 2 2 3 2 2 4" xfId="29394"/>
    <cellStyle name="Normal 8 2 2 3 2 3" xfId="12598"/>
    <cellStyle name="Normal 8 2 2 3 2 3 2" xfId="32481"/>
    <cellStyle name="Normal 8 2 2 3 2 4" xfId="18750"/>
    <cellStyle name="Normal 8 2 2 3 2 4 2" xfId="38633"/>
    <cellStyle name="Normal 8 2 2 3 2 5" xfId="26328"/>
    <cellStyle name="Normal 8 2 2 3 3" xfId="7936"/>
    <cellStyle name="Normal 8 2 2 3 3 2" xfId="14130"/>
    <cellStyle name="Normal 8 2 2 3 3 2 2" xfId="34013"/>
    <cellStyle name="Normal 8 2 2 3 3 3" xfId="20282"/>
    <cellStyle name="Normal 8 2 2 3 3 3 2" xfId="40165"/>
    <cellStyle name="Normal 8 2 2 3 3 4" xfId="27860"/>
    <cellStyle name="Normal 8 2 2 3 4" xfId="11064"/>
    <cellStyle name="Normal 8 2 2 3 4 2" xfId="30947"/>
    <cellStyle name="Normal 8 2 2 3 5" xfId="17216"/>
    <cellStyle name="Normal 8 2 2 3 5 2" xfId="37099"/>
    <cellStyle name="Normal 8 2 2 3 6" xfId="24794"/>
    <cellStyle name="Normal 8 2 2 4" xfId="5599"/>
    <cellStyle name="Normal 8 2 2 4 2" xfId="8702"/>
    <cellStyle name="Normal 8 2 2 4 2 2" xfId="14895"/>
    <cellStyle name="Normal 8 2 2 4 2 2 2" xfId="34778"/>
    <cellStyle name="Normal 8 2 2 4 2 3" xfId="21047"/>
    <cellStyle name="Normal 8 2 2 4 2 3 2" xfId="40930"/>
    <cellStyle name="Normal 8 2 2 4 2 4" xfId="28625"/>
    <cellStyle name="Normal 8 2 2 4 3" xfId="11829"/>
    <cellStyle name="Normal 8 2 2 4 3 2" xfId="31712"/>
    <cellStyle name="Normal 8 2 2 4 4" xfId="17981"/>
    <cellStyle name="Normal 8 2 2 4 4 2" xfId="37864"/>
    <cellStyle name="Normal 8 2 2 4 5" xfId="25559"/>
    <cellStyle name="Normal 8 2 2 5" xfId="7167"/>
    <cellStyle name="Normal 8 2 2 5 2" xfId="13361"/>
    <cellStyle name="Normal 8 2 2 5 2 2" xfId="33244"/>
    <cellStyle name="Normal 8 2 2 5 3" xfId="19513"/>
    <cellStyle name="Normal 8 2 2 5 3 2" xfId="39396"/>
    <cellStyle name="Normal 8 2 2 5 4" xfId="27091"/>
    <cellStyle name="Normal 8 2 2 6" xfId="10295"/>
    <cellStyle name="Normal 8 2 2 6 2" xfId="30178"/>
    <cellStyle name="Normal 8 2 2 7" xfId="16447"/>
    <cellStyle name="Normal 8 2 2 7 2" xfId="36330"/>
    <cellStyle name="Normal 8 2 2 8" xfId="24025"/>
    <cellStyle name="Normal 8 2 3" xfId="4119"/>
    <cellStyle name="Normal 8 2 3 2" xfId="5299"/>
    <cellStyle name="Normal 8 2 3 2 2" xfId="6924"/>
    <cellStyle name="Normal 8 2 3 2 2 2" xfId="10010"/>
    <cellStyle name="Normal 8 2 3 2 2 2 2" xfId="16203"/>
    <cellStyle name="Normal 8 2 3 2 2 2 2 2" xfId="36086"/>
    <cellStyle name="Normal 8 2 3 2 2 2 3" xfId="22355"/>
    <cellStyle name="Normal 8 2 3 2 2 2 3 2" xfId="42238"/>
    <cellStyle name="Normal 8 2 3 2 2 2 4" xfId="29933"/>
    <cellStyle name="Normal 8 2 3 2 2 3" xfId="13137"/>
    <cellStyle name="Normal 8 2 3 2 2 3 2" xfId="33020"/>
    <cellStyle name="Normal 8 2 3 2 2 4" xfId="19289"/>
    <cellStyle name="Normal 8 2 3 2 2 4 2" xfId="39172"/>
    <cellStyle name="Normal 8 2 3 2 2 5" xfId="26867"/>
    <cellStyle name="Normal 8 2 3 2 3" xfId="8475"/>
    <cellStyle name="Normal 8 2 3 2 3 2" xfId="14669"/>
    <cellStyle name="Normal 8 2 3 2 3 2 2" xfId="34552"/>
    <cellStyle name="Normal 8 2 3 2 3 3" xfId="20821"/>
    <cellStyle name="Normal 8 2 3 2 3 3 2" xfId="40704"/>
    <cellStyle name="Normal 8 2 3 2 3 4" xfId="28399"/>
    <cellStyle name="Normal 8 2 3 2 4" xfId="11603"/>
    <cellStyle name="Normal 8 2 3 2 4 2" xfId="31486"/>
    <cellStyle name="Normal 8 2 3 2 5" xfId="17755"/>
    <cellStyle name="Normal 8 2 3 2 5 2" xfId="37638"/>
    <cellStyle name="Normal 8 2 3 2 6" xfId="25333"/>
    <cellStyle name="Normal 8 2 3 3" xfId="6141"/>
    <cellStyle name="Normal 8 2 3 3 2" xfId="9241"/>
    <cellStyle name="Normal 8 2 3 3 2 2" xfId="15434"/>
    <cellStyle name="Normal 8 2 3 3 2 2 2" xfId="35317"/>
    <cellStyle name="Normal 8 2 3 3 2 3" xfId="21586"/>
    <cellStyle name="Normal 8 2 3 3 2 3 2" xfId="41469"/>
    <cellStyle name="Normal 8 2 3 3 2 4" xfId="29164"/>
    <cellStyle name="Normal 8 2 3 3 3" xfId="12368"/>
    <cellStyle name="Normal 8 2 3 3 3 2" xfId="32251"/>
    <cellStyle name="Normal 8 2 3 3 4" xfId="18520"/>
    <cellStyle name="Normal 8 2 3 3 4 2" xfId="38403"/>
    <cellStyle name="Normal 8 2 3 3 5" xfId="26098"/>
    <cellStyle name="Normal 8 2 3 4" xfId="7706"/>
    <cellStyle name="Normal 8 2 3 4 2" xfId="13900"/>
    <cellStyle name="Normal 8 2 3 4 2 2" xfId="33783"/>
    <cellStyle name="Normal 8 2 3 4 3" xfId="20052"/>
    <cellStyle name="Normal 8 2 3 4 3 2" xfId="39935"/>
    <cellStyle name="Normal 8 2 3 4 4" xfId="27630"/>
    <cellStyle name="Normal 8 2 3 5" xfId="10834"/>
    <cellStyle name="Normal 8 2 3 5 2" xfId="30717"/>
    <cellStyle name="Normal 8 2 3 6" xfId="16986"/>
    <cellStyle name="Normal 8 2 3 6 2" xfId="36869"/>
    <cellStyle name="Normal 8 2 3 7" xfId="24564"/>
    <cellStyle name="Normal 8 2 4" xfId="4120"/>
    <cellStyle name="Normal 8 2 4 2" xfId="5300"/>
    <cellStyle name="Normal 8 2 4 2 2" xfId="6925"/>
    <cellStyle name="Normal 8 2 4 2 2 2" xfId="10011"/>
    <cellStyle name="Normal 8 2 4 2 2 2 2" xfId="16204"/>
    <cellStyle name="Normal 8 2 4 2 2 2 2 2" xfId="36087"/>
    <cellStyle name="Normal 8 2 4 2 2 2 3" xfId="22356"/>
    <cellStyle name="Normal 8 2 4 2 2 2 3 2" xfId="42239"/>
    <cellStyle name="Normal 8 2 4 2 2 2 4" xfId="29934"/>
    <cellStyle name="Normal 8 2 4 2 2 3" xfId="13138"/>
    <cellStyle name="Normal 8 2 4 2 2 3 2" xfId="33021"/>
    <cellStyle name="Normal 8 2 4 2 2 4" xfId="19290"/>
    <cellStyle name="Normal 8 2 4 2 2 4 2" xfId="39173"/>
    <cellStyle name="Normal 8 2 4 2 2 5" xfId="26868"/>
    <cellStyle name="Normal 8 2 4 2 3" xfId="8476"/>
    <cellStyle name="Normal 8 2 4 2 3 2" xfId="14670"/>
    <cellStyle name="Normal 8 2 4 2 3 2 2" xfId="34553"/>
    <cellStyle name="Normal 8 2 4 2 3 3" xfId="20822"/>
    <cellStyle name="Normal 8 2 4 2 3 3 2" xfId="40705"/>
    <cellStyle name="Normal 8 2 4 2 3 4" xfId="28400"/>
    <cellStyle name="Normal 8 2 4 2 4" xfId="11604"/>
    <cellStyle name="Normal 8 2 4 2 4 2" xfId="31487"/>
    <cellStyle name="Normal 8 2 4 2 5" xfId="17756"/>
    <cellStyle name="Normal 8 2 4 2 5 2" xfId="37639"/>
    <cellStyle name="Normal 8 2 4 2 6" xfId="25334"/>
    <cellStyle name="Normal 8 2 4 3" xfId="6142"/>
    <cellStyle name="Normal 8 2 4 3 2" xfId="9242"/>
    <cellStyle name="Normal 8 2 4 3 2 2" xfId="15435"/>
    <cellStyle name="Normal 8 2 4 3 2 2 2" xfId="35318"/>
    <cellStyle name="Normal 8 2 4 3 2 3" xfId="21587"/>
    <cellStyle name="Normal 8 2 4 3 2 3 2" xfId="41470"/>
    <cellStyle name="Normal 8 2 4 3 2 4" xfId="29165"/>
    <cellStyle name="Normal 8 2 4 3 3" xfId="12369"/>
    <cellStyle name="Normal 8 2 4 3 3 2" xfId="32252"/>
    <cellStyle name="Normal 8 2 4 3 4" xfId="18521"/>
    <cellStyle name="Normal 8 2 4 3 4 2" xfId="38404"/>
    <cellStyle name="Normal 8 2 4 3 5" xfId="26099"/>
    <cellStyle name="Normal 8 2 4 4" xfId="7707"/>
    <cellStyle name="Normal 8 2 4 4 2" xfId="13901"/>
    <cellStyle name="Normal 8 2 4 4 2 2" xfId="33784"/>
    <cellStyle name="Normal 8 2 4 4 3" xfId="20053"/>
    <cellStyle name="Normal 8 2 4 4 3 2" xfId="39936"/>
    <cellStyle name="Normal 8 2 4 4 4" xfId="27631"/>
    <cellStyle name="Normal 8 2 4 5" xfId="10835"/>
    <cellStyle name="Normal 8 2 4 5 2" xfId="30718"/>
    <cellStyle name="Normal 8 2 4 6" xfId="16987"/>
    <cellStyle name="Normal 8 2 4 6 2" xfId="36870"/>
    <cellStyle name="Normal 8 2 4 7" xfId="24565"/>
    <cellStyle name="Normal 8 2 5" xfId="4121"/>
    <cellStyle name="Normal 8 2 5 2" xfId="5301"/>
    <cellStyle name="Normal 8 2 5 2 2" xfId="6926"/>
    <cellStyle name="Normal 8 2 5 2 2 2" xfId="10012"/>
    <cellStyle name="Normal 8 2 5 2 2 2 2" xfId="16205"/>
    <cellStyle name="Normal 8 2 5 2 2 2 2 2" xfId="36088"/>
    <cellStyle name="Normal 8 2 5 2 2 2 3" xfId="22357"/>
    <cellStyle name="Normal 8 2 5 2 2 2 3 2" xfId="42240"/>
    <cellStyle name="Normal 8 2 5 2 2 2 4" xfId="29935"/>
    <cellStyle name="Normal 8 2 5 2 2 3" xfId="13139"/>
    <cellStyle name="Normal 8 2 5 2 2 3 2" xfId="33022"/>
    <cellStyle name="Normal 8 2 5 2 2 4" xfId="19291"/>
    <cellStyle name="Normal 8 2 5 2 2 4 2" xfId="39174"/>
    <cellStyle name="Normal 8 2 5 2 2 5" xfId="26869"/>
    <cellStyle name="Normal 8 2 5 2 3" xfId="8477"/>
    <cellStyle name="Normal 8 2 5 2 3 2" xfId="14671"/>
    <cellStyle name="Normal 8 2 5 2 3 2 2" xfId="34554"/>
    <cellStyle name="Normal 8 2 5 2 3 3" xfId="20823"/>
    <cellStyle name="Normal 8 2 5 2 3 3 2" xfId="40706"/>
    <cellStyle name="Normal 8 2 5 2 3 4" xfId="28401"/>
    <cellStyle name="Normal 8 2 5 2 4" xfId="11605"/>
    <cellStyle name="Normal 8 2 5 2 4 2" xfId="31488"/>
    <cellStyle name="Normal 8 2 5 2 5" xfId="17757"/>
    <cellStyle name="Normal 8 2 5 2 5 2" xfId="37640"/>
    <cellStyle name="Normal 8 2 5 2 6" xfId="25335"/>
    <cellStyle name="Normal 8 2 5 3" xfId="6143"/>
    <cellStyle name="Normal 8 2 5 3 2" xfId="9243"/>
    <cellStyle name="Normal 8 2 5 3 2 2" xfId="15436"/>
    <cellStyle name="Normal 8 2 5 3 2 2 2" xfId="35319"/>
    <cellStyle name="Normal 8 2 5 3 2 3" xfId="21588"/>
    <cellStyle name="Normal 8 2 5 3 2 3 2" xfId="41471"/>
    <cellStyle name="Normal 8 2 5 3 2 4" xfId="29166"/>
    <cellStyle name="Normal 8 2 5 3 3" xfId="12370"/>
    <cellStyle name="Normal 8 2 5 3 3 2" xfId="32253"/>
    <cellStyle name="Normal 8 2 5 3 4" xfId="18522"/>
    <cellStyle name="Normal 8 2 5 3 4 2" xfId="38405"/>
    <cellStyle name="Normal 8 2 5 3 5" xfId="26100"/>
    <cellStyle name="Normal 8 2 5 4" xfId="7708"/>
    <cellStyle name="Normal 8 2 5 4 2" xfId="13902"/>
    <cellStyle name="Normal 8 2 5 4 2 2" xfId="33785"/>
    <cellStyle name="Normal 8 2 5 4 3" xfId="20054"/>
    <cellStyle name="Normal 8 2 5 4 3 2" xfId="39937"/>
    <cellStyle name="Normal 8 2 5 4 4" xfId="27632"/>
    <cellStyle name="Normal 8 2 5 5" xfId="10836"/>
    <cellStyle name="Normal 8 2 5 5 2" xfId="30719"/>
    <cellStyle name="Normal 8 2 5 6" xfId="16988"/>
    <cellStyle name="Normal 8 2 5 6 2" xfId="36871"/>
    <cellStyle name="Normal 8 2 5 7" xfId="24566"/>
    <cellStyle name="Normal 8 2 6" xfId="4117"/>
    <cellStyle name="Normal 8 2 6 2" xfId="5297"/>
    <cellStyle name="Normal 8 2 6 2 2" xfId="6922"/>
    <cellStyle name="Normal 8 2 6 2 2 2" xfId="10008"/>
    <cellStyle name="Normal 8 2 6 2 2 2 2" xfId="16201"/>
    <cellStyle name="Normal 8 2 6 2 2 2 2 2" xfId="36084"/>
    <cellStyle name="Normal 8 2 6 2 2 2 3" xfId="22353"/>
    <cellStyle name="Normal 8 2 6 2 2 2 3 2" xfId="42236"/>
    <cellStyle name="Normal 8 2 6 2 2 2 4" xfId="29931"/>
    <cellStyle name="Normal 8 2 6 2 2 3" xfId="13135"/>
    <cellStyle name="Normal 8 2 6 2 2 3 2" xfId="33018"/>
    <cellStyle name="Normal 8 2 6 2 2 4" xfId="19287"/>
    <cellStyle name="Normal 8 2 6 2 2 4 2" xfId="39170"/>
    <cellStyle name="Normal 8 2 6 2 2 5" xfId="26865"/>
    <cellStyle name="Normal 8 2 6 2 3" xfId="8473"/>
    <cellStyle name="Normal 8 2 6 2 3 2" xfId="14667"/>
    <cellStyle name="Normal 8 2 6 2 3 2 2" xfId="34550"/>
    <cellStyle name="Normal 8 2 6 2 3 3" xfId="20819"/>
    <cellStyle name="Normal 8 2 6 2 3 3 2" xfId="40702"/>
    <cellStyle name="Normal 8 2 6 2 3 4" xfId="28397"/>
    <cellStyle name="Normal 8 2 6 2 4" xfId="11601"/>
    <cellStyle name="Normal 8 2 6 2 4 2" xfId="31484"/>
    <cellStyle name="Normal 8 2 6 2 5" xfId="17753"/>
    <cellStyle name="Normal 8 2 6 2 5 2" xfId="37636"/>
    <cellStyle name="Normal 8 2 6 2 6" xfId="25331"/>
    <cellStyle name="Normal 8 2 6 3" xfId="6139"/>
    <cellStyle name="Normal 8 2 6 3 2" xfId="9239"/>
    <cellStyle name="Normal 8 2 6 3 2 2" xfId="15432"/>
    <cellStyle name="Normal 8 2 6 3 2 2 2" xfId="35315"/>
    <cellStyle name="Normal 8 2 6 3 2 3" xfId="21584"/>
    <cellStyle name="Normal 8 2 6 3 2 3 2" xfId="41467"/>
    <cellStyle name="Normal 8 2 6 3 2 4" xfId="29162"/>
    <cellStyle name="Normal 8 2 6 3 3" xfId="12366"/>
    <cellStyle name="Normal 8 2 6 3 3 2" xfId="32249"/>
    <cellStyle name="Normal 8 2 6 3 4" xfId="18518"/>
    <cellStyle name="Normal 8 2 6 3 4 2" xfId="38401"/>
    <cellStyle name="Normal 8 2 6 3 5" xfId="26096"/>
    <cellStyle name="Normal 8 2 6 4" xfId="7704"/>
    <cellStyle name="Normal 8 2 6 4 2" xfId="13898"/>
    <cellStyle name="Normal 8 2 6 4 2 2" xfId="33781"/>
    <cellStyle name="Normal 8 2 6 4 3" xfId="20050"/>
    <cellStyle name="Normal 8 2 6 4 3 2" xfId="39933"/>
    <cellStyle name="Normal 8 2 6 4 4" xfId="27628"/>
    <cellStyle name="Normal 8 2 6 5" xfId="10832"/>
    <cellStyle name="Normal 8 2 6 5 2" xfId="30715"/>
    <cellStyle name="Normal 8 2 6 6" xfId="16984"/>
    <cellStyle name="Normal 8 2 6 6 2" xfId="36867"/>
    <cellStyle name="Normal 8 2 6 7" xfId="24562"/>
    <cellStyle name="Normal 8 2 7" xfId="4749"/>
    <cellStyle name="Normal 8 2 7 2" xfId="6374"/>
    <cellStyle name="Normal 8 2 7 2 2" xfId="9460"/>
    <cellStyle name="Normal 8 2 7 2 2 2" xfId="15653"/>
    <cellStyle name="Normal 8 2 7 2 2 2 2" xfId="35536"/>
    <cellStyle name="Normal 8 2 7 2 2 3" xfId="21805"/>
    <cellStyle name="Normal 8 2 7 2 2 3 2" xfId="41688"/>
    <cellStyle name="Normal 8 2 7 2 2 4" xfId="29383"/>
    <cellStyle name="Normal 8 2 7 2 3" xfId="12587"/>
    <cellStyle name="Normal 8 2 7 2 3 2" xfId="32470"/>
    <cellStyle name="Normal 8 2 7 2 4" xfId="18739"/>
    <cellStyle name="Normal 8 2 7 2 4 2" xfId="38622"/>
    <cellStyle name="Normal 8 2 7 2 5" xfId="26317"/>
    <cellStyle name="Normal 8 2 7 3" xfId="7925"/>
    <cellStyle name="Normal 8 2 7 3 2" xfId="14119"/>
    <cellStyle name="Normal 8 2 7 3 2 2" xfId="34002"/>
    <cellStyle name="Normal 8 2 7 3 3" xfId="20271"/>
    <cellStyle name="Normal 8 2 7 3 3 2" xfId="40154"/>
    <cellStyle name="Normal 8 2 7 3 4" xfId="27849"/>
    <cellStyle name="Normal 8 2 7 4" xfId="11053"/>
    <cellStyle name="Normal 8 2 7 4 2" xfId="30936"/>
    <cellStyle name="Normal 8 2 7 5" xfId="17205"/>
    <cellStyle name="Normal 8 2 7 5 2" xfId="37088"/>
    <cellStyle name="Normal 8 2 7 6" xfId="24783"/>
    <cellStyle name="Normal 8 2 8" xfId="5587"/>
    <cellStyle name="Normal 8 2 8 2" xfId="8691"/>
    <cellStyle name="Normal 8 2 8 2 2" xfId="14884"/>
    <cellStyle name="Normal 8 2 8 2 2 2" xfId="34767"/>
    <cellStyle name="Normal 8 2 8 2 3" xfId="21036"/>
    <cellStyle name="Normal 8 2 8 2 3 2" xfId="40919"/>
    <cellStyle name="Normal 8 2 8 2 4" xfId="28614"/>
    <cellStyle name="Normal 8 2 8 3" xfId="11818"/>
    <cellStyle name="Normal 8 2 8 3 2" xfId="31701"/>
    <cellStyle name="Normal 8 2 8 4" xfId="17970"/>
    <cellStyle name="Normal 8 2 8 4 2" xfId="37853"/>
    <cellStyle name="Normal 8 2 8 5" xfId="25548"/>
    <cellStyle name="Normal 8 2 9" xfId="7156"/>
    <cellStyle name="Normal 8 2 9 2" xfId="13350"/>
    <cellStyle name="Normal 8 2 9 2 2" xfId="33233"/>
    <cellStyle name="Normal 8 2 9 3" xfId="19502"/>
    <cellStyle name="Normal 8 2 9 3 2" xfId="39385"/>
    <cellStyle name="Normal 8 2 9 4" xfId="27080"/>
    <cellStyle name="Normal 8 20" xfId="4122"/>
    <cellStyle name="Normal 8 20 2" xfId="5302"/>
    <cellStyle name="Normal 8 20 2 2" xfId="6927"/>
    <cellStyle name="Normal 8 20 2 2 2" xfId="10013"/>
    <cellStyle name="Normal 8 20 2 2 2 2" xfId="16206"/>
    <cellStyle name="Normal 8 20 2 2 2 2 2" xfId="36089"/>
    <cellStyle name="Normal 8 20 2 2 2 3" xfId="22358"/>
    <cellStyle name="Normal 8 20 2 2 2 3 2" xfId="42241"/>
    <cellStyle name="Normal 8 20 2 2 2 4" xfId="29936"/>
    <cellStyle name="Normal 8 20 2 2 3" xfId="13140"/>
    <cellStyle name="Normal 8 20 2 2 3 2" xfId="33023"/>
    <cellStyle name="Normal 8 20 2 2 4" xfId="19292"/>
    <cellStyle name="Normal 8 20 2 2 4 2" xfId="39175"/>
    <cellStyle name="Normal 8 20 2 2 5" xfId="26870"/>
    <cellStyle name="Normal 8 20 2 3" xfId="8478"/>
    <cellStyle name="Normal 8 20 2 3 2" xfId="14672"/>
    <cellStyle name="Normal 8 20 2 3 2 2" xfId="34555"/>
    <cellStyle name="Normal 8 20 2 3 3" xfId="20824"/>
    <cellStyle name="Normal 8 20 2 3 3 2" xfId="40707"/>
    <cellStyle name="Normal 8 20 2 3 4" xfId="28402"/>
    <cellStyle name="Normal 8 20 2 4" xfId="11606"/>
    <cellStyle name="Normal 8 20 2 4 2" xfId="31489"/>
    <cellStyle name="Normal 8 20 2 5" xfId="17758"/>
    <cellStyle name="Normal 8 20 2 5 2" xfId="37641"/>
    <cellStyle name="Normal 8 20 2 6" xfId="25336"/>
    <cellStyle name="Normal 8 20 3" xfId="6144"/>
    <cellStyle name="Normal 8 20 3 2" xfId="9244"/>
    <cellStyle name="Normal 8 20 3 2 2" xfId="15437"/>
    <cellStyle name="Normal 8 20 3 2 2 2" xfId="35320"/>
    <cellStyle name="Normal 8 20 3 2 3" xfId="21589"/>
    <cellStyle name="Normal 8 20 3 2 3 2" xfId="41472"/>
    <cellStyle name="Normal 8 20 3 2 4" xfId="29167"/>
    <cellStyle name="Normal 8 20 3 3" xfId="12371"/>
    <cellStyle name="Normal 8 20 3 3 2" xfId="32254"/>
    <cellStyle name="Normal 8 20 3 4" xfId="18523"/>
    <cellStyle name="Normal 8 20 3 4 2" xfId="38406"/>
    <cellStyle name="Normal 8 20 3 5" xfId="26101"/>
    <cellStyle name="Normal 8 20 4" xfId="7709"/>
    <cellStyle name="Normal 8 20 4 2" xfId="13903"/>
    <cellStyle name="Normal 8 20 4 2 2" xfId="33786"/>
    <cellStyle name="Normal 8 20 4 3" xfId="20055"/>
    <cellStyle name="Normal 8 20 4 3 2" xfId="39938"/>
    <cellStyle name="Normal 8 20 4 4" xfId="27633"/>
    <cellStyle name="Normal 8 20 5" xfId="10837"/>
    <cellStyle name="Normal 8 20 5 2" xfId="30720"/>
    <cellStyle name="Normal 8 20 6" xfId="16989"/>
    <cellStyle name="Normal 8 20 6 2" xfId="36872"/>
    <cellStyle name="Normal 8 20 7" xfId="24567"/>
    <cellStyle name="Normal 8 21" xfId="4123"/>
    <cellStyle name="Normal 8 22" xfId="4124"/>
    <cellStyle name="Normal 8 22 2" xfId="5303"/>
    <cellStyle name="Normal 8 22 2 2" xfId="6928"/>
    <cellStyle name="Normal 8 22 2 2 2" xfId="10014"/>
    <cellStyle name="Normal 8 22 2 2 2 2" xfId="16207"/>
    <cellStyle name="Normal 8 22 2 2 2 2 2" xfId="36090"/>
    <cellStyle name="Normal 8 22 2 2 2 3" xfId="22359"/>
    <cellStyle name="Normal 8 22 2 2 2 3 2" xfId="42242"/>
    <cellStyle name="Normal 8 22 2 2 2 4" xfId="29937"/>
    <cellStyle name="Normal 8 22 2 2 3" xfId="13141"/>
    <cellStyle name="Normal 8 22 2 2 3 2" xfId="33024"/>
    <cellStyle name="Normal 8 22 2 2 4" xfId="19293"/>
    <cellStyle name="Normal 8 22 2 2 4 2" xfId="39176"/>
    <cellStyle name="Normal 8 22 2 2 5" xfId="26871"/>
    <cellStyle name="Normal 8 22 2 3" xfId="8479"/>
    <cellStyle name="Normal 8 22 2 3 2" xfId="14673"/>
    <cellStyle name="Normal 8 22 2 3 2 2" xfId="34556"/>
    <cellStyle name="Normal 8 22 2 3 3" xfId="20825"/>
    <cellStyle name="Normal 8 22 2 3 3 2" xfId="40708"/>
    <cellStyle name="Normal 8 22 2 3 4" xfId="28403"/>
    <cellStyle name="Normal 8 22 2 4" xfId="11607"/>
    <cellStyle name="Normal 8 22 2 4 2" xfId="31490"/>
    <cellStyle name="Normal 8 22 2 5" xfId="17759"/>
    <cellStyle name="Normal 8 22 2 5 2" xfId="37642"/>
    <cellStyle name="Normal 8 22 2 6" xfId="25337"/>
    <cellStyle name="Normal 8 22 3" xfId="6145"/>
    <cellStyle name="Normal 8 22 3 2" xfId="9245"/>
    <cellStyle name="Normal 8 22 3 2 2" xfId="15438"/>
    <cellStyle name="Normal 8 22 3 2 2 2" xfId="35321"/>
    <cellStyle name="Normal 8 22 3 2 3" xfId="21590"/>
    <cellStyle name="Normal 8 22 3 2 3 2" xfId="41473"/>
    <cellStyle name="Normal 8 22 3 2 4" xfId="29168"/>
    <cellStyle name="Normal 8 22 3 3" xfId="12372"/>
    <cellStyle name="Normal 8 22 3 3 2" xfId="32255"/>
    <cellStyle name="Normal 8 22 3 4" xfId="18524"/>
    <cellStyle name="Normal 8 22 3 4 2" xfId="38407"/>
    <cellStyle name="Normal 8 22 3 5" xfId="26102"/>
    <cellStyle name="Normal 8 22 4" xfId="7710"/>
    <cellStyle name="Normal 8 22 4 2" xfId="13904"/>
    <cellStyle name="Normal 8 22 4 2 2" xfId="33787"/>
    <cellStyle name="Normal 8 22 4 3" xfId="20056"/>
    <cellStyle name="Normal 8 22 4 3 2" xfId="39939"/>
    <cellStyle name="Normal 8 22 4 4" xfId="27634"/>
    <cellStyle name="Normal 8 22 5" xfId="10838"/>
    <cellStyle name="Normal 8 22 5 2" xfId="30721"/>
    <cellStyle name="Normal 8 22 6" xfId="16990"/>
    <cellStyle name="Normal 8 22 6 2" xfId="36873"/>
    <cellStyle name="Normal 8 22 7" xfId="24568"/>
    <cellStyle name="Normal 8 23" xfId="4125"/>
    <cellStyle name="Normal 8 23 2" xfId="4126"/>
    <cellStyle name="Normal 8 24" xfId="4127"/>
    <cellStyle name="Normal 8 24 2" xfId="4128"/>
    <cellStyle name="Normal 8 25" xfId="4106"/>
    <cellStyle name="Normal 8 25 2" xfId="5286"/>
    <cellStyle name="Normal 8 25 2 2" xfId="6911"/>
    <cellStyle name="Normal 8 25 2 2 2" xfId="9997"/>
    <cellStyle name="Normal 8 25 2 2 2 2" xfId="16190"/>
    <cellStyle name="Normal 8 25 2 2 2 2 2" xfId="36073"/>
    <cellStyle name="Normal 8 25 2 2 2 3" xfId="22342"/>
    <cellStyle name="Normal 8 25 2 2 2 3 2" xfId="42225"/>
    <cellStyle name="Normal 8 25 2 2 2 4" xfId="29920"/>
    <cellStyle name="Normal 8 25 2 2 3" xfId="13124"/>
    <cellStyle name="Normal 8 25 2 2 3 2" xfId="33007"/>
    <cellStyle name="Normal 8 25 2 2 4" xfId="19276"/>
    <cellStyle name="Normal 8 25 2 2 4 2" xfId="39159"/>
    <cellStyle name="Normal 8 25 2 2 5" xfId="26854"/>
    <cellStyle name="Normal 8 25 2 3" xfId="8462"/>
    <cellStyle name="Normal 8 25 2 3 2" xfId="14656"/>
    <cellStyle name="Normal 8 25 2 3 2 2" xfId="34539"/>
    <cellStyle name="Normal 8 25 2 3 3" xfId="20808"/>
    <cellStyle name="Normal 8 25 2 3 3 2" xfId="40691"/>
    <cellStyle name="Normal 8 25 2 3 4" xfId="28386"/>
    <cellStyle name="Normal 8 25 2 4" xfId="11590"/>
    <cellStyle name="Normal 8 25 2 4 2" xfId="31473"/>
    <cellStyle name="Normal 8 25 2 5" xfId="17742"/>
    <cellStyle name="Normal 8 25 2 5 2" xfId="37625"/>
    <cellStyle name="Normal 8 25 2 6" xfId="25320"/>
    <cellStyle name="Normal 8 25 3" xfId="6128"/>
    <cellStyle name="Normal 8 25 3 2" xfId="9228"/>
    <cellStyle name="Normal 8 25 3 2 2" xfId="15421"/>
    <cellStyle name="Normal 8 25 3 2 2 2" xfId="35304"/>
    <cellStyle name="Normal 8 25 3 2 3" xfId="21573"/>
    <cellStyle name="Normal 8 25 3 2 3 2" xfId="41456"/>
    <cellStyle name="Normal 8 25 3 2 4" xfId="29151"/>
    <cellStyle name="Normal 8 25 3 3" xfId="12355"/>
    <cellStyle name="Normal 8 25 3 3 2" xfId="32238"/>
    <cellStyle name="Normal 8 25 3 4" xfId="18507"/>
    <cellStyle name="Normal 8 25 3 4 2" xfId="38390"/>
    <cellStyle name="Normal 8 25 3 5" xfId="26085"/>
    <cellStyle name="Normal 8 25 4" xfId="7693"/>
    <cellStyle name="Normal 8 25 4 2" xfId="13887"/>
    <cellStyle name="Normal 8 25 4 2 2" xfId="33770"/>
    <cellStyle name="Normal 8 25 4 3" xfId="20039"/>
    <cellStyle name="Normal 8 25 4 3 2" xfId="39922"/>
    <cellStyle name="Normal 8 25 4 4" xfId="27617"/>
    <cellStyle name="Normal 8 25 5" xfId="10821"/>
    <cellStyle name="Normal 8 25 5 2" xfId="30704"/>
    <cellStyle name="Normal 8 25 6" xfId="16973"/>
    <cellStyle name="Normal 8 25 6 2" xfId="36856"/>
    <cellStyle name="Normal 8 25 7" xfId="24551"/>
    <cellStyle name="Normal 8 26" xfId="4743"/>
    <cellStyle name="Normal 8 26 2" xfId="6368"/>
    <cellStyle name="Normal 8 26 2 2" xfId="9454"/>
    <cellStyle name="Normal 8 26 2 2 2" xfId="15647"/>
    <cellStyle name="Normal 8 26 2 2 2 2" xfId="35530"/>
    <cellStyle name="Normal 8 26 2 2 3" xfId="21799"/>
    <cellStyle name="Normal 8 26 2 2 3 2" xfId="41682"/>
    <cellStyle name="Normal 8 26 2 2 4" xfId="29377"/>
    <cellStyle name="Normal 8 26 2 3" xfId="12581"/>
    <cellStyle name="Normal 8 26 2 3 2" xfId="32464"/>
    <cellStyle name="Normal 8 26 2 4" xfId="18733"/>
    <cellStyle name="Normal 8 26 2 4 2" xfId="38616"/>
    <cellStyle name="Normal 8 26 2 5" xfId="26311"/>
    <cellStyle name="Normal 8 26 3" xfId="7919"/>
    <cellStyle name="Normal 8 26 3 2" xfId="14113"/>
    <cellStyle name="Normal 8 26 3 2 2" xfId="33996"/>
    <cellStyle name="Normal 8 26 3 3" xfId="20265"/>
    <cellStyle name="Normal 8 26 3 3 2" xfId="40148"/>
    <cellStyle name="Normal 8 26 3 4" xfId="27843"/>
    <cellStyle name="Normal 8 26 4" xfId="11047"/>
    <cellStyle name="Normal 8 26 4 2" xfId="30930"/>
    <cellStyle name="Normal 8 26 5" xfId="17199"/>
    <cellStyle name="Normal 8 26 5 2" xfId="37082"/>
    <cellStyle name="Normal 8 26 6" xfId="24777"/>
    <cellStyle name="Normal 8 27" xfId="5581"/>
    <cellStyle name="Normal 8 27 2" xfId="8685"/>
    <cellStyle name="Normal 8 27 2 2" xfId="14878"/>
    <cellStyle name="Normal 8 27 2 2 2" xfId="34761"/>
    <cellStyle name="Normal 8 27 2 3" xfId="21030"/>
    <cellStyle name="Normal 8 27 2 3 2" xfId="40913"/>
    <cellStyle name="Normal 8 27 2 4" xfId="28608"/>
    <cellStyle name="Normal 8 27 3" xfId="11812"/>
    <cellStyle name="Normal 8 27 3 2" xfId="31695"/>
    <cellStyle name="Normal 8 27 4" xfId="17964"/>
    <cellStyle name="Normal 8 27 4 2" xfId="37847"/>
    <cellStyle name="Normal 8 27 5" xfId="25542"/>
    <cellStyle name="Normal 8 28" xfId="7150"/>
    <cellStyle name="Normal 8 28 2" xfId="13344"/>
    <cellStyle name="Normal 8 28 2 2" xfId="33227"/>
    <cellStyle name="Normal 8 28 3" xfId="19496"/>
    <cellStyle name="Normal 8 28 3 2" xfId="39379"/>
    <cellStyle name="Normal 8 28 4" xfId="27074"/>
    <cellStyle name="Normal 8 29" xfId="10278"/>
    <cellStyle name="Normal 8 29 2" xfId="30161"/>
    <cellStyle name="Normal 8 3" xfId="1307"/>
    <cellStyle name="Normal 8 3 10" xfId="10289"/>
    <cellStyle name="Normal 8 3 10 2" xfId="30172"/>
    <cellStyle name="Normal 8 3 11" xfId="16441"/>
    <cellStyle name="Normal 8 3 11 2" xfId="36324"/>
    <cellStyle name="Normal 8 3 12" xfId="23295"/>
    <cellStyle name="Normal 8 3 13" xfId="24019"/>
    <cellStyle name="Normal 8 3 2" xfId="4130"/>
    <cellStyle name="Normal 8 3 2 2" xfId="5305"/>
    <cellStyle name="Normal 8 3 2 2 2" xfId="6930"/>
    <cellStyle name="Normal 8 3 2 2 2 2" xfId="10016"/>
    <cellStyle name="Normal 8 3 2 2 2 2 2" xfId="16209"/>
    <cellStyle name="Normal 8 3 2 2 2 2 2 2" xfId="36092"/>
    <cellStyle name="Normal 8 3 2 2 2 2 3" xfId="22361"/>
    <cellStyle name="Normal 8 3 2 2 2 2 3 2" xfId="42244"/>
    <cellStyle name="Normal 8 3 2 2 2 2 4" xfId="29939"/>
    <cellStyle name="Normal 8 3 2 2 2 3" xfId="13143"/>
    <cellStyle name="Normal 8 3 2 2 2 3 2" xfId="33026"/>
    <cellStyle name="Normal 8 3 2 2 2 4" xfId="19295"/>
    <cellStyle name="Normal 8 3 2 2 2 4 2" xfId="39178"/>
    <cellStyle name="Normal 8 3 2 2 2 5" xfId="26873"/>
    <cellStyle name="Normal 8 3 2 2 3" xfId="8481"/>
    <cellStyle name="Normal 8 3 2 2 3 2" xfId="14675"/>
    <cellStyle name="Normal 8 3 2 2 3 2 2" xfId="34558"/>
    <cellStyle name="Normal 8 3 2 2 3 3" xfId="20827"/>
    <cellStyle name="Normal 8 3 2 2 3 3 2" xfId="40710"/>
    <cellStyle name="Normal 8 3 2 2 3 4" xfId="28405"/>
    <cellStyle name="Normal 8 3 2 2 4" xfId="11609"/>
    <cellStyle name="Normal 8 3 2 2 4 2" xfId="31492"/>
    <cellStyle name="Normal 8 3 2 2 5" xfId="17761"/>
    <cellStyle name="Normal 8 3 2 2 5 2" xfId="37644"/>
    <cellStyle name="Normal 8 3 2 2 6" xfId="25339"/>
    <cellStyle name="Normal 8 3 2 3" xfId="6147"/>
    <cellStyle name="Normal 8 3 2 3 2" xfId="9247"/>
    <cellStyle name="Normal 8 3 2 3 2 2" xfId="15440"/>
    <cellStyle name="Normal 8 3 2 3 2 2 2" xfId="35323"/>
    <cellStyle name="Normal 8 3 2 3 2 3" xfId="21592"/>
    <cellStyle name="Normal 8 3 2 3 2 3 2" xfId="41475"/>
    <cellStyle name="Normal 8 3 2 3 2 4" xfId="29170"/>
    <cellStyle name="Normal 8 3 2 3 3" xfId="12374"/>
    <cellStyle name="Normal 8 3 2 3 3 2" xfId="32257"/>
    <cellStyle name="Normal 8 3 2 3 4" xfId="18526"/>
    <cellStyle name="Normal 8 3 2 3 4 2" xfId="38409"/>
    <cellStyle name="Normal 8 3 2 3 5" xfId="26104"/>
    <cellStyle name="Normal 8 3 2 4" xfId="7712"/>
    <cellStyle name="Normal 8 3 2 4 2" xfId="13906"/>
    <cellStyle name="Normal 8 3 2 4 2 2" xfId="33789"/>
    <cellStyle name="Normal 8 3 2 4 3" xfId="20058"/>
    <cellStyle name="Normal 8 3 2 4 3 2" xfId="39941"/>
    <cellStyle name="Normal 8 3 2 4 4" xfId="27636"/>
    <cellStyle name="Normal 8 3 2 5" xfId="10840"/>
    <cellStyle name="Normal 8 3 2 5 2" xfId="30723"/>
    <cellStyle name="Normal 8 3 2 6" xfId="16992"/>
    <cellStyle name="Normal 8 3 2 6 2" xfId="36875"/>
    <cellStyle name="Normal 8 3 2 7" xfId="24570"/>
    <cellStyle name="Normal 8 3 3" xfId="4131"/>
    <cellStyle name="Normal 8 3 3 2" xfId="5306"/>
    <cellStyle name="Normal 8 3 3 2 2" xfId="6931"/>
    <cellStyle name="Normal 8 3 3 2 2 2" xfId="10017"/>
    <cellStyle name="Normal 8 3 3 2 2 2 2" xfId="16210"/>
    <cellStyle name="Normal 8 3 3 2 2 2 2 2" xfId="36093"/>
    <cellStyle name="Normal 8 3 3 2 2 2 3" xfId="22362"/>
    <cellStyle name="Normal 8 3 3 2 2 2 3 2" xfId="42245"/>
    <cellStyle name="Normal 8 3 3 2 2 2 4" xfId="29940"/>
    <cellStyle name="Normal 8 3 3 2 2 3" xfId="13144"/>
    <cellStyle name="Normal 8 3 3 2 2 3 2" xfId="33027"/>
    <cellStyle name="Normal 8 3 3 2 2 4" xfId="19296"/>
    <cellStyle name="Normal 8 3 3 2 2 4 2" xfId="39179"/>
    <cellStyle name="Normal 8 3 3 2 2 5" xfId="26874"/>
    <cellStyle name="Normal 8 3 3 2 3" xfId="8482"/>
    <cellStyle name="Normal 8 3 3 2 3 2" xfId="14676"/>
    <cellStyle name="Normal 8 3 3 2 3 2 2" xfId="34559"/>
    <cellStyle name="Normal 8 3 3 2 3 3" xfId="20828"/>
    <cellStyle name="Normal 8 3 3 2 3 3 2" xfId="40711"/>
    <cellStyle name="Normal 8 3 3 2 3 4" xfId="28406"/>
    <cellStyle name="Normal 8 3 3 2 4" xfId="11610"/>
    <cellStyle name="Normal 8 3 3 2 4 2" xfId="31493"/>
    <cellStyle name="Normal 8 3 3 2 5" xfId="17762"/>
    <cellStyle name="Normal 8 3 3 2 5 2" xfId="37645"/>
    <cellStyle name="Normal 8 3 3 2 6" xfId="25340"/>
    <cellStyle name="Normal 8 3 3 3" xfId="6148"/>
    <cellStyle name="Normal 8 3 3 3 2" xfId="9248"/>
    <cellStyle name="Normal 8 3 3 3 2 2" xfId="15441"/>
    <cellStyle name="Normal 8 3 3 3 2 2 2" xfId="35324"/>
    <cellStyle name="Normal 8 3 3 3 2 3" xfId="21593"/>
    <cellStyle name="Normal 8 3 3 3 2 3 2" xfId="41476"/>
    <cellStyle name="Normal 8 3 3 3 2 4" xfId="29171"/>
    <cellStyle name="Normal 8 3 3 3 3" xfId="12375"/>
    <cellStyle name="Normal 8 3 3 3 3 2" xfId="32258"/>
    <cellStyle name="Normal 8 3 3 3 4" xfId="18527"/>
    <cellStyle name="Normal 8 3 3 3 4 2" xfId="38410"/>
    <cellStyle name="Normal 8 3 3 3 5" xfId="26105"/>
    <cellStyle name="Normal 8 3 3 4" xfId="7713"/>
    <cellStyle name="Normal 8 3 3 4 2" xfId="13907"/>
    <cellStyle name="Normal 8 3 3 4 2 2" xfId="33790"/>
    <cellStyle name="Normal 8 3 3 4 3" xfId="20059"/>
    <cellStyle name="Normal 8 3 3 4 3 2" xfId="39942"/>
    <cellStyle name="Normal 8 3 3 4 4" xfId="27637"/>
    <cellStyle name="Normal 8 3 3 5" xfId="10841"/>
    <cellStyle name="Normal 8 3 3 5 2" xfId="30724"/>
    <cellStyle name="Normal 8 3 3 6" xfId="16993"/>
    <cellStyle name="Normal 8 3 3 6 2" xfId="36876"/>
    <cellStyle name="Normal 8 3 3 7" xfId="24571"/>
    <cellStyle name="Normal 8 3 4" xfId="4132"/>
    <cellStyle name="Normal 8 3 4 2" xfId="5307"/>
    <cellStyle name="Normal 8 3 4 2 2" xfId="6932"/>
    <cellStyle name="Normal 8 3 4 2 2 2" xfId="10018"/>
    <cellStyle name="Normal 8 3 4 2 2 2 2" xfId="16211"/>
    <cellStyle name="Normal 8 3 4 2 2 2 2 2" xfId="36094"/>
    <cellStyle name="Normal 8 3 4 2 2 2 3" xfId="22363"/>
    <cellStyle name="Normal 8 3 4 2 2 2 3 2" xfId="42246"/>
    <cellStyle name="Normal 8 3 4 2 2 2 4" xfId="29941"/>
    <cellStyle name="Normal 8 3 4 2 2 3" xfId="13145"/>
    <cellStyle name="Normal 8 3 4 2 2 3 2" xfId="33028"/>
    <cellStyle name="Normal 8 3 4 2 2 4" xfId="19297"/>
    <cellStyle name="Normal 8 3 4 2 2 4 2" xfId="39180"/>
    <cellStyle name="Normal 8 3 4 2 2 5" xfId="26875"/>
    <cellStyle name="Normal 8 3 4 2 3" xfId="8483"/>
    <cellStyle name="Normal 8 3 4 2 3 2" xfId="14677"/>
    <cellStyle name="Normal 8 3 4 2 3 2 2" xfId="34560"/>
    <cellStyle name="Normal 8 3 4 2 3 3" xfId="20829"/>
    <cellStyle name="Normal 8 3 4 2 3 3 2" xfId="40712"/>
    <cellStyle name="Normal 8 3 4 2 3 4" xfId="28407"/>
    <cellStyle name="Normal 8 3 4 2 4" xfId="11611"/>
    <cellStyle name="Normal 8 3 4 2 4 2" xfId="31494"/>
    <cellStyle name="Normal 8 3 4 2 5" xfId="17763"/>
    <cellStyle name="Normal 8 3 4 2 5 2" xfId="37646"/>
    <cellStyle name="Normal 8 3 4 2 6" xfId="25341"/>
    <cellStyle name="Normal 8 3 4 3" xfId="6149"/>
    <cellStyle name="Normal 8 3 4 3 2" xfId="9249"/>
    <cellStyle name="Normal 8 3 4 3 2 2" xfId="15442"/>
    <cellStyle name="Normal 8 3 4 3 2 2 2" xfId="35325"/>
    <cellStyle name="Normal 8 3 4 3 2 3" xfId="21594"/>
    <cellStyle name="Normal 8 3 4 3 2 3 2" xfId="41477"/>
    <cellStyle name="Normal 8 3 4 3 2 4" xfId="29172"/>
    <cellStyle name="Normal 8 3 4 3 3" xfId="12376"/>
    <cellStyle name="Normal 8 3 4 3 3 2" xfId="32259"/>
    <cellStyle name="Normal 8 3 4 3 4" xfId="18528"/>
    <cellStyle name="Normal 8 3 4 3 4 2" xfId="38411"/>
    <cellStyle name="Normal 8 3 4 3 5" xfId="26106"/>
    <cellStyle name="Normal 8 3 4 4" xfId="7714"/>
    <cellStyle name="Normal 8 3 4 4 2" xfId="13908"/>
    <cellStyle name="Normal 8 3 4 4 2 2" xfId="33791"/>
    <cellStyle name="Normal 8 3 4 4 3" xfId="20060"/>
    <cellStyle name="Normal 8 3 4 4 3 2" xfId="39943"/>
    <cellStyle name="Normal 8 3 4 4 4" xfId="27638"/>
    <cellStyle name="Normal 8 3 4 5" xfId="10842"/>
    <cellStyle name="Normal 8 3 4 5 2" xfId="30725"/>
    <cellStyle name="Normal 8 3 4 6" xfId="16994"/>
    <cellStyle name="Normal 8 3 4 6 2" xfId="36877"/>
    <cellStyle name="Normal 8 3 4 7" xfId="24572"/>
    <cellStyle name="Normal 8 3 5" xfId="4133"/>
    <cellStyle name="Normal 8 3 5 2" xfId="5308"/>
    <cellStyle name="Normal 8 3 5 2 2" xfId="6933"/>
    <cellStyle name="Normal 8 3 5 2 2 2" xfId="10019"/>
    <cellStyle name="Normal 8 3 5 2 2 2 2" xfId="16212"/>
    <cellStyle name="Normal 8 3 5 2 2 2 2 2" xfId="36095"/>
    <cellStyle name="Normal 8 3 5 2 2 2 3" xfId="22364"/>
    <cellStyle name="Normal 8 3 5 2 2 2 3 2" xfId="42247"/>
    <cellStyle name="Normal 8 3 5 2 2 2 4" xfId="29942"/>
    <cellStyle name="Normal 8 3 5 2 2 3" xfId="13146"/>
    <cellStyle name="Normal 8 3 5 2 2 3 2" xfId="33029"/>
    <cellStyle name="Normal 8 3 5 2 2 4" xfId="19298"/>
    <cellStyle name="Normal 8 3 5 2 2 4 2" xfId="39181"/>
    <cellStyle name="Normal 8 3 5 2 2 5" xfId="26876"/>
    <cellStyle name="Normal 8 3 5 2 3" xfId="8484"/>
    <cellStyle name="Normal 8 3 5 2 3 2" xfId="14678"/>
    <cellStyle name="Normal 8 3 5 2 3 2 2" xfId="34561"/>
    <cellStyle name="Normal 8 3 5 2 3 3" xfId="20830"/>
    <cellStyle name="Normal 8 3 5 2 3 3 2" xfId="40713"/>
    <cellStyle name="Normal 8 3 5 2 3 4" xfId="28408"/>
    <cellStyle name="Normal 8 3 5 2 4" xfId="11612"/>
    <cellStyle name="Normal 8 3 5 2 4 2" xfId="31495"/>
    <cellStyle name="Normal 8 3 5 2 5" xfId="17764"/>
    <cellStyle name="Normal 8 3 5 2 5 2" xfId="37647"/>
    <cellStyle name="Normal 8 3 5 2 6" xfId="25342"/>
    <cellStyle name="Normal 8 3 5 3" xfId="6150"/>
    <cellStyle name="Normal 8 3 5 3 2" xfId="9250"/>
    <cellStyle name="Normal 8 3 5 3 2 2" xfId="15443"/>
    <cellStyle name="Normal 8 3 5 3 2 2 2" xfId="35326"/>
    <cellStyle name="Normal 8 3 5 3 2 3" xfId="21595"/>
    <cellStyle name="Normal 8 3 5 3 2 3 2" xfId="41478"/>
    <cellStyle name="Normal 8 3 5 3 2 4" xfId="29173"/>
    <cellStyle name="Normal 8 3 5 3 3" xfId="12377"/>
    <cellStyle name="Normal 8 3 5 3 3 2" xfId="32260"/>
    <cellStyle name="Normal 8 3 5 3 4" xfId="18529"/>
    <cellStyle name="Normal 8 3 5 3 4 2" xfId="38412"/>
    <cellStyle name="Normal 8 3 5 3 5" xfId="26107"/>
    <cellStyle name="Normal 8 3 5 4" xfId="7715"/>
    <cellStyle name="Normal 8 3 5 4 2" xfId="13909"/>
    <cellStyle name="Normal 8 3 5 4 2 2" xfId="33792"/>
    <cellStyle name="Normal 8 3 5 4 3" xfId="20061"/>
    <cellStyle name="Normal 8 3 5 4 3 2" xfId="39944"/>
    <cellStyle name="Normal 8 3 5 4 4" xfId="27639"/>
    <cellStyle name="Normal 8 3 5 5" xfId="10843"/>
    <cellStyle name="Normal 8 3 5 5 2" xfId="30726"/>
    <cellStyle name="Normal 8 3 5 6" xfId="16995"/>
    <cellStyle name="Normal 8 3 5 6 2" xfId="36878"/>
    <cellStyle name="Normal 8 3 5 7" xfId="24573"/>
    <cellStyle name="Normal 8 3 6" xfId="4129"/>
    <cellStyle name="Normal 8 3 6 2" xfId="5304"/>
    <cellStyle name="Normal 8 3 6 2 2" xfId="6929"/>
    <cellStyle name="Normal 8 3 6 2 2 2" xfId="10015"/>
    <cellStyle name="Normal 8 3 6 2 2 2 2" xfId="16208"/>
    <cellStyle name="Normal 8 3 6 2 2 2 2 2" xfId="36091"/>
    <cellStyle name="Normal 8 3 6 2 2 2 3" xfId="22360"/>
    <cellStyle name="Normal 8 3 6 2 2 2 3 2" xfId="42243"/>
    <cellStyle name="Normal 8 3 6 2 2 2 4" xfId="29938"/>
    <cellStyle name="Normal 8 3 6 2 2 3" xfId="13142"/>
    <cellStyle name="Normal 8 3 6 2 2 3 2" xfId="33025"/>
    <cellStyle name="Normal 8 3 6 2 2 4" xfId="19294"/>
    <cellStyle name="Normal 8 3 6 2 2 4 2" xfId="39177"/>
    <cellStyle name="Normal 8 3 6 2 2 5" xfId="26872"/>
    <cellStyle name="Normal 8 3 6 2 3" xfId="8480"/>
    <cellStyle name="Normal 8 3 6 2 3 2" xfId="14674"/>
    <cellStyle name="Normal 8 3 6 2 3 2 2" xfId="34557"/>
    <cellStyle name="Normal 8 3 6 2 3 3" xfId="20826"/>
    <cellStyle name="Normal 8 3 6 2 3 3 2" xfId="40709"/>
    <cellStyle name="Normal 8 3 6 2 3 4" xfId="28404"/>
    <cellStyle name="Normal 8 3 6 2 4" xfId="11608"/>
    <cellStyle name="Normal 8 3 6 2 4 2" xfId="31491"/>
    <cellStyle name="Normal 8 3 6 2 5" xfId="17760"/>
    <cellStyle name="Normal 8 3 6 2 5 2" xfId="37643"/>
    <cellStyle name="Normal 8 3 6 2 6" xfId="25338"/>
    <cellStyle name="Normal 8 3 6 3" xfId="6146"/>
    <cellStyle name="Normal 8 3 6 3 2" xfId="9246"/>
    <cellStyle name="Normal 8 3 6 3 2 2" xfId="15439"/>
    <cellStyle name="Normal 8 3 6 3 2 2 2" xfId="35322"/>
    <cellStyle name="Normal 8 3 6 3 2 3" xfId="21591"/>
    <cellStyle name="Normal 8 3 6 3 2 3 2" xfId="41474"/>
    <cellStyle name="Normal 8 3 6 3 2 4" xfId="29169"/>
    <cellStyle name="Normal 8 3 6 3 3" xfId="12373"/>
    <cellStyle name="Normal 8 3 6 3 3 2" xfId="32256"/>
    <cellStyle name="Normal 8 3 6 3 4" xfId="18525"/>
    <cellStyle name="Normal 8 3 6 3 4 2" xfId="38408"/>
    <cellStyle name="Normal 8 3 6 3 5" xfId="26103"/>
    <cellStyle name="Normal 8 3 6 4" xfId="7711"/>
    <cellStyle name="Normal 8 3 6 4 2" xfId="13905"/>
    <cellStyle name="Normal 8 3 6 4 2 2" xfId="33788"/>
    <cellStyle name="Normal 8 3 6 4 3" xfId="20057"/>
    <cellStyle name="Normal 8 3 6 4 3 2" xfId="39940"/>
    <cellStyle name="Normal 8 3 6 4 4" xfId="27635"/>
    <cellStyle name="Normal 8 3 6 5" xfId="10839"/>
    <cellStyle name="Normal 8 3 6 5 2" xfId="30722"/>
    <cellStyle name="Normal 8 3 6 6" xfId="16991"/>
    <cellStyle name="Normal 8 3 6 6 2" xfId="36874"/>
    <cellStyle name="Normal 8 3 6 7" xfId="24569"/>
    <cellStyle name="Normal 8 3 7" xfId="4754"/>
    <cellStyle name="Normal 8 3 7 2" xfId="6379"/>
    <cellStyle name="Normal 8 3 7 2 2" xfId="9465"/>
    <cellStyle name="Normal 8 3 7 2 2 2" xfId="15658"/>
    <cellStyle name="Normal 8 3 7 2 2 2 2" xfId="35541"/>
    <cellStyle name="Normal 8 3 7 2 2 3" xfId="21810"/>
    <cellStyle name="Normal 8 3 7 2 2 3 2" xfId="41693"/>
    <cellStyle name="Normal 8 3 7 2 2 4" xfId="29388"/>
    <cellStyle name="Normal 8 3 7 2 3" xfId="12592"/>
    <cellStyle name="Normal 8 3 7 2 3 2" xfId="32475"/>
    <cellStyle name="Normal 8 3 7 2 4" xfId="18744"/>
    <cellStyle name="Normal 8 3 7 2 4 2" xfId="38627"/>
    <cellStyle name="Normal 8 3 7 2 5" xfId="26322"/>
    <cellStyle name="Normal 8 3 7 3" xfId="7930"/>
    <cellStyle name="Normal 8 3 7 3 2" xfId="14124"/>
    <cellStyle name="Normal 8 3 7 3 2 2" xfId="34007"/>
    <cellStyle name="Normal 8 3 7 3 3" xfId="20276"/>
    <cellStyle name="Normal 8 3 7 3 3 2" xfId="40159"/>
    <cellStyle name="Normal 8 3 7 3 4" xfId="27854"/>
    <cellStyle name="Normal 8 3 7 4" xfId="11058"/>
    <cellStyle name="Normal 8 3 7 4 2" xfId="30941"/>
    <cellStyle name="Normal 8 3 7 5" xfId="17210"/>
    <cellStyle name="Normal 8 3 7 5 2" xfId="37093"/>
    <cellStyle name="Normal 8 3 7 6" xfId="24788"/>
    <cellStyle name="Normal 8 3 8" xfId="5593"/>
    <cellStyle name="Normal 8 3 8 2" xfId="8696"/>
    <cellStyle name="Normal 8 3 8 2 2" xfId="14889"/>
    <cellStyle name="Normal 8 3 8 2 2 2" xfId="34772"/>
    <cellStyle name="Normal 8 3 8 2 3" xfId="21041"/>
    <cellStyle name="Normal 8 3 8 2 3 2" xfId="40924"/>
    <cellStyle name="Normal 8 3 8 2 4" xfId="28619"/>
    <cellStyle name="Normal 8 3 8 3" xfId="11823"/>
    <cellStyle name="Normal 8 3 8 3 2" xfId="31706"/>
    <cellStyle name="Normal 8 3 8 4" xfId="17975"/>
    <cellStyle name="Normal 8 3 8 4 2" xfId="37858"/>
    <cellStyle name="Normal 8 3 8 5" xfId="25553"/>
    <cellStyle name="Normal 8 3 9" xfId="7161"/>
    <cellStyle name="Normal 8 3 9 2" xfId="13355"/>
    <cellStyle name="Normal 8 3 9 2 2" xfId="33238"/>
    <cellStyle name="Normal 8 3 9 3" xfId="19507"/>
    <cellStyle name="Normal 8 3 9 3 2" xfId="39390"/>
    <cellStyle name="Normal 8 3 9 4" xfId="27085"/>
    <cellStyle name="Normal 8 30" xfId="16430"/>
    <cellStyle name="Normal 8 30 2" xfId="36313"/>
    <cellStyle name="Normal 8 31" xfId="1279"/>
    <cellStyle name="Normal 8 31 2" xfId="24008"/>
    <cellStyle name="Normal 8 32" xfId="204"/>
    <cellStyle name="Normal 8 33" xfId="23293"/>
    <cellStyle name="Normal 8 4" xfId="4134"/>
    <cellStyle name="Normal 8 4 2" xfId="5309"/>
    <cellStyle name="Normal 8 4 2 2" xfId="6934"/>
    <cellStyle name="Normal 8 4 2 2 2" xfId="10020"/>
    <cellStyle name="Normal 8 4 2 2 2 2" xfId="16213"/>
    <cellStyle name="Normal 8 4 2 2 2 2 2" xfId="36096"/>
    <cellStyle name="Normal 8 4 2 2 2 3" xfId="22365"/>
    <cellStyle name="Normal 8 4 2 2 2 3 2" xfId="42248"/>
    <cellStyle name="Normal 8 4 2 2 2 4" xfId="29943"/>
    <cellStyle name="Normal 8 4 2 2 3" xfId="13147"/>
    <cellStyle name="Normal 8 4 2 2 3 2" xfId="33030"/>
    <cellStyle name="Normal 8 4 2 2 4" xfId="19299"/>
    <cellStyle name="Normal 8 4 2 2 4 2" xfId="39182"/>
    <cellStyle name="Normal 8 4 2 2 5" xfId="26877"/>
    <cellStyle name="Normal 8 4 2 3" xfId="8485"/>
    <cellStyle name="Normal 8 4 2 3 2" xfId="14679"/>
    <cellStyle name="Normal 8 4 2 3 2 2" xfId="34562"/>
    <cellStyle name="Normal 8 4 2 3 3" xfId="20831"/>
    <cellStyle name="Normal 8 4 2 3 3 2" xfId="40714"/>
    <cellStyle name="Normal 8 4 2 3 4" xfId="28409"/>
    <cellStyle name="Normal 8 4 2 4" xfId="11613"/>
    <cellStyle name="Normal 8 4 2 4 2" xfId="31496"/>
    <cellStyle name="Normal 8 4 2 5" xfId="17765"/>
    <cellStyle name="Normal 8 4 2 5 2" xfId="37648"/>
    <cellStyle name="Normal 8 4 2 6" xfId="25343"/>
    <cellStyle name="Normal 8 4 3" xfId="6151"/>
    <cellStyle name="Normal 8 4 3 2" xfId="9251"/>
    <cellStyle name="Normal 8 4 3 2 2" xfId="15444"/>
    <cellStyle name="Normal 8 4 3 2 2 2" xfId="35327"/>
    <cellStyle name="Normal 8 4 3 2 3" xfId="21596"/>
    <cellStyle name="Normal 8 4 3 2 3 2" xfId="41479"/>
    <cellStyle name="Normal 8 4 3 2 4" xfId="29174"/>
    <cellStyle name="Normal 8 4 3 3" xfId="12378"/>
    <cellStyle name="Normal 8 4 3 3 2" xfId="32261"/>
    <cellStyle name="Normal 8 4 3 4" xfId="18530"/>
    <cellStyle name="Normal 8 4 3 4 2" xfId="38413"/>
    <cellStyle name="Normal 8 4 3 5" xfId="26108"/>
    <cellStyle name="Normal 8 4 4" xfId="7716"/>
    <cellStyle name="Normal 8 4 4 2" xfId="13910"/>
    <cellStyle name="Normal 8 4 4 2 2" xfId="33793"/>
    <cellStyle name="Normal 8 4 4 3" xfId="20062"/>
    <cellStyle name="Normal 8 4 4 3 2" xfId="39945"/>
    <cellStyle name="Normal 8 4 4 4" xfId="27640"/>
    <cellStyle name="Normal 8 4 5" xfId="10844"/>
    <cellStyle name="Normal 8 4 5 2" xfId="30727"/>
    <cellStyle name="Normal 8 4 6" xfId="16996"/>
    <cellStyle name="Normal 8 4 6 2" xfId="36879"/>
    <cellStyle name="Normal 8 4 7" xfId="23296"/>
    <cellStyle name="Normal 8 4 8" xfId="24574"/>
    <cellStyle name="Normal 8 5" xfId="4135"/>
    <cellStyle name="Normal 8 5 2" xfId="5310"/>
    <cellStyle name="Normal 8 5 2 2" xfId="6935"/>
    <cellStyle name="Normal 8 5 2 2 2" xfId="10021"/>
    <cellStyle name="Normal 8 5 2 2 2 2" xfId="16214"/>
    <cellStyle name="Normal 8 5 2 2 2 2 2" xfId="36097"/>
    <cellStyle name="Normal 8 5 2 2 2 3" xfId="22366"/>
    <cellStyle name="Normal 8 5 2 2 2 3 2" xfId="42249"/>
    <cellStyle name="Normal 8 5 2 2 2 4" xfId="29944"/>
    <cellStyle name="Normal 8 5 2 2 3" xfId="13148"/>
    <cellStyle name="Normal 8 5 2 2 3 2" xfId="33031"/>
    <cellStyle name="Normal 8 5 2 2 4" xfId="19300"/>
    <cellStyle name="Normal 8 5 2 2 4 2" xfId="39183"/>
    <cellStyle name="Normal 8 5 2 2 5" xfId="26878"/>
    <cellStyle name="Normal 8 5 2 3" xfId="8486"/>
    <cellStyle name="Normal 8 5 2 3 2" xfId="14680"/>
    <cellStyle name="Normal 8 5 2 3 2 2" xfId="34563"/>
    <cellStyle name="Normal 8 5 2 3 3" xfId="20832"/>
    <cellStyle name="Normal 8 5 2 3 3 2" xfId="40715"/>
    <cellStyle name="Normal 8 5 2 3 4" xfId="28410"/>
    <cellStyle name="Normal 8 5 2 4" xfId="11614"/>
    <cellStyle name="Normal 8 5 2 4 2" xfId="31497"/>
    <cellStyle name="Normal 8 5 2 5" xfId="17766"/>
    <cellStyle name="Normal 8 5 2 5 2" xfId="37649"/>
    <cellStyle name="Normal 8 5 2 6" xfId="25344"/>
    <cellStyle name="Normal 8 5 3" xfId="6152"/>
    <cellStyle name="Normal 8 5 3 2" xfId="9252"/>
    <cellStyle name="Normal 8 5 3 2 2" xfId="15445"/>
    <cellStyle name="Normal 8 5 3 2 2 2" xfId="35328"/>
    <cellStyle name="Normal 8 5 3 2 3" xfId="21597"/>
    <cellStyle name="Normal 8 5 3 2 3 2" xfId="41480"/>
    <cellStyle name="Normal 8 5 3 2 4" xfId="29175"/>
    <cellStyle name="Normal 8 5 3 3" xfId="12379"/>
    <cellStyle name="Normal 8 5 3 3 2" xfId="32262"/>
    <cellStyle name="Normal 8 5 3 4" xfId="18531"/>
    <cellStyle name="Normal 8 5 3 4 2" xfId="38414"/>
    <cellStyle name="Normal 8 5 3 5" xfId="26109"/>
    <cellStyle name="Normal 8 5 4" xfId="7717"/>
    <cellStyle name="Normal 8 5 4 2" xfId="13911"/>
    <cellStyle name="Normal 8 5 4 2 2" xfId="33794"/>
    <cellStyle name="Normal 8 5 4 3" xfId="20063"/>
    <cellStyle name="Normal 8 5 4 3 2" xfId="39946"/>
    <cellStyle name="Normal 8 5 4 4" xfId="27641"/>
    <cellStyle name="Normal 8 5 5" xfId="10845"/>
    <cellStyle name="Normal 8 5 5 2" xfId="30728"/>
    <cellStyle name="Normal 8 5 6" xfId="16997"/>
    <cellStyle name="Normal 8 5 6 2" xfId="36880"/>
    <cellStyle name="Normal 8 5 7" xfId="23297"/>
    <cellStyle name="Normal 8 5 8" xfId="24575"/>
    <cellStyle name="Normal 8 6" xfId="4136"/>
    <cellStyle name="Normal 8 6 2" xfId="5311"/>
    <cellStyle name="Normal 8 6 2 2" xfId="6936"/>
    <cellStyle name="Normal 8 6 2 2 2" xfId="10022"/>
    <cellStyle name="Normal 8 6 2 2 2 2" xfId="16215"/>
    <cellStyle name="Normal 8 6 2 2 2 2 2" xfId="36098"/>
    <cellStyle name="Normal 8 6 2 2 2 3" xfId="22367"/>
    <cellStyle name="Normal 8 6 2 2 2 3 2" xfId="42250"/>
    <cellStyle name="Normal 8 6 2 2 2 4" xfId="29945"/>
    <cellStyle name="Normal 8 6 2 2 3" xfId="13149"/>
    <cellStyle name="Normal 8 6 2 2 3 2" xfId="33032"/>
    <cellStyle name="Normal 8 6 2 2 4" xfId="19301"/>
    <cellStyle name="Normal 8 6 2 2 4 2" xfId="39184"/>
    <cellStyle name="Normal 8 6 2 2 5" xfId="26879"/>
    <cellStyle name="Normal 8 6 2 3" xfId="8487"/>
    <cellStyle name="Normal 8 6 2 3 2" xfId="14681"/>
    <cellStyle name="Normal 8 6 2 3 2 2" xfId="34564"/>
    <cellStyle name="Normal 8 6 2 3 3" xfId="20833"/>
    <cellStyle name="Normal 8 6 2 3 3 2" xfId="40716"/>
    <cellStyle name="Normal 8 6 2 3 4" xfId="28411"/>
    <cellStyle name="Normal 8 6 2 4" xfId="11615"/>
    <cellStyle name="Normal 8 6 2 4 2" xfId="31498"/>
    <cellStyle name="Normal 8 6 2 5" xfId="17767"/>
    <cellStyle name="Normal 8 6 2 5 2" xfId="37650"/>
    <cellStyle name="Normal 8 6 2 6" xfId="25345"/>
    <cellStyle name="Normal 8 6 3" xfId="6153"/>
    <cellStyle name="Normal 8 6 3 2" xfId="9253"/>
    <cellStyle name="Normal 8 6 3 2 2" xfId="15446"/>
    <cellStyle name="Normal 8 6 3 2 2 2" xfId="35329"/>
    <cellStyle name="Normal 8 6 3 2 3" xfId="21598"/>
    <cellStyle name="Normal 8 6 3 2 3 2" xfId="41481"/>
    <cellStyle name="Normal 8 6 3 2 4" xfId="29176"/>
    <cellStyle name="Normal 8 6 3 3" xfId="12380"/>
    <cellStyle name="Normal 8 6 3 3 2" xfId="32263"/>
    <cellStyle name="Normal 8 6 3 4" xfId="18532"/>
    <cellStyle name="Normal 8 6 3 4 2" xfId="38415"/>
    <cellStyle name="Normal 8 6 3 5" xfId="26110"/>
    <cellStyle name="Normal 8 6 4" xfId="7718"/>
    <cellStyle name="Normal 8 6 4 2" xfId="13912"/>
    <cellStyle name="Normal 8 6 4 2 2" xfId="33795"/>
    <cellStyle name="Normal 8 6 4 3" xfId="20064"/>
    <cellStyle name="Normal 8 6 4 3 2" xfId="39947"/>
    <cellStyle name="Normal 8 6 4 4" xfId="27642"/>
    <cellStyle name="Normal 8 6 5" xfId="10846"/>
    <cellStyle name="Normal 8 6 5 2" xfId="30729"/>
    <cellStyle name="Normal 8 6 6" xfId="16998"/>
    <cellStyle name="Normal 8 6 6 2" xfId="36881"/>
    <cellStyle name="Normal 8 6 7" xfId="24576"/>
    <cellStyle name="Normal 8 7" xfId="4137"/>
    <cellStyle name="Normal 8 7 2" xfId="5312"/>
    <cellStyle name="Normal 8 7 2 2" xfId="6937"/>
    <cellStyle name="Normal 8 7 2 2 2" xfId="10023"/>
    <cellStyle name="Normal 8 7 2 2 2 2" xfId="16216"/>
    <cellStyle name="Normal 8 7 2 2 2 2 2" xfId="36099"/>
    <cellStyle name="Normal 8 7 2 2 2 3" xfId="22368"/>
    <cellStyle name="Normal 8 7 2 2 2 3 2" xfId="42251"/>
    <cellStyle name="Normal 8 7 2 2 2 4" xfId="29946"/>
    <cellStyle name="Normal 8 7 2 2 3" xfId="13150"/>
    <cellStyle name="Normal 8 7 2 2 3 2" xfId="33033"/>
    <cellStyle name="Normal 8 7 2 2 4" xfId="19302"/>
    <cellStyle name="Normal 8 7 2 2 4 2" xfId="39185"/>
    <cellStyle name="Normal 8 7 2 2 5" xfId="26880"/>
    <cellStyle name="Normal 8 7 2 3" xfId="8488"/>
    <cellStyle name="Normal 8 7 2 3 2" xfId="14682"/>
    <cellStyle name="Normal 8 7 2 3 2 2" xfId="34565"/>
    <cellStyle name="Normal 8 7 2 3 3" xfId="20834"/>
    <cellStyle name="Normal 8 7 2 3 3 2" xfId="40717"/>
    <cellStyle name="Normal 8 7 2 3 4" xfId="28412"/>
    <cellStyle name="Normal 8 7 2 4" xfId="11616"/>
    <cellStyle name="Normal 8 7 2 4 2" xfId="31499"/>
    <cellStyle name="Normal 8 7 2 5" xfId="17768"/>
    <cellStyle name="Normal 8 7 2 5 2" xfId="37651"/>
    <cellStyle name="Normal 8 7 2 6" xfId="25346"/>
    <cellStyle name="Normal 8 7 3" xfId="6154"/>
    <cellStyle name="Normal 8 7 3 2" xfId="9254"/>
    <cellStyle name="Normal 8 7 3 2 2" xfId="15447"/>
    <cellStyle name="Normal 8 7 3 2 2 2" xfId="35330"/>
    <cellStyle name="Normal 8 7 3 2 3" xfId="21599"/>
    <cellStyle name="Normal 8 7 3 2 3 2" xfId="41482"/>
    <cellStyle name="Normal 8 7 3 2 4" xfId="29177"/>
    <cellStyle name="Normal 8 7 3 3" xfId="12381"/>
    <cellStyle name="Normal 8 7 3 3 2" xfId="32264"/>
    <cellStyle name="Normal 8 7 3 4" xfId="18533"/>
    <cellStyle name="Normal 8 7 3 4 2" xfId="38416"/>
    <cellStyle name="Normal 8 7 3 5" xfId="26111"/>
    <cellStyle name="Normal 8 7 4" xfId="7719"/>
    <cellStyle name="Normal 8 7 4 2" xfId="13913"/>
    <cellStyle name="Normal 8 7 4 2 2" xfId="33796"/>
    <cellStyle name="Normal 8 7 4 3" xfId="20065"/>
    <cellStyle name="Normal 8 7 4 3 2" xfId="39948"/>
    <cellStyle name="Normal 8 7 4 4" xfId="27643"/>
    <cellStyle name="Normal 8 7 5" xfId="10847"/>
    <cellStyle name="Normal 8 7 5 2" xfId="30730"/>
    <cellStyle name="Normal 8 7 6" xfId="16999"/>
    <cellStyle name="Normal 8 7 6 2" xfId="36882"/>
    <cellStyle name="Normal 8 7 7" xfId="24577"/>
    <cellStyle name="Normal 8 8" xfId="4138"/>
    <cellStyle name="Normal 8 8 2" xfId="5313"/>
    <cellStyle name="Normal 8 8 2 2" xfId="6938"/>
    <cellStyle name="Normal 8 8 2 2 2" xfId="10024"/>
    <cellStyle name="Normal 8 8 2 2 2 2" xfId="16217"/>
    <cellStyle name="Normal 8 8 2 2 2 2 2" xfId="36100"/>
    <cellStyle name="Normal 8 8 2 2 2 3" xfId="22369"/>
    <cellStyle name="Normal 8 8 2 2 2 3 2" xfId="42252"/>
    <cellStyle name="Normal 8 8 2 2 2 4" xfId="29947"/>
    <cellStyle name="Normal 8 8 2 2 3" xfId="13151"/>
    <cellStyle name="Normal 8 8 2 2 3 2" xfId="33034"/>
    <cellStyle name="Normal 8 8 2 2 4" xfId="19303"/>
    <cellStyle name="Normal 8 8 2 2 4 2" xfId="39186"/>
    <cellStyle name="Normal 8 8 2 2 5" xfId="26881"/>
    <cellStyle name="Normal 8 8 2 3" xfId="8489"/>
    <cellStyle name="Normal 8 8 2 3 2" xfId="14683"/>
    <cellStyle name="Normal 8 8 2 3 2 2" xfId="34566"/>
    <cellStyle name="Normal 8 8 2 3 3" xfId="20835"/>
    <cellStyle name="Normal 8 8 2 3 3 2" xfId="40718"/>
    <cellStyle name="Normal 8 8 2 3 4" xfId="28413"/>
    <cellStyle name="Normal 8 8 2 4" xfId="11617"/>
    <cellStyle name="Normal 8 8 2 4 2" xfId="31500"/>
    <cellStyle name="Normal 8 8 2 5" xfId="17769"/>
    <cellStyle name="Normal 8 8 2 5 2" xfId="37652"/>
    <cellStyle name="Normal 8 8 2 6" xfId="25347"/>
    <cellStyle name="Normal 8 8 3" xfId="6155"/>
    <cellStyle name="Normal 8 8 3 2" xfId="9255"/>
    <cellStyle name="Normal 8 8 3 2 2" xfId="15448"/>
    <cellStyle name="Normal 8 8 3 2 2 2" xfId="35331"/>
    <cellStyle name="Normal 8 8 3 2 3" xfId="21600"/>
    <cellStyle name="Normal 8 8 3 2 3 2" xfId="41483"/>
    <cellStyle name="Normal 8 8 3 2 4" xfId="29178"/>
    <cellStyle name="Normal 8 8 3 3" xfId="12382"/>
    <cellStyle name="Normal 8 8 3 3 2" xfId="32265"/>
    <cellStyle name="Normal 8 8 3 4" xfId="18534"/>
    <cellStyle name="Normal 8 8 3 4 2" xfId="38417"/>
    <cellStyle name="Normal 8 8 3 5" xfId="26112"/>
    <cellStyle name="Normal 8 8 4" xfId="7720"/>
    <cellStyle name="Normal 8 8 4 2" xfId="13914"/>
    <cellStyle name="Normal 8 8 4 2 2" xfId="33797"/>
    <cellStyle name="Normal 8 8 4 3" xfId="20066"/>
    <cellStyle name="Normal 8 8 4 3 2" xfId="39949"/>
    <cellStyle name="Normal 8 8 4 4" xfId="27644"/>
    <cellStyle name="Normal 8 8 5" xfId="10848"/>
    <cellStyle name="Normal 8 8 5 2" xfId="30731"/>
    <cellStyle name="Normal 8 8 6" xfId="17000"/>
    <cellStyle name="Normal 8 8 6 2" xfId="36883"/>
    <cellStyle name="Normal 8 8 7" xfId="24578"/>
    <cellStyle name="Normal 8 9" xfId="4139"/>
    <cellStyle name="Normal 8 9 2" xfId="5314"/>
    <cellStyle name="Normal 8 9 2 2" xfId="6939"/>
    <cellStyle name="Normal 8 9 2 2 2" xfId="10025"/>
    <cellStyle name="Normal 8 9 2 2 2 2" xfId="16218"/>
    <cellStyle name="Normal 8 9 2 2 2 2 2" xfId="36101"/>
    <cellStyle name="Normal 8 9 2 2 2 3" xfId="22370"/>
    <cellStyle name="Normal 8 9 2 2 2 3 2" xfId="42253"/>
    <cellStyle name="Normal 8 9 2 2 2 4" xfId="29948"/>
    <cellStyle name="Normal 8 9 2 2 3" xfId="13152"/>
    <cellStyle name="Normal 8 9 2 2 3 2" xfId="33035"/>
    <cellStyle name="Normal 8 9 2 2 4" xfId="19304"/>
    <cellStyle name="Normal 8 9 2 2 4 2" xfId="39187"/>
    <cellStyle name="Normal 8 9 2 2 5" xfId="26882"/>
    <cellStyle name="Normal 8 9 2 3" xfId="8490"/>
    <cellStyle name="Normal 8 9 2 3 2" xfId="14684"/>
    <cellStyle name="Normal 8 9 2 3 2 2" xfId="34567"/>
    <cellStyle name="Normal 8 9 2 3 3" xfId="20836"/>
    <cellStyle name="Normal 8 9 2 3 3 2" xfId="40719"/>
    <cellStyle name="Normal 8 9 2 3 4" xfId="28414"/>
    <cellStyle name="Normal 8 9 2 4" xfId="11618"/>
    <cellStyle name="Normal 8 9 2 4 2" xfId="31501"/>
    <cellStyle name="Normal 8 9 2 5" xfId="17770"/>
    <cellStyle name="Normal 8 9 2 5 2" xfId="37653"/>
    <cellStyle name="Normal 8 9 2 6" xfId="25348"/>
    <cellStyle name="Normal 8 9 3" xfId="6156"/>
    <cellStyle name="Normal 8 9 3 2" xfId="9256"/>
    <cellStyle name="Normal 8 9 3 2 2" xfId="15449"/>
    <cellStyle name="Normal 8 9 3 2 2 2" xfId="35332"/>
    <cellStyle name="Normal 8 9 3 2 3" xfId="21601"/>
    <cellStyle name="Normal 8 9 3 2 3 2" xfId="41484"/>
    <cellStyle name="Normal 8 9 3 2 4" xfId="29179"/>
    <cellStyle name="Normal 8 9 3 3" xfId="12383"/>
    <cellStyle name="Normal 8 9 3 3 2" xfId="32266"/>
    <cellStyle name="Normal 8 9 3 4" xfId="18535"/>
    <cellStyle name="Normal 8 9 3 4 2" xfId="38418"/>
    <cellStyle name="Normal 8 9 3 5" xfId="26113"/>
    <cellStyle name="Normal 8 9 4" xfId="7721"/>
    <cellStyle name="Normal 8 9 4 2" xfId="13915"/>
    <cellStyle name="Normal 8 9 4 2 2" xfId="33798"/>
    <cellStyle name="Normal 8 9 4 3" xfId="20067"/>
    <cellStyle name="Normal 8 9 4 3 2" xfId="39950"/>
    <cellStyle name="Normal 8 9 4 4" xfId="27645"/>
    <cellStyle name="Normal 8 9 5" xfId="10849"/>
    <cellStyle name="Normal 8 9 5 2" xfId="30732"/>
    <cellStyle name="Normal 8 9 6" xfId="17001"/>
    <cellStyle name="Normal 8 9 6 2" xfId="36884"/>
    <cellStyle name="Normal 8 9 7" xfId="24579"/>
    <cellStyle name="Normal 9" xfId="37"/>
    <cellStyle name="Normal 9 10" xfId="4141"/>
    <cellStyle name="Normal 9 10 2" xfId="5316"/>
    <cellStyle name="Normal 9 10 2 2" xfId="6941"/>
    <cellStyle name="Normal 9 10 2 2 2" xfId="10027"/>
    <cellStyle name="Normal 9 10 2 2 2 2" xfId="16220"/>
    <cellStyle name="Normal 9 10 2 2 2 2 2" xfId="36103"/>
    <cellStyle name="Normal 9 10 2 2 2 3" xfId="22372"/>
    <cellStyle name="Normal 9 10 2 2 2 3 2" xfId="42255"/>
    <cellStyle name="Normal 9 10 2 2 2 4" xfId="29950"/>
    <cellStyle name="Normal 9 10 2 2 3" xfId="13154"/>
    <cellStyle name="Normal 9 10 2 2 3 2" xfId="33037"/>
    <cellStyle name="Normal 9 10 2 2 4" xfId="19306"/>
    <cellStyle name="Normal 9 10 2 2 4 2" xfId="39189"/>
    <cellStyle name="Normal 9 10 2 2 5" xfId="26884"/>
    <cellStyle name="Normal 9 10 2 3" xfId="8492"/>
    <cellStyle name="Normal 9 10 2 3 2" xfId="14686"/>
    <cellStyle name="Normal 9 10 2 3 2 2" xfId="34569"/>
    <cellStyle name="Normal 9 10 2 3 3" xfId="20838"/>
    <cellStyle name="Normal 9 10 2 3 3 2" xfId="40721"/>
    <cellStyle name="Normal 9 10 2 3 4" xfId="28416"/>
    <cellStyle name="Normal 9 10 2 4" xfId="11620"/>
    <cellStyle name="Normal 9 10 2 4 2" xfId="31503"/>
    <cellStyle name="Normal 9 10 2 5" xfId="17772"/>
    <cellStyle name="Normal 9 10 2 5 2" xfId="37655"/>
    <cellStyle name="Normal 9 10 2 6" xfId="25350"/>
    <cellStyle name="Normal 9 10 3" xfId="6158"/>
    <cellStyle name="Normal 9 10 3 2" xfId="9258"/>
    <cellStyle name="Normal 9 10 3 2 2" xfId="15451"/>
    <cellStyle name="Normal 9 10 3 2 2 2" xfId="35334"/>
    <cellStyle name="Normal 9 10 3 2 3" xfId="21603"/>
    <cellStyle name="Normal 9 10 3 2 3 2" xfId="41486"/>
    <cellStyle name="Normal 9 10 3 2 4" xfId="29181"/>
    <cellStyle name="Normal 9 10 3 3" xfId="12385"/>
    <cellStyle name="Normal 9 10 3 3 2" xfId="32268"/>
    <cellStyle name="Normal 9 10 3 4" xfId="18537"/>
    <cellStyle name="Normal 9 10 3 4 2" xfId="38420"/>
    <cellStyle name="Normal 9 10 3 5" xfId="26115"/>
    <cellStyle name="Normal 9 10 4" xfId="7723"/>
    <cellStyle name="Normal 9 10 4 2" xfId="13917"/>
    <cellStyle name="Normal 9 10 4 2 2" xfId="33800"/>
    <cellStyle name="Normal 9 10 4 3" xfId="20069"/>
    <cellStyle name="Normal 9 10 4 3 2" xfId="39952"/>
    <cellStyle name="Normal 9 10 4 4" xfId="27647"/>
    <cellStyle name="Normal 9 10 5" xfId="10851"/>
    <cellStyle name="Normal 9 10 5 2" xfId="30734"/>
    <cellStyle name="Normal 9 10 6" xfId="17003"/>
    <cellStyle name="Normal 9 10 6 2" xfId="36886"/>
    <cellStyle name="Normal 9 10 7" xfId="24581"/>
    <cellStyle name="Normal 9 11" xfId="4142"/>
    <cellStyle name="Normal 9 11 2" xfId="5317"/>
    <cellStyle name="Normal 9 11 2 2" xfId="6942"/>
    <cellStyle name="Normal 9 11 2 2 2" xfId="10028"/>
    <cellStyle name="Normal 9 11 2 2 2 2" xfId="16221"/>
    <cellStyle name="Normal 9 11 2 2 2 2 2" xfId="36104"/>
    <cellStyle name="Normal 9 11 2 2 2 3" xfId="22373"/>
    <cellStyle name="Normal 9 11 2 2 2 3 2" xfId="42256"/>
    <cellStyle name="Normal 9 11 2 2 2 4" xfId="29951"/>
    <cellStyle name="Normal 9 11 2 2 3" xfId="13155"/>
    <cellStyle name="Normal 9 11 2 2 3 2" xfId="33038"/>
    <cellStyle name="Normal 9 11 2 2 4" xfId="19307"/>
    <cellStyle name="Normal 9 11 2 2 4 2" xfId="39190"/>
    <cellStyle name="Normal 9 11 2 2 5" xfId="26885"/>
    <cellStyle name="Normal 9 11 2 3" xfId="8493"/>
    <cellStyle name="Normal 9 11 2 3 2" xfId="14687"/>
    <cellStyle name="Normal 9 11 2 3 2 2" xfId="34570"/>
    <cellStyle name="Normal 9 11 2 3 3" xfId="20839"/>
    <cellStyle name="Normal 9 11 2 3 3 2" xfId="40722"/>
    <cellStyle name="Normal 9 11 2 3 4" xfId="28417"/>
    <cellStyle name="Normal 9 11 2 4" xfId="11621"/>
    <cellStyle name="Normal 9 11 2 4 2" xfId="31504"/>
    <cellStyle name="Normal 9 11 2 5" xfId="17773"/>
    <cellStyle name="Normal 9 11 2 5 2" xfId="37656"/>
    <cellStyle name="Normal 9 11 2 6" xfId="25351"/>
    <cellStyle name="Normal 9 11 3" xfId="6159"/>
    <cellStyle name="Normal 9 11 3 2" xfId="9259"/>
    <cellStyle name="Normal 9 11 3 2 2" xfId="15452"/>
    <cellStyle name="Normal 9 11 3 2 2 2" xfId="35335"/>
    <cellStyle name="Normal 9 11 3 2 3" xfId="21604"/>
    <cellStyle name="Normal 9 11 3 2 3 2" xfId="41487"/>
    <cellStyle name="Normal 9 11 3 2 4" xfId="29182"/>
    <cellStyle name="Normal 9 11 3 3" xfId="12386"/>
    <cellStyle name="Normal 9 11 3 3 2" xfId="32269"/>
    <cellStyle name="Normal 9 11 3 4" xfId="18538"/>
    <cellStyle name="Normal 9 11 3 4 2" xfId="38421"/>
    <cellStyle name="Normal 9 11 3 5" xfId="26116"/>
    <cellStyle name="Normal 9 11 4" xfId="7724"/>
    <cellStyle name="Normal 9 11 4 2" xfId="13918"/>
    <cellStyle name="Normal 9 11 4 2 2" xfId="33801"/>
    <cellStyle name="Normal 9 11 4 3" xfId="20070"/>
    <cellStyle name="Normal 9 11 4 3 2" xfId="39953"/>
    <cellStyle name="Normal 9 11 4 4" xfId="27648"/>
    <cellStyle name="Normal 9 11 5" xfId="10852"/>
    <cellStyle name="Normal 9 11 5 2" xfId="30735"/>
    <cellStyle name="Normal 9 11 6" xfId="17004"/>
    <cellStyle name="Normal 9 11 6 2" xfId="36887"/>
    <cellStyle name="Normal 9 11 7" xfId="24582"/>
    <cellStyle name="Normal 9 12" xfId="4143"/>
    <cellStyle name="Normal 9 12 2" xfId="5318"/>
    <cellStyle name="Normal 9 12 2 2" xfId="6943"/>
    <cellStyle name="Normal 9 12 2 2 2" xfId="10029"/>
    <cellStyle name="Normal 9 12 2 2 2 2" xfId="16222"/>
    <cellStyle name="Normal 9 12 2 2 2 2 2" xfId="36105"/>
    <cellStyle name="Normal 9 12 2 2 2 3" xfId="22374"/>
    <cellStyle name="Normal 9 12 2 2 2 3 2" xfId="42257"/>
    <cellStyle name="Normal 9 12 2 2 2 4" xfId="29952"/>
    <cellStyle name="Normal 9 12 2 2 3" xfId="13156"/>
    <cellStyle name="Normal 9 12 2 2 3 2" xfId="33039"/>
    <cellStyle name="Normal 9 12 2 2 4" xfId="19308"/>
    <cellStyle name="Normal 9 12 2 2 4 2" xfId="39191"/>
    <cellStyle name="Normal 9 12 2 2 5" xfId="26886"/>
    <cellStyle name="Normal 9 12 2 3" xfId="8494"/>
    <cellStyle name="Normal 9 12 2 3 2" xfId="14688"/>
    <cellStyle name="Normal 9 12 2 3 2 2" xfId="34571"/>
    <cellStyle name="Normal 9 12 2 3 3" xfId="20840"/>
    <cellStyle name="Normal 9 12 2 3 3 2" xfId="40723"/>
    <cellStyle name="Normal 9 12 2 3 4" xfId="28418"/>
    <cellStyle name="Normal 9 12 2 4" xfId="11622"/>
    <cellStyle name="Normal 9 12 2 4 2" xfId="31505"/>
    <cellStyle name="Normal 9 12 2 5" xfId="17774"/>
    <cellStyle name="Normal 9 12 2 5 2" xfId="37657"/>
    <cellStyle name="Normal 9 12 2 6" xfId="25352"/>
    <cellStyle name="Normal 9 12 3" xfId="6160"/>
    <cellStyle name="Normal 9 12 3 2" xfId="9260"/>
    <cellStyle name="Normal 9 12 3 2 2" xfId="15453"/>
    <cellStyle name="Normal 9 12 3 2 2 2" xfId="35336"/>
    <cellStyle name="Normal 9 12 3 2 3" xfId="21605"/>
    <cellStyle name="Normal 9 12 3 2 3 2" xfId="41488"/>
    <cellStyle name="Normal 9 12 3 2 4" xfId="29183"/>
    <cellStyle name="Normal 9 12 3 3" xfId="12387"/>
    <cellStyle name="Normal 9 12 3 3 2" xfId="32270"/>
    <cellStyle name="Normal 9 12 3 4" xfId="18539"/>
    <cellStyle name="Normal 9 12 3 4 2" xfId="38422"/>
    <cellStyle name="Normal 9 12 3 5" xfId="26117"/>
    <cellStyle name="Normal 9 12 4" xfId="7725"/>
    <cellStyle name="Normal 9 12 4 2" xfId="13919"/>
    <cellStyle name="Normal 9 12 4 2 2" xfId="33802"/>
    <cellStyle name="Normal 9 12 4 3" xfId="20071"/>
    <cellStyle name="Normal 9 12 4 3 2" xfId="39954"/>
    <cellStyle name="Normal 9 12 4 4" xfId="27649"/>
    <cellStyle name="Normal 9 12 5" xfId="10853"/>
    <cellStyle name="Normal 9 12 5 2" xfId="30736"/>
    <cellStyle name="Normal 9 12 6" xfId="17005"/>
    <cellStyle name="Normal 9 12 6 2" xfId="36888"/>
    <cellStyle name="Normal 9 12 7" xfId="24583"/>
    <cellStyle name="Normal 9 13" xfId="4144"/>
    <cellStyle name="Normal 9 13 2" xfId="5319"/>
    <cellStyle name="Normal 9 13 2 2" xfId="6944"/>
    <cellStyle name="Normal 9 13 2 2 2" xfId="10030"/>
    <cellStyle name="Normal 9 13 2 2 2 2" xfId="16223"/>
    <cellStyle name="Normal 9 13 2 2 2 2 2" xfId="36106"/>
    <cellStyle name="Normal 9 13 2 2 2 3" xfId="22375"/>
    <cellStyle name="Normal 9 13 2 2 2 3 2" xfId="42258"/>
    <cellStyle name="Normal 9 13 2 2 2 4" xfId="29953"/>
    <cellStyle name="Normal 9 13 2 2 3" xfId="13157"/>
    <cellStyle name="Normal 9 13 2 2 3 2" xfId="33040"/>
    <cellStyle name="Normal 9 13 2 2 4" xfId="19309"/>
    <cellStyle name="Normal 9 13 2 2 4 2" xfId="39192"/>
    <cellStyle name="Normal 9 13 2 2 5" xfId="26887"/>
    <cellStyle name="Normal 9 13 2 3" xfId="8495"/>
    <cellStyle name="Normal 9 13 2 3 2" xfId="14689"/>
    <cellStyle name="Normal 9 13 2 3 2 2" xfId="34572"/>
    <cellStyle name="Normal 9 13 2 3 3" xfId="20841"/>
    <cellStyle name="Normal 9 13 2 3 3 2" xfId="40724"/>
    <cellStyle name="Normal 9 13 2 3 4" xfId="28419"/>
    <cellStyle name="Normal 9 13 2 4" xfId="11623"/>
    <cellStyle name="Normal 9 13 2 4 2" xfId="31506"/>
    <cellStyle name="Normal 9 13 2 5" xfId="17775"/>
    <cellStyle name="Normal 9 13 2 5 2" xfId="37658"/>
    <cellStyle name="Normal 9 13 2 6" xfId="25353"/>
    <cellStyle name="Normal 9 13 3" xfId="6161"/>
    <cellStyle name="Normal 9 13 3 2" xfId="9261"/>
    <cellStyle name="Normal 9 13 3 2 2" xfId="15454"/>
    <cellStyle name="Normal 9 13 3 2 2 2" xfId="35337"/>
    <cellStyle name="Normal 9 13 3 2 3" xfId="21606"/>
    <cellStyle name="Normal 9 13 3 2 3 2" xfId="41489"/>
    <cellStyle name="Normal 9 13 3 2 4" xfId="29184"/>
    <cellStyle name="Normal 9 13 3 3" xfId="12388"/>
    <cellStyle name="Normal 9 13 3 3 2" xfId="32271"/>
    <cellStyle name="Normal 9 13 3 4" xfId="18540"/>
    <cellStyle name="Normal 9 13 3 4 2" xfId="38423"/>
    <cellStyle name="Normal 9 13 3 5" xfId="26118"/>
    <cellStyle name="Normal 9 13 4" xfId="7726"/>
    <cellStyle name="Normal 9 13 4 2" xfId="13920"/>
    <cellStyle name="Normal 9 13 4 2 2" xfId="33803"/>
    <cellStyle name="Normal 9 13 4 3" xfId="20072"/>
    <cellStyle name="Normal 9 13 4 3 2" xfId="39955"/>
    <cellStyle name="Normal 9 13 4 4" xfId="27650"/>
    <cellStyle name="Normal 9 13 5" xfId="10854"/>
    <cellStyle name="Normal 9 13 5 2" xfId="30737"/>
    <cellStyle name="Normal 9 13 6" xfId="17006"/>
    <cellStyle name="Normal 9 13 6 2" xfId="36889"/>
    <cellStyle name="Normal 9 13 7" xfId="24584"/>
    <cellStyle name="Normal 9 14" xfId="4145"/>
    <cellStyle name="Normal 9 14 2" xfId="5320"/>
    <cellStyle name="Normal 9 14 2 2" xfId="6945"/>
    <cellStyle name="Normal 9 14 2 2 2" xfId="10031"/>
    <cellStyle name="Normal 9 14 2 2 2 2" xfId="16224"/>
    <cellStyle name="Normal 9 14 2 2 2 2 2" xfId="36107"/>
    <cellStyle name="Normal 9 14 2 2 2 3" xfId="22376"/>
    <cellStyle name="Normal 9 14 2 2 2 3 2" xfId="42259"/>
    <cellStyle name="Normal 9 14 2 2 2 4" xfId="29954"/>
    <cellStyle name="Normal 9 14 2 2 3" xfId="13158"/>
    <cellStyle name="Normal 9 14 2 2 3 2" xfId="33041"/>
    <cellStyle name="Normal 9 14 2 2 4" xfId="19310"/>
    <cellStyle name="Normal 9 14 2 2 4 2" xfId="39193"/>
    <cellStyle name="Normal 9 14 2 2 5" xfId="26888"/>
    <cellStyle name="Normal 9 14 2 3" xfId="8496"/>
    <cellStyle name="Normal 9 14 2 3 2" xfId="14690"/>
    <cellStyle name="Normal 9 14 2 3 2 2" xfId="34573"/>
    <cellStyle name="Normal 9 14 2 3 3" xfId="20842"/>
    <cellStyle name="Normal 9 14 2 3 3 2" xfId="40725"/>
    <cellStyle name="Normal 9 14 2 3 4" xfId="28420"/>
    <cellStyle name="Normal 9 14 2 4" xfId="11624"/>
    <cellStyle name="Normal 9 14 2 4 2" xfId="31507"/>
    <cellStyle name="Normal 9 14 2 5" xfId="17776"/>
    <cellStyle name="Normal 9 14 2 5 2" xfId="37659"/>
    <cellStyle name="Normal 9 14 2 6" xfId="25354"/>
    <cellStyle name="Normal 9 14 3" xfId="6162"/>
    <cellStyle name="Normal 9 14 3 2" xfId="9262"/>
    <cellStyle name="Normal 9 14 3 2 2" xfId="15455"/>
    <cellStyle name="Normal 9 14 3 2 2 2" xfId="35338"/>
    <cellStyle name="Normal 9 14 3 2 3" xfId="21607"/>
    <cellStyle name="Normal 9 14 3 2 3 2" xfId="41490"/>
    <cellStyle name="Normal 9 14 3 2 4" xfId="29185"/>
    <cellStyle name="Normal 9 14 3 3" xfId="12389"/>
    <cellStyle name="Normal 9 14 3 3 2" xfId="32272"/>
    <cellStyle name="Normal 9 14 3 4" xfId="18541"/>
    <cellStyle name="Normal 9 14 3 4 2" xfId="38424"/>
    <cellStyle name="Normal 9 14 3 5" xfId="26119"/>
    <cellStyle name="Normal 9 14 4" xfId="7727"/>
    <cellStyle name="Normal 9 14 4 2" xfId="13921"/>
    <cellStyle name="Normal 9 14 4 2 2" xfId="33804"/>
    <cellStyle name="Normal 9 14 4 3" xfId="20073"/>
    <cellStyle name="Normal 9 14 4 3 2" xfId="39956"/>
    <cellStyle name="Normal 9 14 4 4" xfId="27651"/>
    <cellStyle name="Normal 9 14 5" xfId="10855"/>
    <cellStyle name="Normal 9 14 5 2" xfId="30738"/>
    <cellStyle name="Normal 9 14 6" xfId="17007"/>
    <cellStyle name="Normal 9 14 6 2" xfId="36890"/>
    <cellStyle name="Normal 9 14 7" xfId="24585"/>
    <cellStyle name="Normal 9 15" xfId="4146"/>
    <cellStyle name="Normal 9 15 2" xfId="5321"/>
    <cellStyle name="Normal 9 15 2 2" xfId="6946"/>
    <cellStyle name="Normal 9 15 2 2 2" xfId="10032"/>
    <cellStyle name="Normal 9 15 2 2 2 2" xfId="16225"/>
    <cellStyle name="Normal 9 15 2 2 2 2 2" xfId="36108"/>
    <cellStyle name="Normal 9 15 2 2 2 3" xfId="22377"/>
    <cellStyle name="Normal 9 15 2 2 2 3 2" xfId="42260"/>
    <cellStyle name="Normal 9 15 2 2 2 4" xfId="29955"/>
    <cellStyle name="Normal 9 15 2 2 3" xfId="13159"/>
    <cellStyle name="Normal 9 15 2 2 3 2" xfId="33042"/>
    <cellStyle name="Normal 9 15 2 2 4" xfId="19311"/>
    <cellStyle name="Normal 9 15 2 2 4 2" xfId="39194"/>
    <cellStyle name="Normal 9 15 2 2 5" xfId="26889"/>
    <cellStyle name="Normal 9 15 2 3" xfId="8497"/>
    <cellStyle name="Normal 9 15 2 3 2" xfId="14691"/>
    <cellStyle name="Normal 9 15 2 3 2 2" xfId="34574"/>
    <cellStyle name="Normal 9 15 2 3 3" xfId="20843"/>
    <cellStyle name="Normal 9 15 2 3 3 2" xfId="40726"/>
    <cellStyle name="Normal 9 15 2 3 4" xfId="28421"/>
    <cellStyle name="Normal 9 15 2 4" xfId="11625"/>
    <cellStyle name="Normal 9 15 2 4 2" xfId="31508"/>
    <cellStyle name="Normal 9 15 2 5" xfId="17777"/>
    <cellStyle name="Normal 9 15 2 5 2" xfId="37660"/>
    <cellStyle name="Normal 9 15 2 6" xfId="25355"/>
    <cellStyle name="Normal 9 15 3" xfId="6163"/>
    <cellStyle name="Normal 9 15 3 2" xfId="9263"/>
    <cellStyle name="Normal 9 15 3 2 2" xfId="15456"/>
    <cellStyle name="Normal 9 15 3 2 2 2" xfId="35339"/>
    <cellStyle name="Normal 9 15 3 2 3" xfId="21608"/>
    <cellStyle name="Normal 9 15 3 2 3 2" xfId="41491"/>
    <cellStyle name="Normal 9 15 3 2 4" xfId="29186"/>
    <cellStyle name="Normal 9 15 3 3" xfId="12390"/>
    <cellStyle name="Normal 9 15 3 3 2" xfId="32273"/>
    <cellStyle name="Normal 9 15 3 4" xfId="18542"/>
    <cellStyle name="Normal 9 15 3 4 2" xfId="38425"/>
    <cellStyle name="Normal 9 15 3 5" xfId="26120"/>
    <cellStyle name="Normal 9 15 4" xfId="7728"/>
    <cellStyle name="Normal 9 15 4 2" xfId="13922"/>
    <cellStyle name="Normal 9 15 4 2 2" xfId="33805"/>
    <cellStyle name="Normal 9 15 4 3" xfId="20074"/>
    <cellStyle name="Normal 9 15 4 3 2" xfId="39957"/>
    <cellStyle name="Normal 9 15 4 4" xfId="27652"/>
    <cellStyle name="Normal 9 15 5" xfId="10856"/>
    <cellStyle name="Normal 9 15 5 2" xfId="30739"/>
    <cellStyle name="Normal 9 15 6" xfId="17008"/>
    <cellStyle name="Normal 9 15 6 2" xfId="36891"/>
    <cellStyle name="Normal 9 15 7" xfId="24586"/>
    <cellStyle name="Normal 9 16" xfId="4147"/>
    <cellStyle name="Normal 9 16 2" xfId="5322"/>
    <cellStyle name="Normal 9 16 2 2" xfId="6947"/>
    <cellStyle name="Normal 9 16 2 2 2" xfId="10033"/>
    <cellStyle name="Normal 9 16 2 2 2 2" xfId="16226"/>
    <cellStyle name="Normal 9 16 2 2 2 2 2" xfId="36109"/>
    <cellStyle name="Normal 9 16 2 2 2 3" xfId="22378"/>
    <cellStyle name="Normal 9 16 2 2 2 3 2" xfId="42261"/>
    <cellStyle name="Normal 9 16 2 2 2 4" xfId="29956"/>
    <cellStyle name="Normal 9 16 2 2 3" xfId="13160"/>
    <cellStyle name="Normal 9 16 2 2 3 2" xfId="33043"/>
    <cellStyle name="Normal 9 16 2 2 4" xfId="19312"/>
    <cellStyle name="Normal 9 16 2 2 4 2" xfId="39195"/>
    <cellStyle name="Normal 9 16 2 2 5" xfId="26890"/>
    <cellStyle name="Normal 9 16 2 3" xfId="8498"/>
    <cellStyle name="Normal 9 16 2 3 2" xfId="14692"/>
    <cellStyle name="Normal 9 16 2 3 2 2" xfId="34575"/>
    <cellStyle name="Normal 9 16 2 3 3" xfId="20844"/>
    <cellStyle name="Normal 9 16 2 3 3 2" xfId="40727"/>
    <cellStyle name="Normal 9 16 2 3 4" xfId="28422"/>
    <cellStyle name="Normal 9 16 2 4" xfId="11626"/>
    <cellStyle name="Normal 9 16 2 4 2" xfId="31509"/>
    <cellStyle name="Normal 9 16 2 5" xfId="17778"/>
    <cellStyle name="Normal 9 16 2 5 2" xfId="37661"/>
    <cellStyle name="Normal 9 16 2 6" xfId="25356"/>
    <cellStyle name="Normal 9 16 3" xfId="6164"/>
    <cellStyle name="Normal 9 16 3 2" xfId="9264"/>
    <cellStyle name="Normal 9 16 3 2 2" xfId="15457"/>
    <cellStyle name="Normal 9 16 3 2 2 2" xfId="35340"/>
    <cellStyle name="Normal 9 16 3 2 3" xfId="21609"/>
    <cellStyle name="Normal 9 16 3 2 3 2" xfId="41492"/>
    <cellStyle name="Normal 9 16 3 2 4" xfId="29187"/>
    <cellStyle name="Normal 9 16 3 3" xfId="12391"/>
    <cellStyle name="Normal 9 16 3 3 2" xfId="32274"/>
    <cellStyle name="Normal 9 16 3 4" xfId="18543"/>
    <cellStyle name="Normal 9 16 3 4 2" xfId="38426"/>
    <cellStyle name="Normal 9 16 3 5" xfId="26121"/>
    <cellStyle name="Normal 9 16 4" xfId="7729"/>
    <cellStyle name="Normal 9 16 4 2" xfId="13923"/>
    <cellStyle name="Normal 9 16 4 2 2" xfId="33806"/>
    <cellStyle name="Normal 9 16 4 3" xfId="20075"/>
    <cellStyle name="Normal 9 16 4 3 2" xfId="39958"/>
    <cellStyle name="Normal 9 16 4 4" xfId="27653"/>
    <cellStyle name="Normal 9 16 5" xfId="10857"/>
    <cellStyle name="Normal 9 16 5 2" xfId="30740"/>
    <cellStyle name="Normal 9 16 6" xfId="17009"/>
    <cellStyle name="Normal 9 16 6 2" xfId="36892"/>
    <cellStyle name="Normal 9 16 7" xfId="24587"/>
    <cellStyle name="Normal 9 17" xfId="4148"/>
    <cellStyle name="Normal 9 17 2" xfId="5323"/>
    <cellStyle name="Normal 9 17 2 2" xfId="6948"/>
    <cellStyle name="Normal 9 17 2 2 2" xfId="10034"/>
    <cellStyle name="Normal 9 17 2 2 2 2" xfId="16227"/>
    <cellStyle name="Normal 9 17 2 2 2 2 2" xfId="36110"/>
    <cellStyle name="Normal 9 17 2 2 2 3" xfId="22379"/>
    <cellStyle name="Normal 9 17 2 2 2 3 2" xfId="42262"/>
    <cellStyle name="Normal 9 17 2 2 2 4" xfId="29957"/>
    <cellStyle name="Normal 9 17 2 2 3" xfId="13161"/>
    <cellStyle name="Normal 9 17 2 2 3 2" xfId="33044"/>
    <cellStyle name="Normal 9 17 2 2 4" xfId="19313"/>
    <cellStyle name="Normal 9 17 2 2 4 2" xfId="39196"/>
    <cellStyle name="Normal 9 17 2 2 5" xfId="26891"/>
    <cellStyle name="Normal 9 17 2 3" xfId="8499"/>
    <cellStyle name="Normal 9 17 2 3 2" xfId="14693"/>
    <cellStyle name="Normal 9 17 2 3 2 2" xfId="34576"/>
    <cellStyle name="Normal 9 17 2 3 3" xfId="20845"/>
    <cellStyle name="Normal 9 17 2 3 3 2" xfId="40728"/>
    <cellStyle name="Normal 9 17 2 3 4" xfId="28423"/>
    <cellStyle name="Normal 9 17 2 4" xfId="11627"/>
    <cellStyle name="Normal 9 17 2 4 2" xfId="31510"/>
    <cellStyle name="Normal 9 17 2 5" xfId="17779"/>
    <cellStyle name="Normal 9 17 2 5 2" xfId="37662"/>
    <cellStyle name="Normal 9 17 2 6" xfId="25357"/>
    <cellStyle name="Normal 9 17 3" xfId="6165"/>
    <cellStyle name="Normal 9 17 3 2" xfId="9265"/>
    <cellStyle name="Normal 9 17 3 2 2" xfId="15458"/>
    <cellStyle name="Normal 9 17 3 2 2 2" xfId="35341"/>
    <cellStyle name="Normal 9 17 3 2 3" xfId="21610"/>
    <cellStyle name="Normal 9 17 3 2 3 2" xfId="41493"/>
    <cellStyle name="Normal 9 17 3 2 4" xfId="29188"/>
    <cellStyle name="Normal 9 17 3 3" xfId="12392"/>
    <cellStyle name="Normal 9 17 3 3 2" xfId="32275"/>
    <cellStyle name="Normal 9 17 3 4" xfId="18544"/>
    <cellStyle name="Normal 9 17 3 4 2" xfId="38427"/>
    <cellStyle name="Normal 9 17 3 5" xfId="26122"/>
    <cellStyle name="Normal 9 17 4" xfId="7730"/>
    <cellStyle name="Normal 9 17 4 2" xfId="13924"/>
    <cellStyle name="Normal 9 17 4 2 2" xfId="33807"/>
    <cellStyle name="Normal 9 17 4 3" xfId="20076"/>
    <cellStyle name="Normal 9 17 4 3 2" xfId="39959"/>
    <cellStyle name="Normal 9 17 4 4" xfId="27654"/>
    <cellStyle name="Normal 9 17 5" xfId="10858"/>
    <cellStyle name="Normal 9 17 5 2" xfId="30741"/>
    <cellStyle name="Normal 9 17 6" xfId="17010"/>
    <cellStyle name="Normal 9 17 6 2" xfId="36893"/>
    <cellStyle name="Normal 9 17 7" xfId="24588"/>
    <cellStyle name="Normal 9 18" xfId="4149"/>
    <cellStyle name="Normal 9 18 2" xfId="5324"/>
    <cellStyle name="Normal 9 18 2 2" xfId="6949"/>
    <cellStyle name="Normal 9 18 2 2 2" xfId="10035"/>
    <cellStyle name="Normal 9 18 2 2 2 2" xfId="16228"/>
    <cellStyle name="Normal 9 18 2 2 2 2 2" xfId="36111"/>
    <cellStyle name="Normal 9 18 2 2 2 3" xfId="22380"/>
    <cellStyle name="Normal 9 18 2 2 2 3 2" xfId="42263"/>
    <cellStyle name="Normal 9 18 2 2 2 4" xfId="29958"/>
    <cellStyle name="Normal 9 18 2 2 3" xfId="13162"/>
    <cellStyle name="Normal 9 18 2 2 3 2" xfId="33045"/>
    <cellStyle name="Normal 9 18 2 2 4" xfId="19314"/>
    <cellStyle name="Normal 9 18 2 2 4 2" xfId="39197"/>
    <cellStyle name="Normal 9 18 2 2 5" xfId="26892"/>
    <cellStyle name="Normal 9 18 2 3" xfId="8500"/>
    <cellStyle name="Normal 9 18 2 3 2" xfId="14694"/>
    <cellStyle name="Normal 9 18 2 3 2 2" xfId="34577"/>
    <cellStyle name="Normal 9 18 2 3 3" xfId="20846"/>
    <cellStyle name="Normal 9 18 2 3 3 2" xfId="40729"/>
    <cellStyle name="Normal 9 18 2 3 4" xfId="28424"/>
    <cellStyle name="Normal 9 18 2 4" xfId="11628"/>
    <cellStyle name="Normal 9 18 2 4 2" xfId="31511"/>
    <cellStyle name="Normal 9 18 2 5" xfId="17780"/>
    <cellStyle name="Normal 9 18 2 5 2" xfId="37663"/>
    <cellStyle name="Normal 9 18 2 6" xfId="25358"/>
    <cellStyle name="Normal 9 18 3" xfId="6166"/>
    <cellStyle name="Normal 9 18 3 2" xfId="9266"/>
    <cellStyle name="Normal 9 18 3 2 2" xfId="15459"/>
    <cellStyle name="Normal 9 18 3 2 2 2" xfId="35342"/>
    <cellStyle name="Normal 9 18 3 2 3" xfId="21611"/>
    <cellStyle name="Normal 9 18 3 2 3 2" xfId="41494"/>
    <cellStyle name="Normal 9 18 3 2 4" xfId="29189"/>
    <cellStyle name="Normal 9 18 3 3" xfId="12393"/>
    <cellStyle name="Normal 9 18 3 3 2" xfId="32276"/>
    <cellStyle name="Normal 9 18 3 4" xfId="18545"/>
    <cellStyle name="Normal 9 18 3 4 2" xfId="38428"/>
    <cellStyle name="Normal 9 18 3 5" xfId="26123"/>
    <cellStyle name="Normal 9 18 4" xfId="7731"/>
    <cellStyle name="Normal 9 18 4 2" xfId="13925"/>
    <cellStyle name="Normal 9 18 4 2 2" xfId="33808"/>
    <cellStyle name="Normal 9 18 4 3" xfId="20077"/>
    <cellStyle name="Normal 9 18 4 3 2" xfId="39960"/>
    <cellStyle name="Normal 9 18 4 4" xfId="27655"/>
    <cellStyle name="Normal 9 18 5" xfId="10859"/>
    <cellStyle name="Normal 9 18 5 2" xfId="30742"/>
    <cellStyle name="Normal 9 18 6" xfId="17011"/>
    <cellStyle name="Normal 9 18 6 2" xfId="36894"/>
    <cellStyle name="Normal 9 18 7" xfId="24589"/>
    <cellStyle name="Normal 9 19" xfId="4150"/>
    <cellStyle name="Normal 9 19 2" xfId="5325"/>
    <cellStyle name="Normal 9 19 2 2" xfId="6950"/>
    <cellStyle name="Normal 9 19 2 2 2" xfId="10036"/>
    <cellStyle name="Normal 9 19 2 2 2 2" xfId="16229"/>
    <cellStyle name="Normal 9 19 2 2 2 2 2" xfId="36112"/>
    <cellStyle name="Normal 9 19 2 2 2 3" xfId="22381"/>
    <cellStyle name="Normal 9 19 2 2 2 3 2" xfId="42264"/>
    <cellStyle name="Normal 9 19 2 2 2 4" xfId="29959"/>
    <cellStyle name="Normal 9 19 2 2 3" xfId="13163"/>
    <cellStyle name="Normal 9 19 2 2 3 2" xfId="33046"/>
    <cellStyle name="Normal 9 19 2 2 4" xfId="19315"/>
    <cellStyle name="Normal 9 19 2 2 4 2" xfId="39198"/>
    <cellStyle name="Normal 9 19 2 2 5" xfId="26893"/>
    <cellStyle name="Normal 9 19 2 3" xfId="8501"/>
    <cellStyle name="Normal 9 19 2 3 2" xfId="14695"/>
    <cellStyle name="Normal 9 19 2 3 2 2" xfId="34578"/>
    <cellStyle name="Normal 9 19 2 3 3" xfId="20847"/>
    <cellStyle name="Normal 9 19 2 3 3 2" xfId="40730"/>
    <cellStyle name="Normal 9 19 2 3 4" xfId="28425"/>
    <cellStyle name="Normal 9 19 2 4" xfId="11629"/>
    <cellStyle name="Normal 9 19 2 4 2" xfId="31512"/>
    <cellStyle name="Normal 9 19 2 5" xfId="17781"/>
    <cellStyle name="Normal 9 19 2 5 2" xfId="37664"/>
    <cellStyle name="Normal 9 19 2 6" xfId="25359"/>
    <cellStyle name="Normal 9 19 3" xfId="6167"/>
    <cellStyle name="Normal 9 19 3 2" xfId="9267"/>
    <cellStyle name="Normal 9 19 3 2 2" xfId="15460"/>
    <cellStyle name="Normal 9 19 3 2 2 2" xfId="35343"/>
    <cellStyle name="Normal 9 19 3 2 3" xfId="21612"/>
    <cellStyle name="Normal 9 19 3 2 3 2" xfId="41495"/>
    <cellStyle name="Normal 9 19 3 2 4" xfId="29190"/>
    <cellStyle name="Normal 9 19 3 3" xfId="12394"/>
    <cellStyle name="Normal 9 19 3 3 2" xfId="32277"/>
    <cellStyle name="Normal 9 19 3 4" xfId="18546"/>
    <cellStyle name="Normal 9 19 3 4 2" xfId="38429"/>
    <cellStyle name="Normal 9 19 3 5" xfId="26124"/>
    <cellStyle name="Normal 9 19 4" xfId="7732"/>
    <cellStyle name="Normal 9 19 4 2" xfId="13926"/>
    <cellStyle name="Normal 9 19 4 2 2" xfId="33809"/>
    <cellStyle name="Normal 9 19 4 3" xfId="20078"/>
    <cellStyle name="Normal 9 19 4 3 2" xfId="39961"/>
    <cellStyle name="Normal 9 19 4 4" xfId="27656"/>
    <cellStyle name="Normal 9 19 5" xfId="10860"/>
    <cellStyle name="Normal 9 19 5 2" xfId="30743"/>
    <cellStyle name="Normal 9 19 6" xfId="17012"/>
    <cellStyle name="Normal 9 19 6 2" xfId="36895"/>
    <cellStyle name="Normal 9 19 7" xfId="24590"/>
    <cellStyle name="Normal 9 2" xfId="98"/>
    <cellStyle name="Normal 9 2 10" xfId="10861"/>
    <cellStyle name="Normal 9 2 10 2" xfId="30744"/>
    <cellStyle name="Normal 9 2 11" xfId="17013"/>
    <cellStyle name="Normal 9 2 11 2" xfId="36896"/>
    <cellStyle name="Normal 9 2 12" xfId="4151"/>
    <cellStyle name="Normal 9 2 12 2" xfId="24591"/>
    <cellStyle name="Normal 9 2 13" xfId="23299"/>
    <cellStyle name="Normal 9 2 14" xfId="23349"/>
    <cellStyle name="Normal 9 2 2" xfId="144"/>
    <cellStyle name="Normal 9 2 2 2" xfId="5327"/>
    <cellStyle name="Normal 9 2 2 2 2" xfId="6952"/>
    <cellStyle name="Normal 9 2 2 2 2 2" xfId="10038"/>
    <cellStyle name="Normal 9 2 2 2 2 2 2" xfId="16231"/>
    <cellStyle name="Normal 9 2 2 2 2 2 2 2" xfId="36114"/>
    <cellStyle name="Normal 9 2 2 2 2 2 3" xfId="22383"/>
    <cellStyle name="Normal 9 2 2 2 2 2 3 2" xfId="42266"/>
    <cellStyle name="Normal 9 2 2 2 2 2 4" xfId="29961"/>
    <cellStyle name="Normal 9 2 2 2 2 3" xfId="13165"/>
    <cellStyle name="Normal 9 2 2 2 2 3 2" xfId="33048"/>
    <cellStyle name="Normal 9 2 2 2 2 4" xfId="19317"/>
    <cellStyle name="Normal 9 2 2 2 2 4 2" xfId="39200"/>
    <cellStyle name="Normal 9 2 2 2 2 5" xfId="26895"/>
    <cellStyle name="Normal 9 2 2 2 3" xfId="8503"/>
    <cellStyle name="Normal 9 2 2 2 3 2" xfId="14697"/>
    <cellStyle name="Normal 9 2 2 2 3 2 2" xfId="34580"/>
    <cellStyle name="Normal 9 2 2 2 3 3" xfId="20849"/>
    <cellStyle name="Normal 9 2 2 2 3 3 2" xfId="40732"/>
    <cellStyle name="Normal 9 2 2 2 3 4" xfId="28427"/>
    <cellStyle name="Normal 9 2 2 2 4" xfId="11631"/>
    <cellStyle name="Normal 9 2 2 2 4 2" xfId="31514"/>
    <cellStyle name="Normal 9 2 2 2 5" xfId="17783"/>
    <cellStyle name="Normal 9 2 2 2 5 2" xfId="37666"/>
    <cellStyle name="Normal 9 2 2 2 6" xfId="25361"/>
    <cellStyle name="Normal 9 2 2 3" xfId="6169"/>
    <cellStyle name="Normal 9 2 2 3 2" xfId="9269"/>
    <cellStyle name="Normal 9 2 2 3 2 2" xfId="15462"/>
    <cellStyle name="Normal 9 2 2 3 2 2 2" xfId="35345"/>
    <cellStyle name="Normal 9 2 2 3 2 3" xfId="21614"/>
    <cellStyle name="Normal 9 2 2 3 2 3 2" xfId="41497"/>
    <cellStyle name="Normal 9 2 2 3 2 4" xfId="29192"/>
    <cellStyle name="Normal 9 2 2 3 3" xfId="12396"/>
    <cellStyle name="Normal 9 2 2 3 3 2" xfId="32279"/>
    <cellStyle name="Normal 9 2 2 3 4" xfId="18548"/>
    <cellStyle name="Normal 9 2 2 3 4 2" xfId="38431"/>
    <cellStyle name="Normal 9 2 2 3 5" xfId="26126"/>
    <cellStyle name="Normal 9 2 2 4" xfId="7734"/>
    <cellStyle name="Normal 9 2 2 4 2" xfId="13928"/>
    <cellStyle name="Normal 9 2 2 4 2 2" xfId="33811"/>
    <cellStyle name="Normal 9 2 2 4 3" xfId="20080"/>
    <cellStyle name="Normal 9 2 2 4 3 2" xfId="39963"/>
    <cellStyle name="Normal 9 2 2 4 4" xfId="27658"/>
    <cellStyle name="Normal 9 2 2 5" xfId="10862"/>
    <cellStyle name="Normal 9 2 2 5 2" xfId="30745"/>
    <cellStyle name="Normal 9 2 2 6" xfId="17014"/>
    <cellStyle name="Normal 9 2 2 6 2" xfId="36897"/>
    <cellStyle name="Normal 9 2 2 7" xfId="4152"/>
    <cellStyle name="Normal 9 2 2 7 2" xfId="24592"/>
    <cellStyle name="Normal 9 2 2 8" xfId="23387"/>
    <cellStyle name="Normal 9 2 3" xfId="4153"/>
    <cellStyle name="Normal 9 2 3 2" xfId="5328"/>
    <cellStyle name="Normal 9 2 3 2 2" xfId="6953"/>
    <cellStyle name="Normal 9 2 3 2 2 2" xfId="10039"/>
    <cellStyle name="Normal 9 2 3 2 2 2 2" xfId="16232"/>
    <cellStyle name="Normal 9 2 3 2 2 2 2 2" xfId="36115"/>
    <cellStyle name="Normal 9 2 3 2 2 2 3" xfId="22384"/>
    <cellStyle name="Normal 9 2 3 2 2 2 3 2" xfId="42267"/>
    <cellStyle name="Normal 9 2 3 2 2 2 4" xfId="29962"/>
    <cellStyle name="Normal 9 2 3 2 2 3" xfId="13166"/>
    <cellStyle name="Normal 9 2 3 2 2 3 2" xfId="33049"/>
    <cellStyle name="Normal 9 2 3 2 2 4" xfId="19318"/>
    <cellStyle name="Normal 9 2 3 2 2 4 2" xfId="39201"/>
    <cellStyle name="Normal 9 2 3 2 2 5" xfId="26896"/>
    <cellStyle name="Normal 9 2 3 2 3" xfId="8504"/>
    <cellStyle name="Normal 9 2 3 2 3 2" xfId="14698"/>
    <cellStyle name="Normal 9 2 3 2 3 2 2" xfId="34581"/>
    <cellStyle name="Normal 9 2 3 2 3 3" xfId="20850"/>
    <cellStyle name="Normal 9 2 3 2 3 3 2" xfId="40733"/>
    <cellStyle name="Normal 9 2 3 2 3 4" xfId="28428"/>
    <cellStyle name="Normal 9 2 3 2 4" xfId="11632"/>
    <cellStyle name="Normal 9 2 3 2 4 2" xfId="31515"/>
    <cellStyle name="Normal 9 2 3 2 5" xfId="17784"/>
    <cellStyle name="Normal 9 2 3 2 5 2" xfId="37667"/>
    <cellStyle name="Normal 9 2 3 2 6" xfId="25362"/>
    <cellStyle name="Normal 9 2 3 3" xfId="6170"/>
    <cellStyle name="Normal 9 2 3 3 2" xfId="9270"/>
    <cellStyle name="Normal 9 2 3 3 2 2" xfId="15463"/>
    <cellStyle name="Normal 9 2 3 3 2 2 2" xfId="35346"/>
    <cellStyle name="Normal 9 2 3 3 2 3" xfId="21615"/>
    <cellStyle name="Normal 9 2 3 3 2 3 2" xfId="41498"/>
    <cellStyle name="Normal 9 2 3 3 2 4" xfId="29193"/>
    <cellStyle name="Normal 9 2 3 3 3" xfId="12397"/>
    <cellStyle name="Normal 9 2 3 3 3 2" xfId="32280"/>
    <cellStyle name="Normal 9 2 3 3 4" xfId="18549"/>
    <cellStyle name="Normal 9 2 3 3 4 2" xfId="38432"/>
    <cellStyle name="Normal 9 2 3 3 5" xfId="26127"/>
    <cellStyle name="Normal 9 2 3 4" xfId="7735"/>
    <cellStyle name="Normal 9 2 3 4 2" xfId="13929"/>
    <cellStyle name="Normal 9 2 3 4 2 2" xfId="33812"/>
    <cellStyle name="Normal 9 2 3 4 3" xfId="20081"/>
    <cellStyle name="Normal 9 2 3 4 3 2" xfId="39964"/>
    <cellStyle name="Normal 9 2 3 4 4" xfId="27659"/>
    <cellStyle name="Normal 9 2 3 5" xfId="10863"/>
    <cellStyle name="Normal 9 2 3 5 2" xfId="30746"/>
    <cellStyle name="Normal 9 2 3 6" xfId="17015"/>
    <cellStyle name="Normal 9 2 3 6 2" xfId="36898"/>
    <cellStyle name="Normal 9 2 3 7" xfId="24593"/>
    <cellStyle name="Normal 9 2 4" xfId="4154"/>
    <cellStyle name="Normal 9 2 4 2" xfId="5329"/>
    <cellStyle name="Normal 9 2 4 2 2" xfId="6954"/>
    <cellStyle name="Normal 9 2 4 2 2 2" xfId="10040"/>
    <cellStyle name="Normal 9 2 4 2 2 2 2" xfId="16233"/>
    <cellStyle name="Normal 9 2 4 2 2 2 2 2" xfId="36116"/>
    <cellStyle name="Normal 9 2 4 2 2 2 3" xfId="22385"/>
    <cellStyle name="Normal 9 2 4 2 2 2 3 2" xfId="42268"/>
    <cellStyle name="Normal 9 2 4 2 2 2 4" xfId="29963"/>
    <cellStyle name="Normal 9 2 4 2 2 3" xfId="13167"/>
    <cellStyle name="Normal 9 2 4 2 2 3 2" xfId="33050"/>
    <cellStyle name="Normal 9 2 4 2 2 4" xfId="19319"/>
    <cellStyle name="Normal 9 2 4 2 2 4 2" xfId="39202"/>
    <cellStyle name="Normal 9 2 4 2 2 5" xfId="26897"/>
    <cellStyle name="Normal 9 2 4 2 3" xfId="8505"/>
    <cellStyle name="Normal 9 2 4 2 3 2" xfId="14699"/>
    <cellStyle name="Normal 9 2 4 2 3 2 2" xfId="34582"/>
    <cellStyle name="Normal 9 2 4 2 3 3" xfId="20851"/>
    <cellStyle name="Normal 9 2 4 2 3 3 2" xfId="40734"/>
    <cellStyle name="Normal 9 2 4 2 3 4" xfId="28429"/>
    <cellStyle name="Normal 9 2 4 2 4" xfId="11633"/>
    <cellStyle name="Normal 9 2 4 2 4 2" xfId="31516"/>
    <cellStyle name="Normal 9 2 4 2 5" xfId="17785"/>
    <cellStyle name="Normal 9 2 4 2 5 2" xfId="37668"/>
    <cellStyle name="Normal 9 2 4 2 6" xfId="25363"/>
    <cellStyle name="Normal 9 2 4 3" xfId="6171"/>
    <cellStyle name="Normal 9 2 4 3 2" xfId="9271"/>
    <cellStyle name="Normal 9 2 4 3 2 2" xfId="15464"/>
    <cellStyle name="Normal 9 2 4 3 2 2 2" xfId="35347"/>
    <cellStyle name="Normal 9 2 4 3 2 3" xfId="21616"/>
    <cellStyle name="Normal 9 2 4 3 2 3 2" xfId="41499"/>
    <cellStyle name="Normal 9 2 4 3 2 4" xfId="29194"/>
    <cellStyle name="Normal 9 2 4 3 3" xfId="12398"/>
    <cellStyle name="Normal 9 2 4 3 3 2" xfId="32281"/>
    <cellStyle name="Normal 9 2 4 3 4" xfId="18550"/>
    <cellStyle name="Normal 9 2 4 3 4 2" xfId="38433"/>
    <cellStyle name="Normal 9 2 4 3 5" xfId="26128"/>
    <cellStyle name="Normal 9 2 4 4" xfId="7736"/>
    <cellStyle name="Normal 9 2 4 4 2" xfId="13930"/>
    <cellStyle name="Normal 9 2 4 4 2 2" xfId="33813"/>
    <cellStyle name="Normal 9 2 4 4 3" xfId="20082"/>
    <cellStyle name="Normal 9 2 4 4 3 2" xfId="39965"/>
    <cellStyle name="Normal 9 2 4 4 4" xfId="27660"/>
    <cellStyle name="Normal 9 2 4 5" xfId="10864"/>
    <cellStyle name="Normal 9 2 4 5 2" xfId="30747"/>
    <cellStyle name="Normal 9 2 4 6" xfId="17016"/>
    <cellStyle name="Normal 9 2 4 6 2" xfId="36899"/>
    <cellStyle name="Normal 9 2 4 7" xfId="24594"/>
    <cellStyle name="Normal 9 2 5" xfId="4155"/>
    <cellStyle name="Normal 9 2 5 2" xfId="5330"/>
    <cellStyle name="Normal 9 2 5 2 2" xfId="6955"/>
    <cellStyle name="Normal 9 2 5 2 2 2" xfId="10041"/>
    <cellStyle name="Normal 9 2 5 2 2 2 2" xfId="16234"/>
    <cellStyle name="Normal 9 2 5 2 2 2 2 2" xfId="36117"/>
    <cellStyle name="Normal 9 2 5 2 2 2 3" xfId="22386"/>
    <cellStyle name="Normal 9 2 5 2 2 2 3 2" xfId="42269"/>
    <cellStyle name="Normal 9 2 5 2 2 2 4" xfId="29964"/>
    <cellStyle name="Normal 9 2 5 2 2 3" xfId="13168"/>
    <cellStyle name="Normal 9 2 5 2 2 3 2" xfId="33051"/>
    <cellStyle name="Normal 9 2 5 2 2 4" xfId="19320"/>
    <cellStyle name="Normal 9 2 5 2 2 4 2" xfId="39203"/>
    <cellStyle name="Normal 9 2 5 2 2 5" xfId="26898"/>
    <cellStyle name="Normal 9 2 5 2 3" xfId="8506"/>
    <cellStyle name="Normal 9 2 5 2 3 2" xfId="14700"/>
    <cellStyle name="Normal 9 2 5 2 3 2 2" xfId="34583"/>
    <cellStyle name="Normal 9 2 5 2 3 3" xfId="20852"/>
    <cellStyle name="Normal 9 2 5 2 3 3 2" xfId="40735"/>
    <cellStyle name="Normal 9 2 5 2 3 4" xfId="28430"/>
    <cellStyle name="Normal 9 2 5 2 4" xfId="11634"/>
    <cellStyle name="Normal 9 2 5 2 4 2" xfId="31517"/>
    <cellStyle name="Normal 9 2 5 2 5" xfId="17786"/>
    <cellStyle name="Normal 9 2 5 2 5 2" xfId="37669"/>
    <cellStyle name="Normal 9 2 5 2 6" xfId="25364"/>
    <cellStyle name="Normal 9 2 5 3" xfId="6172"/>
    <cellStyle name="Normal 9 2 5 3 2" xfId="9272"/>
    <cellStyle name="Normal 9 2 5 3 2 2" xfId="15465"/>
    <cellStyle name="Normal 9 2 5 3 2 2 2" xfId="35348"/>
    <cellStyle name="Normal 9 2 5 3 2 3" xfId="21617"/>
    <cellStyle name="Normal 9 2 5 3 2 3 2" xfId="41500"/>
    <cellStyle name="Normal 9 2 5 3 2 4" xfId="29195"/>
    <cellStyle name="Normal 9 2 5 3 3" xfId="12399"/>
    <cellStyle name="Normal 9 2 5 3 3 2" xfId="32282"/>
    <cellStyle name="Normal 9 2 5 3 4" xfId="18551"/>
    <cellStyle name="Normal 9 2 5 3 4 2" xfId="38434"/>
    <cellStyle name="Normal 9 2 5 3 5" xfId="26129"/>
    <cellStyle name="Normal 9 2 5 4" xfId="7737"/>
    <cellStyle name="Normal 9 2 5 4 2" xfId="13931"/>
    <cellStyle name="Normal 9 2 5 4 2 2" xfId="33814"/>
    <cellStyle name="Normal 9 2 5 4 3" xfId="20083"/>
    <cellStyle name="Normal 9 2 5 4 3 2" xfId="39966"/>
    <cellStyle name="Normal 9 2 5 4 4" xfId="27661"/>
    <cellStyle name="Normal 9 2 5 5" xfId="10865"/>
    <cellStyle name="Normal 9 2 5 5 2" xfId="30748"/>
    <cellStyle name="Normal 9 2 5 6" xfId="17017"/>
    <cellStyle name="Normal 9 2 5 6 2" xfId="36900"/>
    <cellStyle name="Normal 9 2 5 7" xfId="24595"/>
    <cellStyle name="Normal 9 2 6" xfId="5326"/>
    <cellStyle name="Normal 9 2 6 2" xfId="6951"/>
    <cellStyle name="Normal 9 2 6 2 2" xfId="10037"/>
    <cellStyle name="Normal 9 2 6 2 2 2" xfId="16230"/>
    <cellStyle name="Normal 9 2 6 2 2 2 2" xfId="36113"/>
    <cellStyle name="Normal 9 2 6 2 2 3" xfId="22382"/>
    <cellStyle name="Normal 9 2 6 2 2 3 2" xfId="42265"/>
    <cellStyle name="Normal 9 2 6 2 2 4" xfId="29960"/>
    <cellStyle name="Normal 9 2 6 2 3" xfId="13164"/>
    <cellStyle name="Normal 9 2 6 2 3 2" xfId="33047"/>
    <cellStyle name="Normal 9 2 6 2 4" xfId="19316"/>
    <cellStyle name="Normal 9 2 6 2 4 2" xfId="39199"/>
    <cellStyle name="Normal 9 2 6 2 5" xfId="26894"/>
    <cellStyle name="Normal 9 2 6 3" xfId="8502"/>
    <cellStyle name="Normal 9 2 6 3 2" xfId="14696"/>
    <cellStyle name="Normal 9 2 6 3 2 2" xfId="34579"/>
    <cellStyle name="Normal 9 2 6 3 3" xfId="20848"/>
    <cellStyle name="Normal 9 2 6 3 3 2" xfId="40731"/>
    <cellStyle name="Normal 9 2 6 3 4" xfId="28426"/>
    <cellStyle name="Normal 9 2 6 4" xfId="11630"/>
    <cellStyle name="Normal 9 2 6 4 2" xfId="31513"/>
    <cellStyle name="Normal 9 2 6 5" xfId="17782"/>
    <cellStyle name="Normal 9 2 6 5 2" xfId="37665"/>
    <cellStyle name="Normal 9 2 6 6" xfId="25360"/>
    <cellStyle name="Normal 9 2 7" xfId="6168"/>
    <cellStyle name="Normal 9 2 7 2" xfId="9268"/>
    <cellStyle name="Normal 9 2 7 2 2" xfId="15461"/>
    <cellStyle name="Normal 9 2 7 2 2 2" xfId="35344"/>
    <cellStyle name="Normal 9 2 7 2 3" xfId="21613"/>
    <cellStyle name="Normal 9 2 7 2 3 2" xfId="41496"/>
    <cellStyle name="Normal 9 2 7 2 4" xfId="29191"/>
    <cellStyle name="Normal 9 2 7 3" xfId="12395"/>
    <cellStyle name="Normal 9 2 7 3 2" xfId="32278"/>
    <cellStyle name="Normal 9 2 7 4" xfId="18547"/>
    <cellStyle name="Normal 9 2 7 4 2" xfId="38430"/>
    <cellStyle name="Normal 9 2 7 5" xfId="26125"/>
    <cellStyle name="Normal 9 2 8" xfId="7733"/>
    <cellStyle name="Normal 9 2 8 2" xfId="13927"/>
    <cellStyle name="Normal 9 2 8 2 2" xfId="33810"/>
    <cellStyle name="Normal 9 2 8 3" xfId="20079"/>
    <cellStyle name="Normal 9 2 8 3 2" xfId="39962"/>
    <cellStyle name="Normal 9 2 8 4" xfId="27657"/>
    <cellStyle name="Normal 9 2 9" xfId="10254"/>
    <cellStyle name="Normal 9 20" xfId="4156"/>
    <cellStyle name="Normal 9 20 2" xfId="5331"/>
    <cellStyle name="Normal 9 20 2 2" xfId="6956"/>
    <cellStyle name="Normal 9 20 2 2 2" xfId="10042"/>
    <cellStyle name="Normal 9 20 2 2 2 2" xfId="16235"/>
    <cellStyle name="Normal 9 20 2 2 2 2 2" xfId="36118"/>
    <cellStyle name="Normal 9 20 2 2 2 3" xfId="22387"/>
    <cellStyle name="Normal 9 20 2 2 2 3 2" xfId="42270"/>
    <cellStyle name="Normal 9 20 2 2 2 4" xfId="29965"/>
    <cellStyle name="Normal 9 20 2 2 3" xfId="13169"/>
    <cellStyle name="Normal 9 20 2 2 3 2" xfId="33052"/>
    <cellStyle name="Normal 9 20 2 2 4" xfId="19321"/>
    <cellStyle name="Normal 9 20 2 2 4 2" xfId="39204"/>
    <cellStyle name="Normal 9 20 2 2 5" xfId="26899"/>
    <cellStyle name="Normal 9 20 2 3" xfId="8507"/>
    <cellStyle name="Normal 9 20 2 3 2" xfId="14701"/>
    <cellStyle name="Normal 9 20 2 3 2 2" xfId="34584"/>
    <cellStyle name="Normal 9 20 2 3 3" xfId="20853"/>
    <cellStyle name="Normal 9 20 2 3 3 2" xfId="40736"/>
    <cellStyle name="Normal 9 20 2 3 4" xfId="28431"/>
    <cellStyle name="Normal 9 20 2 4" xfId="11635"/>
    <cellStyle name="Normal 9 20 2 4 2" xfId="31518"/>
    <cellStyle name="Normal 9 20 2 5" xfId="17787"/>
    <cellStyle name="Normal 9 20 2 5 2" xfId="37670"/>
    <cellStyle name="Normal 9 20 2 6" xfId="25365"/>
    <cellStyle name="Normal 9 20 3" xfId="6173"/>
    <cellStyle name="Normal 9 20 3 2" xfId="9273"/>
    <cellStyle name="Normal 9 20 3 2 2" xfId="15466"/>
    <cellStyle name="Normal 9 20 3 2 2 2" xfId="35349"/>
    <cellStyle name="Normal 9 20 3 2 3" xfId="21618"/>
    <cellStyle name="Normal 9 20 3 2 3 2" xfId="41501"/>
    <cellStyle name="Normal 9 20 3 2 4" xfId="29196"/>
    <cellStyle name="Normal 9 20 3 3" xfId="12400"/>
    <cellStyle name="Normal 9 20 3 3 2" xfId="32283"/>
    <cellStyle name="Normal 9 20 3 4" xfId="18552"/>
    <cellStyle name="Normal 9 20 3 4 2" xfId="38435"/>
    <cellStyle name="Normal 9 20 3 5" xfId="26130"/>
    <cellStyle name="Normal 9 20 4" xfId="7738"/>
    <cellStyle name="Normal 9 20 4 2" xfId="13932"/>
    <cellStyle name="Normal 9 20 4 2 2" xfId="33815"/>
    <cellStyle name="Normal 9 20 4 3" xfId="20084"/>
    <cellStyle name="Normal 9 20 4 3 2" xfId="39967"/>
    <cellStyle name="Normal 9 20 4 4" xfId="27662"/>
    <cellStyle name="Normal 9 20 5" xfId="10866"/>
    <cellStyle name="Normal 9 20 5 2" xfId="30749"/>
    <cellStyle name="Normal 9 20 6" xfId="17018"/>
    <cellStyle name="Normal 9 20 6 2" xfId="36901"/>
    <cellStyle name="Normal 9 20 7" xfId="24596"/>
    <cellStyle name="Normal 9 21" xfId="4157"/>
    <cellStyle name="Normal 9 22" xfId="4158"/>
    <cellStyle name="Normal 9 22 2" xfId="5332"/>
    <cellStyle name="Normal 9 22 2 2" xfId="6957"/>
    <cellStyle name="Normal 9 22 2 2 2" xfId="10043"/>
    <cellStyle name="Normal 9 22 2 2 2 2" xfId="16236"/>
    <cellStyle name="Normal 9 22 2 2 2 2 2" xfId="36119"/>
    <cellStyle name="Normal 9 22 2 2 2 3" xfId="22388"/>
    <cellStyle name="Normal 9 22 2 2 2 3 2" xfId="42271"/>
    <cellStyle name="Normal 9 22 2 2 2 4" xfId="29966"/>
    <cellStyle name="Normal 9 22 2 2 3" xfId="13170"/>
    <cellStyle name="Normal 9 22 2 2 3 2" xfId="33053"/>
    <cellStyle name="Normal 9 22 2 2 4" xfId="19322"/>
    <cellStyle name="Normal 9 22 2 2 4 2" xfId="39205"/>
    <cellStyle name="Normal 9 22 2 2 5" xfId="26900"/>
    <cellStyle name="Normal 9 22 2 3" xfId="8508"/>
    <cellStyle name="Normal 9 22 2 3 2" xfId="14702"/>
    <cellStyle name="Normal 9 22 2 3 2 2" xfId="34585"/>
    <cellStyle name="Normal 9 22 2 3 3" xfId="20854"/>
    <cellStyle name="Normal 9 22 2 3 3 2" xfId="40737"/>
    <cellStyle name="Normal 9 22 2 3 4" xfId="28432"/>
    <cellStyle name="Normal 9 22 2 4" xfId="11636"/>
    <cellStyle name="Normal 9 22 2 4 2" xfId="31519"/>
    <cellStyle name="Normal 9 22 2 5" xfId="17788"/>
    <cellStyle name="Normal 9 22 2 5 2" xfId="37671"/>
    <cellStyle name="Normal 9 22 2 6" xfId="25366"/>
    <cellStyle name="Normal 9 22 3" xfId="6174"/>
    <cellStyle name="Normal 9 22 3 2" xfId="9274"/>
    <cellStyle name="Normal 9 22 3 2 2" xfId="15467"/>
    <cellStyle name="Normal 9 22 3 2 2 2" xfId="35350"/>
    <cellStyle name="Normal 9 22 3 2 3" xfId="21619"/>
    <cellStyle name="Normal 9 22 3 2 3 2" xfId="41502"/>
    <cellStyle name="Normal 9 22 3 2 4" xfId="29197"/>
    <cellStyle name="Normal 9 22 3 3" xfId="12401"/>
    <cellStyle name="Normal 9 22 3 3 2" xfId="32284"/>
    <cellStyle name="Normal 9 22 3 4" xfId="18553"/>
    <cellStyle name="Normal 9 22 3 4 2" xfId="38436"/>
    <cellStyle name="Normal 9 22 3 5" xfId="26131"/>
    <cellStyle name="Normal 9 22 4" xfId="7739"/>
    <cellStyle name="Normal 9 22 4 2" xfId="13933"/>
    <cellStyle name="Normal 9 22 4 2 2" xfId="33816"/>
    <cellStyle name="Normal 9 22 4 3" xfId="20085"/>
    <cellStyle name="Normal 9 22 4 3 2" xfId="39968"/>
    <cellStyle name="Normal 9 22 4 4" xfId="27663"/>
    <cellStyle name="Normal 9 22 5" xfId="10867"/>
    <cellStyle name="Normal 9 22 5 2" xfId="30750"/>
    <cellStyle name="Normal 9 22 6" xfId="17019"/>
    <cellStyle name="Normal 9 22 6 2" xfId="36902"/>
    <cellStyle name="Normal 9 22 7" xfId="24597"/>
    <cellStyle name="Normal 9 23" xfId="4159"/>
    <cellStyle name="Normal 9 23 2" xfId="4160"/>
    <cellStyle name="Normal 9 24" xfId="4161"/>
    <cellStyle name="Normal 9 24 2" xfId="4162"/>
    <cellStyle name="Normal 9 25" xfId="4140"/>
    <cellStyle name="Normal 9 25 2" xfId="5315"/>
    <cellStyle name="Normal 9 25 2 2" xfId="6940"/>
    <cellStyle name="Normal 9 25 2 2 2" xfId="10026"/>
    <cellStyle name="Normal 9 25 2 2 2 2" xfId="16219"/>
    <cellStyle name="Normal 9 25 2 2 2 2 2" xfId="36102"/>
    <cellStyle name="Normal 9 25 2 2 2 3" xfId="22371"/>
    <cellStyle name="Normal 9 25 2 2 2 3 2" xfId="42254"/>
    <cellStyle name="Normal 9 25 2 2 2 4" xfId="29949"/>
    <cellStyle name="Normal 9 25 2 2 3" xfId="13153"/>
    <cellStyle name="Normal 9 25 2 2 3 2" xfId="33036"/>
    <cellStyle name="Normal 9 25 2 2 4" xfId="19305"/>
    <cellStyle name="Normal 9 25 2 2 4 2" xfId="39188"/>
    <cellStyle name="Normal 9 25 2 2 5" xfId="26883"/>
    <cellStyle name="Normal 9 25 2 3" xfId="8491"/>
    <cellStyle name="Normal 9 25 2 3 2" xfId="14685"/>
    <cellStyle name="Normal 9 25 2 3 2 2" xfId="34568"/>
    <cellStyle name="Normal 9 25 2 3 3" xfId="20837"/>
    <cellStyle name="Normal 9 25 2 3 3 2" xfId="40720"/>
    <cellStyle name="Normal 9 25 2 3 4" xfId="28415"/>
    <cellStyle name="Normal 9 25 2 4" xfId="11619"/>
    <cellStyle name="Normal 9 25 2 4 2" xfId="31502"/>
    <cellStyle name="Normal 9 25 2 5" xfId="17771"/>
    <cellStyle name="Normal 9 25 2 5 2" xfId="37654"/>
    <cellStyle name="Normal 9 25 2 6" xfId="25349"/>
    <cellStyle name="Normal 9 25 3" xfId="6157"/>
    <cellStyle name="Normal 9 25 3 2" xfId="9257"/>
    <cellStyle name="Normal 9 25 3 2 2" xfId="15450"/>
    <cellStyle name="Normal 9 25 3 2 2 2" xfId="35333"/>
    <cellStyle name="Normal 9 25 3 2 3" xfId="21602"/>
    <cellStyle name="Normal 9 25 3 2 3 2" xfId="41485"/>
    <cellStyle name="Normal 9 25 3 2 4" xfId="29180"/>
    <cellStyle name="Normal 9 25 3 3" xfId="12384"/>
    <cellStyle name="Normal 9 25 3 3 2" xfId="32267"/>
    <cellStyle name="Normal 9 25 3 4" xfId="18536"/>
    <cellStyle name="Normal 9 25 3 4 2" xfId="38419"/>
    <cellStyle name="Normal 9 25 3 5" xfId="26114"/>
    <cellStyle name="Normal 9 25 4" xfId="7722"/>
    <cellStyle name="Normal 9 25 4 2" xfId="13916"/>
    <cellStyle name="Normal 9 25 4 2 2" xfId="33799"/>
    <cellStyle name="Normal 9 25 4 3" xfId="20068"/>
    <cellStyle name="Normal 9 25 4 3 2" xfId="39951"/>
    <cellStyle name="Normal 9 25 4 4" xfId="27646"/>
    <cellStyle name="Normal 9 25 5" xfId="10850"/>
    <cellStyle name="Normal 9 25 5 2" xfId="30733"/>
    <cellStyle name="Normal 9 25 6" xfId="17002"/>
    <cellStyle name="Normal 9 25 6 2" xfId="36885"/>
    <cellStyle name="Normal 9 25 7" xfId="24580"/>
    <cellStyle name="Normal 9 26" xfId="1286"/>
    <cellStyle name="Normal 9 27" xfId="205"/>
    <cellStyle name="Normal 9 28" xfId="23298"/>
    <cellStyle name="Normal 9 29" xfId="23336"/>
    <cellStyle name="Normal 9 3" xfId="128"/>
    <cellStyle name="Normal 9 3 10" xfId="17020"/>
    <cellStyle name="Normal 9 3 10 2" xfId="36903"/>
    <cellStyle name="Normal 9 3 11" xfId="4163"/>
    <cellStyle name="Normal 9 3 11 2" xfId="24598"/>
    <cellStyle name="Normal 9 3 12" xfId="23300"/>
    <cellStyle name="Normal 9 3 13" xfId="23374"/>
    <cellStyle name="Normal 9 3 2" xfId="4164"/>
    <cellStyle name="Normal 9 3 2 2" xfId="5334"/>
    <cellStyle name="Normal 9 3 2 2 2" xfId="6959"/>
    <cellStyle name="Normal 9 3 2 2 2 2" xfId="10045"/>
    <cellStyle name="Normal 9 3 2 2 2 2 2" xfId="16238"/>
    <cellStyle name="Normal 9 3 2 2 2 2 2 2" xfId="36121"/>
    <cellStyle name="Normal 9 3 2 2 2 2 3" xfId="22390"/>
    <cellStyle name="Normal 9 3 2 2 2 2 3 2" xfId="42273"/>
    <cellStyle name="Normal 9 3 2 2 2 2 4" xfId="29968"/>
    <cellStyle name="Normal 9 3 2 2 2 3" xfId="13172"/>
    <cellStyle name="Normal 9 3 2 2 2 3 2" xfId="33055"/>
    <cellStyle name="Normal 9 3 2 2 2 4" xfId="19324"/>
    <cellStyle name="Normal 9 3 2 2 2 4 2" xfId="39207"/>
    <cellStyle name="Normal 9 3 2 2 2 5" xfId="26902"/>
    <cellStyle name="Normal 9 3 2 2 3" xfId="8510"/>
    <cellStyle name="Normal 9 3 2 2 3 2" xfId="14704"/>
    <cellStyle name="Normal 9 3 2 2 3 2 2" xfId="34587"/>
    <cellStyle name="Normal 9 3 2 2 3 3" xfId="20856"/>
    <cellStyle name="Normal 9 3 2 2 3 3 2" xfId="40739"/>
    <cellStyle name="Normal 9 3 2 2 3 4" xfId="28434"/>
    <cellStyle name="Normal 9 3 2 2 4" xfId="11638"/>
    <cellStyle name="Normal 9 3 2 2 4 2" xfId="31521"/>
    <cellStyle name="Normal 9 3 2 2 5" xfId="17790"/>
    <cellStyle name="Normal 9 3 2 2 5 2" xfId="37673"/>
    <cellStyle name="Normal 9 3 2 2 6" xfId="25368"/>
    <cellStyle name="Normal 9 3 2 3" xfId="6176"/>
    <cellStyle name="Normal 9 3 2 3 2" xfId="9276"/>
    <cellStyle name="Normal 9 3 2 3 2 2" xfId="15469"/>
    <cellStyle name="Normal 9 3 2 3 2 2 2" xfId="35352"/>
    <cellStyle name="Normal 9 3 2 3 2 3" xfId="21621"/>
    <cellStyle name="Normal 9 3 2 3 2 3 2" xfId="41504"/>
    <cellStyle name="Normal 9 3 2 3 2 4" xfId="29199"/>
    <cellStyle name="Normal 9 3 2 3 3" xfId="12403"/>
    <cellStyle name="Normal 9 3 2 3 3 2" xfId="32286"/>
    <cellStyle name="Normal 9 3 2 3 4" xfId="18555"/>
    <cellStyle name="Normal 9 3 2 3 4 2" xfId="38438"/>
    <cellStyle name="Normal 9 3 2 3 5" xfId="26133"/>
    <cellStyle name="Normal 9 3 2 4" xfId="7741"/>
    <cellStyle name="Normal 9 3 2 4 2" xfId="13935"/>
    <cellStyle name="Normal 9 3 2 4 2 2" xfId="33818"/>
    <cellStyle name="Normal 9 3 2 4 3" xfId="20087"/>
    <cellStyle name="Normal 9 3 2 4 3 2" xfId="39970"/>
    <cellStyle name="Normal 9 3 2 4 4" xfId="27665"/>
    <cellStyle name="Normal 9 3 2 5" xfId="10869"/>
    <cellStyle name="Normal 9 3 2 5 2" xfId="30752"/>
    <cellStyle name="Normal 9 3 2 6" xfId="17021"/>
    <cellStyle name="Normal 9 3 2 6 2" xfId="36904"/>
    <cellStyle name="Normal 9 3 2 7" xfId="24599"/>
    <cellStyle name="Normal 9 3 3" xfId="4165"/>
    <cellStyle name="Normal 9 3 3 2" xfId="5335"/>
    <cellStyle name="Normal 9 3 3 2 2" xfId="6960"/>
    <cellStyle name="Normal 9 3 3 2 2 2" xfId="10046"/>
    <cellStyle name="Normal 9 3 3 2 2 2 2" xfId="16239"/>
    <cellStyle name="Normal 9 3 3 2 2 2 2 2" xfId="36122"/>
    <cellStyle name="Normal 9 3 3 2 2 2 3" xfId="22391"/>
    <cellStyle name="Normal 9 3 3 2 2 2 3 2" xfId="42274"/>
    <cellStyle name="Normal 9 3 3 2 2 2 4" xfId="29969"/>
    <cellStyle name="Normal 9 3 3 2 2 3" xfId="13173"/>
    <cellStyle name="Normal 9 3 3 2 2 3 2" xfId="33056"/>
    <cellStyle name="Normal 9 3 3 2 2 4" xfId="19325"/>
    <cellStyle name="Normal 9 3 3 2 2 4 2" xfId="39208"/>
    <cellStyle name="Normal 9 3 3 2 2 5" xfId="26903"/>
    <cellStyle name="Normal 9 3 3 2 3" xfId="8511"/>
    <cellStyle name="Normal 9 3 3 2 3 2" xfId="14705"/>
    <cellStyle name="Normal 9 3 3 2 3 2 2" xfId="34588"/>
    <cellStyle name="Normal 9 3 3 2 3 3" xfId="20857"/>
    <cellStyle name="Normal 9 3 3 2 3 3 2" xfId="40740"/>
    <cellStyle name="Normal 9 3 3 2 3 4" xfId="28435"/>
    <cellStyle name="Normal 9 3 3 2 4" xfId="11639"/>
    <cellStyle name="Normal 9 3 3 2 4 2" xfId="31522"/>
    <cellStyle name="Normal 9 3 3 2 5" xfId="17791"/>
    <cellStyle name="Normal 9 3 3 2 5 2" xfId="37674"/>
    <cellStyle name="Normal 9 3 3 2 6" xfId="25369"/>
    <cellStyle name="Normal 9 3 3 3" xfId="6177"/>
    <cellStyle name="Normal 9 3 3 3 2" xfId="9277"/>
    <cellStyle name="Normal 9 3 3 3 2 2" xfId="15470"/>
    <cellStyle name="Normal 9 3 3 3 2 2 2" xfId="35353"/>
    <cellStyle name="Normal 9 3 3 3 2 3" xfId="21622"/>
    <cellStyle name="Normal 9 3 3 3 2 3 2" xfId="41505"/>
    <cellStyle name="Normal 9 3 3 3 2 4" xfId="29200"/>
    <cellStyle name="Normal 9 3 3 3 3" xfId="12404"/>
    <cellStyle name="Normal 9 3 3 3 3 2" xfId="32287"/>
    <cellStyle name="Normal 9 3 3 3 4" xfId="18556"/>
    <cellStyle name="Normal 9 3 3 3 4 2" xfId="38439"/>
    <cellStyle name="Normal 9 3 3 3 5" xfId="26134"/>
    <cellStyle name="Normal 9 3 3 4" xfId="7742"/>
    <cellStyle name="Normal 9 3 3 4 2" xfId="13936"/>
    <cellStyle name="Normal 9 3 3 4 2 2" xfId="33819"/>
    <cellStyle name="Normal 9 3 3 4 3" xfId="20088"/>
    <cellStyle name="Normal 9 3 3 4 3 2" xfId="39971"/>
    <cellStyle name="Normal 9 3 3 4 4" xfId="27666"/>
    <cellStyle name="Normal 9 3 3 5" xfId="10870"/>
    <cellStyle name="Normal 9 3 3 5 2" xfId="30753"/>
    <cellStyle name="Normal 9 3 3 6" xfId="17022"/>
    <cellStyle name="Normal 9 3 3 6 2" xfId="36905"/>
    <cellStyle name="Normal 9 3 3 7" xfId="24600"/>
    <cellStyle name="Normal 9 3 4" xfId="4166"/>
    <cellStyle name="Normal 9 3 4 2" xfId="5336"/>
    <cellStyle name="Normal 9 3 4 2 2" xfId="6961"/>
    <cellStyle name="Normal 9 3 4 2 2 2" xfId="10047"/>
    <cellStyle name="Normal 9 3 4 2 2 2 2" xfId="16240"/>
    <cellStyle name="Normal 9 3 4 2 2 2 2 2" xfId="36123"/>
    <cellStyle name="Normal 9 3 4 2 2 2 3" xfId="22392"/>
    <cellStyle name="Normal 9 3 4 2 2 2 3 2" xfId="42275"/>
    <cellStyle name="Normal 9 3 4 2 2 2 4" xfId="29970"/>
    <cellStyle name="Normal 9 3 4 2 2 3" xfId="13174"/>
    <cellStyle name="Normal 9 3 4 2 2 3 2" xfId="33057"/>
    <cellStyle name="Normal 9 3 4 2 2 4" xfId="19326"/>
    <cellStyle name="Normal 9 3 4 2 2 4 2" xfId="39209"/>
    <cellStyle name="Normal 9 3 4 2 2 5" xfId="26904"/>
    <cellStyle name="Normal 9 3 4 2 3" xfId="8512"/>
    <cellStyle name="Normal 9 3 4 2 3 2" xfId="14706"/>
    <cellStyle name="Normal 9 3 4 2 3 2 2" xfId="34589"/>
    <cellStyle name="Normal 9 3 4 2 3 3" xfId="20858"/>
    <cellStyle name="Normal 9 3 4 2 3 3 2" xfId="40741"/>
    <cellStyle name="Normal 9 3 4 2 3 4" xfId="28436"/>
    <cellStyle name="Normal 9 3 4 2 4" xfId="11640"/>
    <cellStyle name="Normal 9 3 4 2 4 2" xfId="31523"/>
    <cellStyle name="Normal 9 3 4 2 5" xfId="17792"/>
    <cellStyle name="Normal 9 3 4 2 5 2" xfId="37675"/>
    <cellStyle name="Normal 9 3 4 2 6" xfId="25370"/>
    <cellStyle name="Normal 9 3 4 3" xfId="6178"/>
    <cellStyle name="Normal 9 3 4 3 2" xfId="9278"/>
    <cellStyle name="Normal 9 3 4 3 2 2" xfId="15471"/>
    <cellStyle name="Normal 9 3 4 3 2 2 2" xfId="35354"/>
    <cellStyle name="Normal 9 3 4 3 2 3" xfId="21623"/>
    <cellStyle name="Normal 9 3 4 3 2 3 2" xfId="41506"/>
    <cellStyle name="Normal 9 3 4 3 2 4" xfId="29201"/>
    <cellStyle name="Normal 9 3 4 3 3" xfId="12405"/>
    <cellStyle name="Normal 9 3 4 3 3 2" xfId="32288"/>
    <cellStyle name="Normal 9 3 4 3 4" xfId="18557"/>
    <cellStyle name="Normal 9 3 4 3 4 2" xfId="38440"/>
    <cellStyle name="Normal 9 3 4 3 5" xfId="26135"/>
    <cellStyle name="Normal 9 3 4 4" xfId="7743"/>
    <cellStyle name="Normal 9 3 4 4 2" xfId="13937"/>
    <cellStyle name="Normal 9 3 4 4 2 2" xfId="33820"/>
    <cellStyle name="Normal 9 3 4 4 3" xfId="20089"/>
    <cellStyle name="Normal 9 3 4 4 3 2" xfId="39972"/>
    <cellStyle name="Normal 9 3 4 4 4" xfId="27667"/>
    <cellStyle name="Normal 9 3 4 5" xfId="10871"/>
    <cellStyle name="Normal 9 3 4 5 2" xfId="30754"/>
    <cellStyle name="Normal 9 3 4 6" xfId="17023"/>
    <cellStyle name="Normal 9 3 4 6 2" xfId="36906"/>
    <cellStyle name="Normal 9 3 4 7" xfId="24601"/>
    <cellStyle name="Normal 9 3 5" xfId="4167"/>
    <cellStyle name="Normal 9 3 5 2" xfId="5337"/>
    <cellStyle name="Normal 9 3 5 2 2" xfId="6962"/>
    <cellStyle name="Normal 9 3 5 2 2 2" xfId="10048"/>
    <cellStyle name="Normal 9 3 5 2 2 2 2" xfId="16241"/>
    <cellStyle name="Normal 9 3 5 2 2 2 2 2" xfId="36124"/>
    <cellStyle name="Normal 9 3 5 2 2 2 3" xfId="22393"/>
    <cellStyle name="Normal 9 3 5 2 2 2 3 2" xfId="42276"/>
    <cellStyle name="Normal 9 3 5 2 2 2 4" xfId="29971"/>
    <cellStyle name="Normal 9 3 5 2 2 3" xfId="13175"/>
    <cellStyle name="Normal 9 3 5 2 2 3 2" xfId="33058"/>
    <cellStyle name="Normal 9 3 5 2 2 4" xfId="19327"/>
    <cellStyle name="Normal 9 3 5 2 2 4 2" xfId="39210"/>
    <cellStyle name="Normal 9 3 5 2 2 5" xfId="26905"/>
    <cellStyle name="Normal 9 3 5 2 3" xfId="8513"/>
    <cellStyle name="Normal 9 3 5 2 3 2" xfId="14707"/>
    <cellStyle name="Normal 9 3 5 2 3 2 2" xfId="34590"/>
    <cellStyle name="Normal 9 3 5 2 3 3" xfId="20859"/>
    <cellStyle name="Normal 9 3 5 2 3 3 2" xfId="40742"/>
    <cellStyle name="Normal 9 3 5 2 3 4" xfId="28437"/>
    <cellStyle name="Normal 9 3 5 2 4" xfId="11641"/>
    <cellStyle name="Normal 9 3 5 2 4 2" xfId="31524"/>
    <cellStyle name="Normal 9 3 5 2 5" xfId="17793"/>
    <cellStyle name="Normal 9 3 5 2 5 2" xfId="37676"/>
    <cellStyle name="Normal 9 3 5 2 6" xfId="25371"/>
    <cellStyle name="Normal 9 3 5 3" xfId="6179"/>
    <cellStyle name="Normal 9 3 5 3 2" xfId="9279"/>
    <cellStyle name="Normal 9 3 5 3 2 2" xfId="15472"/>
    <cellStyle name="Normal 9 3 5 3 2 2 2" xfId="35355"/>
    <cellStyle name="Normal 9 3 5 3 2 3" xfId="21624"/>
    <cellStyle name="Normal 9 3 5 3 2 3 2" xfId="41507"/>
    <cellStyle name="Normal 9 3 5 3 2 4" xfId="29202"/>
    <cellStyle name="Normal 9 3 5 3 3" xfId="12406"/>
    <cellStyle name="Normal 9 3 5 3 3 2" xfId="32289"/>
    <cellStyle name="Normal 9 3 5 3 4" xfId="18558"/>
    <cellStyle name="Normal 9 3 5 3 4 2" xfId="38441"/>
    <cellStyle name="Normal 9 3 5 3 5" xfId="26136"/>
    <cellStyle name="Normal 9 3 5 4" xfId="7744"/>
    <cellStyle name="Normal 9 3 5 4 2" xfId="13938"/>
    <cellStyle name="Normal 9 3 5 4 2 2" xfId="33821"/>
    <cellStyle name="Normal 9 3 5 4 3" xfId="20090"/>
    <cellStyle name="Normal 9 3 5 4 3 2" xfId="39973"/>
    <cellStyle name="Normal 9 3 5 4 4" xfId="27668"/>
    <cellStyle name="Normal 9 3 5 5" xfId="10872"/>
    <cellStyle name="Normal 9 3 5 5 2" xfId="30755"/>
    <cellStyle name="Normal 9 3 5 6" xfId="17024"/>
    <cellStyle name="Normal 9 3 5 6 2" xfId="36907"/>
    <cellStyle name="Normal 9 3 5 7" xfId="24602"/>
    <cellStyle name="Normal 9 3 6" xfId="5333"/>
    <cellStyle name="Normal 9 3 6 2" xfId="6958"/>
    <cellStyle name="Normal 9 3 6 2 2" xfId="10044"/>
    <cellStyle name="Normal 9 3 6 2 2 2" xfId="16237"/>
    <cellStyle name="Normal 9 3 6 2 2 2 2" xfId="36120"/>
    <cellStyle name="Normal 9 3 6 2 2 3" xfId="22389"/>
    <cellStyle name="Normal 9 3 6 2 2 3 2" xfId="42272"/>
    <cellStyle name="Normal 9 3 6 2 2 4" xfId="29967"/>
    <cellStyle name="Normal 9 3 6 2 3" xfId="13171"/>
    <cellStyle name="Normal 9 3 6 2 3 2" xfId="33054"/>
    <cellStyle name="Normal 9 3 6 2 4" xfId="19323"/>
    <cellStyle name="Normal 9 3 6 2 4 2" xfId="39206"/>
    <cellStyle name="Normal 9 3 6 2 5" xfId="26901"/>
    <cellStyle name="Normal 9 3 6 3" xfId="8509"/>
    <cellStyle name="Normal 9 3 6 3 2" xfId="14703"/>
    <cellStyle name="Normal 9 3 6 3 2 2" xfId="34586"/>
    <cellStyle name="Normal 9 3 6 3 3" xfId="20855"/>
    <cellStyle name="Normal 9 3 6 3 3 2" xfId="40738"/>
    <cellStyle name="Normal 9 3 6 3 4" xfId="28433"/>
    <cellStyle name="Normal 9 3 6 4" xfId="11637"/>
    <cellStyle name="Normal 9 3 6 4 2" xfId="31520"/>
    <cellStyle name="Normal 9 3 6 5" xfId="17789"/>
    <cellStyle name="Normal 9 3 6 5 2" xfId="37672"/>
    <cellStyle name="Normal 9 3 6 6" xfId="25367"/>
    <cellStyle name="Normal 9 3 7" xfId="6175"/>
    <cellStyle name="Normal 9 3 7 2" xfId="9275"/>
    <cellStyle name="Normal 9 3 7 2 2" xfId="15468"/>
    <cellStyle name="Normal 9 3 7 2 2 2" xfId="35351"/>
    <cellStyle name="Normal 9 3 7 2 3" xfId="21620"/>
    <cellStyle name="Normal 9 3 7 2 3 2" xfId="41503"/>
    <cellStyle name="Normal 9 3 7 2 4" xfId="29198"/>
    <cellStyle name="Normal 9 3 7 3" xfId="12402"/>
    <cellStyle name="Normal 9 3 7 3 2" xfId="32285"/>
    <cellStyle name="Normal 9 3 7 4" xfId="18554"/>
    <cellStyle name="Normal 9 3 7 4 2" xfId="38437"/>
    <cellStyle name="Normal 9 3 7 5" xfId="26132"/>
    <cellStyle name="Normal 9 3 8" xfId="7740"/>
    <cellStyle name="Normal 9 3 8 2" xfId="13934"/>
    <cellStyle name="Normal 9 3 8 2 2" xfId="33817"/>
    <cellStyle name="Normal 9 3 8 3" xfId="20086"/>
    <cellStyle name="Normal 9 3 8 3 2" xfId="39969"/>
    <cellStyle name="Normal 9 3 8 4" xfId="27664"/>
    <cellStyle name="Normal 9 3 9" xfId="10868"/>
    <cellStyle name="Normal 9 3 9 2" xfId="30751"/>
    <cellStyle name="Normal 9 4" xfId="114"/>
    <cellStyle name="Normal 9 4 2" xfId="5338"/>
    <cellStyle name="Normal 9 4 2 2" xfId="6963"/>
    <cellStyle name="Normal 9 4 2 2 2" xfId="10049"/>
    <cellStyle name="Normal 9 4 2 2 2 2" xfId="16242"/>
    <cellStyle name="Normal 9 4 2 2 2 2 2" xfId="36125"/>
    <cellStyle name="Normal 9 4 2 2 2 3" xfId="22394"/>
    <cellStyle name="Normal 9 4 2 2 2 3 2" xfId="42277"/>
    <cellStyle name="Normal 9 4 2 2 2 4" xfId="29972"/>
    <cellStyle name="Normal 9 4 2 2 3" xfId="13176"/>
    <cellStyle name="Normal 9 4 2 2 3 2" xfId="33059"/>
    <cellStyle name="Normal 9 4 2 2 4" xfId="19328"/>
    <cellStyle name="Normal 9 4 2 2 4 2" xfId="39211"/>
    <cellStyle name="Normal 9 4 2 2 5" xfId="26906"/>
    <cellStyle name="Normal 9 4 2 3" xfId="8514"/>
    <cellStyle name="Normal 9 4 2 3 2" xfId="14708"/>
    <cellStyle name="Normal 9 4 2 3 2 2" xfId="34591"/>
    <cellStyle name="Normal 9 4 2 3 3" xfId="20860"/>
    <cellStyle name="Normal 9 4 2 3 3 2" xfId="40743"/>
    <cellStyle name="Normal 9 4 2 3 4" xfId="28438"/>
    <cellStyle name="Normal 9 4 2 4" xfId="11642"/>
    <cellStyle name="Normal 9 4 2 4 2" xfId="31525"/>
    <cellStyle name="Normal 9 4 2 5" xfId="17794"/>
    <cellStyle name="Normal 9 4 2 5 2" xfId="37677"/>
    <cellStyle name="Normal 9 4 2 6" xfId="25372"/>
    <cellStyle name="Normal 9 4 3" xfId="6180"/>
    <cellStyle name="Normal 9 4 3 2" xfId="9280"/>
    <cellStyle name="Normal 9 4 3 2 2" xfId="15473"/>
    <cellStyle name="Normal 9 4 3 2 2 2" xfId="35356"/>
    <cellStyle name="Normal 9 4 3 2 3" xfId="21625"/>
    <cellStyle name="Normal 9 4 3 2 3 2" xfId="41508"/>
    <cellStyle name="Normal 9 4 3 2 4" xfId="29203"/>
    <cellStyle name="Normal 9 4 3 3" xfId="12407"/>
    <cellStyle name="Normal 9 4 3 3 2" xfId="32290"/>
    <cellStyle name="Normal 9 4 3 4" xfId="18559"/>
    <cellStyle name="Normal 9 4 3 4 2" xfId="38442"/>
    <cellStyle name="Normal 9 4 3 5" xfId="26137"/>
    <cellStyle name="Normal 9 4 4" xfId="7745"/>
    <cellStyle name="Normal 9 4 4 2" xfId="13939"/>
    <cellStyle name="Normal 9 4 4 2 2" xfId="33822"/>
    <cellStyle name="Normal 9 4 4 3" xfId="20091"/>
    <cellStyle name="Normal 9 4 4 3 2" xfId="39974"/>
    <cellStyle name="Normal 9 4 4 4" xfId="27669"/>
    <cellStyle name="Normal 9 4 5" xfId="10873"/>
    <cellStyle name="Normal 9 4 5 2" xfId="30756"/>
    <cellStyle name="Normal 9 4 6" xfId="17025"/>
    <cellStyle name="Normal 9 4 6 2" xfId="36908"/>
    <cellStyle name="Normal 9 4 7" xfId="4168"/>
    <cellStyle name="Normal 9 4 7 2" xfId="24603"/>
    <cellStyle name="Normal 9 4 8" xfId="23301"/>
    <cellStyle name="Normal 9 4 9" xfId="23362"/>
    <cellStyle name="Normal 9 5" xfId="4169"/>
    <cellStyle name="Normal 9 5 2" xfId="5339"/>
    <cellStyle name="Normal 9 5 2 2" xfId="6964"/>
    <cellStyle name="Normal 9 5 2 2 2" xfId="10050"/>
    <cellStyle name="Normal 9 5 2 2 2 2" xfId="16243"/>
    <cellStyle name="Normal 9 5 2 2 2 2 2" xfId="36126"/>
    <cellStyle name="Normal 9 5 2 2 2 3" xfId="22395"/>
    <cellStyle name="Normal 9 5 2 2 2 3 2" xfId="42278"/>
    <cellStyle name="Normal 9 5 2 2 2 4" xfId="29973"/>
    <cellStyle name="Normal 9 5 2 2 3" xfId="13177"/>
    <cellStyle name="Normal 9 5 2 2 3 2" xfId="33060"/>
    <cellStyle name="Normal 9 5 2 2 4" xfId="19329"/>
    <cellStyle name="Normal 9 5 2 2 4 2" xfId="39212"/>
    <cellStyle name="Normal 9 5 2 2 5" xfId="26907"/>
    <cellStyle name="Normal 9 5 2 3" xfId="8515"/>
    <cellStyle name="Normal 9 5 2 3 2" xfId="14709"/>
    <cellStyle name="Normal 9 5 2 3 2 2" xfId="34592"/>
    <cellStyle name="Normal 9 5 2 3 3" xfId="20861"/>
    <cellStyle name="Normal 9 5 2 3 3 2" xfId="40744"/>
    <cellStyle name="Normal 9 5 2 3 4" xfId="28439"/>
    <cellStyle name="Normal 9 5 2 4" xfId="11643"/>
    <cellStyle name="Normal 9 5 2 4 2" xfId="31526"/>
    <cellStyle name="Normal 9 5 2 5" xfId="17795"/>
    <cellStyle name="Normal 9 5 2 5 2" xfId="37678"/>
    <cellStyle name="Normal 9 5 2 6" xfId="25373"/>
    <cellStyle name="Normal 9 5 3" xfId="6181"/>
    <cellStyle name="Normal 9 5 3 2" xfId="9281"/>
    <cellStyle name="Normal 9 5 3 2 2" xfId="15474"/>
    <cellStyle name="Normal 9 5 3 2 2 2" xfId="35357"/>
    <cellStyle name="Normal 9 5 3 2 3" xfId="21626"/>
    <cellStyle name="Normal 9 5 3 2 3 2" xfId="41509"/>
    <cellStyle name="Normal 9 5 3 2 4" xfId="29204"/>
    <cellStyle name="Normal 9 5 3 3" xfId="12408"/>
    <cellStyle name="Normal 9 5 3 3 2" xfId="32291"/>
    <cellStyle name="Normal 9 5 3 4" xfId="18560"/>
    <cellStyle name="Normal 9 5 3 4 2" xfId="38443"/>
    <cellStyle name="Normal 9 5 3 5" xfId="26138"/>
    <cellStyle name="Normal 9 5 4" xfId="7746"/>
    <cellStyle name="Normal 9 5 4 2" xfId="13940"/>
    <cellStyle name="Normal 9 5 4 2 2" xfId="33823"/>
    <cellStyle name="Normal 9 5 4 3" xfId="20092"/>
    <cellStyle name="Normal 9 5 4 3 2" xfId="39975"/>
    <cellStyle name="Normal 9 5 4 4" xfId="27670"/>
    <cellStyle name="Normal 9 5 5" xfId="10874"/>
    <cellStyle name="Normal 9 5 5 2" xfId="30757"/>
    <cellStyle name="Normal 9 5 6" xfId="17026"/>
    <cellStyle name="Normal 9 5 6 2" xfId="36909"/>
    <cellStyle name="Normal 9 5 7" xfId="23302"/>
    <cellStyle name="Normal 9 5 8" xfId="24604"/>
    <cellStyle name="Normal 9 6" xfId="4170"/>
    <cellStyle name="Normal 9 6 2" xfId="5340"/>
    <cellStyle name="Normal 9 6 2 2" xfId="6965"/>
    <cellStyle name="Normal 9 6 2 2 2" xfId="10051"/>
    <cellStyle name="Normal 9 6 2 2 2 2" xfId="16244"/>
    <cellStyle name="Normal 9 6 2 2 2 2 2" xfId="36127"/>
    <cellStyle name="Normal 9 6 2 2 2 3" xfId="22396"/>
    <cellStyle name="Normal 9 6 2 2 2 3 2" xfId="42279"/>
    <cellStyle name="Normal 9 6 2 2 2 4" xfId="29974"/>
    <cellStyle name="Normal 9 6 2 2 3" xfId="13178"/>
    <cellStyle name="Normal 9 6 2 2 3 2" xfId="33061"/>
    <cellStyle name="Normal 9 6 2 2 4" xfId="19330"/>
    <cellStyle name="Normal 9 6 2 2 4 2" xfId="39213"/>
    <cellStyle name="Normal 9 6 2 2 5" xfId="26908"/>
    <cellStyle name="Normal 9 6 2 3" xfId="8516"/>
    <cellStyle name="Normal 9 6 2 3 2" xfId="14710"/>
    <cellStyle name="Normal 9 6 2 3 2 2" xfId="34593"/>
    <cellStyle name="Normal 9 6 2 3 3" xfId="20862"/>
    <cellStyle name="Normal 9 6 2 3 3 2" xfId="40745"/>
    <cellStyle name="Normal 9 6 2 3 4" xfId="28440"/>
    <cellStyle name="Normal 9 6 2 4" xfId="11644"/>
    <cellStyle name="Normal 9 6 2 4 2" xfId="31527"/>
    <cellStyle name="Normal 9 6 2 5" xfId="17796"/>
    <cellStyle name="Normal 9 6 2 5 2" xfId="37679"/>
    <cellStyle name="Normal 9 6 2 6" xfId="25374"/>
    <cellStyle name="Normal 9 6 3" xfId="6182"/>
    <cellStyle name="Normal 9 6 3 2" xfId="9282"/>
    <cellStyle name="Normal 9 6 3 2 2" xfId="15475"/>
    <cellStyle name="Normal 9 6 3 2 2 2" xfId="35358"/>
    <cellStyle name="Normal 9 6 3 2 3" xfId="21627"/>
    <cellStyle name="Normal 9 6 3 2 3 2" xfId="41510"/>
    <cellStyle name="Normal 9 6 3 2 4" xfId="29205"/>
    <cellStyle name="Normal 9 6 3 3" xfId="12409"/>
    <cellStyle name="Normal 9 6 3 3 2" xfId="32292"/>
    <cellStyle name="Normal 9 6 3 4" xfId="18561"/>
    <cellStyle name="Normal 9 6 3 4 2" xfId="38444"/>
    <cellStyle name="Normal 9 6 3 5" xfId="26139"/>
    <cellStyle name="Normal 9 6 4" xfId="7747"/>
    <cellStyle name="Normal 9 6 4 2" xfId="13941"/>
    <cellStyle name="Normal 9 6 4 2 2" xfId="33824"/>
    <cellStyle name="Normal 9 6 4 3" xfId="20093"/>
    <cellStyle name="Normal 9 6 4 3 2" xfId="39976"/>
    <cellStyle name="Normal 9 6 4 4" xfId="27671"/>
    <cellStyle name="Normal 9 6 5" xfId="10875"/>
    <cellStyle name="Normal 9 6 5 2" xfId="30758"/>
    <cellStyle name="Normal 9 6 6" xfId="17027"/>
    <cellStyle name="Normal 9 6 6 2" xfId="36910"/>
    <cellStyle name="Normal 9 6 7" xfId="24605"/>
    <cellStyle name="Normal 9 7" xfId="4171"/>
    <cellStyle name="Normal 9 7 2" xfId="5341"/>
    <cellStyle name="Normal 9 7 2 2" xfId="6966"/>
    <cellStyle name="Normal 9 7 2 2 2" xfId="10052"/>
    <cellStyle name="Normal 9 7 2 2 2 2" xfId="16245"/>
    <cellStyle name="Normal 9 7 2 2 2 2 2" xfId="36128"/>
    <cellStyle name="Normal 9 7 2 2 2 3" xfId="22397"/>
    <cellStyle name="Normal 9 7 2 2 2 3 2" xfId="42280"/>
    <cellStyle name="Normal 9 7 2 2 2 4" xfId="29975"/>
    <cellStyle name="Normal 9 7 2 2 3" xfId="13179"/>
    <cellStyle name="Normal 9 7 2 2 3 2" xfId="33062"/>
    <cellStyle name="Normal 9 7 2 2 4" xfId="19331"/>
    <cellStyle name="Normal 9 7 2 2 4 2" xfId="39214"/>
    <cellStyle name="Normal 9 7 2 2 5" xfId="26909"/>
    <cellStyle name="Normal 9 7 2 3" xfId="8517"/>
    <cellStyle name="Normal 9 7 2 3 2" xfId="14711"/>
    <cellStyle name="Normal 9 7 2 3 2 2" xfId="34594"/>
    <cellStyle name="Normal 9 7 2 3 3" xfId="20863"/>
    <cellStyle name="Normal 9 7 2 3 3 2" xfId="40746"/>
    <cellStyle name="Normal 9 7 2 3 4" xfId="28441"/>
    <cellStyle name="Normal 9 7 2 4" xfId="11645"/>
    <cellStyle name="Normal 9 7 2 4 2" xfId="31528"/>
    <cellStyle name="Normal 9 7 2 5" xfId="17797"/>
    <cellStyle name="Normal 9 7 2 5 2" xfId="37680"/>
    <cellStyle name="Normal 9 7 2 6" xfId="25375"/>
    <cellStyle name="Normal 9 7 3" xfId="6183"/>
    <cellStyle name="Normal 9 7 3 2" xfId="9283"/>
    <cellStyle name="Normal 9 7 3 2 2" xfId="15476"/>
    <cellStyle name="Normal 9 7 3 2 2 2" xfId="35359"/>
    <cellStyle name="Normal 9 7 3 2 3" xfId="21628"/>
    <cellStyle name="Normal 9 7 3 2 3 2" xfId="41511"/>
    <cellStyle name="Normal 9 7 3 2 4" xfId="29206"/>
    <cellStyle name="Normal 9 7 3 3" xfId="12410"/>
    <cellStyle name="Normal 9 7 3 3 2" xfId="32293"/>
    <cellStyle name="Normal 9 7 3 4" xfId="18562"/>
    <cellStyle name="Normal 9 7 3 4 2" xfId="38445"/>
    <cellStyle name="Normal 9 7 3 5" xfId="26140"/>
    <cellStyle name="Normal 9 7 4" xfId="7748"/>
    <cellStyle name="Normal 9 7 4 2" xfId="13942"/>
    <cellStyle name="Normal 9 7 4 2 2" xfId="33825"/>
    <cellStyle name="Normal 9 7 4 3" xfId="20094"/>
    <cellStyle name="Normal 9 7 4 3 2" xfId="39977"/>
    <cellStyle name="Normal 9 7 4 4" xfId="27672"/>
    <cellStyle name="Normal 9 7 5" xfId="10876"/>
    <cellStyle name="Normal 9 7 5 2" xfId="30759"/>
    <cellStyle name="Normal 9 7 6" xfId="17028"/>
    <cellStyle name="Normal 9 7 6 2" xfId="36911"/>
    <cellStyle name="Normal 9 7 7" xfId="24606"/>
    <cellStyle name="Normal 9 8" xfId="4172"/>
    <cellStyle name="Normal 9 8 2" xfId="5342"/>
    <cellStyle name="Normal 9 8 2 2" xfId="6967"/>
    <cellStyle name="Normal 9 8 2 2 2" xfId="10053"/>
    <cellStyle name="Normal 9 8 2 2 2 2" xfId="16246"/>
    <cellStyle name="Normal 9 8 2 2 2 2 2" xfId="36129"/>
    <cellStyle name="Normal 9 8 2 2 2 3" xfId="22398"/>
    <cellStyle name="Normal 9 8 2 2 2 3 2" xfId="42281"/>
    <cellStyle name="Normal 9 8 2 2 2 4" xfId="29976"/>
    <cellStyle name="Normal 9 8 2 2 3" xfId="13180"/>
    <cellStyle name="Normal 9 8 2 2 3 2" xfId="33063"/>
    <cellStyle name="Normal 9 8 2 2 4" xfId="19332"/>
    <cellStyle name="Normal 9 8 2 2 4 2" xfId="39215"/>
    <cellStyle name="Normal 9 8 2 2 5" xfId="26910"/>
    <cellStyle name="Normal 9 8 2 3" xfId="8518"/>
    <cellStyle name="Normal 9 8 2 3 2" xfId="14712"/>
    <cellStyle name="Normal 9 8 2 3 2 2" xfId="34595"/>
    <cellStyle name="Normal 9 8 2 3 3" xfId="20864"/>
    <cellStyle name="Normal 9 8 2 3 3 2" xfId="40747"/>
    <cellStyle name="Normal 9 8 2 3 4" xfId="28442"/>
    <cellStyle name="Normal 9 8 2 4" xfId="11646"/>
    <cellStyle name="Normal 9 8 2 4 2" xfId="31529"/>
    <cellStyle name="Normal 9 8 2 5" xfId="17798"/>
    <cellStyle name="Normal 9 8 2 5 2" xfId="37681"/>
    <cellStyle name="Normal 9 8 2 6" xfId="25376"/>
    <cellStyle name="Normal 9 8 3" xfId="6184"/>
    <cellStyle name="Normal 9 8 3 2" xfId="9284"/>
    <cellStyle name="Normal 9 8 3 2 2" xfId="15477"/>
    <cellStyle name="Normal 9 8 3 2 2 2" xfId="35360"/>
    <cellStyle name="Normal 9 8 3 2 3" xfId="21629"/>
    <cellStyle name="Normal 9 8 3 2 3 2" xfId="41512"/>
    <cellStyle name="Normal 9 8 3 2 4" xfId="29207"/>
    <cellStyle name="Normal 9 8 3 3" xfId="12411"/>
    <cellStyle name="Normal 9 8 3 3 2" xfId="32294"/>
    <cellStyle name="Normal 9 8 3 4" xfId="18563"/>
    <cellStyle name="Normal 9 8 3 4 2" xfId="38446"/>
    <cellStyle name="Normal 9 8 3 5" xfId="26141"/>
    <cellStyle name="Normal 9 8 4" xfId="7749"/>
    <cellStyle name="Normal 9 8 4 2" xfId="13943"/>
    <cellStyle name="Normal 9 8 4 2 2" xfId="33826"/>
    <cellStyle name="Normal 9 8 4 3" xfId="20095"/>
    <cellStyle name="Normal 9 8 4 3 2" xfId="39978"/>
    <cellStyle name="Normal 9 8 4 4" xfId="27673"/>
    <cellStyle name="Normal 9 8 5" xfId="10877"/>
    <cellStyle name="Normal 9 8 5 2" xfId="30760"/>
    <cellStyle name="Normal 9 8 6" xfId="17029"/>
    <cellStyle name="Normal 9 8 6 2" xfId="36912"/>
    <cellStyle name="Normal 9 8 7" xfId="24607"/>
    <cellStyle name="Normal 9 9" xfId="4173"/>
    <cellStyle name="Normal 9 9 2" xfId="5343"/>
    <cellStyle name="Normal 9 9 2 2" xfId="6968"/>
    <cellStyle name="Normal 9 9 2 2 2" xfId="10054"/>
    <cellStyle name="Normal 9 9 2 2 2 2" xfId="16247"/>
    <cellStyle name="Normal 9 9 2 2 2 2 2" xfId="36130"/>
    <cellStyle name="Normal 9 9 2 2 2 3" xfId="22399"/>
    <cellStyle name="Normal 9 9 2 2 2 3 2" xfId="42282"/>
    <cellStyle name="Normal 9 9 2 2 2 4" xfId="29977"/>
    <cellStyle name="Normal 9 9 2 2 3" xfId="13181"/>
    <cellStyle name="Normal 9 9 2 2 3 2" xfId="33064"/>
    <cellStyle name="Normal 9 9 2 2 4" xfId="19333"/>
    <cellStyle name="Normal 9 9 2 2 4 2" xfId="39216"/>
    <cellStyle name="Normal 9 9 2 2 5" xfId="26911"/>
    <cellStyle name="Normal 9 9 2 3" xfId="8519"/>
    <cellStyle name="Normal 9 9 2 3 2" xfId="14713"/>
    <cellStyle name="Normal 9 9 2 3 2 2" xfId="34596"/>
    <cellStyle name="Normal 9 9 2 3 3" xfId="20865"/>
    <cellStyle name="Normal 9 9 2 3 3 2" xfId="40748"/>
    <cellStyle name="Normal 9 9 2 3 4" xfId="28443"/>
    <cellStyle name="Normal 9 9 2 4" xfId="11647"/>
    <cellStyle name="Normal 9 9 2 4 2" xfId="31530"/>
    <cellStyle name="Normal 9 9 2 5" xfId="17799"/>
    <cellStyle name="Normal 9 9 2 5 2" xfId="37682"/>
    <cellStyle name="Normal 9 9 2 6" xfId="25377"/>
    <cellStyle name="Normal 9 9 3" xfId="6185"/>
    <cellStyle name="Normal 9 9 3 2" xfId="9285"/>
    <cellStyle name="Normal 9 9 3 2 2" xfId="15478"/>
    <cellStyle name="Normal 9 9 3 2 2 2" xfId="35361"/>
    <cellStyle name="Normal 9 9 3 2 3" xfId="21630"/>
    <cellStyle name="Normal 9 9 3 2 3 2" xfId="41513"/>
    <cellStyle name="Normal 9 9 3 2 4" xfId="29208"/>
    <cellStyle name="Normal 9 9 3 3" xfId="12412"/>
    <cellStyle name="Normal 9 9 3 3 2" xfId="32295"/>
    <cellStyle name="Normal 9 9 3 4" xfId="18564"/>
    <cellStyle name="Normal 9 9 3 4 2" xfId="38447"/>
    <cellStyle name="Normal 9 9 3 5" xfId="26142"/>
    <cellStyle name="Normal 9 9 4" xfId="7750"/>
    <cellStyle name="Normal 9 9 4 2" xfId="13944"/>
    <cellStyle name="Normal 9 9 4 2 2" xfId="33827"/>
    <cellStyle name="Normal 9 9 4 3" xfId="20096"/>
    <cellStyle name="Normal 9 9 4 3 2" xfId="39979"/>
    <cellStyle name="Normal 9 9 4 4" xfId="27674"/>
    <cellStyle name="Normal 9 9 5" xfId="10878"/>
    <cellStyle name="Normal 9 9 5 2" xfId="30761"/>
    <cellStyle name="Normal 9 9 6" xfId="17030"/>
    <cellStyle name="Normal 9 9 6 2" xfId="36913"/>
    <cellStyle name="Normal 9 9 7" xfId="24608"/>
    <cellStyle name="Normal_DFIT-WaEle_SUM" xfId="38"/>
    <cellStyle name="Normal_IDGas6_97" xfId="39"/>
    <cellStyle name="Normal_WAElec6_97" xfId="40"/>
    <cellStyle name="Normal_WAGas6_97 2" xfId="41"/>
    <cellStyle name="Note 2" xfId="297"/>
    <cellStyle name="Note 2 10" xfId="738"/>
    <cellStyle name="Note 2 10 2" xfId="1073"/>
    <cellStyle name="Note 2 10 2 2" xfId="23916"/>
    <cellStyle name="Note 2 10 3" xfId="22711"/>
    <cellStyle name="Note 2 10 3 2" xfId="42585"/>
    <cellStyle name="Note 2 10 4" xfId="23036"/>
    <cellStyle name="Note 2 10 4 2" xfId="42910"/>
    <cellStyle name="Note 2 10 5" xfId="23613"/>
    <cellStyle name="Note 2 11" xfId="764"/>
    <cellStyle name="Note 2 11 2" xfId="1089"/>
    <cellStyle name="Note 2 11 2 2" xfId="23932"/>
    <cellStyle name="Note 2 11 3" xfId="22728"/>
    <cellStyle name="Note 2 11 3 2" xfId="42602"/>
    <cellStyle name="Note 2 11 4" xfId="23052"/>
    <cellStyle name="Note 2 11 4 2" xfId="42926"/>
    <cellStyle name="Note 2 11 5" xfId="23629"/>
    <cellStyle name="Note 2 12" xfId="789"/>
    <cellStyle name="Note 2 12 2" xfId="1105"/>
    <cellStyle name="Note 2 12 2 2" xfId="23948"/>
    <cellStyle name="Note 2 12 3" xfId="22636"/>
    <cellStyle name="Note 2 12 3 2" xfId="42510"/>
    <cellStyle name="Note 2 12 4" xfId="23068"/>
    <cellStyle name="Note 2 12 4 2" xfId="42942"/>
    <cellStyle name="Note 2 12 5" xfId="23645"/>
    <cellStyle name="Note 2 13" xfId="813"/>
    <cellStyle name="Note 2 13 2" xfId="1121"/>
    <cellStyle name="Note 2 13 2 2" xfId="23964"/>
    <cellStyle name="Note 2 13 3" xfId="22694"/>
    <cellStyle name="Note 2 13 3 2" xfId="42568"/>
    <cellStyle name="Note 2 13 4" xfId="23084"/>
    <cellStyle name="Note 2 13 4 2" xfId="42958"/>
    <cellStyle name="Note 2 13 5" xfId="23661"/>
    <cellStyle name="Note 2 14" xfId="829"/>
    <cellStyle name="Note 2 14 2" xfId="1137"/>
    <cellStyle name="Note 2 14 2 2" xfId="23980"/>
    <cellStyle name="Note 2 14 3" xfId="22595"/>
    <cellStyle name="Note 2 14 3 2" xfId="42469"/>
    <cellStyle name="Note 2 14 4" xfId="23100"/>
    <cellStyle name="Note 2 14 4 2" xfId="42974"/>
    <cellStyle name="Note 2 14 5" xfId="23677"/>
    <cellStyle name="Note 2 15" xfId="845"/>
    <cellStyle name="Note 2 15 2" xfId="1153"/>
    <cellStyle name="Note 2 15 2 2" xfId="23996"/>
    <cellStyle name="Note 2 15 3" xfId="22800"/>
    <cellStyle name="Note 2 15 3 2" xfId="42674"/>
    <cellStyle name="Note 2 15 4" xfId="23116"/>
    <cellStyle name="Note 2 15 4 2" xfId="42990"/>
    <cellStyle name="Note 2 15 5" xfId="23693"/>
    <cellStyle name="Note 2 16" xfId="893"/>
    <cellStyle name="Note 2 16 2" xfId="23736"/>
    <cellStyle name="Note 2 17" xfId="4174"/>
    <cellStyle name="Note 2 17 2" xfId="24609"/>
    <cellStyle name="Note 2 18" xfId="22856"/>
    <cellStyle name="Note 2 18 2" xfId="42730"/>
    <cellStyle name="Note 2 19" xfId="23433"/>
    <cellStyle name="Note 2 2" xfId="511"/>
    <cellStyle name="Note 2 2 2" xfId="945"/>
    <cellStyle name="Note 2 2 2 2" xfId="10055"/>
    <cellStyle name="Note 2 2 2 2 2" xfId="16248"/>
    <cellStyle name="Note 2 2 2 2 2 2" xfId="36131"/>
    <cellStyle name="Note 2 2 2 2 3" xfId="22400"/>
    <cellStyle name="Note 2 2 2 2 3 2" xfId="42283"/>
    <cellStyle name="Note 2 2 2 2 4" xfId="29978"/>
    <cellStyle name="Note 2 2 2 3" xfId="13182"/>
    <cellStyle name="Note 2 2 2 3 2" xfId="33065"/>
    <cellStyle name="Note 2 2 2 4" xfId="19334"/>
    <cellStyle name="Note 2 2 2 4 2" xfId="39217"/>
    <cellStyle name="Note 2 2 2 5" xfId="6969"/>
    <cellStyle name="Note 2 2 2 5 2" xfId="26912"/>
    <cellStyle name="Note 2 2 2 6" xfId="23788"/>
    <cellStyle name="Note 2 2 3" xfId="8520"/>
    <cellStyle name="Note 2 2 3 2" xfId="14714"/>
    <cellStyle name="Note 2 2 3 2 2" xfId="34597"/>
    <cellStyle name="Note 2 2 3 3" xfId="20866"/>
    <cellStyle name="Note 2 2 3 3 2" xfId="40749"/>
    <cellStyle name="Note 2 2 3 4" xfId="28444"/>
    <cellStyle name="Note 2 2 4" xfId="11648"/>
    <cellStyle name="Note 2 2 4 2" xfId="31531"/>
    <cellStyle name="Note 2 2 5" xfId="17800"/>
    <cellStyle name="Note 2 2 5 2" xfId="37683"/>
    <cellStyle name="Note 2 2 6" xfId="5344"/>
    <cellStyle name="Note 2 2 6 2" xfId="25378"/>
    <cellStyle name="Note 2 2 7" xfId="22908"/>
    <cellStyle name="Note 2 2 7 2" xfId="42782"/>
    <cellStyle name="Note 2 2 8" xfId="23485"/>
    <cellStyle name="Note 2 3" xfId="541"/>
    <cellStyle name="Note 2 3 2" xfId="961"/>
    <cellStyle name="Note 2 3 2 2" xfId="15479"/>
    <cellStyle name="Note 2 3 2 2 2" xfId="35362"/>
    <cellStyle name="Note 2 3 2 3" xfId="21631"/>
    <cellStyle name="Note 2 3 2 3 2" xfId="41514"/>
    <cellStyle name="Note 2 3 2 4" xfId="9286"/>
    <cellStyle name="Note 2 3 2 4 2" xfId="29209"/>
    <cellStyle name="Note 2 3 2 5" xfId="23804"/>
    <cellStyle name="Note 2 3 3" xfId="12413"/>
    <cellStyle name="Note 2 3 3 2" xfId="32296"/>
    <cellStyle name="Note 2 3 4" xfId="18565"/>
    <cellStyle name="Note 2 3 4 2" xfId="38448"/>
    <cellStyle name="Note 2 3 5" xfId="6186"/>
    <cellStyle name="Note 2 3 5 2" xfId="26143"/>
    <cellStyle name="Note 2 3 6" xfId="22924"/>
    <cellStyle name="Note 2 3 6 2" xfId="42798"/>
    <cellStyle name="Note 2 3 7" xfId="23501"/>
    <cellStyle name="Note 2 4" xfId="568"/>
    <cellStyle name="Note 2 4 2" xfId="977"/>
    <cellStyle name="Note 2 4 2 2" xfId="13945"/>
    <cellStyle name="Note 2 4 2 2 2" xfId="33828"/>
    <cellStyle name="Note 2 4 2 3" xfId="23820"/>
    <cellStyle name="Note 2 4 3" xfId="20097"/>
    <cellStyle name="Note 2 4 3 2" xfId="39980"/>
    <cellStyle name="Note 2 4 4" xfId="7751"/>
    <cellStyle name="Note 2 4 4 2" xfId="27675"/>
    <cellStyle name="Note 2 4 5" xfId="22940"/>
    <cellStyle name="Note 2 4 5 2" xfId="42814"/>
    <cellStyle name="Note 2 4 6" xfId="23517"/>
    <cellStyle name="Note 2 5" xfId="594"/>
    <cellStyle name="Note 2 5 2" xfId="993"/>
    <cellStyle name="Note 2 5 2 2" xfId="23836"/>
    <cellStyle name="Note 2 5 3" xfId="10879"/>
    <cellStyle name="Note 2 5 3 2" xfId="30762"/>
    <cellStyle name="Note 2 5 4" xfId="22956"/>
    <cellStyle name="Note 2 5 4 2" xfId="42830"/>
    <cellStyle name="Note 2 5 5" xfId="23533"/>
    <cellStyle name="Note 2 6" xfId="620"/>
    <cellStyle name="Note 2 6 2" xfId="1009"/>
    <cellStyle name="Note 2 6 2 2" xfId="23852"/>
    <cellStyle name="Note 2 6 3" xfId="17031"/>
    <cellStyle name="Note 2 6 3 2" xfId="36914"/>
    <cellStyle name="Note 2 6 4" xfId="22972"/>
    <cellStyle name="Note 2 6 4 2" xfId="42846"/>
    <cellStyle name="Note 2 6 5" xfId="23549"/>
    <cellStyle name="Note 2 7" xfId="644"/>
    <cellStyle name="Note 2 7 2" xfId="1025"/>
    <cellStyle name="Note 2 7 2 2" xfId="23868"/>
    <cellStyle name="Note 2 7 3" xfId="22613"/>
    <cellStyle name="Note 2 7 3 2" xfId="42487"/>
    <cellStyle name="Note 2 7 4" xfId="22988"/>
    <cellStyle name="Note 2 7 4 2" xfId="42862"/>
    <cellStyle name="Note 2 7 5" xfId="23565"/>
    <cellStyle name="Note 2 8" xfId="670"/>
    <cellStyle name="Note 2 8 2" xfId="1041"/>
    <cellStyle name="Note 2 8 2 2" xfId="23884"/>
    <cellStyle name="Note 2 8 3" xfId="22735"/>
    <cellStyle name="Note 2 8 3 2" xfId="42609"/>
    <cellStyle name="Note 2 8 4" xfId="23004"/>
    <cellStyle name="Note 2 8 4 2" xfId="42878"/>
    <cellStyle name="Note 2 8 5" xfId="23581"/>
    <cellStyle name="Note 2 9" xfId="710"/>
    <cellStyle name="Note 2 9 2" xfId="1057"/>
    <cellStyle name="Note 2 9 2 2" xfId="23900"/>
    <cellStyle name="Note 2 9 3" xfId="22638"/>
    <cellStyle name="Note 2 9 3 2" xfId="42512"/>
    <cellStyle name="Note 2 9 4" xfId="23020"/>
    <cellStyle name="Note 2 9 4 2" xfId="42894"/>
    <cellStyle name="Note 2 9 5" xfId="23597"/>
    <cellStyle name="Note 3" xfId="4175"/>
    <cellStyle name="Note 3 2" xfId="5345"/>
    <cellStyle name="Note 3 2 2" xfId="6970"/>
    <cellStyle name="Note 3 2 2 2" xfId="10056"/>
    <cellStyle name="Note 3 2 2 2 2" xfId="16249"/>
    <cellStyle name="Note 3 2 2 2 2 2" xfId="36132"/>
    <cellStyle name="Note 3 2 2 2 3" xfId="22401"/>
    <cellStyle name="Note 3 2 2 2 3 2" xfId="42284"/>
    <cellStyle name="Note 3 2 2 2 4" xfId="29979"/>
    <cellStyle name="Note 3 2 2 3" xfId="13183"/>
    <cellStyle name="Note 3 2 2 3 2" xfId="33066"/>
    <cellStyle name="Note 3 2 2 4" xfId="19335"/>
    <cellStyle name="Note 3 2 2 4 2" xfId="39218"/>
    <cellStyle name="Note 3 2 2 5" xfId="26913"/>
    <cellStyle name="Note 3 2 3" xfId="8521"/>
    <cellStyle name="Note 3 2 3 2" xfId="14715"/>
    <cellStyle name="Note 3 2 3 2 2" xfId="34598"/>
    <cellStyle name="Note 3 2 3 3" xfId="20867"/>
    <cellStyle name="Note 3 2 3 3 2" xfId="40750"/>
    <cellStyle name="Note 3 2 3 4" xfId="28445"/>
    <cellStyle name="Note 3 2 4" xfId="11649"/>
    <cellStyle name="Note 3 2 4 2" xfId="31532"/>
    <cellStyle name="Note 3 2 5" xfId="17801"/>
    <cellStyle name="Note 3 2 5 2" xfId="37684"/>
    <cellStyle name="Note 3 2 6" xfId="25379"/>
    <cellStyle name="Note 3 3" xfId="6187"/>
    <cellStyle name="Note 3 3 2" xfId="9287"/>
    <cellStyle name="Note 3 3 2 2" xfId="15480"/>
    <cellStyle name="Note 3 3 2 2 2" xfId="35363"/>
    <cellStyle name="Note 3 3 2 3" xfId="21632"/>
    <cellStyle name="Note 3 3 2 3 2" xfId="41515"/>
    <cellStyle name="Note 3 3 2 4" xfId="29210"/>
    <cellStyle name="Note 3 3 3" xfId="12414"/>
    <cellStyle name="Note 3 3 3 2" xfId="32297"/>
    <cellStyle name="Note 3 3 4" xfId="18566"/>
    <cellStyle name="Note 3 3 4 2" xfId="38449"/>
    <cellStyle name="Note 3 3 5" xfId="26144"/>
    <cellStyle name="Note 3 4" xfId="7752"/>
    <cellStyle name="Note 3 4 2" xfId="13946"/>
    <cellStyle name="Note 3 4 2 2" xfId="33829"/>
    <cellStyle name="Note 3 4 3" xfId="20098"/>
    <cellStyle name="Note 3 4 3 2" xfId="39981"/>
    <cellStyle name="Note 3 4 4" xfId="27676"/>
    <cellStyle name="Note 3 5" xfId="10880"/>
    <cellStyle name="Note 3 5 2" xfId="30763"/>
    <cellStyle name="Note 3 6" xfId="17032"/>
    <cellStyle name="Note 3 6 2" xfId="36915"/>
    <cellStyle name="Note 3 7" xfId="24610"/>
    <cellStyle name="Note 4" xfId="4176"/>
    <cellStyle name="Note 4 2" xfId="5346"/>
    <cellStyle name="Note 4 2 2" xfId="6971"/>
    <cellStyle name="Note 4 2 2 2" xfId="10057"/>
    <cellStyle name="Note 4 2 2 2 2" xfId="16250"/>
    <cellStyle name="Note 4 2 2 2 2 2" xfId="36133"/>
    <cellStyle name="Note 4 2 2 2 3" xfId="22402"/>
    <cellStyle name="Note 4 2 2 2 3 2" xfId="42285"/>
    <cellStyle name="Note 4 2 2 2 4" xfId="29980"/>
    <cellStyle name="Note 4 2 2 3" xfId="13184"/>
    <cellStyle name="Note 4 2 2 3 2" xfId="33067"/>
    <cellStyle name="Note 4 2 2 4" xfId="19336"/>
    <cellStyle name="Note 4 2 2 4 2" xfId="39219"/>
    <cellStyle name="Note 4 2 2 5" xfId="26914"/>
    <cellStyle name="Note 4 2 3" xfId="8522"/>
    <cellStyle name="Note 4 2 3 2" xfId="14716"/>
    <cellStyle name="Note 4 2 3 2 2" xfId="34599"/>
    <cellStyle name="Note 4 2 3 3" xfId="20868"/>
    <cellStyle name="Note 4 2 3 3 2" xfId="40751"/>
    <cellStyle name="Note 4 2 3 4" xfId="28446"/>
    <cellStyle name="Note 4 2 4" xfId="11650"/>
    <cellStyle name="Note 4 2 4 2" xfId="31533"/>
    <cellStyle name="Note 4 2 5" xfId="17802"/>
    <cellStyle name="Note 4 2 5 2" xfId="37685"/>
    <cellStyle name="Note 4 2 6" xfId="25380"/>
    <cellStyle name="Note 4 3" xfId="6188"/>
    <cellStyle name="Note 4 3 2" xfId="9288"/>
    <cellStyle name="Note 4 3 2 2" xfId="15481"/>
    <cellStyle name="Note 4 3 2 2 2" xfId="35364"/>
    <cellStyle name="Note 4 3 2 3" xfId="21633"/>
    <cellStyle name="Note 4 3 2 3 2" xfId="41516"/>
    <cellStyle name="Note 4 3 2 4" xfId="29211"/>
    <cellStyle name="Note 4 3 3" xfId="12415"/>
    <cellStyle name="Note 4 3 3 2" xfId="32298"/>
    <cellStyle name="Note 4 3 4" xfId="18567"/>
    <cellStyle name="Note 4 3 4 2" xfId="38450"/>
    <cellStyle name="Note 4 3 5" xfId="26145"/>
    <cellStyle name="Note 4 4" xfId="7753"/>
    <cellStyle name="Note 4 4 2" xfId="13947"/>
    <cellStyle name="Note 4 4 2 2" xfId="33830"/>
    <cellStyle name="Note 4 4 3" xfId="20099"/>
    <cellStyle name="Note 4 4 3 2" xfId="39982"/>
    <cellStyle name="Note 4 4 4" xfId="27677"/>
    <cellStyle name="Note 4 5" xfId="10881"/>
    <cellStyle name="Note 4 5 2" xfId="30764"/>
    <cellStyle name="Note 4 6" xfId="17033"/>
    <cellStyle name="Note 4 6 2" xfId="36916"/>
    <cellStyle name="Note 4 7" xfId="24611"/>
    <cellStyle name="Note 5" xfId="4177"/>
    <cellStyle name="Note 6" xfId="4178"/>
    <cellStyle name="Note 6 2" xfId="5555"/>
    <cellStyle name="Note 6 2 2" xfId="6268"/>
    <cellStyle name="Note 6 3" xfId="5544"/>
    <cellStyle name="Note 6 3 2" xfId="6234"/>
    <cellStyle name="Note 6 4" xfId="5539"/>
    <cellStyle name="Note 6 4 2" xfId="6224"/>
    <cellStyle name="Note 6 5" xfId="5517"/>
    <cellStyle name="Note 6 5 2" xfId="6343"/>
    <cellStyle name="Note 6 6" xfId="5723"/>
    <cellStyle name="Note 7" xfId="4179"/>
    <cellStyle name="Note 7 2" xfId="5347"/>
    <cellStyle name="Note 7 2 2" xfId="6972"/>
    <cellStyle name="Note 7 2 2 2" xfId="10058"/>
    <cellStyle name="Note 7 2 2 2 2" xfId="16251"/>
    <cellStyle name="Note 7 2 2 2 2 2" xfId="36134"/>
    <cellStyle name="Note 7 2 2 2 3" xfId="22403"/>
    <cellStyle name="Note 7 2 2 2 3 2" xfId="42286"/>
    <cellStyle name="Note 7 2 2 2 4" xfId="29981"/>
    <cellStyle name="Note 7 2 2 3" xfId="13185"/>
    <cellStyle name="Note 7 2 2 3 2" xfId="33068"/>
    <cellStyle name="Note 7 2 2 4" xfId="19337"/>
    <cellStyle name="Note 7 2 2 4 2" xfId="39220"/>
    <cellStyle name="Note 7 2 2 5" xfId="26915"/>
    <cellStyle name="Note 7 2 3" xfId="8523"/>
    <cellStyle name="Note 7 2 3 2" xfId="14717"/>
    <cellStyle name="Note 7 2 3 2 2" xfId="34600"/>
    <cellStyle name="Note 7 2 3 3" xfId="20869"/>
    <cellStyle name="Note 7 2 3 3 2" xfId="40752"/>
    <cellStyle name="Note 7 2 3 4" xfId="28447"/>
    <cellStyle name="Note 7 2 4" xfId="11651"/>
    <cellStyle name="Note 7 2 4 2" xfId="31534"/>
    <cellStyle name="Note 7 2 5" xfId="17803"/>
    <cellStyle name="Note 7 2 5 2" xfId="37686"/>
    <cellStyle name="Note 7 2 6" xfId="25381"/>
    <cellStyle name="Note 7 3" xfId="6189"/>
    <cellStyle name="Note 7 3 2" xfId="9289"/>
    <cellStyle name="Note 7 3 2 2" xfId="15482"/>
    <cellStyle name="Note 7 3 2 2 2" xfId="35365"/>
    <cellStyle name="Note 7 3 2 3" xfId="21634"/>
    <cellStyle name="Note 7 3 2 3 2" xfId="41517"/>
    <cellStyle name="Note 7 3 2 4" xfId="29212"/>
    <cellStyle name="Note 7 3 3" xfId="12416"/>
    <cellStyle name="Note 7 3 3 2" xfId="32299"/>
    <cellStyle name="Note 7 3 4" xfId="18568"/>
    <cellStyle name="Note 7 3 4 2" xfId="38451"/>
    <cellStyle name="Note 7 3 5" xfId="26146"/>
    <cellStyle name="Note 7 4" xfId="7754"/>
    <cellStyle name="Note 7 4 2" xfId="13948"/>
    <cellStyle name="Note 7 4 2 2" xfId="33831"/>
    <cellStyle name="Note 7 4 3" xfId="20100"/>
    <cellStyle name="Note 7 4 3 2" xfId="39983"/>
    <cellStyle name="Note 7 4 4" xfId="27678"/>
    <cellStyle name="Note 7 5" xfId="10882"/>
    <cellStyle name="Note 7 5 2" xfId="30765"/>
    <cellStyle name="Note 7 6" xfId="17034"/>
    <cellStyle name="Note 7 6 2" xfId="36917"/>
    <cellStyle name="Note 7 7" xfId="24612"/>
    <cellStyle name="Output" xfId="161" builtinId="21" customBuiltin="1"/>
    <cellStyle name="Output 2" xfId="4180"/>
    <cellStyle name="Output 3" xfId="4181"/>
    <cellStyle name="Output 4" xfId="4182"/>
    <cellStyle name="Output 5" xfId="4183"/>
    <cellStyle name="Output 6" xfId="4184"/>
    <cellStyle name="Output 6 2" xfId="5556"/>
    <cellStyle name="Output 6 2 2" xfId="7131"/>
    <cellStyle name="Output 6 3" xfId="5545"/>
    <cellStyle name="Output 6 3 2" xfId="7134"/>
    <cellStyle name="Output 6 4" xfId="5508"/>
    <cellStyle name="Output 6 4 2" xfId="7138"/>
    <cellStyle name="Output 6 5" xfId="5559"/>
    <cellStyle name="Output 6 5 2" xfId="7130"/>
    <cellStyle name="Output 6 6" xfId="5724"/>
    <cellStyle name="Output Amounts" xfId="1244"/>
    <cellStyle name="OUTPUT AMOUNTS 2" xfId="23303"/>
    <cellStyle name="Output Column Headings" xfId="1188"/>
    <cellStyle name="Output highlight" xfId="4185"/>
    <cellStyle name="Output highlight 2" xfId="4186"/>
    <cellStyle name="Output Line Items" xfId="1189"/>
    <cellStyle name="OUTPUT LINE ITEMS 2" xfId="23304"/>
    <cellStyle name="Output Report Heading" xfId="1187"/>
    <cellStyle name="Output Report Title" xfId="1186"/>
    <cellStyle name="Percent" xfId="42" builtinId="5"/>
    <cellStyle name="Percent %" xfId="4187"/>
    <cellStyle name="Percent % Long Underline" xfId="4188"/>
    <cellStyle name="Percent 0.0%" xfId="4189"/>
    <cellStyle name="Percent 0.0% Long Underline" xfId="4190"/>
    <cellStyle name="Percent 0.00%" xfId="4191"/>
    <cellStyle name="Percent 0.00% Long Underline" xfId="4192"/>
    <cellStyle name="Percent 0.000%" xfId="4193"/>
    <cellStyle name="Percent 0.000% Long Underline" xfId="4194"/>
    <cellStyle name="Percent 0.0000%" xfId="4195"/>
    <cellStyle name="Percent 0.0000% Long Underline" xfId="4196"/>
    <cellStyle name="Percent 10" xfId="4197"/>
    <cellStyle name="Percent 10 2" xfId="4198"/>
    <cellStyle name="Percent 10 2 2" xfId="4199"/>
    <cellStyle name="Percent 10 2 3" xfId="4200"/>
    <cellStyle name="Percent 10 3" xfId="10267"/>
    <cellStyle name="Percent 100" xfId="4201"/>
    <cellStyle name="Percent 101" xfId="4202"/>
    <cellStyle name="Percent 102" xfId="4203"/>
    <cellStyle name="Percent 103" xfId="4204"/>
    <cellStyle name="Percent 104" xfId="4205"/>
    <cellStyle name="Percent 105" xfId="4206"/>
    <cellStyle name="Percent 106" xfId="4207"/>
    <cellStyle name="Percent 107" xfId="4208"/>
    <cellStyle name="Percent 108" xfId="4209"/>
    <cellStyle name="Percent 109" xfId="4210"/>
    <cellStyle name="Percent 11" xfId="4211"/>
    <cellStyle name="Percent 11 2" xfId="4212"/>
    <cellStyle name="Percent 11 2 2" xfId="4213"/>
    <cellStyle name="Percent 11 2 3" xfId="4214"/>
    <cellStyle name="Percent 110" xfId="4215"/>
    <cellStyle name="Percent 111" xfId="4216"/>
    <cellStyle name="Percent 112" xfId="4217"/>
    <cellStyle name="Percent 113" xfId="4218"/>
    <cellStyle name="Percent 114" xfId="4219"/>
    <cellStyle name="Percent 115" xfId="4220"/>
    <cellStyle name="Percent 116" xfId="4221"/>
    <cellStyle name="Percent 117" xfId="4222"/>
    <cellStyle name="Percent 118" xfId="4223"/>
    <cellStyle name="Percent 119" xfId="4224"/>
    <cellStyle name="Percent 12" xfId="4225"/>
    <cellStyle name="Percent 12 2" xfId="4226"/>
    <cellStyle name="Percent 12 2 2" xfId="4227"/>
    <cellStyle name="Percent 12 2 3" xfId="4228"/>
    <cellStyle name="Percent 120" xfId="4229"/>
    <cellStyle name="Percent 120 2" xfId="5348"/>
    <cellStyle name="Percent 120 2 2" xfId="6973"/>
    <cellStyle name="Percent 120 2 2 2" xfId="10059"/>
    <cellStyle name="Percent 120 2 2 2 2" xfId="16252"/>
    <cellStyle name="Percent 120 2 2 2 2 2" xfId="36135"/>
    <cellStyle name="Percent 120 2 2 2 3" xfId="22404"/>
    <cellStyle name="Percent 120 2 2 2 3 2" xfId="42287"/>
    <cellStyle name="Percent 120 2 2 2 4" xfId="29982"/>
    <cellStyle name="Percent 120 2 2 3" xfId="13186"/>
    <cellStyle name="Percent 120 2 2 3 2" xfId="33069"/>
    <cellStyle name="Percent 120 2 2 4" xfId="19338"/>
    <cellStyle name="Percent 120 2 2 4 2" xfId="39221"/>
    <cellStyle name="Percent 120 2 2 5" xfId="26916"/>
    <cellStyle name="Percent 120 2 3" xfId="8524"/>
    <cellStyle name="Percent 120 2 3 2" xfId="14718"/>
    <cellStyle name="Percent 120 2 3 2 2" xfId="34601"/>
    <cellStyle name="Percent 120 2 3 3" xfId="20870"/>
    <cellStyle name="Percent 120 2 3 3 2" xfId="40753"/>
    <cellStyle name="Percent 120 2 3 4" xfId="28448"/>
    <cellStyle name="Percent 120 2 4" xfId="11652"/>
    <cellStyle name="Percent 120 2 4 2" xfId="31535"/>
    <cellStyle name="Percent 120 2 5" xfId="17804"/>
    <cellStyle name="Percent 120 2 5 2" xfId="37687"/>
    <cellStyle name="Percent 120 2 6" xfId="25382"/>
    <cellStyle name="Percent 120 3" xfId="6190"/>
    <cellStyle name="Percent 120 3 2" xfId="9290"/>
    <cellStyle name="Percent 120 3 2 2" xfId="15483"/>
    <cellStyle name="Percent 120 3 2 2 2" xfId="35366"/>
    <cellStyle name="Percent 120 3 2 3" xfId="21635"/>
    <cellStyle name="Percent 120 3 2 3 2" xfId="41518"/>
    <cellStyle name="Percent 120 3 2 4" xfId="29213"/>
    <cellStyle name="Percent 120 3 3" xfId="12417"/>
    <cellStyle name="Percent 120 3 3 2" xfId="32300"/>
    <cellStyle name="Percent 120 3 4" xfId="18569"/>
    <cellStyle name="Percent 120 3 4 2" xfId="38452"/>
    <cellStyle name="Percent 120 3 5" xfId="26147"/>
    <cellStyle name="Percent 120 4" xfId="7755"/>
    <cellStyle name="Percent 120 4 2" xfId="13949"/>
    <cellStyle name="Percent 120 4 2 2" xfId="33832"/>
    <cellStyle name="Percent 120 4 3" xfId="20101"/>
    <cellStyle name="Percent 120 4 3 2" xfId="39984"/>
    <cellStyle name="Percent 120 4 4" xfId="27679"/>
    <cellStyle name="Percent 120 5" xfId="10883"/>
    <cellStyle name="Percent 120 5 2" xfId="30766"/>
    <cellStyle name="Percent 120 6" xfId="17035"/>
    <cellStyle name="Percent 120 6 2" xfId="36918"/>
    <cellStyle name="Percent 120 7" xfId="24613"/>
    <cellStyle name="Percent 121" xfId="4230"/>
    <cellStyle name="Percent 121 2" xfId="5349"/>
    <cellStyle name="Percent 121 2 2" xfId="6974"/>
    <cellStyle name="Percent 121 2 2 2" xfId="10060"/>
    <cellStyle name="Percent 121 2 2 2 2" xfId="16253"/>
    <cellStyle name="Percent 121 2 2 2 2 2" xfId="36136"/>
    <cellStyle name="Percent 121 2 2 2 3" xfId="22405"/>
    <cellStyle name="Percent 121 2 2 2 3 2" xfId="42288"/>
    <cellStyle name="Percent 121 2 2 2 4" xfId="29983"/>
    <cellStyle name="Percent 121 2 2 3" xfId="13187"/>
    <cellStyle name="Percent 121 2 2 3 2" xfId="33070"/>
    <cellStyle name="Percent 121 2 2 4" xfId="19339"/>
    <cellStyle name="Percent 121 2 2 4 2" xfId="39222"/>
    <cellStyle name="Percent 121 2 2 5" xfId="26917"/>
    <cellStyle name="Percent 121 2 3" xfId="8525"/>
    <cellStyle name="Percent 121 2 3 2" xfId="14719"/>
    <cellStyle name="Percent 121 2 3 2 2" xfId="34602"/>
    <cellStyle name="Percent 121 2 3 3" xfId="20871"/>
    <cellStyle name="Percent 121 2 3 3 2" xfId="40754"/>
    <cellStyle name="Percent 121 2 3 4" xfId="28449"/>
    <cellStyle name="Percent 121 2 4" xfId="11653"/>
    <cellStyle name="Percent 121 2 4 2" xfId="31536"/>
    <cellStyle name="Percent 121 2 5" xfId="17805"/>
    <cellStyle name="Percent 121 2 5 2" xfId="37688"/>
    <cellStyle name="Percent 121 2 6" xfId="25383"/>
    <cellStyle name="Percent 121 3" xfId="6191"/>
    <cellStyle name="Percent 121 3 2" xfId="9291"/>
    <cellStyle name="Percent 121 3 2 2" xfId="15484"/>
    <cellStyle name="Percent 121 3 2 2 2" xfId="35367"/>
    <cellStyle name="Percent 121 3 2 3" xfId="21636"/>
    <cellStyle name="Percent 121 3 2 3 2" xfId="41519"/>
    <cellStyle name="Percent 121 3 2 4" xfId="29214"/>
    <cellStyle name="Percent 121 3 3" xfId="12418"/>
    <cellStyle name="Percent 121 3 3 2" xfId="32301"/>
    <cellStyle name="Percent 121 3 4" xfId="18570"/>
    <cellStyle name="Percent 121 3 4 2" xfId="38453"/>
    <cellStyle name="Percent 121 3 5" xfId="26148"/>
    <cellStyle name="Percent 121 4" xfId="7756"/>
    <cellStyle name="Percent 121 4 2" xfId="13950"/>
    <cellStyle name="Percent 121 4 2 2" xfId="33833"/>
    <cellStyle name="Percent 121 4 3" xfId="20102"/>
    <cellStyle name="Percent 121 4 3 2" xfId="39985"/>
    <cellStyle name="Percent 121 4 4" xfId="27680"/>
    <cellStyle name="Percent 121 5" xfId="10884"/>
    <cellStyle name="Percent 121 5 2" xfId="30767"/>
    <cellStyle name="Percent 121 6" xfId="17036"/>
    <cellStyle name="Percent 121 6 2" xfId="36919"/>
    <cellStyle name="Percent 121 7" xfId="24614"/>
    <cellStyle name="Percent 122" xfId="4231"/>
    <cellStyle name="Percent 122 2" xfId="5350"/>
    <cellStyle name="Percent 122 2 2" xfId="6975"/>
    <cellStyle name="Percent 122 2 2 2" xfId="10061"/>
    <cellStyle name="Percent 122 2 2 2 2" xfId="16254"/>
    <cellStyle name="Percent 122 2 2 2 2 2" xfId="36137"/>
    <cellStyle name="Percent 122 2 2 2 3" xfId="22406"/>
    <cellStyle name="Percent 122 2 2 2 3 2" xfId="42289"/>
    <cellStyle name="Percent 122 2 2 2 4" xfId="29984"/>
    <cellStyle name="Percent 122 2 2 3" xfId="13188"/>
    <cellStyle name="Percent 122 2 2 3 2" xfId="33071"/>
    <cellStyle name="Percent 122 2 2 4" xfId="19340"/>
    <cellStyle name="Percent 122 2 2 4 2" xfId="39223"/>
    <cellStyle name="Percent 122 2 2 5" xfId="26918"/>
    <cellStyle name="Percent 122 2 3" xfId="8526"/>
    <cellStyle name="Percent 122 2 3 2" xfId="14720"/>
    <cellStyle name="Percent 122 2 3 2 2" xfId="34603"/>
    <cellStyle name="Percent 122 2 3 3" xfId="20872"/>
    <cellStyle name="Percent 122 2 3 3 2" xfId="40755"/>
    <cellStyle name="Percent 122 2 3 4" xfId="28450"/>
    <cellStyle name="Percent 122 2 4" xfId="11654"/>
    <cellStyle name="Percent 122 2 4 2" xfId="31537"/>
    <cellStyle name="Percent 122 2 5" xfId="17806"/>
    <cellStyle name="Percent 122 2 5 2" xfId="37689"/>
    <cellStyle name="Percent 122 2 6" xfId="25384"/>
    <cellStyle name="Percent 122 3" xfId="6192"/>
    <cellStyle name="Percent 122 3 2" xfId="9292"/>
    <cellStyle name="Percent 122 3 2 2" xfId="15485"/>
    <cellStyle name="Percent 122 3 2 2 2" xfId="35368"/>
    <cellStyle name="Percent 122 3 2 3" xfId="21637"/>
    <cellStyle name="Percent 122 3 2 3 2" xfId="41520"/>
    <cellStyle name="Percent 122 3 2 4" xfId="29215"/>
    <cellStyle name="Percent 122 3 3" xfId="12419"/>
    <cellStyle name="Percent 122 3 3 2" xfId="32302"/>
    <cellStyle name="Percent 122 3 4" xfId="18571"/>
    <cellStyle name="Percent 122 3 4 2" xfId="38454"/>
    <cellStyle name="Percent 122 3 5" xfId="26149"/>
    <cellStyle name="Percent 122 4" xfId="7757"/>
    <cellStyle name="Percent 122 4 2" xfId="13951"/>
    <cellStyle name="Percent 122 4 2 2" xfId="33834"/>
    <cellStyle name="Percent 122 4 3" xfId="20103"/>
    <cellStyle name="Percent 122 4 3 2" xfId="39986"/>
    <cellStyle name="Percent 122 4 4" xfId="27681"/>
    <cellStyle name="Percent 122 5" xfId="10885"/>
    <cellStyle name="Percent 122 5 2" xfId="30768"/>
    <cellStyle name="Percent 122 6" xfId="17037"/>
    <cellStyle name="Percent 122 6 2" xfId="36920"/>
    <cellStyle name="Percent 122 7" xfId="24615"/>
    <cellStyle name="Percent 123" xfId="4232"/>
    <cellStyle name="Percent 123 2" xfId="5351"/>
    <cellStyle name="Percent 123 2 2" xfId="6976"/>
    <cellStyle name="Percent 123 2 2 2" xfId="10062"/>
    <cellStyle name="Percent 123 2 2 2 2" xfId="16255"/>
    <cellStyle name="Percent 123 2 2 2 2 2" xfId="36138"/>
    <cellStyle name="Percent 123 2 2 2 3" xfId="22407"/>
    <cellStyle name="Percent 123 2 2 2 3 2" xfId="42290"/>
    <cellStyle name="Percent 123 2 2 2 4" xfId="29985"/>
    <cellStyle name="Percent 123 2 2 3" xfId="13189"/>
    <cellStyle name="Percent 123 2 2 3 2" xfId="33072"/>
    <cellStyle name="Percent 123 2 2 4" xfId="19341"/>
    <cellStyle name="Percent 123 2 2 4 2" xfId="39224"/>
    <cellStyle name="Percent 123 2 2 5" xfId="26919"/>
    <cellStyle name="Percent 123 2 3" xfId="8527"/>
    <cellStyle name="Percent 123 2 3 2" xfId="14721"/>
    <cellStyle name="Percent 123 2 3 2 2" xfId="34604"/>
    <cellStyle name="Percent 123 2 3 3" xfId="20873"/>
    <cellStyle name="Percent 123 2 3 3 2" xfId="40756"/>
    <cellStyle name="Percent 123 2 3 4" xfId="28451"/>
    <cellStyle name="Percent 123 2 4" xfId="11655"/>
    <cellStyle name="Percent 123 2 4 2" xfId="31538"/>
    <cellStyle name="Percent 123 2 5" xfId="17807"/>
    <cellStyle name="Percent 123 2 5 2" xfId="37690"/>
    <cellStyle name="Percent 123 2 6" xfId="25385"/>
    <cellStyle name="Percent 123 3" xfId="6193"/>
    <cellStyle name="Percent 123 3 2" xfId="9293"/>
    <cellStyle name="Percent 123 3 2 2" xfId="15486"/>
    <cellStyle name="Percent 123 3 2 2 2" xfId="35369"/>
    <cellStyle name="Percent 123 3 2 3" xfId="21638"/>
    <cellStyle name="Percent 123 3 2 3 2" xfId="41521"/>
    <cellStyle name="Percent 123 3 2 4" xfId="29216"/>
    <cellStyle name="Percent 123 3 3" xfId="12420"/>
    <cellStyle name="Percent 123 3 3 2" xfId="32303"/>
    <cellStyle name="Percent 123 3 4" xfId="18572"/>
    <cellStyle name="Percent 123 3 4 2" xfId="38455"/>
    <cellStyle name="Percent 123 3 5" xfId="26150"/>
    <cellStyle name="Percent 123 4" xfId="7758"/>
    <cellStyle name="Percent 123 4 2" xfId="13952"/>
    <cellStyle name="Percent 123 4 2 2" xfId="33835"/>
    <cellStyle name="Percent 123 4 3" xfId="20104"/>
    <cellStyle name="Percent 123 4 3 2" xfId="39987"/>
    <cellStyle name="Percent 123 4 4" xfId="27682"/>
    <cellStyle name="Percent 123 5" xfId="10886"/>
    <cellStyle name="Percent 123 5 2" xfId="30769"/>
    <cellStyle name="Percent 123 6" xfId="17038"/>
    <cellStyle name="Percent 123 6 2" xfId="36921"/>
    <cellStyle name="Percent 123 7" xfId="24616"/>
    <cellStyle name="Percent 124" xfId="4233"/>
    <cellStyle name="Percent 124 2" xfId="5352"/>
    <cellStyle name="Percent 124 2 2" xfId="6977"/>
    <cellStyle name="Percent 124 2 2 2" xfId="10063"/>
    <cellStyle name="Percent 124 2 2 2 2" xfId="16256"/>
    <cellStyle name="Percent 124 2 2 2 2 2" xfId="36139"/>
    <cellStyle name="Percent 124 2 2 2 3" xfId="22408"/>
    <cellStyle name="Percent 124 2 2 2 3 2" xfId="42291"/>
    <cellStyle name="Percent 124 2 2 2 4" xfId="29986"/>
    <cellStyle name="Percent 124 2 2 3" xfId="13190"/>
    <cellStyle name="Percent 124 2 2 3 2" xfId="33073"/>
    <cellStyle name="Percent 124 2 2 4" xfId="19342"/>
    <cellStyle name="Percent 124 2 2 4 2" xfId="39225"/>
    <cellStyle name="Percent 124 2 2 5" xfId="26920"/>
    <cellStyle name="Percent 124 2 3" xfId="8528"/>
    <cellStyle name="Percent 124 2 3 2" xfId="14722"/>
    <cellStyle name="Percent 124 2 3 2 2" xfId="34605"/>
    <cellStyle name="Percent 124 2 3 3" xfId="20874"/>
    <cellStyle name="Percent 124 2 3 3 2" xfId="40757"/>
    <cellStyle name="Percent 124 2 3 4" xfId="28452"/>
    <cellStyle name="Percent 124 2 4" xfId="11656"/>
    <cellStyle name="Percent 124 2 4 2" xfId="31539"/>
    <cellStyle name="Percent 124 2 5" xfId="17808"/>
    <cellStyle name="Percent 124 2 5 2" xfId="37691"/>
    <cellStyle name="Percent 124 2 6" xfId="25386"/>
    <cellStyle name="Percent 124 3" xfId="6194"/>
    <cellStyle name="Percent 124 3 2" xfId="9294"/>
    <cellStyle name="Percent 124 3 2 2" xfId="15487"/>
    <cellStyle name="Percent 124 3 2 2 2" xfId="35370"/>
    <cellStyle name="Percent 124 3 2 3" xfId="21639"/>
    <cellStyle name="Percent 124 3 2 3 2" xfId="41522"/>
    <cellStyle name="Percent 124 3 2 4" xfId="29217"/>
    <cellStyle name="Percent 124 3 3" xfId="12421"/>
    <cellStyle name="Percent 124 3 3 2" xfId="32304"/>
    <cellStyle name="Percent 124 3 4" xfId="18573"/>
    <cellStyle name="Percent 124 3 4 2" xfId="38456"/>
    <cellStyle name="Percent 124 3 5" xfId="26151"/>
    <cellStyle name="Percent 124 4" xfId="7759"/>
    <cellStyle name="Percent 124 4 2" xfId="13953"/>
    <cellStyle name="Percent 124 4 2 2" xfId="33836"/>
    <cellStyle name="Percent 124 4 3" xfId="20105"/>
    <cellStyle name="Percent 124 4 3 2" xfId="39988"/>
    <cellStyle name="Percent 124 4 4" xfId="27683"/>
    <cellStyle name="Percent 124 5" xfId="10887"/>
    <cellStyle name="Percent 124 5 2" xfId="30770"/>
    <cellStyle name="Percent 124 6" xfId="17039"/>
    <cellStyle name="Percent 124 6 2" xfId="36922"/>
    <cellStyle name="Percent 124 7" xfId="24617"/>
    <cellStyle name="Percent 125" xfId="4234"/>
    <cellStyle name="Percent 125 2" xfId="5353"/>
    <cellStyle name="Percent 125 2 2" xfId="6978"/>
    <cellStyle name="Percent 125 2 2 2" xfId="10064"/>
    <cellStyle name="Percent 125 2 2 2 2" xfId="16257"/>
    <cellStyle name="Percent 125 2 2 2 2 2" xfId="36140"/>
    <cellStyle name="Percent 125 2 2 2 3" xfId="22409"/>
    <cellStyle name="Percent 125 2 2 2 3 2" xfId="42292"/>
    <cellStyle name="Percent 125 2 2 2 4" xfId="29987"/>
    <cellStyle name="Percent 125 2 2 3" xfId="13191"/>
    <cellStyle name="Percent 125 2 2 3 2" xfId="33074"/>
    <cellStyle name="Percent 125 2 2 4" xfId="19343"/>
    <cellStyle name="Percent 125 2 2 4 2" xfId="39226"/>
    <cellStyle name="Percent 125 2 2 5" xfId="26921"/>
    <cellStyle name="Percent 125 2 3" xfId="8529"/>
    <cellStyle name="Percent 125 2 3 2" xfId="14723"/>
    <cellStyle name="Percent 125 2 3 2 2" xfId="34606"/>
    <cellStyle name="Percent 125 2 3 3" xfId="20875"/>
    <cellStyle name="Percent 125 2 3 3 2" xfId="40758"/>
    <cellStyle name="Percent 125 2 3 4" xfId="28453"/>
    <cellStyle name="Percent 125 2 4" xfId="11657"/>
    <cellStyle name="Percent 125 2 4 2" xfId="31540"/>
    <cellStyle name="Percent 125 2 5" xfId="17809"/>
    <cellStyle name="Percent 125 2 5 2" xfId="37692"/>
    <cellStyle name="Percent 125 2 6" xfId="25387"/>
    <cellStyle name="Percent 125 3" xfId="6195"/>
    <cellStyle name="Percent 125 3 2" xfId="9295"/>
    <cellStyle name="Percent 125 3 2 2" xfId="15488"/>
    <cellStyle name="Percent 125 3 2 2 2" xfId="35371"/>
    <cellStyle name="Percent 125 3 2 3" xfId="21640"/>
    <cellStyle name="Percent 125 3 2 3 2" xfId="41523"/>
    <cellStyle name="Percent 125 3 2 4" xfId="29218"/>
    <cellStyle name="Percent 125 3 3" xfId="12422"/>
    <cellStyle name="Percent 125 3 3 2" xfId="32305"/>
    <cellStyle name="Percent 125 3 4" xfId="18574"/>
    <cellStyle name="Percent 125 3 4 2" xfId="38457"/>
    <cellStyle name="Percent 125 3 5" xfId="26152"/>
    <cellStyle name="Percent 125 4" xfId="7760"/>
    <cellStyle name="Percent 125 4 2" xfId="13954"/>
    <cellStyle name="Percent 125 4 2 2" xfId="33837"/>
    <cellStyle name="Percent 125 4 3" xfId="20106"/>
    <cellStyle name="Percent 125 4 3 2" xfId="39989"/>
    <cellStyle name="Percent 125 4 4" xfId="27684"/>
    <cellStyle name="Percent 125 5" xfId="10888"/>
    <cellStyle name="Percent 125 5 2" xfId="30771"/>
    <cellStyle name="Percent 125 6" xfId="17040"/>
    <cellStyle name="Percent 125 6 2" xfId="36923"/>
    <cellStyle name="Percent 125 7" xfId="24618"/>
    <cellStyle name="Percent 126" xfId="4235"/>
    <cellStyle name="Percent 126 2" xfId="5354"/>
    <cellStyle name="Percent 126 2 2" xfId="6979"/>
    <cellStyle name="Percent 126 2 2 2" xfId="10065"/>
    <cellStyle name="Percent 126 2 2 2 2" xfId="16258"/>
    <cellStyle name="Percent 126 2 2 2 2 2" xfId="36141"/>
    <cellStyle name="Percent 126 2 2 2 3" xfId="22410"/>
    <cellStyle name="Percent 126 2 2 2 3 2" xfId="42293"/>
    <cellStyle name="Percent 126 2 2 2 4" xfId="29988"/>
    <cellStyle name="Percent 126 2 2 3" xfId="13192"/>
    <cellStyle name="Percent 126 2 2 3 2" xfId="33075"/>
    <cellStyle name="Percent 126 2 2 4" xfId="19344"/>
    <cellStyle name="Percent 126 2 2 4 2" xfId="39227"/>
    <cellStyle name="Percent 126 2 2 5" xfId="26922"/>
    <cellStyle name="Percent 126 2 3" xfId="8530"/>
    <cellStyle name="Percent 126 2 3 2" xfId="14724"/>
    <cellStyle name="Percent 126 2 3 2 2" xfId="34607"/>
    <cellStyle name="Percent 126 2 3 3" xfId="20876"/>
    <cellStyle name="Percent 126 2 3 3 2" xfId="40759"/>
    <cellStyle name="Percent 126 2 3 4" xfId="28454"/>
    <cellStyle name="Percent 126 2 4" xfId="11658"/>
    <cellStyle name="Percent 126 2 4 2" xfId="31541"/>
    <cellStyle name="Percent 126 2 5" xfId="17810"/>
    <cellStyle name="Percent 126 2 5 2" xfId="37693"/>
    <cellStyle name="Percent 126 2 6" xfId="25388"/>
    <cellStyle name="Percent 126 3" xfId="6196"/>
    <cellStyle name="Percent 126 3 2" xfId="9296"/>
    <cellStyle name="Percent 126 3 2 2" xfId="15489"/>
    <cellStyle name="Percent 126 3 2 2 2" xfId="35372"/>
    <cellStyle name="Percent 126 3 2 3" xfId="21641"/>
    <cellStyle name="Percent 126 3 2 3 2" xfId="41524"/>
    <cellStyle name="Percent 126 3 2 4" xfId="29219"/>
    <cellStyle name="Percent 126 3 3" xfId="12423"/>
    <cellStyle name="Percent 126 3 3 2" xfId="32306"/>
    <cellStyle name="Percent 126 3 4" xfId="18575"/>
    <cellStyle name="Percent 126 3 4 2" xfId="38458"/>
    <cellStyle name="Percent 126 3 5" xfId="26153"/>
    <cellStyle name="Percent 126 4" xfId="7761"/>
    <cellStyle name="Percent 126 4 2" xfId="13955"/>
    <cellStyle name="Percent 126 4 2 2" xfId="33838"/>
    <cellStyle name="Percent 126 4 3" xfId="20107"/>
    <cellStyle name="Percent 126 4 3 2" xfId="39990"/>
    <cellStyle name="Percent 126 4 4" xfId="27685"/>
    <cellStyle name="Percent 126 5" xfId="10889"/>
    <cellStyle name="Percent 126 5 2" xfId="30772"/>
    <cellStyle name="Percent 126 6" xfId="17041"/>
    <cellStyle name="Percent 126 6 2" xfId="36924"/>
    <cellStyle name="Percent 126 7" xfId="24619"/>
    <cellStyle name="Percent 127" xfId="4236"/>
    <cellStyle name="Percent 127 2" xfId="5355"/>
    <cellStyle name="Percent 127 2 2" xfId="6980"/>
    <cellStyle name="Percent 127 2 2 2" xfId="10066"/>
    <cellStyle name="Percent 127 2 2 2 2" xfId="16259"/>
    <cellStyle name="Percent 127 2 2 2 2 2" xfId="36142"/>
    <cellStyle name="Percent 127 2 2 2 3" xfId="22411"/>
    <cellStyle name="Percent 127 2 2 2 3 2" xfId="42294"/>
    <cellStyle name="Percent 127 2 2 2 4" xfId="29989"/>
    <cellStyle name="Percent 127 2 2 3" xfId="13193"/>
    <cellStyle name="Percent 127 2 2 3 2" xfId="33076"/>
    <cellStyle name="Percent 127 2 2 4" xfId="19345"/>
    <cellStyle name="Percent 127 2 2 4 2" xfId="39228"/>
    <cellStyle name="Percent 127 2 2 5" xfId="26923"/>
    <cellStyle name="Percent 127 2 3" xfId="8531"/>
    <cellStyle name="Percent 127 2 3 2" xfId="14725"/>
    <cellStyle name="Percent 127 2 3 2 2" xfId="34608"/>
    <cellStyle name="Percent 127 2 3 3" xfId="20877"/>
    <cellStyle name="Percent 127 2 3 3 2" xfId="40760"/>
    <cellStyle name="Percent 127 2 3 4" xfId="28455"/>
    <cellStyle name="Percent 127 2 4" xfId="11659"/>
    <cellStyle name="Percent 127 2 4 2" xfId="31542"/>
    <cellStyle name="Percent 127 2 5" xfId="17811"/>
    <cellStyle name="Percent 127 2 5 2" xfId="37694"/>
    <cellStyle name="Percent 127 2 6" xfId="25389"/>
    <cellStyle name="Percent 127 3" xfId="6197"/>
    <cellStyle name="Percent 127 3 2" xfId="9297"/>
    <cellStyle name="Percent 127 3 2 2" xfId="15490"/>
    <cellStyle name="Percent 127 3 2 2 2" xfId="35373"/>
    <cellStyle name="Percent 127 3 2 3" xfId="21642"/>
    <cellStyle name="Percent 127 3 2 3 2" xfId="41525"/>
    <cellStyle name="Percent 127 3 2 4" xfId="29220"/>
    <cellStyle name="Percent 127 3 3" xfId="12424"/>
    <cellStyle name="Percent 127 3 3 2" xfId="32307"/>
    <cellStyle name="Percent 127 3 4" xfId="18576"/>
    <cellStyle name="Percent 127 3 4 2" xfId="38459"/>
    <cellStyle name="Percent 127 3 5" xfId="26154"/>
    <cellStyle name="Percent 127 4" xfId="7762"/>
    <cellStyle name="Percent 127 4 2" xfId="13956"/>
    <cellStyle name="Percent 127 4 2 2" xfId="33839"/>
    <cellStyle name="Percent 127 4 3" xfId="20108"/>
    <cellStyle name="Percent 127 4 3 2" xfId="39991"/>
    <cellStyle name="Percent 127 4 4" xfId="27686"/>
    <cellStyle name="Percent 127 5" xfId="10890"/>
    <cellStyle name="Percent 127 5 2" xfId="30773"/>
    <cellStyle name="Percent 127 6" xfId="17042"/>
    <cellStyle name="Percent 127 6 2" xfId="36925"/>
    <cellStyle name="Percent 127 7" xfId="24620"/>
    <cellStyle name="Percent 128" xfId="4237"/>
    <cellStyle name="Percent 128 2" xfId="5356"/>
    <cellStyle name="Percent 128 2 2" xfId="6981"/>
    <cellStyle name="Percent 128 2 2 2" xfId="10067"/>
    <cellStyle name="Percent 128 2 2 2 2" xfId="16260"/>
    <cellStyle name="Percent 128 2 2 2 2 2" xfId="36143"/>
    <cellStyle name="Percent 128 2 2 2 3" xfId="22412"/>
    <cellStyle name="Percent 128 2 2 2 3 2" xfId="42295"/>
    <cellStyle name="Percent 128 2 2 2 4" xfId="29990"/>
    <cellStyle name="Percent 128 2 2 3" xfId="13194"/>
    <cellStyle name="Percent 128 2 2 3 2" xfId="33077"/>
    <cellStyle name="Percent 128 2 2 4" xfId="19346"/>
    <cellStyle name="Percent 128 2 2 4 2" xfId="39229"/>
    <cellStyle name="Percent 128 2 2 5" xfId="26924"/>
    <cellStyle name="Percent 128 2 3" xfId="8532"/>
    <cellStyle name="Percent 128 2 3 2" xfId="14726"/>
    <cellStyle name="Percent 128 2 3 2 2" xfId="34609"/>
    <cellStyle name="Percent 128 2 3 3" xfId="20878"/>
    <cellStyle name="Percent 128 2 3 3 2" xfId="40761"/>
    <cellStyle name="Percent 128 2 3 4" xfId="28456"/>
    <cellStyle name="Percent 128 2 4" xfId="11660"/>
    <cellStyle name="Percent 128 2 4 2" xfId="31543"/>
    <cellStyle name="Percent 128 2 5" xfId="17812"/>
    <cellStyle name="Percent 128 2 5 2" xfId="37695"/>
    <cellStyle name="Percent 128 2 6" xfId="25390"/>
    <cellStyle name="Percent 128 3" xfId="6198"/>
    <cellStyle name="Percent 128 3 2" xfId="9298"/>
    <cellStyle name="Percent 128 3 2 2" xfId="15491"/>
    <cellStyle name="Percent 128 3 2 2 2" xfId="35374"/>
    <cellStyle name="Percent 128 3 2 3" xfId="21643"/>
    <cellStyle name="Percent 128 3 2 3 2" xfId="41526"/>
    <cellStyle name="Percent 128 3 2 4" xfId="29221"/>
    <cellStyle name="Percent 128 3 3" xfId="12425"/>
    <cellStyle name="Percent 128 3 3 2" xfId="32308"/>
    <cellStyle name="Percent 128 3 4" xfId="18577"/>
    <cellStyle name="Percent 128 3 4 2" xfId="38460"/>
    <cellStyle name="Percent 128 3 5" xfId="26155"/>
    <cellStyle name="Percent 128 4" xfId="7763"/>
    <cellStyle name="Percent 128 4 2" xfId="13957"/>
    <cellStyle name="Percent 128 4 2 2" xfId="33840"/>
    <cellStyle name="Percent 128 4 3" xfId="20109"/>
    <cellStyle name="Percent 128 4 3 2" xfId="39992"/>
    <cellStyle name="Percent 128 4 4" xfId="27687"/>
    <cellStyle name="Percent 128 5" xfId="10891"/>
    <cellStyle name="Percent 128 5 2" xfId="30774"/>
    <cellStyle name="Percent 128 6" xfId="17043"/>
    <cellStyle name="Percent 128 6 2" xfId="36926"/>
    <cellStyle name="Percent 128 7" xfId="24621"/>
    <cellStyle name="Percent 129" xfId="4238"/>
    <cellStyle name="Percent 129 2" xfId="5357"/>
    <cellStyle name="Percent 129 2 2" xfId="6982"/>
    <cellStyle name="Percent 129 2 2 2" xfId="10068"/>
    <cellStyle name="Percent 129 2 2 2 2" xfId="16261"/>
    <cellStyle name="Percent 129 2 2 2 2 2" xfId="36144"/>
    <cellStyle name="Percent 129 2 2 2 3" xfId="22413"/>
    <cellStyle name="Percent 129 2 2 2 3 2" xfId="42296"/>
    <cellStyle name="Percent 129 2 2 2 4" xfId="29991"/>
    <cellStyle name="Percent 129 2 2 3" xfId="13195"/>
    <cellStyle name="Percent 129 2 2 3 2" xfId="33078"/>
    <cellStyle name="Percent 129 2 2 4" xfId="19347"/>
    <cellStyle name="Percent 129 2 2 4 2" xfId="39230"/>
    <cellStyle name="Percent 129 2 2 5" xfId="26925"/>
    <cellStyle name="Percent 129 2 3" xfId="8533"/>
    <cellStyle name="Percent 129 2 3 2" xfId="14727"/>
    <cellStyle name="Percent 129 2 3 2 2" xfId="34610"/>
    <cellStyle name="Percent 129 2 3 3" xfId="20879"/>
    <cellStyle name="Percent 129 2 3 3 2" xfId="40762"/>
    <cellStyle name="Percent 129 2 3 4" xfId="28457"/>
    <cellStyle name="Percent 129 2 4" xfId="11661"/>
    <cellStyle name="Percent 129 2 4 2" xfId="31544"/>
    <cellStyle name="Percent 129 2 5" xfId="17813"/>
    <cellStyle name="Percent 129 2 5 2" xfId="37696"/>
    <cellStyle name="Percent 129 2 6" xfId="25391"/>
    <cellStyle name="Percent 129 3" xfId="6199"/>
    <cellStyle name="Percent 129 3 2" xfId="9299"/>
    <cellStyle name="Percent 129 3 2 2" xfId="15492"/>
    <cellStyle name="Percent 129 3 2 2 2" xfId="35375"/>
    <cellStyle name="Percent 129 3 2 3" xfId="21644"/>
    <cellStyle name="Percent 129 3 2 3 2" xfId="41527"/>
    <cellStyle name="Percent 129 3 2 4" xfId="29222"/>
    <cellStyle name="Percent 129 3 3" xfId="12426"/>
    <cellStyle name="Percent 129 3 3 2" xfId="32309"/>
    <cellStyle name="Percent 129 3 4" xfId="18578"/>
    <cellStyle name="Percent 129 3 4 2" xfId="38461"/>
    <cellStyle name="Percent 129 3 5" xfId="26156"/>
    <cellStyle name="Percent 129 4" xfId="7764"/>
    <cellStyle name="Percent 129 4 2" xfId="13958"/>
    <cellStyle name="Percent 129 4 2 2" xfId="33841"/>
    <cellStyle name="Percent 129 4 3" xfId="20110"/>
    <cellStyle name="Percent 129 4 3 2" xfId="39993"/>
    <cellStyle name="Percent 129 4 4" xfId="27688"/>
    <cellStyle name="Percent 129 5" xfId="10892"/>
    <cellStyle name="Percent 129 5 2" xfId="30775"/>
    <cellStyle name="Percent 129 6" xfId="17044"/>
    <cellStyle name="Percent 129 6 2" xfId="36927"/>
    <cellStyle name="Percent 129 7" xfId="24622"/>
    <cellStyle name="Percent 13" xfId="4239"/>
    <cellStyle name="Percent 130" xfId="4240"/>
    <cellStyle name="Percent 130 2" xfId="5358"/>
    <cellStyle name="Percent 130 2 2" xfId="6983"/>
    <cellStyle name="Percent 130 2 2 2" xfId="10069"/>
    <cellStyle name="Percent 130 2 2 2 2" xfId="16262"/>
    <cellStyle name="Percent 130 2 2 2 2 2" xfId="36145"/>
    <cellStyle name="Percent 130 2 2 2 3" xfId="22414"/>
    <cellStyle name="Percent 130 2 2 2 3 2" xfId="42297"/>
    <cellStyle name="Percent 130 2 2 2 4" xfId="29992"/>
    <cellStyle name="Percent 130 2 2 3" xfId="13196"/>
    <cellStyle name="Percent 130 2 2 3 2" xfId="33079"/>
    <cellStyle name="Percent 130 2 2 4" xfId="19348"/>
    <cellStyle name="Percent 130 2 2 4 2" xfId="39231"/>
    <cellStyle name="Percent 130 2 2 5" xfId="26926"/>
    <cellStyle name="Percent 130 2 3" xfId="8534"/>
    <cellStyle name="Percent 130 2 3 2" xfId="14728"/>
    <cellStyle name="Percent 130 2 3 2 2" xfId="34611"/>
    <cellStyle name="Percent 130 2 3 3" xfId="20880"/>
    <cellStyle name="Percent 130 2 3 3 2" xfId="40763"/>
    <cellStyle name="Percent 130 2 3 4" xfId="28458"/>
    <cellStyle name="Percent 130 2 4" xfId="11662"/>
    <cellStyle name="Percent 130 2 4 2" xfId="31545"/>
    <cellStyle name="Percent 130 2 5" xfId="17814"/>
    <cellStyle name="Percent 130 2 5 2" xfId="37697"/>
    <cellStyle name="Percent 130 2 6" xfId="25392"/>
    <cellStyle name="Percent 130 3" xfId="6200"/>
    <cellStyle name="Percent 130 3 2" xfId="9300"/>
    <cellStyle name="Percent 130 3 2 2" xfId="15493"/>
    <cellStyle name="Percent 130 3 2 2 2" xfId="35376"/>
    <cellStyle name="Percent 130 3 2 3" xfId="21645"/>
    <cellStyle name="Percent 130 3 2 3 2" xfId="41528"/>
    <cellStyle name="Percent 130 3 2 4" xfId="29223"/>
    <cellStyle name="Percent 130 3 3" xfId="12427"/>
    <cellStyle name="Percent 130 3 3 2" xfId="32310"/>
    <cellStyle name="Percent 130 3 4" xfId="18579"/>
    <cellStyle name="Percent 130 3 4 2" xfId="38462"/>
    <cellStyle name="Percent 130 3 5" xfId="26157"/>
    <cellStyle name="Percent 130 4" xfId="7765"/>
    <cellStyle name="Percent 130 4 2" xfId="13959"/>
    <cellStyle name="Percent 130 4 2 2" xfId="33842"/>
    <cellStyle name="Percent 130 4 3" xfId="20111"/>
    <cellStyle name="Percent 130 4 3 2" xfId="39994"/>
    <cellStyle name="Percent 130 4 4" xfId="27689"/>
    <cellStyle name="Percent 130 5" xfId="10893"/>
    <cellStyle name="Percent 130 5 2" xfId="30776"/>
    <cellStyle name="Percent 130 6" xfId="17045"/>
    <cellStyle name="Percent 130 6 2" xfId="36928"/>
    <cellStyle name="Percent 130 7" xfId="24623"/>
    <cellStyle name="Percent 131" xfId="4241"/>
    <cellStyle name="Percent 132" xfId="4242"/>
    <cellStyle name="Percent 133" xfId="4243"/>
    <cellStyle name="Percent 134" xfId="4244"/>
    <cellStyle name="Percent 135" xfId="4245"/>
    <cellStyle name="Percent 136" xfId="4246"/>
    <cellStyle name="Percent 137" xfId="4247"/>
    <cellStyle name="Percent 138" xfId="4248"/>
    <cellStyle name="Percent 139" xfId="4249"/>
    <cellStyle name="Percent 14" xfId="4250"/>
    <cellStyle name="Percent 140" xfId="4251"/>
    <cellStyle name="Percent 141" xfId="4252"/>
    <cellStyle name="Percent 142" xfId="4253"/>
    <cellStyle name="Percent 143" xfId="4254"/>
    <cellStyle name="Percent 144" xfId="4255"/>
    <cellStyle name="Percent 145" xfId="4256"/>
    <cellStyle name="Percent 146" xfId="4257"/>
    <cellStyle name="Percent 147" xfId="4258"/>
    <cellStyle name="Percent 148" xfId="4259"/>
    <cellStyle name="Percent 149" xfId="4260"/>
    <cellStyle name="Percent 15" xfId="4261"/>
    <cellStyle name="Percent 150" xfId="4262"/>
    <cellStyle name="Percent 151" xfId="4263"/>
    <cellStyle name="Percent 152" xfId="4264"/>
    <cellStyle name="Percent 153" xfId="4265"/>
    <cellStyle name="Percent 154" xfId="4266"/>
    <cellStyle name="Percent 155" xfId="4267"/>
    <cellStyle name="Percent 156" xfId="4268"/>
    <cellStyle name="Percent 157" xfId="4269"/>
    <cellStyle name="Percent 158" xfId="4270"/>
    <cellStyle name="Percent 159" xfId="4271"/>
    <cellStyle name="Percent 159 2" xfId="5359"/>
    <cellStyle name="Percent 159 2 2" xfId="6984"/>
    <cellStyle name="Percent 159 2 2 2" xfId="10070"/>
    <cellStyle name="Percent 159 2 2 2 2" xfId="16263"/>
    <cellStyle name="Percent 159 2 2 2 2 2" xfId="36146"/>
    <cellStyle name="Percent 159 2 2 2 3" xfId="22415"/>
    <cellStyle name="Percent 159 2 2 2 3 2" xfId="42298"/>
    <cellStyle name="Percent 159 2 2 2 4" xfId="29993"/>
    <cellStyle name="Percent 159 2 2 3" xfId="13197"/>
    <cellStyle name="Percent 159 2 2 3 2" xfId="33080"/>
    <cellStyle name="Percent 159 2 2 4" xfId="19349"/>
    <cellStyle name="Percent 159 2 2 4 2" xfId="39232"/>
    <cellStyle name="Percent 159 2 2 5" xfId="26927"/>
    <cellStyle name="Percent 159 2 3" xfId="8535"/>
    <cellStyle name="Percent 159 2 3 2" xfId="14729"/>
    <cellStyle name="Percent 159 2 3 2 2" xfId="34612"/>
    <cellStyle name="Percent 159 2 3 3" xfId="20881"/>
    <cellStyle name="Percent 159 2 3 3 2" xfId="40764"/>
    <cellStyle name="Percent 159 2 3 4" xfId="28459"/>
    <cellStyle name="Percent 159 2 4" xfId="11663"/>
    <cellStyle name="Percent 159 2 4 2" xfId="31546"/>
    <cellStyle name="Percent 159 2 5" xfId="17815"/>
    <cellStyle name="Percent 159 2 5 2" xfId="37698"/>
    <cellStyle name="Percent 159 2 6" xfId="25393"/>
    <cellStyle name="Percent 159 3" xfId="6201"/>
    <cellStyle name="Percent 159 3 2" xfId="9301"/>
    <cellStyle name="Percent 159 3 2 2" xfId="15494"/>
    <cellStyle name="Percent 159 3 2 2 2" xfId="35377"/>
    <cellStyle name="Percent 159 3 2 3" xfId="21646"/>
    <cellStyle name="Percent 159 3 2 3 2" xfId="41529"/>
    <cellStyle name="Percent 159 3 2 4" xfId="29224"/>
    <cellStyle name="Percent 159 3 3" xfId="12428"/>
    <cellStyle name="Percent 159 3 3 2" xfId="32311"/>
    <cellStyle name="Percent 159 3 4" xfId="18580"/>
    <cellStyle name="Percent 159 3 4 2" xfId="38463"/>
    <cellStyle name="Percent 159 3 5" xfId="26158"/>
    <cellStyle name="Percent 159 4" xfId="7766"/>
    <cellStyle name="Percent 159 4 2" xfId="13960"/>
    <cellStyle name="Percent 159 4 2 2" xfId="33843"/>
    <cellStyle name="Percent 159 4 3" xfId="20112"/>
    <cellStyle name="Percent 159 4 3 2" xfId="39995"/>
    <cellStyle name="Percent 159 4 4" xfId="27690"/>
    <cellStyle name="Percent 159 5" xfId="10894"/>
    <cellStyle name="Percent 159 5 2" xfId="30777"/>
    <cellStyle name="Percent 159 6" xfId="17046"/>
    <cellStyle name="Percent 159 6 2" xfId="36929"/>
    <cellStyle name="Percent 159 7" xfId="24624"/>
    <cellStyle name="Percent 16" xfId="4272"/>
    <cellStyle name="Percent 160" xfId="1325"/>
    <cellStyle name="Percent 161" xfId="4623"/>
    <cellStyle name="Percent 162" xfId="1319"/>
    <cellStyle name="Percent 162 2" xfId="4766"/>
    <cellStyle name="Percent 162 2 2" xfId="6391"/>
    <cellStyle name="Percent 162 2 2 2" xfId="9477"/>
    <cellStyle name="Percent 162 2 2 2 2" xfId="15670"/>
    <cellStyle name="Percent 162 2 2 2 2 2" xfId="35553"/>
    <cellStyle name="Percent 162 2 2 2 3" xfId="21822"/>
    <cellStyle name="Percent 162 2 2 2 3 2" xfId="41705"/>
    <cellStyle name="Percent 162 2 2 2 4" xfId="29400"/>
    <cellStyle name="Percent 162 2 2 3" xfId="12604"/>
    <cellStyle name="Percent 162 2 2 3 2" xfId="32487"/>
    <cellStyle name="Percent 162 2 2 4" xfId="18756"/>
    <cellStyle name="Percent 162 2 2 4 2" xfId="38639"/>
    <cellStyle name="Percent 162 2 2 5" xfId="26334"/>
    <cellStyle name="Percent 162 2 3" xfId="7942"/>
    <cellStyle name="Percent 162 2 3 2" xfId="14136"/>
    <cellStyle name="Percent 162 2 3 2 2" xfId="34019"/>
    <cellStyle name="Percent 162 2 3 3" xfId="20288"/>
    <cellStyle name="Percent 162 2 3 3 2" xfId="40171"/>
    <cellStyle name="Percent 162 2 3 4" xfId="27866"/>
    <cellStyle name="Percent 162 2 4" xfId="11070"/>
    <cellStyle name="Percent 162 2 4 2" xfId="30953"/>
    <cellStyle name="Percent 162 2 5" xfId="17222"/>
    <cellStyle name="Percent 162 2 5 2" xfId="37105"/>
    <cellStyle name="Percent 162 2 6" xfId="24800"/>
    <cellStyle name="Percent 162 3" xfId="5605"/>
    <cellStyle name="Percent 162 3 2" xfId="8708"/>
    <cellStyle name="Percent 162 3 2 2" xfId="14901"/>
    <cellStyle name="Percent 162 3 2 2 2" xfId="34784"/>
    <cellStyle name="Percent 162 3 2 3" xfId="21053"/>
    <cellStyle name="Percent 162 3 2 3 2" xfId="40936"/>
    <cellStyle name="Percent 162 3 2 4" xfId="28631"/>
    <cellStyle name="Percent 162 3 3" xfId="11835"/>
    <cellStyle name="Percent 162 3 3 2" xfId="31718"/>
    <cellStyle name="Percent 162 3 4" xfId="17987"/>
    <cellStyle name="Percent 162 3 4 2" xfId="37870"/>
    <cellStyle name="Percent 162 3 5" xfId="25565"/>
    <cellStyle name="Percent 162 4" xfId="7173"/>
    <cellStyle name="Percent 162 4 2" xfId="13367"/>
    <cellStyle name="Percent 162 4 2 2" xfId="33250"/>
    <cellStyle name="Percent 162 4 3" xfId="19519"/>
    <cellStyle name="Percent 162 4 3 2" xfId="39402"/>
    <cellStyle name="Percent 162 4 4" xfId="27097"/>
    <cellStyle name="Percent 162 5" xfId="10301"/>
    <cellStyle name="Percent 162 5 2" xfId="30184"/>
    <cellStyle name="Percent 162 6" xfId="16453"/>
    <cellStyle name="Percent 162 6 2" xfId="36336"/>
    <cellStyle name="Percent 162 7" xfId="24031"/>
    <cellStyle name="Percent 163" xfId="4730"/>
    <cellStyle name="Percent 163 2" xfId="4737"/>
    <cellStyle name="Percent 163 3" xfId="6362"/>
    <cellStyle name="Percent 163 3 2" xfId="9448"/>
    <cellStyle name="Percent 163 3 2 2" xfId="15641"/>
    <cellStyle name="Percent 163 3 2 2 2" xfId="35524"/>
    <cellStyle name="Percent 163 3 2 3" xfId="21793"/>
    <cellStyle name="Percent 163 3 2 3 2" xfId="41676"/>
    <cellStyle name="Percent 163 3 2 4" xfId="29371"/>
    <cellStyle name="Percent 163 3 3" xfId="12575"/>
    <cellStyle name="Percent 163 3 3 2" xfId="32458"/>
    <cellStyle name="Percent 163 3 4" xfId="18727"/>
    <cellStyle name="Percent 163 3 4 2" xfId="38610"/>
    <cellStyle name="Percent 163 3 5" xfId="26305"/>
    <cellStyle name="Percent 163 4" xfId="7913"/>
    <cellStyle name="Percent 163 4 2" xfId="14107"/>
    <cellStyle name="Percent 163 4 2 2" xfId="33990"/>
    <cellStyle name="Percent 163 4 3" xfId="20259"/>
    <cellStyle name="Percent 163 4 3 2" xfId="40142"/>
    <cellStyle name="Percent 163 4 4" xfId="27837"/>
    <cellStyle name="Percent 163 5" xfId="11041"/>
    <cellStyle name="Percent 163 5 2" xfId="30924"/>
    <cellStyle name="Percent 163 6" xfId="17193"/>
    <cellStyle name="Percent 163 6 2" xfId="37076"/>
    <cellStyle name="Percent 163 7" xfId="24771"/>
    <cellStyle name="Percent 164" xfId="5504"/>
    <cellStyle name="Percent 165" xfId="5574"/>
    <cellStyle name="Percent 166" xfId="5512"/>
    <cellStyle name="Percent 167" xfId="5565"/>
    <cellStyle name="Percent 168" xfId="5523"/>
    <cellStyle name="Percent 169" xfId="5554"/>
    <cellStyle name="Percent 17" xfId="4273"/>
    <cellStyle name="Percent 170" xfId="5526"/>
    <cellStyle name="Percent 171" xfId="5551"/>
    <cellStyle name="Percent 172" xfId="5518"/>
    <cellStyle name="Percent 173" xfId="5568"/>
    <cellStyle name="Percent 174" xfId="5511"/>
    <cellStyle name="Percent 175" xfId="5543"/>
    <cellStyle name="Percent 176" xfId="5521"/>
    <cellStyle name="Percent 177" xfId="5567"/>
    <cellStyle name="Percent 178" xfId="5535"/>
    <cellStyle name="Percent 179" xfId="5558"/>
    <cellStyle name="Percent 18" xfId="4274"/>
    <cellStyle name="Percent 180" xfId="4741"/>
    <cellStyle name="Percent 180 2" xfId="6366"/>
    <cellStyle name="Percent 180 2 2" xfId="9452"/>
    <cellStyle name="Percent 180 2 2 2" xfId="15645"/>
    <cellStyle name="Percent 180 2 2 2 2" xfId="35528"/>
    <cellStyle name="Percent 180 2 2 3" xfId="21797"/>
    <cellStyle name="Percent 180 2 2 3 2" xfId="41680"/>
    <cellStyle name="Percent 180 2 2 4" xfId="29375"/>
    <cellStyle name="Percent 180 2 3" xfId="12579"/>
    <cellStyle name="Percent 180 2 3 2" xfId="32462"/>
    <cellStyle name="Percent 180 2 4" xfId="18731"/>
    <cellStyle name="Percent 180 2 4 2" xfId="38614"/>
    <cellStyle name="Percent 180 2 5" xfId="26309"/>
    <cellStyle name="Percent 180 3" xfId="7917"/>
    <cellStyle name="Percent 180 3 2" xfId="14111"/>
    <cellStyle name="Percent 180 3 2 2" xfId="33994"/>
    <cellStyle name="Percent 180 3 3" xfId="20263"/>
    <cellStyle name="Percent 180 3 3 2" xfId="40146"/>
    <cellStyle name="Percent 180 3 4" xfId="27841"/>
    <cellStyle name="Percent 180 4" xfId="11045"/>
    <cellStyle name="Percent 180 4 2" xfId="30928"/>
    <cellStyle name="Percent 180 5" xfId="17197"/>
    <cellStyle name="Percent 180 5 2" xfId="37080"/>
    <cellStyle name="Percent 180 6" xfId="24775"/>
    <cellStyle name="Percent 181" xfId="7144"/>
    <cellStyle name="Percent 182" xfId="10215"/>
    <cellStyle name="Percent 183" xfId="10221"/>
    <cellStyle name="Percent 184" xfId="10272"/>
    <cellStyle name="Percent 185" xfId="1181"/>
    <cellStyle name="Percent 186" xfId="1218"/>
    <cellStyle name="Percent 187" xfId="22587"/>
    <cellStyle name="Percent 188" xfId="22582"/>
    <cellStyle name="Percent 189" xfId="22584"/>
    <cellStyle name="Percent 19" xfId="4275"/>
    <cellStyle name="Percent 190" xfId="1159"/>
    <cellStyle name="Percent 190 2" xfId="24001"/>
    <cellStyle name="Percent 191" xfId="1164"/>
    <cellStyle name="Percent 191 2" xfId="24004"/>
    <cellStyle name="Percent 192" xfId="22628"/>
    <cellStyle name="Percent 192 2" xfId="42502"/>
    <cellStyle name="Percent 193" xfId="22657"/>
    <cellStyle name="Percent 193 2" xfId="42531"/>
    <cellStyle name="Percent 194" xfId="22775"/>
    <cellStyle name="Percent 194 2" xfId="42649"/>
    <cellStyle name="Percent 195" xfId="22592"/>
    <cellStyle name="Percent 195 2" xfId="42466"/>
    <cellStyle name="Percent 196" xfId="22803"/>
    <cellStyle name="Percent 196 2" xfId="42677"/>
    <cellStyle name="Percent 197" xfId="22632"/>
    <cellStyle name="Percent 197 2" xfId="42506"/>
    <cellStyle name="Percent 2" xfId="43"/>
    <cellStyle name="Percent 2 10" xfId="317"/>
    <cellStyle name="Percent 2 10 2" xfId="4681"/>
    <cellStyle name="Percent 2 10 3" xfId="4277"/>
    <cellStyle name="Percent 2 10 4" xfId="1245"/>
    <cellStyle name="Percent 2 11" xfId="347"/>
    <cellStyle name="Percent 2 11 2" xfId="4682"/>
    <cellStyle name="Percent 2 11 3" xfId="4278"/>
    <cellStyle name="Percent 2 11 4" xfId="1246"/>
    <cellStyle name="Percent 2 12" xfId="339"/>
    <cellStyle name="Percent 2 12 2" xfId="4683"/>
    <cellStyle name="Percent 2 12 3" xfId="4279"/>
    <cellStyle name="Percent 2 12 4" xfId="1247"/>
    <cellStyle name="Percent 2 13" xfId="358"/>
    <cellStyle name="Percent 2 13 2" xfId="4684"/>
    <cellStyle name="Percent 2 13 3" xfId="4280"/>
    <cellStyle name="Percent 2 13 4" xfId="1248"/>
    <cellStyle name="Percent 2 14" xfId="373"/>
    <cellStyle name="Percent 2 14 2" xfId="4685"/>
    <cellStyle name="Percent 2 14 3" xfId="4281"/>
    <cellStyle name="Percent 2 14 4" xfId="1249"/>
    <cellStyle name="Percent 2 15" xfId="389"/>
    <cellStyle name="Percent 2 15 2" xfId="4686"/>
    <cellStyle name="Percent 2 15 3" xfId="4282"/>
    <cellStyle name="Percent 2 15 4" xfId="1250"/>
    <cellStyle name="Percent 2 16" xfId="403"/>
    <cellStyle name="Percent 2 16 2" xfId="4687"/>
    <cellStyle name="Percent 2 16 3" xfId="4283"/>
    <cellStyle name="Percent 2 16 4" xfId="1251"/>
    <cellStyle name="Percent 2 17" xfId="425"/>
    <cellStyle name="Percent 2 17 2" xfId="4688"/>
    <cellStyle name="Percent 2 17 3" xfId="4284"/>
    <cellStyle name="Percent 2 17 4" xfId="1252"/>
    <cellStyle name="Percent 2 18" xfId="453"/>
    <cellStyle name="Percent 2 18 2" xfId="4689"/>
    <cellStyle name="Percent 2 18 3" xfId="4285"/>
    <cellStyle name="Percent 2 18 4" xfId="1253"/>
    <cellStyle name="Percent 2 19" xfId="478"/>
    <cellStyle name="Percent 2 19 2" xfId="4690"/>
    <cellStyle name="Percent 2 19 3" xfId="4286"/>
    <cellStyle name="Percent 2 19 4" xfId="1254"/>
    <cellStyle name="Percent 2 2" xfId="44"/>
    <cellStyle name="Percent 2 2 10" xfId="268"/>
    <cellStyle name="Percent 2 2 11" xfId="301"/>
    <cellStyle name="Percent 2 2 12" xfId="346"/>
    <cellStyle name="Percent 2 2 13" xfId="325"/>
    <cellStyle name="Percent 2 2 14" xfId="427"/>
    <cellStyle name="Percent 2 2 15" xfId="457"/>
    <cellStyle name="Percent 2 2 16" xfId="474"/>
    <cellStyle name="Percent 2 2 17" xfId="497"/>
    <cellStyle name="Percent 2 2 18" xfId="539"/>
    <cellStyle name="Percent 2 2 19" xfId="566"/>
    <cellStyle name="Percent 2 2 2" xfId="248"/>
    <cellStyle name="Percent 2 2 2 2" xfId="4288"/>
    <cellStyle name="Percent 2 2 2 2 2" xfId="4289"/>
    <cellStyle name="Percent 2 2 2 3" xfId="4290"/>
    <cellStyle name="Percent 2 2 2 4" xfId="23307"/>
    <cellStyle name="Percent 2 2 2 4 2" xfId="43035"/>
    <cellStyle name="Percent 2 2 20" xfId="592"/>
    <cellStyle name="Percent 2 2 21" xfId="571"/>
    <cellStyle name="Percent 2 2 22" xfId="523"/>
    <cellStyle name="Percent 2 2 23" xfId="640"/>
    <cellStyle name="Percent 2 2 24" xfId="704"/>
    <cellStyle name="Percent 2 2 25" xfId="736"/>
    <cellStyle name="Percent 2 2 26" xfId="762"/>
    <cellStyle name="Percent 2 2 27" xfId="787"/>
    <cellStyle name="Percent 2 2 28" xfId="811"/>
    <cellStyle name="Percent 2 2 29" xfId="199"/>
    <cellStyle name="Percent 2 2 3" xfId="264"/>
    <cellStyle name="Percent 2 2 3 2" xfId="4291"/>
    <cellStyle name="Percent 2 2 3 3" xfId="23308"/>
    <cellStyle name="Percent 2 2 3 3 2" xfId="43036"/>
    <cellStyle name="Percent 2 2 30" xfId="23306"/>
    <cellStyle name="Percent 2 2 4" xfId="283"/>
    <cellStyle name="Percent 2 2 4 2" xfId="4292"/>
    <cellStyle name="Percent 2 2 5" xfId="310"/>
    <cellStyle name="Percent 2 2 5 2" xfId="4691"/>
    <cellStyle name="Percent 2 2 6" xfId="300"/>
    <cellStyle name="Percent 2 2 6 2" xfId="4287"/>
    <cellStyle name="Percent 2 2 7" xfId="307"/>
    <cellStyle name="Percent 2 2 7 2" xfId="1255"/>
    <cellStyle name="Percent 2 2 8" xfId="286"/>
    <cellStyle name="Percent 2 2 9" xfId="308"/>
    <cellStyle name="Percent 2 20" xfId="475"/>
    <cellStyle name="Percent 2 20 2" xfId="4293"/>
    <cellStyle name="Percent 2 21" xfId="481"/>
    <cellStyle name="Percent 2 21 2" xfId="4294"/>
    <cellStyle name="Percent 2 22" xfId="469"/>
    <cellStyle name="Percent 2 22 2" xfId="5360"/>
    <cellStyle name="Percent 2 22 2 2" xfId="6985"/>
    <cellStyle name="Percent 2 22 2 2 2" xfId="10071"/>
    <cellStyle name="Percent 2 22 2 2 2 2" xfId="16264"/>
    <cellStyle name="Percent 2 22 2 2 2 2 2" xfId="36147"/>
    <cellStyle name="Percent 2 22 2 2 2 3" xfId="22416"/>
    <cellStyle name="Percent 2 22 2 2 2 3 2" xfId="42299"/>
    <cellStyle name="Percent 2 22 2 2 2 4" xfId="29994"/>
    <cellStyle name="Percent 2 22 2 2 3" xfId="13198"/>
    <cellStyle name="Percent 2 22 2 2 3 2" xfId="33081"/>
    <cellStyle name="Percent 2 22 2 2 4" xfId="19350"/>
    <cellStyle name="Percent 2 22 2 2 4 2" xfId="39233"/>
    <cellStyle name="Percent 2 22 2 2 5" xfId="26928"/>
    <cellStyle name="Percent 2 22 2 3" xfId="8536"/>
    <cellStyle name="Percent 2 22 2 3 2" xfId="14730"/>
    <cellStyle name="Percent 2 22 2 3 2 2" xfId="34613"/>
    <cellStyle name="Percent 2 22 2 3 3" xfId="20882"/>
    <cellStyle name="Percent 2 22 2 3 3 2" xfId="40765"/>
    <cellStyle name="Percent 2 22 2 3 4" xfId="28460"/>
    <cellStyle name="Percent 2 22 2 4" xfId="11664"/>
    <cellStyle name="Percent 2 22 2 4 2" xfId="31547"/>
    <cellStyle name="Percent 2 22 2 5" xfId="17816"/>
    <cellStyle name="Percent 2 22 2 5 2" xfId="37699"/>
    <cellStyle name="Percent 2 22 2 6" xfId="25394"/>
    <cellStyle name="Percent 2 22 3" xfId="6202"/>
    <cellStyle name="Percent 2 22 3 2" xfId="9302"/>
    <cellStyle name="Percent 2 22 3 2 2" xfId="15495"/>
    <cellStyle name="Percent 2 22 3 2 2 2" xfId="35378"/>
    <cellStyle name="Percent 2 22 3 2 3" xfId="21647"/>
    <cellStyle name="Percent 2 22 3 2 3 2" xfId="41530"/>
    <cellStyle name="Percent 2 22 3 2 4" xfId="29225"/>
    <cellStyle name="Percent 2 22 3 3" xfId="12429"/>
    <cellStyle name="Percent 2 22 3 3 2" xfId="32312"/>
    <cellStyle name="Percent 2 22 3 4" xfId="18581"/>
    <cellStyle name="Percent 2 22 3 4 2" xfId="38464"/>
    <cellStyle name="Percent 2 22 3 5" xfId="26159"/>
    <cellStyle name="Percent 2 22 4" xfId="7767"/>
    <cellStyle name="Percent 2 22 4 2" xfId="13961"/>
    <cellStyle name="Percent 2 22 4 2 2" xfId="33844"/>
    <cellStyle name="Percent 2 22 4 3" xfId="20113"/>
    <cellStyle name="Percent 2 22 4 3 2" xfId="39996"/>
    <cellStyle name="Percent 2 22 4 4" xfId="27691"/>
    <cellStyle name="Percent 2 22 5" xfId="10895"/>
    <cellStyle name="Percent 2 22 5 2" xfId="30778"/>
    <cellStyle name="Percent 2 22 6" xfId="17047"/>
    <cellStyle name="Percent 2 22 6 2" xfId="36930"/>
    <cellStyle name="Percent 2 22 7" xfId="4276"/>
    <cellStyle name="Percent 2 22 7 2" xfId="24625"/>
    <cellStyle name="Percent 2 23" xfId="516"/>
    <cellStyle name="Percent 2 24" xfId="531"/>
    <cellStyle name="Percent 2 25" xfId="464"/>
    <cellStyle name="Percent 2 26" xfId="602"/>
    <cellStyle name="Percent 2 27" xfId="679"/>
    <cellStyle name="Percent 2 28" xfId="657"/>
    <cellStyle name="Percent 2 29" xfId="647"/>
    <cellStyle name="Percent 2 3" xfId="211"/>
    <cellStyle name="Percent 2 3 10" xfId="23410"/>
    <cellStyle name="Percent 2 3 2" xfId="870"/>
    <cellStyle name="Percent 2 3 2 2" xfId="4296"/>
    <cellStyle name="Percent 2 3 2 3" xfId="23713"/>
    <cellStyle name="Percent 2 3 3" xfId="4297"/>
    <cellStyle name="Percent 2 3 4" xfId="4295"/>
    <cellStyle name="Percent 2 3 5" xfId="10259"/>
    <cellStyle name="Percent 2 3 6" xfId="1256"/>
    <cellStyle name="Percent 2 3 7" xfId="22624"/>
    <cellStyle name="Percent 2 3 7 2" xfId="42498"/>
    <cellStyle name="Percent 2 3 8" xfId="22833"/>
    <cellStyle name="Percent 2 3 8 2" xfId="42707"/>
    <cellStyle name="Percent 2 3 9" xfId="23309"/>
    <cellStyle name="Percent 2 30" xfId="713"/>
    <cellStyle name="Percent 2 31" xfId="741"/>
    <cellStyle name="Percent 2 32" xfId="194"/>
    <cellStyle name="Percent 2 33" xfId="23305"/>
    <cellStyle name="Percent 2 4" xfId="220"/>
    <cellStyle name="Percent 2 4 2" xfId="4299"/>
    <cellStyle name="Percent 2 4 3" xfId="4692"/>
    <cellStyle name="Percent 2 4 4" xfId="4298"/>
    <cellStyle name="Percent 2 4 5" xfId="23310"/>
    <cellStyle name="Percent 2 5" xfId="244"/>
    <cellStyle name="Percent 2 5 2" xfId="4693"/>
    <cellStyle name="Percent 2 5 3" xfId="4300"/>
    <cellStyle name="Percent 2 5 4" xfId="1257"/>
    <cellStyle name="Percent 2 5 5" xfId="23311"/>
    <cellStyle name="Percent 2 6" xfId="269"/>
    <cellStyle name="Percent 2 6 2" xfId="4694"/>
    <cellStyle name="Percent 2 6 3" xfId="4301"/>
    <cellStyle name="Percent 2 6 4" xfId="1258"/>
    <cellStyle name="Percent 2 6 5" xfId="23312"/>
    <cellStyle name="Percent 2 7" xfId="263"/>
    <cellStyle name="Percent 2 7 2" xfId="4695"/>
    <cellStyle name="Percent 2 7 3" xfId="4302"/>
    <cellStyle name="Percent 2 7 4" xfId="1259"/>
    <cellStyle name="Percent 2 8" xfId="335"/>
    <cellStyle name="Percent 2 8 2" xfId="4696"/>
    <cellStyle name="Percent 2 8 3" xfId="4303"/>
    <cellStyle name="Percent 2 8 4" xfId="1260"/>
    <cellStyle name="Percent 2 9" xfId="302"/>
    <cellStyle name="Percent 2 9 2" xfId="4697"/>
    <cellStyle name="Percent 2 9 3" xfId="4304"/>
    <cellStyle name="Percent 2 9 4" xfId="1261"/>
    <cellStyle name="Percent 20" xfId="4305"/>
    <cellStyle name="Percent 21" xfId="4306"/>
    <cellStyle name="Percent 22" xfId="4307"/>
    <cellStyle name="Percent 23" xfId="4308"/>
    <cellStyle name="Percent 24" xfId="4309"/>
    <cellStyle name="Percent 25" xfId="4310"/>
    <cellStyle name="Percent 25 2" xfId="4311"/>
    <cellStyle name="Percent 25 2 2" xfId="4312"/>
    <cellStyle name="Percent 25 2 2 2" xfId="5362"/>
    <cellStyle name="Percent 25 2 2 2 2" xfId="6987"/>
    <cellStyle name="Percent 25 2 2 2 2 2" xfId="10073"/>
    <cellStyle name="Percent 25 2 2 2 2 2 2" xfId="16266"/>
    <cellStyle name="Percent 25 2 2 2 2 2 2 2" xfId="36149"/>
    <cellStyle name="Percent 25 2 2 2 2 2 3" xfId="22418"/>
    <cellStyle name="Percent 25 2 2 2 2 2 3 2" xfId="42301"/>
    <cellStyle name="Percent 25 2 2 2 2 2 4" xfId="29996"/>
    <cellStyle name="Percent 25 2 2 2 2 3" xfId="13200"/>
    <cellStyle name="Percent 25 2 2 2 2 3 2" xfId="33083"/>
    <cellStyle name="Percent 25 2 2 2 2 4" xfId="19352"/>
    <cellStyle name="Percent 25 2 2 2 2 4 2" xfId="39235"/>
    <cellStyle name="Percent 25 2 2 2 2 5" xfId="26930"/>
    <cellStyle name="Percent 25 2 2 2 3" xfId="8538"/>
    <cellStyle name="Percent 25 2 2 2 3 2" xfId="14732"/>
    <cellStyle name="Percent 25 2 2 2 3 2 2" xfId="34615"/>
    <cellStyle name="Percent 25 2 2 2 3 3" xfId="20884"/>
    <cellStyle name="Percent 25 2 2 2 3 3 2" xfId="40767"/>
    <cellStyle name="Percent 25 2 2 2 3 4" xfId="28462"/>
    <cellStyle name="Percent 25 2 2 2 4" xfId="11666"/>
    <cellStyle name="Percent 25 2 2 2 4 2" xfId="31549"/>
    <cellStyle name="Percent 25 2 2 2 5" xfId="17818"/>
    <cellStyle name="Percent 25 2 2 2 5 2" xfId="37701"/>
    <cellStyle name="Percent 25 2 2 2 6" xfId="25396"/>
    <cellStyle name="Percent 25 2 2 3" xfId="6208"/>
    <cellStyle name="Percent 25 2 2 3 2" xfId="9304"/>
    <cellStyle name="Percent 25 2 2 3 2 2" xfId="15497"/>
    <cellStyle name="Percent 25 2 2 3 2 2 2" xfId="35380"/>
    <cellStyle name="Percent 25 2 2 3 2 3" xfId="21649"/>
    <cellStyle name="Percent 25 2 2 3 2 3 2" xfId="41532"/>
    <cellStyle name="Percent 25 2 2 3 2 4" xfId="29227"/>
    <cellStyle name="Percent 25 2 2 3 3" xfId="12431"/>
    <cellStyle name="Percent 25 2 2 3 3 2" xfId="32314"/>
    <cellStyle name="Percent 25 2 2 3 4" xfId="18583"/>
    <cellStyle name="Percent 25 2 2 3 4 2" xfId="38466"/>
    <cellStyle name="Percent 25 2 2 3 5" xfId="26161"/>
    <cellStyle name="Percent 25 2 2 4" xfId="7769"/>
    <cellStyle name="Percent 25 2 2 4 2" xfId="13963"/>
    <cellStyle name="Percent 25 2 2 4 2 2" xfId="33846"/>
    <cellStyle name="Percent 25 2 2 4 3" xfId="20115"/>
    <cellStyle name="Percent 25 2 2 4 3 2" xfId="39998"/>
    <cellStyle name="Percent 25 2 2 4 4" xfId="27693"/>
    <cellStyle name="Percent 25 2 2 5" xfId="10897"/>
    <cellStyle name="Percent 25 2 2 5 2" xfId="30780"/>
    <cellStyle name="Percent 25 2 2 6" xfId="17049"/>
    <cellStyle name="Percent 25 2 2 6 2" xfId="36932"/>
    <cellStyle name="Percent 25 2 2 7" xfId="24627"/>
    <cellStyle name="Percent 25 2 3" xfId="5361"/>
    <cellStyle name="Percent 25 2 3 2" xfId="6986"/>
    <cellStyle name="Percent 25 2 3 2 2" xfId="10072"/>
    <cellStyle name="Percent 25 2 3 2 2 2" xfId="16265"/>
    <cellStyle name="Percent 25 2 3 2 2 2 2" xfId="36148"/>
    <cellStyle name="Percent 25 2 3 2 2 3" xfId="22417"/>
    <cellStyle name="Percent 25 2 3 2 2 3 2" xfId="42300"/>
    <cellStyle name="Percent 25 2 3 2 2 4" xfId="29995"/>
    <cellStyle name="Percent 25 2 3 2 3" xfId="13199"/>
    <cellStyle name="Percent 25 2 3 2 3 2" xfId="33082"/>
    <cellStyle name="Percent 25 2 3 2 4" xfId="19351"/>
    <cellStyle name="Percent 25 2 3 2 4 2" xfId="39234"/>
    <cellStyle name="Percent 25 2 3 2 5" xfId="26929"/>
    <cellStyle name="Percent 25 2 3 3" xfId="8537"/>
    <cellStyle name="Percent 25 2 3 3 2" xfId="14731"/>
    <cellStyle name="Percent 25 2 3 3 2 2" xfId="34614"/>
    <cellStyle name="Percent 25 2 3 3 3" xfId="20883"/>
    <cellStyle name="Percent 25 2 3 3 3 2" xfId="40766"/>
    <cellStyle name="Percent 25 2 3 3 4" xfId="28461"/>
    <cellStyle name="Percent 25 2 3 4" xfId="11665"/>
    <cellStyle name="Percent 25 2 3 4 2" xfId="31548"/>
    <cellStyle name="Percent 25 2 3 5" xfId="17817"/>
    <cellStyle name="Percent 25 2 3 5 2" xfId="37700"/>
    <cellStyle name="Percent 25 2 3 6" xfId="25395"/>
    <cellStyle name="Percent 25 2 4" xfId="6207"/>
    <cellStyle name="Percent 25 2 4 2" xfId="9303"/>
    <cellStyle name="Percent 25 2 4 2 2" xfId="15496"/>
    <cellStyle name="Percent 25 2 4 2 2 2" xfId="35379"/>
    <cellStyle name="Percent 25 2 4 2 3" xfId="21648"/>
    <cellStyle name="Percent 25 2 4 2 3 2" xfId="41531"/>
    <cellStyle name="Percent 25 2 4 2 4" xfId="29226"/>
    <cellStyle name="Percent 25 2 4 3" xfId="12430"/>
    <cellStyle name="Percent 25 2 4 3 2" xfId="32313"/>
    <cellStyle name="Percent 25 2 4 4" xfId="18582"/>
    <cellStyle name="Percent 25 2 4 4 2" xfId="38465"/>
    <cellStyle name="Percent 25 2 4 5" xfId="26160"/>
    <cellStyle name="Percent 25 2 5" xfId="7768"/>
    <cellStyle name="Percent 25 2 5 2" xfId="13962"/>
    <cellStyle name="Percent 25 2 5 2 2" xfId="33845"/>
    <cellStyle name="Percent 25 2 5 3" xfId="20114"/>
    <cellStyle name="Percent 25 2 5 3 2" xfId="39997"/>
    <cellStyle name="Percent 25 2 5 4" xfId="27692"/>
    <cellStyle name="Percent 25 2 6" xfId="10896"/>
    <cellStyle name="Percent 25 2 6 2" xfId="30779"/>
    <cellStyle name="Percent 25 2 7" xfId="17048"/>
    <cellStyle name="Percent 25 2 7 2" xfId="36931"/>
    <cellStyle name="Percent 25 2 8" xfId="24626"/>
    <cellStyle name="Percent 25 3" xfId="4313"/>
    <cellStyle name="Percent 25 3 2" xfId="4314"/>
    <cellStyle name="Percent 25 3 2 2" xfId="5364"/>
    <cellStyle name="Percent 25 3 2 2 2" xfId="6989"/>
    <cellStyle name="Percent 25 3 2 2 2 2" xfId="10075"/>
    <cellStyle name="Percent 25 3 2 2 2 2 2" xfId="16268"/>
    <cellStyle name="Percent 25 3 2 2 2 2 2 2" xfId="36151"/>
    <cellStyle name="Percent 25 3 2 2 2 2 3" xfId="22420"/>
    <cellStyle name="Percent 25 3 2 2 2 2 3 2" xfId="42303"/>
    <cellStyle name="Percent 25 3 2 2 2 2 4" xfId="29998"/>
    <cellStyle name="Percent 25 3 2 2 2 3" xfId="13202"/>
    <cellStyle name="Percent 25 3 2 2 2 3 2" xfId="33085"/>
    <cellStyle name="Percent 25 3 2 2 2 4" xfId="19354"/>
    <cellStyle name="Percent 25 3 2 2 2 4 2" xfId="39237"/>
    <cellStyle name="Percent 25 3 2 2 2 5" xfId="26932"/>
    <cellStyle name="Percent 25 3 2 2 3" xfId="8540"/>
    <cellStyle name="Percent 25 3 2 2 3 2" xfId="14734"/>
    <cellStyle name="Percent 25 3 2 2 3 2 2" xfId="34617"/>
    <cellStyle name="Percent 25 3 2 2 3 3" xfId="20886"/>
    <cellStyle name="Percent 25 3 2 2 3 3 2" xfId="40769"/>
    <cellStyle name="Percent 25 3 2 2 3 4" xfId="28464"/>
    <cellStyle name="Percent 25 3 2 2 4" xfId="11668"/>
    <cellStyle name="Percent 25 3 2 2 4 2" xfId="31551"/>
    <cellStyle name="Percent 25 3 2 2 5" xfId="17820"/>
    <cellStyle name="Percent 25 3 2 2 5 2" xfId="37703"/>
    <cellStyle name="Percent 25 3 2 2 6" xfId="25398"/>
    <cellStyle name="Percent 25 3 2 3" xfId="6210"/>
    <cellStyle name="Percent 25 3 2 3 2" xfId="9306"/>
    <cellStyle name="Percent 25 3 2 3 2 2" xfId="15499"/>
    <cellStyle name="Percent 25 3 2 3 2 2 2" xfId="35382"/>
    <cellStyle name="Percent 25 3 2 3 2 3" xfId="21651"/>
    <cellStyle name="Percent 25 3 2 3 2 3 2" xfId="41534"/>
    <cellStyle name="Percent 25 3 2 3 2 4" xfId="29229"/>
    <cellStyle name="Percent 25 3 2 3 3" xfId="12433"/>
    <cellStyle name="Percent 25 3 2 3 3 2" xfId="32316"/>
    <cellStyle name="Percent 25 3 2 3 4" xfId="18585"/>
    <cellStyle name="Percent 25 3 2 3 4 2" xfId="38468"/>
    <cellStyle name="Percent 25 3 2 3 5" xfId="26163"/>
    <cellStyle name="Percent 25 3 2 4" xfId="7771"/>
    <cellStyle name="Percent 25 3 2 4 2" xfId="13965"/>
    <cellStyle name="Percent 25 3 2 4 2 2" xfId="33848"/>
    <cellStyle name="Percent 25 3 2 4 3" xfId="20117"/>
    <cellStyle name="Percent 25 3 2 4 3 2" xfId="40000"/>
    <cellStyle name="Percent 25 3 2 4 4" xfId="27695"/>
    <cellStyle name="Percent 25 3 2 5" xfId="10899"/>
    <cellStyle name="Percent 25 3 2 5 2" xfId="30782"/>
    <cellStyle name="Percent 25 3 2 6" xfId="17051"/>
    <cellStyle name="Percent 25 3 2 6 2" xfId="36934"/>
    <cellStyle name="Percent 25 3 2 7" xfId="24629"/>
    <cellStyle name="Percent 25 3 3" xfId="5363"/>
    <cellStyle name="Percent 25 3 3 2" xfId="6988"/>
    <cellStyle name="Percent 25 3 3 2 2" xfId="10074"/>
    <cellStyle name="Percent 25 3 3 2 2 2" xfId="16267"/>
    <cellStyle name="Percent 25 3 3 2 2 2 2" xfId="36150"/>
    <cellStyle name="Percent 25 3 3 2 2 3" xfId="22419"/>
    <cellStyle name="Percent 25 3 3 2 2 3 2" xfId="42302"/>
    <cellStyle name="Percent 25 3 3 2 2 4" xfId="29997"/>
    <cellStyle name="Percent 25 3 3 2 3" xfId="13201"/>
    <cellStyle name="Percent 25 3 3 2 3 2" xfId="33084"/>
    <cellStyle name="Percent 25 3 3 2 4" xfId="19353"/>
    <cellStyle name="Percent 25 3 3 2 4 2" xfId="39236"/>
    <cellStyle name="Percent 25 3 3 2 5" xfId="26931"/>
    <cellStyle name="Percent 25 3 3 3" xfId="8539"/>
    <cellStyle name="Percent 25 3 3 3 2" xfId="14733"/>
    <cellStyle name="Percent 25 3 3 3 2 2" xfId="34616"/>
    <cellStyle name="Percent 25 3 3 3 3" xfId="20885"/>
    <cellStyle name="Percent 25 3 3 3 3 2" xfId="40768"/>
    <cellStyle name="Percent 25 3 3 3 4" xfId="28463"/>
    <cellStyle name="Percent 25 3 3 4" xfId="11667"/>
    <cellStyle name="Percent 25 3 3 4 2" xfId="31550"/>
    <cellStyle name="Percent 25 3 3 5" xfId="17819"/>
    <cellStyle name="Percent 25 3 3 5 2" xfId="37702"/>
    <cellStyle name="Percent 25 3 3 6" xfId="25397"/>
    <cellStyle name="Percent 25 3 4" xfId="6209"/>
    <cellStyle name="Percent 25 3 4 2" xfId="9305"/>
    <cellStyle name="Percent 25 3 4 2 2" xfId="15498"/>
    <cellStyle name="Percent 25 3 4 2 2 2" xfId="35381"/>
    <cellStyle name="Percent 25 3 4 2 3" xfId="21650"/>
    <cellStyle name="Percent 25 3 4 2 3 2" xfId="41533"/>
    <cellStyle name="Percent 25 3 4 2 4" xfId="29228"/>
    <cellStyle name="Percent 25 3 4 3" xfId="12432"/>
    <cellStyle name="Percent 25 3 4 3 2" xfId="32315"/>
    <cellStyle name="Percent 25 3 4 4" xfId="18584"/>
    <cellStyle name="Percent 25 3 4 4 2" xfId="38467"/>
    <cellStyle name="Percent 25 3 4 5" xfId="26162"/>
    <cellStyle name="Percent 25 3 5" xfId="7770"/>
    <cellStyle name="Percent 25 3 5 2" xfId="13964"/>
    <cellStyle name="Percent 25 3 5 2 2" xfId="33847"/>
    <cellStyle name="Percent 25 3 5 3" xfId="20116"/>
    <cellStyle name="Percent 25 3 5 3 2" xfId="39999"/>
    <cellStyle name="Percent 25 3 5 4" xfId="27694"/>
    <cellStyle name="Percent 25 3 6" xfId="10898"/>
    <cellStyle name="Percent 25 3 6 2" xfId="30781"/>
    <cellStyle name="Percent 25 3 7" xfId="17050"/>
    <cellStyle name="Percent 25 3 7 2" xfId="36933"/>
    <cellStyle name="Percent 25 3 8" xfId="24628"/>
    <cellStyle name="Percent 25 4" xfId="4315"/>
    <cellStyle name="Percent 25 4 2" xfId="4316"/>
    <cellStyle name="Percent 25 4 2 2" xfId="5365"/>
    <cellStyle name="Percent 25 4 2 2 2" xfId="6990"/>
    <cellStyle name="Percent 25 4 2 2 2 2" xfId="10076"/>
    <cellStyle name="Percent 25 4 2 2 2 2 2" xfId="16269"/>
    <cellStyle name="Percent 25 4 2 2 2 2 2 2" xfId="36152"/>
    <cellStyle name="Percent 25 4 2 2 2 2 3" xfId="22421"/>
    <cellStyle name="Percent 25 4 2 2 2 2 3 2" xfId="42304"/>
    <cellStyle name="Percent 25 4 2 2 2 2 4" xfId="29999"/>
    <cellStyle name="Percent 25 4 2 2 2 3" xfId="13203"/>
    <cellStyle name="Percent 25 4 2 2 2 3 2" xfId="33086"/>
    <cellStyle name="Percent 25 4 2 2 2 4" xfId="19355"/>
    <cellStyle name="Percent 25 4 2 2 2 4 2" xfId="39238"/>
    <cellStyle name="Percent 25 4 2 2 2 5" xfId="26933"/>
    <cellStyle name="Percent 25 4 2 2 3" xfId="8541"/>
    <cellStyle name="Percent 25 4 2 2 3 2" xfId="14735"/>
    <cellStyle name="Percent 25 4 2 2 3 2 2" xfId="34618"/>
    <cellStyle name="Percent 25 4 2 2 3 3" xfId="20887"/>
    <cellStyle name="Percent 25 4 2 2 3 3 2" xfId="40770"/>
    <cellStyle name="Percent 25 4 2 2 3 4" xfId="28465"/>
    <cellStyle name="Percent 25 4 2 2 4" xfId="11669"/>
    <cellStyle name="Percent 25 4 2 2 4 2" xfId="31552"/>
    <cellStyle name="Percent 25 4 2 2 5" xfId="17821"/>
    <cellStyle name="Percent 25 4 2 2 5 2" xfId="37704"/>
    <cellStyle name="Percent 25 4 2 2 6" xfId="25399"/>
    <cellStyle name="Percent 25 4 2 3" xfId="6211"/>
    <cellStyle name="Percent 25 4 2 3 2" xfId="9307"/>
    <cellStyle name="Percent 25 4 2 3 2 2" xfId="15500"/>
    <cellStyle name="Percent 25 4 2 3 2 2 2" xfId="35383"/>
    <cellStyle name="Percent 25 4 2 3 2 3" xfId="21652"/>
    <cellStyle name="Percent 25 4 2 3 2 3 2" xfId="41535"/>
    <cellStyle name="Percent 25 4 2 3 2 4" xfId="29230"/>
    <cellStyle name="Percent 25 4 2 3 3" xfId="12434"/>
    <cellStyle name="Percent 25 4 2 3 3 2" xfId="32317"/>
    <cellStyle name="Percent 25 4 2 3 4" xfId="18586"/>
    <cellStyle name="Percent 25 4 2 3 4 2" xfId="38469"/>
    <cellStyle name="Percent 25 4 2 3 5" xfId="26164"/>
    <cellStyle name="Percent 25 4 2 4" xfId="7772"/>
    <cellStyle name="Percent 25 4 2 4 2" xfId="13966"/>
    <cellStyle name="Percent 25 4 2 4 2 2" xfId="33849"/>
    <cellStyle name="Percent 25 4 2 4 3" xfId="20118"/>
    <cellStyle name="Percent 25 4 2 4 3 2" xfId="40001"/>
    <cellStyle name="Percent 25 4 2 4 4" xfId="27696"/>
    <cellStyle name="Percent 25 4 2 5" xfId="10900"/>
    <cellStyle name="Percent 25 4 2 5 2" xfId="30783"/>
    <cellStyle name="Percent 25 4 2 6" xfId="17052"/>
    <cellStyle name="Percent 25 4 2 6 2" xfId="36935"/>
    <cellStyle name="Percent 25 4 2 7" xfId="24630"/>
    <cellStyle name="Percent 25 5" xfId="4317"/>
    <cellStyle name="Percent 25 5 2" xfId="5366"/>
    <cellStyle name="Percent 25 5 2 2" xfId="6991"/>
    <cellStyle name="Percent 25 5 2 2 2" xfId="10077"/>
    <cellStyle name="Percent 25 5 2 2 2 2" xfId="16270"/>
    <cellStyle name="Percent 25 5 2 2 2 2 2" xfId="36153"/>
    <cellStyle name="Percent 25 5 2 2 2 3" xfId="22422"/>
    <cellStyle name="Percent 25 5 2 2 2 3 2" xfId="42305"/>
    <cellStyle name="Percent 25 5 2 2 2 4" xfId="30000"/>
    <cellStyle name="Percent 25 5 2 2 3" xfId="13204"/>
    <cellStyle name="Percent 25 5 2 2 3 2" xfId="33087"/>
    <cellStyle name="Percent 25 5 2 2 4" xfId="19356"/>
    <cellStyle name="Percent 25 5 2 2 4 2" xfId="39239"/>
    <cellStyle name="Percent 25 5 2 2 5" xfId="26934"/>
    <cellStyle name="Percent 25 5 2 3" xfId="8542"/>
    <cellStyle name="Percent 25 5 2 3 2" xfId="14736"/>
    <cellStyle name="Percent 25 5 2 3 2 2" xfId="34619"/>
    <cellStyle name="Percent 25 5 2 3 3" xfId="20888"/>
    <cellStyle name="Percent 25 5 2 3 3 2" xfId="40771"/>
    <cellStyle name="Percent 25 5 2 3 4" xfId="28466"/>
    <cellStyle name="Percent 25 5 2 4" xfId="11670"/>
    <cellStyle name="Percent 25 5 2 4 2" xfId="31553"/>
    <cellStyle name="Percent 25 5 2 5" xfId="17822"/>
    <cellStyle name="Percent 25 5 2 5 2" xfId="37705"/>
    <cellStyle name="Percent 25 5 2 6" xfId="25400"/>
    <cellStyle name="Percent 25 5 3" xfId="6212"/>
    <cellStyle name="Percent 25 5 3 2" xfId="9308"/>
    <cellStyle name="Percent 25 5 3 2 2" xfId="15501"/>
    <cellStyle name="Percent 25 5 3 2 2 2" xfId="35384"/>
    <cellStyle name="Percent 25 5 3 2 3" xfId="21653"/>
    <cellStyle name="Percent 25 5 3 2 3 2" xfId="41536"/>
    <cellStyle name="Percent 25 5 3 2 4" xfId="29231"/>
    <cellStyle name="Percent 25 5 3 3" xfId="12435"/>
    <cellStyle name="Percent 25 5 3 3 2" xfId="32318"/>
    <cellStyle name="Percent 25 5 3 4" xfId="18587"/>
    <cellStyle name="Percent 25 5 3 4 2" xfId="38470"/>
    <cellStyle name="Percent 25 5 3 5" xfId="26165"/>
    <cellStyle name="Percent 25 5 4" xfId="7773"/>
    <cellStyle name="Percent 25 5 4 2" xfId="13967"/>
    <cellStyle name="Percent 25 5 4 2 2" xfId="33850"/>
    <cellStyle name="Percent 25 5 4 3" xfId="20119"/>
    <cellStyle name="Percent 25 5 4 3 2" xfId="40002"/>
    <cellStyle name="Percent 25 5 4 4" xfId="27697"/>
    <cellStyle name="Percent 25 5 5" xfId="10901"/>
    <cellStyle name="Percent 25 5 5 2" xfId="30784"/>
    <cellStyle name="Percent 25 5 6" xfId="17053"/>
    <cellStyle name="Percent 25 5 6 2" xfId="36936"/>
    <cellStyle name="Percent 25 5 7" xfId="24631"/>
    <cellStyle name="Percent 26" xfId="4318"/>
    <cellStyle name="Percent 26 2" xfId="4319"/>
    <cellStyle name="Percent 26 2 2" xfId="4320"/>
    <cellStyle name="Percent 26 2 2 2" xfId="5368"/>
    <cellStyle name="Percent 26 2 2 2 2" xfId="6993"/>
    <cellStyle name="Percent 26 2 2 2 2 2" xfId="10079"/>
    <cellStyle name="Percent 26 2 2 2 2 2 2" xfId="16272"/>
    <cellStyle name="Percent 26 2 2 2 2 2 2 2" xfId="36155"/>
    <cellStyle name="Percent 26 2 2 2 2 2 3" xfId="22424"/>
    <cellStyle name="Percent 26 2 2 2 2 2 3 2" xfId="42307"/>
    <cellStyle name="Percent 26 2 2 2 2 2 4" xfId="30002"/>
    <cellStyle name="Percent 26 2 2 2 2 3" xfId="13206"/>
    <cellStyle name="Percent 26 2 2 2 2 3 2" xfId="33089"/>
    <cellStyle name="Percent 26 2 2 2 2 4" xfId="19358"/>
    <cellStyle name="Percent 26 2 2 2 2 4 2" xfId="39241"/>
    <cellStyle name="Percent 26 2 2 2 2 5" xfId="26936"/>
    <cellStyle name="Percent 26 2 2 2 3" xfId="8544"/>
    <cellStyle name="Percent 26 2 2 2 3 2" xfId="14738"/>
    <cellStyle name="Percent 26 2 2 2 3 2 2" xfId="34621"/>
    <cellStyle name="Percent 26 2 2 2 3 3" xfId="20890"/>
    <cellStyle name="Percent 26 2 2 2 3 3 2" xfId="40773"/>
    <cellStyle name="Percent 26 2 2 2 3 4" xfId="28468"/>
    <cellStyle name="Percent 26 2 2 2 4" xfId="11672"/>
    <cellStyle name="Percent 26 2 2 2 4 2" xfId="31555"/>
    <cellStyle name="Percent 26 2 2 2 5" xfId="17824"/>
    <cellStyle name="Percent 26 2 2 2 5 2" xfId="37707"/>
    <cellStyle name="Percent 26 2 2 2 6" xfId="25402"/>
    <cellStyle name="Percent 26 2 2 3" xfId="6214"/>
    <cellStyle name="Percent 26 2 2 3 2" xfId="9310"/>
    <cellStyle name="Percent 26 2 2 3 2 2" xfId="15503"/>
    <cellStyle name="Percent 26 2 2 3 2 2 2" xfId="35386"/>
    <cellStyle name="Percent 26 2 2 3 2 3" xfId="21655"/>
    <cellStyle name="Percent 26 2 2 3 2 3 2" xfId="41538"/>
    <cellStyle name="Percent 26 2 2 3 2 4" xfId="29233"/>
    <cellStyle name="Percent 26 2 2 3 3" xfId="12437"/>
    <cellStyle name="Percent 26 2 2 3 3 2" xfId="32320"/>
    <cellStyle name="Percent 26 2 2 3 4" xfId="18589"/>
    <cellStyle name="Percent 26 2 2 3 4 2" xfId="38472"/>
    <cellStyle name="Percent 26 2 2 3 5" xfId="26167"/>
    <cellStyle name="Percent 26 2 2 4" xfId="7775"/>
    <cellStyle name="Percent 26 2 2 4 2" xfId="13969"/>
    <cellStyle name="Percent 26 2 2 4 2 2" xfId="33852"/>
    <cellStyle name="Percent 26 2 2 4 3" xfId="20121"/>
    <cellStyle name="Percent 26 2 2 4 3 2" xfId="40004"/>
    <cellStyle name="Percent 26 2 2 4 4" xfId="27699"/>
    <cellStyle name="Percent 26 2 2 5" xfId="10903"/>
    <cellStyle name="Percent 26 2 2 5 2" xfId="30786"/>
    <cellStyle name="Percent 26 2 2 6" xfId="17055"/>
    <cellStyle name="Percent 26 2 2 6 2" xfId="36938"/>
    <cellStyle name="Percent 26 2 2 7" xfId="24633"/>
    <cellStyle name="Percent 26 2 3" xfId="5367"/>
    <cellStyle name="Percent 26 2 3 2" xfId="6992"/>
    <cellStyle name="Percent 26 2 3 2 2" xfId="10078"/>
    <cellStyle name="Percent 26 2 3 2 2 2" xfId="16271"/>
    <cellStyle name="Percent 26 2 3 2 2 2 2" xfId="36154"/>
    <cellStyle name="Percent 26 2 3 2 2 3" xfId="22423"/>
    <cellStyle name="Percent 26 2 3 2 2 3 2" xfId="42306"/>
    <cellStyle name="Percent 26 2 3 2 2 4" xfId="30001"/>
    <cellStyle name="Percent 26 2 3 2 3" xfId="13205"/>
    <cellStyle name="Percent 26 2 3 2 3 2" xfId="33088"/>
    <cellStyle name="Percent 26 2 3 2 4" xfId="19357"/>
    <cellStyle name="Percent 26 2 3 2 4 2" xfId="39240"/>
    <cellStyle name="Percent 26 2 3 2 5" xfId="26935"/>
    <cellStyle name="Percent 26 2 3 3" xfId="8543"/>
    <cellStyle name="Percent 26 2 3 3 2" xfId="14737"/>
    <cellStyle name="Percent 26 2 3 3 2 2" xfId="34620"/>
    <cellStyle name="Percent 26 2 3 3 3" xfId="20889"/>
    <cellStyle name="Percent 26 2 3 3 3 2" xfId="40772"/>
    <cellStyle name="Percent 26 2 3 3 4" xfId="28467"/>
    <cellStyle name="Percent 26 2 3 4" xfId="11671"/>
    <cellStyle name="Percent 26 2 3 4 2" xfId="31554"/>
    <cellStyle name="Percent 26 2 3 5" xfId="17823"/>
    <cellStyle name="Percent 26 2 3 5 2" xfId="37706"/>
    <cellStyle name="Percent 26 2 3 6" xfId="25401"/>
    <cellStyle name="Percent 26 2 4" xfId="6213"/>
    <cellStyle name="Percent 26 2 4 2" xfId="9309"/>
    <cellStyle name="Percent 26 2 4 2 2" xfId="15502"/>
    <cellStyle name="Percent 26 2 4 2 2 2" xfId="35385"/>
    <cellStyle name="Percent 26 2 4 2 3" xfId="21654"/>
    <cellStyle name="Percent 26 2 4 2 3 2" xfId="41537"/>
    <cellStyle name="Percent 26 2 4 2 4" xfId="29232"/>
    <cellStyle name="Percent 26 2 4 3" xfId="12436"/>
    <cellStyle name="Percent 26 2 4 3 2" xfId="32319"/>
    <cellStyle name="Percent 26 2 4 4" xfId="18588"/>
    <cellStyle name="Percent 26 2 4 4 2" xfId="38471"/>
    <cellStyle name="Percent 26 2 4 5" xfId="26166"/>
    <cellStyle name="Percent 26 2 5" xfId="7774"/>
    <cellStyle name="Percent 26 2 5 2" xfId="13968"/>
    <cellStyle name="Percent 26 2 5 2 2" xfId="33851"/>
    <cellStyle name="Percent 26 2 5 3" xfId="20120"/>
    <cellStyle name="Percent 26 2 5 3 2" xfId="40003"/>
    <cellStyle name="Percent 26 2 5 4" xfId="27698"/>
    <cellStyle name="Percent 26 2 6" xfId="10902"/>
    <cellStyle name="Percent 26 2 6 2" xfId="30785"/>
    <cellStyle name="Percent 26 2 7" xfId="17054"/>
    <cellStyle name="Percent 26 2 7 2" xfId="36937"/>
    <cellStyle name="Percent 26 2 8" xfId="24632"/>
    <cellStyle name="Percent 26 3" xfId="4321"/>
    <cellStyle name="Percent 26 3 2" xfId="4322"/>
    <cellStyle name="Percent 26 3 2 2" xfId="5370"/>
    <cellStyle name="Percent 26 3 2 2 2" xfId="6995"/>
    <cellStyle name="Percent 26 3 2 2 2 2" xfId="10081"/>
    <cellStyle name="Percent 26 3 2 2 2 2 2" xfId="16274"/>
    <cellStyle name="Percent 26 3 2 2 2 2 2 2" xfId="36157"/>
    <cellStyle name="Percent 26 3 2 2 2 2 3" xfId="22426"/>
    <cellStyle name="Percent 26 3 2 2 2 2 3 2" xfId="42309"/>
    <cellStyle name="Percent 26 3 2 2 2 2 4" xfId="30004"/>
    <cellStyle name="Percent 26 3 2 2 2 3" xfId="13208"/>
    <cellStyle name="Percent 26 3 2 2 2 3 2" xfId="33091"/>
    <cellStyle name="Percent 26 3 2 2 2 4" xfId="19360"/>
    <cellStyle name="Percent 26 3 2 2 2 4 2" xfId="39243"/>
    <cellStyle name="Percent 26 3 2 2 2 5" xfId="26938"/>
    <cellStyle name="Percent 26 3 2 2 3" xfId="8546"/>
    <cellStyle name="Percent 26 3 2 2 3 2" xfId="14740"/>
    <cellStyle name="Percent 26 3 2 2 3 2 2" xfId="34623"/>
    <cellStyle name="Percent 26 3 2 2 3 3" xfId="20892"/>
    <cellStyle name="Percent 26 3 2 2 3 3 2" xfId="40775"/>
    <cellStyle name="Percent 26 3 2 2 3 4" xfId="28470"/>
    <cellStyle name="Percent 26 3 2 2 4" xfId="11674"/>
    <cellStyle name="Percent 26 3 2 2 4 2" xfId="31557"/>
    <cellStyle name="Percent 26 3 2 2 5" xfId="17826"/>
    <cellStyle name="Percent 26 3 2 2 5 2" xfId="37709"/>
    <cellStyle name="Percent 26 3 2 2 6" xfId="25404"/>
    <cellStyle name="Percent 26 3 2 3" xfId="6216"/>
    <cellStyle name="Percent 26 3 2 3 2" xfId="9312"/>
    <cellStyle name="Percent 26 3 2 3 2 2" xfId="15505"/>
    <cellStyle name="Percent 26 3 2 3 2 2 2" xfId="35388"/>
    <cellStyle name="Percent 26 3 2 3 2 3" xfId="21657"/>
    <cellStyle name="Percent 26 3 2 3 2 3 2" xfId="41540"/>
    <cellStyle name="Percent 26 3 2 3 2 4" xfId="29235"/>
    <cellStyle name="Percent 26 3 2 3 3" xfId="12439"/>
    <cellStyle name="Percent 26 3 2 3 3 2" xfId="32322"/>
    <cellStyle name="Percent 26 3 2 3 4" xfId="18591"/>
    <cellStyle name="Percent 26 3 2 3 4 2" xfId="38474"/>
    <cellStyle name="Percent 26 3 2 3 5" xfId="26169"/>
    <cellStyle name="Percent 26 3 2 4" xfId="7777"/>
    <cellStyle name="Percent 26 3 2 4 2" xfId="13971"/>
    <cellStyle name="Percent 26 3 2 4 2 2" xfId="33854"/>
    <cellStyle name="Percent 26 3 2 4 3" xfId="20123"/>
    <cellStyle name="Percent 26 3 2 4 3 2" xfId="40006"/>
    <cellStyle name="Percent 26 3 2 4 4" xfId="27701"/>
    <cellStyle name="Percent 26 3 2 5" xfId="10905"/>
    <cellStyle name="Percent 26 3 2 5 2" xfId="30788"/>
    <cellStyle name="Percent 26 3 2 6" xfId="17057"/>
    <cellStyle name="Percent 26 3 2 6 2" xfId="36940"/>
    <cellStyle name="Percent 26 3 2 7" xfId="24635"/>
    <cellStyle name="Percent 26 3 3" xfId="5369"/>
    <cellStyle name="Percent 26 3 3 2" xfId="6994"/>
    <cellStyle name="Percent 26 3 3 2 2" xfId="10080"/>
    <cellStyle name="Percent 26 3 3 2 2 2" xfId="16273"/>
    <cellStyle name="Percent 26 3 3 2 2 2 2" xfId="36156"/>
    <cellStyle name="Percent 26 3 3 2 2 3" xfId="22425"/>
    <cellStyle name="Percent 26 3 3 2 2 3 2" xfId="42308"/>
    <cellStyle name="Percent 26 3 3 2 2 4" xfId="30003"/>
    <cellStyle name="Percent 26 3 3 2 3" xfId="13207"/>
    <cellStyle name="Percent 26 3 3 2 3 2" xfId="33090"/>
    <cellStyle name="Percent 26 3 3 2 4" xfId="19359"/>
    <cellStyle name="Percent 26 3 3 2 4 2" xfId="39242"/>
    <cellStyle name="Percent 26 3 3 2 5" xfId="26937"/>
    <cellStyle name="Percent 26 3 3 3" xfId="8545"/>
    <cellStyle name="Percent 26 3 3 3 2" xfId="14739"/>
    <cellStyle name="Percent 26 3 3 3 2 2" xfId="34622"/>
    <cellStyle name="Percent 26 3 3 3 3" xfId="20891"/>
    <cellStyle name="Percent 26 3 3 3 3 2" xfId="40774"/>
    <cellStyle name="Percent 26 3 3 3 4" xfId="28469"/>
    <cellStyle name="Percent 26 3 3 4" xfId="11673"/>
    <cellStyle name="Percent 26 3 3 4 2" xfId="31556"/>
    <cellStyle name="Percent 26 3 3 5" xfId="17825"/>
    <cellStyle name="Percent 26 3 3 5 2" xfId="37708"/>
    <cellStyle name="Percent 26 3 3 6" xfId="25403"/>
    <cellStyle name="Percent 26 3 4" xfId="6215"/>
    <cellStyle name="Percent 26 3 4 2" xfId="9311"/>
    <cellStyle name="Percent 26 3 4 2 2" xfId="15504"/>
    <cellStyle name="Percent 26 3 4 2 2 2" xfId="35387"/>
    <cellStyle name="Percent 26 3 4 2 3" xfId="21656"/>
    <cellStyle name="Percent 26 3 4 2 3 2" xfId="41539"/>
    <cellStyle name="Percent 26 3 4 2 4" xfId="29234"/>
    <cellStyle name="Percent 26 3 4 3" xfId="12438"/>
    <cellStyle name="Percent 26 3 4 3 2" xfId="32321"/>
    <cellStyle name="Percent 26 3 4 4" xfId="18590"/>
    <cellStyle name="Percent 26 3 4 4 2" xfId="38473"/>
    <cellStyle name="Percent 26 3 4 5" xfId="26168"/>
    <cellStyle name="Percent 26 3 5" xfId="7776"/>
    <cellStyle name="Percent 26 3 5 2" xfId="13970"/>
    <cellStyle name="Percent 26 3 5 2 2" xfId="33853"/>
    <cellStyle name="Percent 26 3 5 3" xfId="20122"/>
    <cellStyle name="Percent 26 3 5 3 2" xfId="40005"/>
    <cellStyle name="Percent 26 3 5 4" xfId="27700"/>
    <cellStyle name="Percent 26 3 6" xfId="10904"/>
    <cellStyle name="Percent 26 3 6 2" xfId="30787"/>
    <cellStyle name="Percent 26 3 7" xfId="17056"/>
    <cellStyle name="Percent 26 3 7 2" xfId="36939"/>
    <cellStyle name="Percent 26 3 8" xfId="24634"/>
    <cellStyle name="Percent 26 4" xfId="4323"/>
    <cellStyle name="Percent 26 4 2" xfId="4324"/>
    <cellStyle name="Percent 26 4 2 2" xfId="5371"/>
    <cellStyle name="Percent 26 4 2 2 2" xfId="6996"/>
    <cellStyle name="Percent 26 4 2 2 2 2" xfId="10082"/>
    <cellStyle name="Percent 26 4 2 2 2 2 2" xfId="16275"/>
    <cellStyle name="Percent 26 4 2 2 2 2 2 2" xfId="36158"/>
    <cellStyle name="Percent 26 4 2 2 2 2 3" xfId="22427"/>
    <cellStyle name="Percent 26 4 2 2 2 2 3 2" xfId="42310"/>
    <cellStyle name="Percent 26 4 2 2 2 2 4" xfId="30005"/>
    <cellStyle name="Percent 26 4 2 2 2 3" xfId="13209"/>
    <cellStyle name="Percent 26 4 2 2 2 3 2" xfId="33092"/>
    <cellStyle name="Percent 26 4 2 2 2 4" xfId="19361"/>
    <cellStyle name="Percent 26 4 2 2 2 4 2" xfId="39244"/>
    <cellStyle name="Percent 26 4 2 2 2 5" xfId="26939"/>
    <cellStyle name="Percent 26 4 2 2 3" xfId="8547"/>
    <cellStyle name="Percent 26 4 2 2 3 2" xfId="14741"/>
    <cellStyle name="Percent 26 4 2 2 3 2 2" xfId="34624"/>
    <cellStyle name="Percent 26 4 2 2 3 3" xfId="20893"/>
    <cellStyle name="Percent 26 4 2 2 3 3 2" xfId="40776"/>
    <cellStyle name="Percent 26 4 2 2 3 4" xfId="28471"/>
    <cellStyle name="Percent 26 4 2 2 4" xfId="11675"/>
    <cellStyle name="Percent 26 4 2 2 4 2" xfId="31558"/>
    <cellStyle name="Percent 26 4 2 2 5" xfId="17827"/>
    <cellStyle name="Percent 26 4 2 2 5 2" xfId="37710"/>
    <cellStyle name="Percent 26 4 2 2 6" xfId="25405"/>
    <cellStyle name="Percent 26 4 2 3" xfId="6217"/>
    <cellStyle name="Percent 26 4 2 3 2" xfId="9313"/>
    <cellStyle name="Percent 26 4 2 3 2 2" xfId="15506"/>
    <cellStyle name="Percent 26 4 2 3 2 2 2" xfId="35389"/>
    <cellStyle name="Percent 26 4 2 3 2 3" xfId="21658"/>
    <cellStyle name="Percent 26 4 2 3 2 3 2" xfId="41541"/>
    <cellStyle name="Percent 26 4 2 3 2 4" xfId="29236"/>
    <cellStyle name="Percent 26 4 2 3 3" xfId="12440"/>
    <cellStyle name="Percent 26 4 2 3 3 2" xfId="32323"/>
    <cellStyle name="Percent 26 4 2 3 4" xfId="18592"/>
    <cellStyle name="Percent 26 4 2 3 4 2" xfId="38475"/>
    <cellStyle name="Percent 26 4 2 3 5" xfId="26170"/>
    <cellStyle name="Percent 26 4 2 4" xfId="7778"/>
    <cellStyle name="Percent 26 4 2 4 2" xfId="13972"/>
    <cellStyle name="Percent 26 4 2 4 2 2" xfId="33855"/>
    <cellStyle name="Percent 26 4 2 4 3" xfId="20124"/>
    <cellStyle name="Percent 26 4 2 4 3 2" xfId="40007"/>
    <cellStyle name="Percent 26 4 2 4 4" xfId="27702"/>
    <cellStyle name="Percent 26 4 2 5" xfId="10906"/>
    <cellStyle name="Percent 26 4 2 5 2" xfId="30789"/>
    <cellStyle name="Percent 26 4 2 6" xfId="17058"/>
    <cellStyle name="Percent 26 4 2 6 2" xfId="36941"/>
    <cellStyle name="Percent 26 4 2 7" xfId="24636"/>
    <cellStyle name="Percent 26 5" xfId="4325"/>
    <cellStyle name="Percent 26 5 2" xfId="5372"/>
    <cellStyle name="Percent 26 5 2 2" xfId="6997"/>
    <cellStyle name="Percent 26 5 2 2 2" xfId="10083"/>
    <cellStyle name="Percent 26 5 2 2 2 2" xfId="16276"/>
    <cellStyle name="Percent 26 5 2 2 2 2 2" xfId="36159"/>
    <cellStyle name="Percent 26 5 2 2 2 3" xfId="22428"/>
    <cellStyle name="Percent 26 5 2 2 2 3 2" xfId="42311"/>
    <cellStyle name="Percent 26 5 2 2 2 4" xfId="30006"/>
    <cellStyle name="Percent 26 5 2 2 3" xfId="13210"/>
    <cellStyle name="Percent 26 5 2 2 3 2" xfId="33093"/>
    <cellStyle name="Percent 26 5 2 2 4" xfId="19362"/>
    <cellStyle name="Percent 26 5 2 2 4 2" xfId="39245"/>
    <cellStyle name="Percent 26 5 2 2 5" xfId="26940"/>
    <cellStyle name="Percent 26 5 2 3" xfId="8548"/>
    <cellStyle name="Percent 26 5 2 3 2" xfId="14742"/>
    <cellStyle name="Percent 26 5 2 3 2 2" xfId="34625"/>
    <cellStyle name="Percent 26 5 2 3 3" xfId="20894"/>
    <cellStyle name="Percent 26 5 2 3 3 2" xfId="40777"/>
    <cellStyle name="Percent 26 5 2 3 4" xfId="28472"/>
    <cellStyle name="Percent 26 5 2 4" xfId="11676"/>
    <cellStyle name="Percent 26 5 2 4 2" xfId="31559"/>
    <cellStyle name="Percent 26 5 2 5" xfId="17828"/>
    <cellStyle name="Percent 26 5 2 5 2" xfId="37711"/>
    <cellStyle name="Percent 26 5 2 6" xfId="25406"/>
    <cellStyle name="Percent 26 5 3" xfId="6218"/>
    <cellStyle name="Percent 26 5 3 2" xfId="9314"/>
    <cellStyle name="Percent 26 5 3 2 2" xfId="15507"/>
    <cellStyle name="Percent 26 5 3 2 2 2" xfId="35390"/>
    <cellStyle name="Percent 26 5 3 2 3" xfId="21659"/>
    <cellStyle name="Percent 26 5 3 2 3 2" xfId="41542"/>
    <cellStyle name="Percent 26 5 3 2 4" xfId="29237"/>
    <cellStyle name="Percent 26 5 3 3" xfId="12441"/>
    <cellStyle name="Percent 26 5 3 3 2" xfId="32324"/>
    <cellStyle name="Percent 26 5 3 4" xfId="18593"/>
    <cellStyle name="Percent 26 5 3 4 2" xfId="38476"/>
    <cellStyle name="Percent 26 5 3 5" xfId="26171"/>
    <cellStyle name="Percent 26 5 4" xfId="7779"/>
    <cellStyle name="Percent 26 5 4 2" xfId="13973"/>
    <cellStyle name="Percent 26 5 4 2 2" xfId="33856"/>
    <cellStyle name="Percent 26 5 4 3" xfId="20125"/>
    <cellStyle name="Percent 26 5 4 3 2" xfId="40008"/>
    <cellStyle name="Percent 26 5 4 4" xfId="27703"/>
    <cellStyle name="Percent 26 5 5" xfId="10907"/>
    <cellStyle name="Percent 26 5 5 2" xfId="30790"/>
    <cellStyle name="Percent 26 5 6" xfId="17059"/>
    <cellStyle name="Percent 26 5 6 2" xfId="36942"/>
    <cellStyle name="Percent 26 5 7" xfId="24637"/>
    <cellStyle name="Percent 27" xfId="4326"/>
    <cellStyle name="Percent 27 2" xfId="4327"/>
    <cellStyle name="Percent 27 2 2" xfId="4328"/>
    <cellStyle name="Percent 27 2 2 2" xfId="5374"/>
    <cellStyle name="Percent 27 2 2 2 2" xfId="6999"/>
    <cellStyle name="Percent 27 2 2 2 2 2" xfId="10085"/>
    <cellStyle name="Percent 27 2 2 2 2 2 2" xfId="16278"/>
    <cellStyle name="Percent 27 2 2 2 2 2 2 2" xfId="36161"/>
    <cellStyle name="Percent 27 2 2 2 2 2 3" xfId="22430"/>
    <cellStyle name="Percent 27 2 2 2 2 2 3 2" xfId="42313"/>
    <cellStyle name="Percent 27 2 2 2 2 2 4" xfId="30008"/>
    <cellStyle name="Percent 27 2 2 2 2 3" xfId="13212"/>
    <cellStyle name="Percent 27 2 2 2 2 3 2" xfId="33095"/>
    <cellStyle name="Percent 27 2 2 2 2 4" xfId="19364"/>
    <cellStyle name="Percent 27 2 2 2 2 4 2" xfId="39247"/>
    <cellStyle name="Percent 27 2 2 2 2 5" xfId="26942"/>
    <cellStyle name="Percent 27 2 2 2 3" xfId="8550"/>
    <cellStyle name="Percent 27 2 2 2 3 2" xfId="14744"/>
    <cellStyle name="Percent 27 2 2 2 3 2 2" xfId="34627"/>
    <cellStyle name="Percent 27 2 2 2 3 3" xfId="20896"/>
    <cellStyle name="Percent 27 2 2 2 3 3 2" xfId="40779"/>
    <cellStyle name="Percent 27 2 2 2 3 4" xfId="28474"/>
    <cellStyle name="Percent 27 2 2 2 4" xfId="11678"/>
    <cellStyle name="Percent 27 2 2 2 4 2" xfId="31561"/>
    <cellStyle name="Percent 27 2 2 2 5" xfId="17830"/>
    <cellStyle name="Percent 27 2 2 2 5 2" xfId="37713"/>
    <cellStyle name="Percent 27 2 2 2 6" xfId="25408"/>
    <cellStyle name="Percent 27 2 2 3" xfId="6221"/>
    <cellStyle name="Percent 27 2 2 3 2" xfId="9316"/>
    <cellStyle name="Percent 27 2 2 3 2 2" xfId="15509"/>
    <cellStyle name="Percent 27 2 2 3 2 2 2" xfId="35392"/>
    <cellStyle name="Percent 27 2 2 3 2 3" xfId="21661"/>
    <cellStyle name="Percent 27 2 2 3 2 3 2" xfId="41544"/>
    <cellStyle name="Percent 27 2 2 3 2 4" xfId="29239"/>
    <cellStyle name="Percent 27 2 2 3 3" xfId="12443"/>
    <cellStyle name="Percent 27 2 2 3 3 2" xfId="32326"/>
    <cellStyle name="Percent 27 2 2 3 4" xfId="18595"/>
    <cellStyle name="Percent 27 2 2 3 4 2" xfId="38478"/>
    <cellStyle name="Percent 27 2 2 3 5" xfId="26173"/>
    <cellStyle name="Percent 27 2 2 4" xfId="7781"/>
    <cellStyle name="Percent 27 2 2 4 2" xfId="13975"/>
    <cellStyle name="Percent 27 2 2 4 2 2" xfId="33858"/>
    <cellStyle name="Percent 27 2 2 4 3" xfId="20127"/>
    <cellStyle name="Percent 27 2 2 4 3 2" xfId="40010"/>
    <cellStyle name="Percent 27 2 2 4 4" xfId="27705"/>
    <cellStyle name="Percent 27 2 2 5" xfId="10909"/>
    <cellStyle name="Percent 27 2 2 5 2" xfId="30792"/>
    <cellStyle name="Percent 27 2 2 6" xfId="17061"/>
    <cellStyle name="Percent 27 2 2 6 2" xfId="36944"/>
    <cellStyle name="Percent 27 2 2 7" xfId="24639"/>
    <cellStyle name="Percent 27 2 3" xfId="5373"/>
    <cellStyle name="Percent 27 2 3 2" xfId="6998"/>
    <cellStyle name="Percent 27 2 3 2 2" xfId="10084"/>
    <cellStyle name="Percent 27 2 3 2 2 2" xfId="16277"/>
    <cellStyle name="Percent 27 2 3 2 2 2 2" xfId="36160"/>
    <cellStyle name="Percent 27 2 3 2 2 3" xfId="22429"/>
    <cellStyle name="Percent 27 2 3 2 2 3 2" xfId="42312"/>
    <cellStyle name="Percent 27 2 3 2 2 4" xfId="30007"/>
    <cellStyle name="Percent 27 2 3 2 3" xfId="13211"/>
    <cellStyle name="Percent 27 2 3 2 3 2" xfId="33094"/>
    <cellStyle name="Percent 27 2 3 2 4" xfId="19363"/>
    <cellStyle name="Percent 27 2 3 2 4 2" xfId="39246"/>
    <cellStyle name="Percent 27 2 3 2 5" xfId="26941"/>
    <cellStyle name="Percent 27 2 3 3" xfId="8549"/>
    <cellStyle name="Percent 27 2 3 3 2" xfId="14743"/>
    <cellStyle name="Percent 27 2 3 3 2 2" xfId="34626"/>
    <cellStyle name="Percent 27 2 3 3 3" xfId="20895"/>
    <cellStyle name="Percent 27 2 3 3 3 2" xfId="40778"/>
    <cellStyle name="Percent 27 2 3 3 4" xfId="28473"/>
    <cellStyle name="Percent 27 2 3 4" xfId="11677"/>
    <cellStyle name="Percent 27 2 3 4 2" xfId="31560"/>
    <cellStyle name="Percent 27 2 3 5" xfId="17829"/>
    <cellStyle name="Percent 27 2 3 5 2" xfId="37712"/>
    <cellStyle name="Percent 27 2 3 6" xfId="25407"/>
    <cellStyle name="Percent 27 2 4" xfId="6220"/>
    <cellStyle name="Percent 27 2 4 2" xfId="9315"/>
    <cellStyle name="Percent 27 2 4 2 2" xfId="15508"/>
    <cellStyle name="Percent 27 2 4 2 2 2" xfId="35391"/>
    <cellStyle name="Percent 27 2 4 2 3" xfId="21660"/>
    <cellStyle name="Percent 27 2 4 2 3 2" xfId="41543"/>
    <cellStyle name="Percent 27 2 4 2 4" xfId="29238"/>
    <cellStyle name="Percent 27 2 4 3" xfId="12442"/>
    <cellStyle name="Percent 27 2 4 3 2" xfId="32325"/>
    <cellStyle name="Percent 27 2 4 4" xfId="18594"/>
    <cellStyle name="Percent 27 2 4 4 2" xfId="38477"/>
    <cellStyle name="Percent 27 2 4 5" xfId="26172"/>
    <cellStyle name="Percent 27 2 5" xfId="7780"/>
    <cellStyle name="Percent 27 2 5 2" xfId="13974"/>
    <cellStyle name="Percent 27 2 5 2 2" xfId="33857"/>
    <cellStyle name="Percent 27 2 5 3" xfId="20126"/>
    <cellStyle name="Percent 27 2 5 3 2" xfId="40009"/>
    <cellStyle name="Percent 27 2 5 4" xfId="27704"/>
    <cellStyle name="Percent 27 2 6" xfId="10908"/>
    <cellStyle name="Percent 27 2 6 2" xfId="30791"/>
    <cellStyle name="Percent 27 2 7" xfId="17060"/>
    <cellStyle name="Percent 27 2 7 2" xfId="36943"/>
    <cellStyle name="Percent 27 2 8" xfId="24638"/>
    <cellStyle name="Percent 27 3" xfId="4329"/>
    <cellStyle name="Percent 27 3 2" xfId="4330"/>
    <cellStyle name="Percent 27 3 2 2" xfId="5376"/>
    <cellStyle name="Percent 27 3 2 2 2" xfId="7001"/>
    <cellStyle name="Percent 27 3 2 2 2 2" xfId="10087"/>
    <cellStyle name="Percent 27 3 2 2 2 2 2" xfId="16280"/>
    <cellStyle name="Percent 27 3 2 2 2 2 2 2" xfId="36163"/>
    <cellStyle name="Percent 27 3 2 2 2 2 3" xfId="22432"/>
    <cellStyle name="Percent 27 3 2 2 2 2 3 2" xfId="42315"/>
    <cellStyle name="Percent 27 3 2 2 2 2 4" xfId="30010"/>
    <cellStyle name="Percent 27 3 2 2 2 3" xfId="13214"/>
    <cellStyle name="Percent 27 3 2 2 2 3 2" xfId="33097"/>
    <cellStyle name="Percent 27 3 2 2 2 4" xfId="19366"/>
    <cellStyle name="Percent 27 3 2 2 2 4 2" xfId="39249"/>
    <cellStyle name="Percent 27 3 2 2 2 5" xfId="26944"/>
    <cellStyle name="Percent 27 3 2 2 3" xfId="8552"/>
    <cellStyle name="Percent 27 3 2 2 3 2" xfId="14746"/>
    <cellStyle name="Percent 27 3 2 2 3 2 2" xfId="34629"/>
    <cellStyle name="Percent 27 3 2 2 3 3" xfId="20898"/>
    <cellStyle name="Percent 27 3 2 2 3 3 2" xfId="40781"/>
    <cellStyle name="Percent 27 3 2 2 3 4" xfId="28476"/>
    <cellStyle name="Percent 27 3 2 2 4" xfId="11680"/>
    <cellStyle name="Percent 27 3 2 2 4 2" xfId="31563"/>
    <cellStyle name="Percent 27 3 2 2 5" xfId="17832"/>
    <cellStyle name="Percent 27 3 2 2 5 2" xfId="37715"/>
    <cellStyle name="Percent 27 3 2 2 6" xfId="25410"/>
    <cellStyle name="Percent 27 3 2 3" xfId="6223"/>
    <cellStyle name="Percent 27 3 2 3 2" xfId="9318"/>
    <cellStyle name="Percent 27 3 2 3 2 2" xfId="15511"/>
    <cellStyle name="Percent 27 3 2 3 2 2 2" xfId="35394"/>
    <cellStyle name="Percent 27 3 2 3 2 3" xfId="21663"/>
    <cellStyle name="Percent 27 3 2 3 2 3 2" xfId="41546"/>
    <cellStyle name="Percent 27 3 2 3 2 4" xfId="29241"/>
    <cellStyle name="Percent 27 3 2 3 3" xfId="12445"/>
    <cellStyle name="Percent 27 3 2 3 3 2" xfId="32328"/>
    <cellStyle name="Percent 27 3 2 3 4" xfId="18597"/>
    <cellStyle name="Percent 27 3 2 3 4 2" xfId="38480"/>
    <cellStyle name="Percent 27 3 2 3 5" xfId="26175"/>
    <cellStyle name="Percent 27 3 2 4" xfId="7783"/>
    <cellStyle name="Percent 27 3 2 4 2" xfId="13977"/>
    <cellStyle name="Percent 27 3 2 4 2 2" xfId="33860"/>
    <cellStyle name="Percent 27 3 2 4 3" xfId="20129"/>
    <cellStyle name="Percent 27 3 2 4 3 2" xfId="40012"/>
    <cellStyle name="Percent 27 3 2 4 4" xfId="27707"/>
    <cellStyle name="Percent 27 3 2 5" xfId="10911"/>
    <cellStyle name="Percent 27 3 2 5 2" xfId="30794"/>
    <cellStyle name="Percent 27 3 2 6" xfId="17063"/>
    <cellStyle name="Percent 27 3 2 6 2" xfId="36946"/>
    <cellStyle name="Percent 27 3 2 7" xfId="24641"/>
    <cellStyle name="Percent 27 3 3" xfId="5375"/>
    <cellStyle name="Percent 27 3 3 2" xfId="7000"/>
    <cellStyle name="Percent 27 3 3 2 2" xfId="10086"/>
    <cellStyle name="Percent 27 3 3 2 2 2" xfId="16279"/>
    <cellStyle name="Percent 27 3 3 2 2 2 2" xfId="36162"/>
    <cellStyle name="Percent 27 3 3 2 2 3" xfId="22431"/>
    <cellStyle name="Percent 27 3 3 2 2 3 2" xfId="42314"/>
    <cellStyle name="Percent 27 3 3 2 2 4" xfId="30009"/>
    <cellStyle name="Percent 27 3 3 2 3" xfId="13213"/>
    <cellStyle name="Percent 27 3 3 2 3 2" xfId="33096"/>
    <cellStyle name="Percent 27 3 3 2 4" xfId="19365"/>
    <cellStyle name="Percent 27 3 3 2 4 2" xfId="39248"/>
    <cellStyle name="Percent 27 3 3 2 5" xfId="26943"/>
    <cellStyle name="Percent 27 3 3 3" xfId="8551"/>
    <cellStyle name="Percent 27 3 3 3 2" xfId="14745"/>
    <cellStyle name="Percent 27 3 3 3 2 2" xfId="34628"/>
    <cellStyle name="Percent 27 3 3 3 3" xfId="20897"/>
    <cellStyle name="Percent 27 3 3 3 3 2" xfId="40780"/>
    <cellStyle name="Percent 27 3 3 3 4" xfId="28475"/>
    <cellStyle name="Percent 27 3 3 4" xfId="11679"/>
    <cellStyle name="Percent 27 3 3 4 2" xfId="31562"/>
    <cellStyle name="Percent 27 3 3 5" xfId="17831"/>
    <cellStyle name="Percent 27 3 3 5 2" xfId="37714"/>
    <cellStyle name="Percent 27 3 3 6" xfId="25409"/>
    <cellStyle name="Percent 27 3 4" xfId="6222"/>
    <cellStyle name="Percent 27 3 4 2" xfId="9317"/>
    <cellStyle name="Percent 27 3 4 2 2" xfId="15510"/>
    <cellStyle name="Percent 27 3 4 2 2 2" xfId="35393"/>
    <cellStyle name="Percent 27 3 4 2 3" xfId="21662"/>
    <cellStyle name="Percent 27 3 4 2 3 2" xfId="41545"/>
    <cellStyle name="Percent 27 3 4 2 4" xfId="29240"/>
    <cellStyle name="Percent 27 3 4 3" xfId="12444"/>
    <cellStyle name="Percent 27 3 4 3 2" xfId="32327"/>
    <cellStyle name="Percent 27 3 4 4" xfId="18596"/>
    <cellStyle name="Percent 27 3 4 4 2" xfId="38479"/>
    <cellStyle name="Percent 27 3 4 5" xfId="26174"/>
    <cellStyle name="Percent 27 3 5" xfId="7782"/>
    <cellStyle name="Percent 27 3 5 2" xfId="13976"/>
    <cellStyle name="Percent 27 3 5 2 2" xfId="33859"/>
    <cellStyle name="Percent 27 3 5 3" xfId="20128"/>
    <cellStyle name="Percent 27 3 5 3 2" xfId="40011"/>
    <cellStyle name="Percent 27 3 5 4" xfId="27706"/>
    <cellStyle name="Percent 27 3 6" xfId="10910"/>
    <cellStyle name="Percent 27 3 6 2" xfId="30793"/>
    <cellStyle name="Percent 27 3 7" xfId="17062"/>
    <cellStyle name="Percent 27 3 7 2" xfId="36945"/>
    <cellStyle name="Percent 27 3 8" xfId="24640"/>
    <cellStyle name="Percent 27 4" xfId="4331"/>
    <cellStyle name="Percent 27 4 2" xfId="4332"/>
    <cellStyle name="Percent 27 4 2 2" xfId="5377"/>
    <cellStyle name="Percent 27 4 2 2 2" xfId="7002"/>
    <cellStyle name="Percent 27 4 2 2 2 2" xfId="10088"/>
    <cellStyle name="Percent 27 4 2 2 2 2 2" xfId="16281"/>
    <cellStyle name="Percent 27 4 2 2 2 2 2 2" xfId="36164"/>
    <cellStyle name="Percent 27 4 2 2 2 2 3" xfId="22433"/>
    <cellStyle name="Percent 27 4 2 2 2 2 3 2" xfId="42316"/>
    <cellStyle name="Percent 27 4 2 2 2 2 4" xfId="30011"/>
    <cellStyle name="Percent 27 4 2 2 2 3" xfId="13215"/>
    <cellStyle name="Percent 27 4 2 2 2 3 2" xfId="33098"/>
    <cellStyle name="Percent 27 4 2 2 2 4" xfId="19367"/>
    <cellStyle name="Percent 27 4 2 2 2 4 2" xfId="39250"/>
    <cellStyle name="Percent 27 4 2 2 2 5" xfId="26945"/>
    <cellStyle name="Percent 27 4 2 2 3" xfId="8553"/>
    <cellStyle name="Percent 27 4 2 2 3 2" xfId="14747"/>
    <cellStyle name="Percent 27 4 2 2 3 2 2" xfId="34630"/>
    <cellStyle name="Percent 27 4 2 2 3 3" xfId="20899"/>
    <cellStyle name="Percent 27 4 2 2 3 3 2" xfId="40782"/>
    <cellStyle name="Percent 27 4 2 2 3 4" xfId="28477"/>
    <cellStyle name="Percent 27 4 2 2 4" xfId="11681"/>
    <cellStyle name="Percent 27 4 2 2 4 2" xfId="31564"/>
    <cellStyle name="Percent 27 4 2 2 5" xfId="17833"/>
    <cellStyle name="Percent 27 4 2 2 5 2" xfId="37716"/>
    <cellStyle name="Percent 27 4 2 2 6" xfId="25411"/>
    <cellStyle name="Percent 27 4 2 3" xfId="6225"/>
    <cellStyle name="Percent 27 4 2 3 2" xfId="9319"/>
    <cellStyle name="Percent 27 4 2 3 2 2" xfId="15512"/>
    <cellStyle name="Percent 27 4 2 3 2 2 2" xfId="35395"/>
    <cellStyle name="Percent 27 4 2 3 2 3" xfId="21664"/>
    <cellStyle name="Percent 27 4 2 3 2 3 2" xfId="41547"/>
    <cellStyle name="Percent 27 4 2 3 2 4" xfId="29242"/>
    <cellStyle name="Percent 27 4 2 3 3" xfId="12446"/>
    <cellStyle name="Percent 27 4 2 3 3 2" xfId="32329"/>
    <cellStyle name="Percent 27 4 2 3 4" xfId="18598"/>
    <cellStyle name="Percent 27 4 2 3 4 2" xfId="38481"/>
    <cellStyle name="Percent 27 4 2 3 5" xfId="26176"/>
    <cellStyle name="Percent 27 4 2 4" xfId="7784"/>
    <cellStyle name="Percent 27 4 2 4 2" xfId="13978"/>
    <cellStyle name="Percent 27 4 2 4 2 2" xfId="33861"/>
    <cellStyle name="Percent 27 4 2 4 3" xfId="20130"/>
    <cellStyle name="Percent 27 4 2 4 3 2" xfId="40013"/>
    <cellStyle name="Percent 27 4 2 4 4" xfId="27708"/>
    <cellStyle name="Percent 27 4 2 5" xfId="10912"/>
    <cellStyle name="Percent 27 4 2 5 2" xfId="30795"/>
    <cellStyle name="Percent 27 4 2 6" xfId="17064"/>
    <cellStyle name="Percent 27 4 2 6 2" xfId="36947"/>
    <cellStyle name="Percent 27 4 2 7" xfId="24642"/>
    <cellStyle name="Percent 27 5" xfId="4333"/>
    <cellStyle name="Percent 27 5 2" xfId="5378"/>
    <cellStyle name="Percent 27 5 2 2" xfId="7003"/>
    <cellStyle name="Percent 27 5 2 2 2" xfId="10089"/>
    <cellStyle name="Percent 27 5 2 2 2 2" xfId="16282"/>
    <cellStyle name="Percent 27 5 2 2 2 2 2" xfId="36165"/>
    <cellStyle name="Percent 27 5 2 2 2 3" xfId="22434"/>
    <cellStyle name="Percent 27 5 2 2 2 3 2" xfId="42317"/>
    <cellStyle name="Percent 27 5 2 2 2 4" xfId="30012"/>
    <cellStyle name="Percent 27 5 2 2 3" xfId="13216"/>
    <cellStyle name="Percent 27 5 2 2 3 2" xfId="33099"/>
    <cellStyle name="Percent 27 5 2 2 4" xfId="19368"/>
    <cellStyle name="Percent 27 5 2 2 4 2" xfId="39251"/>
    <cellStyle name="Percent 27 5 2 2 5" xfId="26946"/>
    <cellStyle name="Percent 27 5 2 3" xfId="8554"/>
    <cellStyle name="Percent 27 5 2 3 2" xfId="14748"/>
    <cellStyle name="Percent 27 5 2 3 2 2" xfId="34631"/>
    <cellStyle name="Percent 27 5 2 3 3" xfId="20900"/>
    <cellStyle name="Percent 27 5 2 3 3 2" xfId="40783"/>
    <cellStyle name="Percent 27 5 2 3 4" xfId="28478"/>
    <cellStyle name="Percent 27 5 2 4" xfId="11682"/>
    <cellStyle name="Percent 27 5 2 4 2" xfId="31565"/>
    <cellStyle name="Percent 27 5 2 5" xfId="17834"/>
    <cellStyle name="Percent 27 5 2 5 2" xfId="37717"/>
    <cellStyle name="Percent 27 5 2 6" xfId="25412"/>
    <cellStyle name="Percent 27 5 3" xfId="6226"/>
    <cellStyle name="Percent 27 5 3 2" xfId="9320"/>
    <cellStyle name="Percent 27 5 3 2 2" xfId="15513"/>
    <cellStyle name="Percent 27 5 3 2 2 2" xfId="35396"/>
    <cellStyle name="Percent 27 5 3 2 3" xfId="21665"/>
    <cellStyle name="Percent 27 5 3 2 3 2" xfId="41548"/>
    <cellStyle name="Percent 27 5 3 2 4" xfId="29243"/>
    <cellStyle name="Percent 27 5 3 3" xfId="12447"/>
    <cellStyle name="Percent 27 5 3 3 2" xfId="32330"/>
    <cellStyle name="Percent 27 5 3 4" xfId="18599"/>
    <cellStyle name="Percent 27 5 3 4 2" xfId="38482"/>
    <cellStyle name="Percent 27 5 3 5" xfId="26177"/>
    <cellStyle name="Percent 27 5 4" xfId="7785"/>
    <cellStyle name="Percent 27 5 4 2" xfId="13979"/>
    <cellStyle name="Percent 27 5 4 2 2" xfId="33862"/>
    <cellStyle name="Percent 27 5 4 3" xfId="20131"/>
    <cellStyle name="Percent 27 5 4 3 2" xfId="40014"/>
    <cellStyle name="Percent 27 5 4 4" xfId="27709"/>
    <cellStyle name="Percent 27 5 5" xfId="10913"/>
    <cellStyle name="Percent 27 5 5 2" xfId="30796"/>
    <cellStyle name="Percent 27 5 6" xfId="17065"/>
    <cellStyle name="Percent 27 5 6 2" xfId="36948"/>
    <cellStyle name="Percent 27 5 7" xfId="24643"/>
    <cellStyle name="Percent 28" xfId="4334"/>
    <cellStyle name="Percent 28 2" xfId="4335"/>
    <cellStyle name="Percent 28 2 2" xfId="4336"/>
    <cellStyle name="Percent 28 2 2 2" xfId="5380"/>
    <cellStyle name="Percent 28 2 2 2 2" xfId="7005"/>
    <cellStyle name="Percent 28 2 2 2 2 2" xfId="10091"/>
    <cellStyle name="Percent 28 2 2 2 2 2 2" xfId="16284"/>
    <cellStyle name="Percent 28 2 2 2 2 2 2 2" xfId="36167"/>
    <cellStyle name="Percent 28 2 2 2 2 2 3" xfId="22436"/>
    <cellStyle name="Percent 28 2 2 2 2 2 3 2" xfId="42319"/>
    <cellStyle name="Percent 28 2 2 2 2 2 4" xfId="30014"/>
    <cellStyle name="Percent 28 2 2 2 2 3" xfId="13218"/>
    <cellStyle name="Percent 28 2 2 2 2 3 2" xfId="33101"/>
    <cellStyle name="Percent 28 2 2 2 2 4" xfId="19370"/>
    <cellStyle name="Percent 28 2 2 2 2 4 2" xfId="39253"/>
    <cellStyle name="Percent 28 2 2 2 2 5" xfId="26948"/>
    <cellStyle name="Percent 28 2 2 2 3" xfId="8556"/>
    <cellStyle name="Percent 28 2 2 2 3 2" xfId="14750"/>
    <cellStyle name="Percent 28 2 2 2 3 2 2" xfId="34633"/>
    <cellStyle name="Percent 28 2 2 2 3 3" xfId="20902"/>
    <cellStyle name="Percent 28 2 2 2 3 3 2" xfId="40785"/>
    <cellStyle name="Percent 28 2 2 2 3 4" xfId="28480"/>
    <cellStyle name="Percent 28 2 2 2 4" xfId="11684"/>
    <cellStyle name="Percent 28 2 2 2 4 2" xfId="31567"/>
    <cellStyle name="Percent 28 2 2 2 5" xfId="17836"/>
    <cellStyle name="Percent 28 2 2 2 5 2" xfId="37719"/>
    <cellStyle name="Percent 28 2 2 2 6" xfId="25414"/>
    <cellStyle name="Percent 28 2 2 3" xfId="6229"/>
    <cellStyle name="Percent 28 2 2 3 2" xfId="9322"/>
    <cellStyle name="Percent 28 2 2 3 2 2" xfId="15515"/>
    <cellStyle name="Percent 28 2 2 3 2 2 2" xfId="35398"/>
    <cellStyle name="Percent 28 2 2 3 2 3" xfId="21667"/>
    <cellStyle name="Percent 28 2 2 3 2 3 2" xfId="41550"/>
    <cellStyle name="Percent 28 2 2 3 2 4" xfId="29245"/>
    <cellStyle name="Percent 28 2 2 3 3" xfId="12449"/>
    <cellStyle name="Percent 28 2 2 3 3 2" xfId="32332"/>
    <cellStyle name="Percent 28 2 2 3 4" xfId="18601"/>
    <cellStyle name="Percent 28 2 2 3 4 2" xfId="38484"/>
    <cellStyle name="Percent 28 2 2 3 5" xfId="26179"/>
    <cellStyle name="Percent 28 2 2 4" xfId="7787"/>
    <cellStyle name="Percent 28 2 2 4 2" xfId="13981"/>
    <cellStyle name="Percent 28 2 2 4 2 2" xfId="33864"/>
    <cellStyle name="Percent 28 2 2 4 3" xfId="20133"/>
    <cellStyle name="Percent 28 2 2 4 3 2" xfId="40016"/>
    <cellStyle name="Percent 28 2 2 4 4" xfId="27711"/>
    <cellStyle name="Percent 28 2 2 5" xfId="10915"/>
    <cellStyle name="Percent 28 2 2 5 2" xfId="30798"/>
    <cellStyle name="Percent 28 2 2 6" xfId="17067"/>
    <cellStyle name="Percent 28 2 2 6 2" xfId="36950"/>
    <cellStyle name="Percent 28 2 2 7" xfId="24645"/>
    <cellStyle name="Percent 28 2 3" xfId="5379"/>
    <cellStyle name="Percent 28 2 3 2" xfId="7004"/>
    <cellStyle name="Percent 28 2 3 2 2" xfId="10090"/>
    <cellStyle name="Percent 28 2 3 2 2 2" xfId="16283"/>
    <cellStyle name="Percent 28 2 3 2 2 2 2" xfId="36166"/>
    <cellStyle name="Percent 28 2 3 2 2 3" xfId="22435"/>
    <cellStyle name="Percent 28 2 3 2 2 3 2" xfId="42318"/>
    <cellStyle name="Percent 28 2 3 2 2 4" xfId="30013"/>
    <cellStyle name="Percent 28 2 3 2 3" xfId="13217"/>
    <cellStyle name="Percent 28 2 3 2 3 2" xfId="33100"/>
    <cellStyle name="Percent 28 2 3 2 4" xfId="19369"/>
    <cellStyle name="Percent 28 2 3 2 4 2" xfId="39252"/>
    <cellStyle name="Percent 28 2 3 2 5" xfId="26947"/>
    <cellStyle name="Percent 28 2 3 3" xfId="8555"/>
    <cellStyle name="Percent 28 2 3 3 2" xfId="14749"/>
    <cellStyle name="Percent 28 2 3 3 2 2" xfId="34632"/>
    <cellStyle name="Percent 28 2 3 3 3" xfId="20901"/>
    <cellStyle name="Percent 28 2 3 3 3 2" xfId="40784"/>
    <cellStyle name="Percent 28 2 3 3 4" xfId="28479"/>
    <cellStyle name="Percent 28 2 3 4" xfId="11683"/>
    <cellStyle name="Percent 28 2 3 4 2" xfId="31566"/>
    <cellStyle name="Percent 28 2 3 5" xfId="17835"/>
    <cellStyle name="Percent 28 2 3 5 2" xfId="37718"/>
    <cellStyle name="Percent 28 2 3 6" xfId="25413"/>
    <cellStyle name="Percent 28 2 4" xfId="6228"/>
    <cellStyle name="Percent 28 2 4 2" xfId="9321"/>
    <cellStyle name="Percent 28 2 4 2 2" xfId="15514"/>
    <cellStyle name="Percent 28 2 4 2 2 2" xfId="35397"/>
    <cellStyle name="Percent 28 2 4 2 3" xfId="21666"/>
    <cellStyle name="Percent 28 2 4 2 3 2" xfId="41549"/>
    <cellStyle name="Percent 28 2 4 2 4" xfId="29244"/>
    <cellStyle name="Percent 28 2 4 3" xfId="12448"/>
    <cellStyle name="Percent 28 2 4 3 2" xfId="32331"/>
    <cellStyle name="Percent 28 2 4 4" xfId="18600"/>
    <cellStyle name="Percent 28 2 4 4 2" xfId="38483"/>
    <cellStyle name="Percent 28 2 4 5" xfId="26178"/>
    <cellStyle name="Percent 28 2 5" xfId="7786"/>
    <cellStyle name="Percent 28 2 5 2" xfId="13980"/>
    <cellStyle name="Percent 28 2 5 2 2" xfId="33863"/>
    <cellStyle name="Percent 28 2 5 3" xfId="20132"/>
    <cellStyle name="Percent 28 2 5 3 2" xfId="40015"/>
    <cellStyle name="Percent 28 2 5 4" xfId="27710"/>
    <cellStyle name="Percent 28 2 6" xfId="10914"/>
    <cellStyle name="Percent 28 2 6 2" xfId="30797"/>
    <cellStyle name="Percent 28 2 7" xfId="17066"/>
    <cellStyle name="Percent 28 2 7 2" xfId="36949"/>
    <cellStyle name="Percent 28 2 8" xfId="24644"/>
    <cellStyle name="Percent 28 3" xfId="4337"/>
    <cellStyle name="Percent 28 3 2" xfId="4338"/>
    <cellStyle name="Percent 28 3 2 2" xfId="5382"/>
    <cellStyle name="Percent 28 3 2 2 2" xfId="7007"/>
    <cellStyle name="Percent 28 3 2 2 2 2" xfId="10093"/>
    <cellStyle name="Percent 28 3 2 2 2 2 2" xfId="16286"/>
    <cellStyle name="Percent 28 3 2 2 2 2 2 2" xfId="36169"/>
    <cellStyle name="Percent 28 3 2 2 2 2 3" xfId="22438"/>
    <cellStyle name="Percent 28 3 2 2 2 2 3 2" xfId="42321"/>
    <cellStyle name="Percent 28 3 2 2 2 2 4" xfId="30016"/>
    <cellStyle name="Percent 28 3 2 2 2 3" xfId="13220"/>
    <cellStyle name="Percent 28 3 2 2 2 3 2" xfId="33103"/>
    <cellStyle name="Percent 28 3 2 2 2 4" xfId="19372"/>
    <cellStyle name="Percent 28 3 2 2 2 4 2" xfId="39255"/>
    <cellStyle name="Percent 28 3 2 2 2 5" xfId="26950"/>
    <cellStyle name="Percent 28 3 2 2 3" xfId="8558"/>
    <cellStyle name="Percent 28 3 2 2 3 2" xfId="14752"/>
    <cellStyle name="Percent 28 3 2 2 3 2 2" xfId="34635"/>
    <cellStyle name="Percent 28 3 2 2 3 3" xfId="20904"/>
    <cellStyle name="Percent 28 3 2 2 3 3 2" xfId="40787"/>
    <cellStyle name="Percent 28 3 2 2 3 4" xfId="28482"/>
    <cellStyle name="Percent 28 3 2 2 4" xfId="11686"/>
    <cellStyle name="Percent 28 3 2 2 4 2" xfId="31569"/>
    <cellStyle name="Percent 28 3 2 2 5" xfId="17838"/>
    <cellStyle name="Percent 28 3 2 2 5 2" xfId="37721"/>
    <cellStyle name="Percent 28 3 2 2 6" xfId="25416"/>
    <cellStyle name="Percent 28 3 2 3" xfId="6231"/>
    <cellStyle name="Percent 28 3 2 3 2" xfId="9324"/>
    <cellStyle name="Percent 28 3 2 3 2 2" xfId="15517"/>
    <cellStyle name="Percent 28 3 2 3 2 2 2" xfId="35400"/>
    <cellStyle name="Percent 28 3 2 3 2 3" xfId="21669"/>
    <cellStyle name="Percent 28 3 2 3 2 3 2" xfId="41552"/>
    <cellStyle name="Percent 28 3 2 3 2 4" xfId="29247"/>
    <cellStyle name="Percent 28 3 2 3 3" xfId="12451"/>
    <cellStyle name="Percent 28 3 2 3 3 2" xfId="32334"/>
    <cellStyle name="Percent 28 3 2 3 4" xfId="18603"/>
    <cellStyle name="Percent 28 3 2 3 4 2" xfId="38486"/>
    <cellStyle name="Percent 28 3 2 3 5" xfId="26181"/>
    <cellStyle name="Percent 28 3 2 4" xfId="7789"/>
    <cellStyle name="Percent 28 3 2 4 2" xfId="13983"/>
    <cellStyle name="Percent 28 3 2 4 2 2" xfId="33866"/>
    <cellStyle name="Percent 28 3 2 4 3" xfId="20135"/>
    <cellStyle name="Percent 28 3 2 4 3 2" xfId="40018"/>
    <cellStyle name="Percent 28 3 2 4 4" xfId="27713"/>
    <cellStyle name="Percent 28 3 2 5" xfId="10917"/>
    <cellStyle name="Percent 28 3 2 5 2" xfId="30800"/>
    <cellStyle name="Percent 28 3 2 6" xfId="17069"/>
    <cellStyle name="Percent 28 3 2 6 2" xfId="36952"/>
    <cellStyle name="Percent 28 3 2 7" xfId="24647"/>
    <cellStyle name="Percent 28 3 3" xfId="5381"/>
    <cellStyle name="Percent 28 3 3 2" xfId="7006"/>
    <cellStyle name="Percent 28 3 3 2 2" xfId="10092"/>
    <cellStyle name="Percent 28 3 3 2 2 2" xfId="16285"/>
    <cellStyle name="Percent 28 3 3 2 2 2 2" xfId="36168"/>
    <cellStyle name="Percent 28 3 3 2 2 3" xfId="22437"/>
    <cellStyle name="Percent 28 3 3 2 2 3 2" xfId="42320"/>
    <cellStyle name="Percent 28 3 3 2 2 4" xfId="30015"/>
    <cellStyle name="Percent 28 3 3 2 3" xfId="13219"/>
    <cellStyle name="Percent 28 3 3 2 3 2" xfId="33102"/>
    <cellStyle name="Percent 28 3 3 2 4" xfId="19371"/>
    <cellStyle name="Percent 28 3 3 2 4 2" xfId="39254"/>
    <cellStyle name="Percent 28 3 3 2 5" xfId="26949"/>
    <cellStyle name="Percent 28 3 3 3" xfId="8557"/>
    <cellStyle name="Percent 28 3 3 3 2" xfId="14751"/>
    <cellStyle name="Percent 28 3 3 3 2 2" xfId="34634"/>
    <cellStyle name="Percent 28 3 3 3 3" xfId="20903"/>
    <cellStyle name="Percent 28 3 3 3 3 2" xfId="40786"/>
    <cellStyle name="Percent 28 3 3 3 4" xfId="28481"/>
    <cellStyle name="Percent 28 3 3 4" xfId="11685"/>
    <cellStyle name="Percent 28 3 3 4 2" xfId="31568"/>
    <cellStyle name="Percent 28 3 3 5" xfId="17837"/>
    <cellStyle name="Percent 28 3 3 5 2" xfId="37720"/>
    <cellStyle name="Percent 28 3 3 6" xfId="25415"/>
    <cellStyle name="Percent 28 3 4" xfId="6230"/>
    <cellStyle name="Percent 28 3 4 2" xfId="9323"/>
    <cellStyle name="Percent 28 3 4 2 2" xfId="15516"/>
    <cellStyle name="Percent 28 3 4 2 2 2" xfId="35399"/>
    <cellStyle name="Percent 28 3 4 2 3" xfId="21668"/>
    <cellStyle name="Percent 28 3 4 2 3 2" xfId="41551"/>
    <cellStyle name="Percent 28 3 4 2 4" xfId="29246"/>
    <cellStyle name="Percent 28 3 4 3" xfId="12450"/>
    <cellStyle name="Percent 28 3 4 3 2" xfId="32333"/>
    <cellStyle name="Percent 28 3 4 4" xfId="18602"/>
    <cellStyle name="Percent 28 3 4 4 2" xfId="38485"/>
    <cellStyle name="Percent 28 3 4 5" xfId="26180"/>
    <cellStyle name="Percent 28 3 5" xfId="7788"/>
    <cellStyle name="Percent 28 3 5 2" xfId="13982"/>
    <cellStyle name="Percent 28 3 5 2 2" xfId="33865"/>
    <cellStyle name="Percent 28 3 5 3" xfId="20134"/>
    <cellStyle name="Percent 28 3 5 3 2" xfId="40017"/>
    <cellStyle name="Percent 28 3 5 4" xfId="27712"/>
    <cellStyle name="Percent 28 3 6" xfId="10916"/>
    <cellStyle name="Percent 28 3 6 2" xfId="30799"/>
    <cellStyle name="Percent 28 3 7" xfId="17068"/>
    <cellStyle name="Percent 28 3 7 2" xfId="36951"/>
    <cellStyle name="Percent 28 3 8" xfId="24646"/>
    <cellStyle name="Percent 28 4" xfId="4339"/>
    <cellStyle name="Percent 28 4 2" xfId="4340"/>
    <cellStyle name="Percent 28 4 2 2" xfId="5383"/>
    <cellStyle name="Percent 28 4 2 2 2" xfId="7008"/>
    <cellStyle name="Percent 28 4 2 2 2 2" xfId="10094"/>
    <cellStyle name="Percent 28 4 2 2 2 2 2" xfId="16287"/>
    <cellStyle name="Percent 28 4 2 2 2 2 2 2" xfId="36170"/>
    <cellStyle name="Percent 28 4 2 2 2 2 3" xfId="22439"/>
    <cellStyle name="Percent 28 4 2 2 2 2 3 2" xfId="42322"/>
    <cellStyle name="Percent 28 4 2 2 2 2 4" xfId="30017"/>
    <cellStyle name="Percent 28 4 2 2 2 3" xfId="13221"/>
    <cellStyle name="Percent 28 4 2 2 2 3 2" xfId="33104"/>
    <cellStyle name="Percent 28 4 2 2 2 4" xfId="19373"/>
    <cellStyle name="Percent 28 4 2 2 2 4 2" xfId="39256"/>
    <cellStyle name="Percent 28 4 2 2 2 5" xfId="26951"/>
    <cellStyle name="Percent 28 4 2 2 3" xfId="8559"/>
    <cellStyle name="Percent 28 4 2 2 3 2" xfId="14753"/>
    <cellStyle name="Percent 28 4 2 2 3 2 2" xfId="34636"/>
    <cellStyle name="Percent 28 4 2 2 3 3" xfId="20905"/>
    <cellStyle name="Percent 28 4 2 2 3 3 2" xfId="40788"/>
    <cellStyle name="Percent 28 4 2 2 3 4" xfId="28483"/>
    <cellStyle name="Percent 28 4 2 2 4" xfId="11687"/>
    <cellStyle name="Percent 28 4 2 2 4 2" xfId="31570"/>
    <cellStyle name="Percent 28 4 2 2 5" xfId="17839"/>
    <cellStyle name="Percent 28 4 2 2 5 2" xfId="37722"/>
    <cellStyle name="Percent 28 4 2 2 6" xfId="25417"/>
    <cellStyle name="Percent 28 4 2 3" xfId="6232"/>
    <cellStyle name="Percent 28 4 2 3 2" xfId="9325"/>
    <cellStyle name="Percent 28 4 2 3 2 2" xfId="15518"/>
    <cellStyle name="Percent 28 4 2 3 2 2 2" xfId="35401"/>
    <cellStyle name="Percent 28 4 2 3 2 3" xfId="21670"/>
    <cellStyle name="Percent 28 4 2 3 2 3 2" xfId="41553"/>
    <cellStyle name="Percent 28 4 2 3 2 4" xfId="29248"/>
    <cellStyle name="Percent 28 4 2 3 3" xfId="12452"/>
    <cellStyle name="Percent 28 4 2 3 3 2" xfId="32335"/>
    <cellStyle name="Percent 28 4 2 3 4" xfId="18604"/>
    <cellStyle name="Percent 28 4 2 3 4 2" xfId="38487"/>
    <cellStyle name="Percent 28 4 2 3 5" xfId="26182"/>
    <cellStyle name="Percent 28 4 2 4" xfId="7790"/>
    <cellStyle name="Percent 28 4 2 4 2" xfId="13984"/>
    <cellStyle name="Percent 28 4 2 4 2 2" xfId="33867"/>
    <cellStyle name="Percent 28 4 2 4 3" xfId="20136"/>
    <cellStyle name="Percent 28 4 2 4 3 2" xfId="40019"/>
    <cellStyle name="Percent 28 4 2 4 4" xfId="27714"/>
    <cellStyle name="Percent 28 4 2 5" xfId="10918"/>
    <cellStyle name="Percent 28 4 2 5 2" xfId="30801"/>
    <cellStyle name="Percent 28 4 2 6" xfId="17070"/>
    <cellStyle name="Percent 28 4 2 6 2" xfId="36953"/>
    <cellStyle name="Percent 28 4 2 7" xfId="24648"/>
    <cellStyle name="Percent 28 5" xfId="4341"/>
    <cellStyle name="Percent 28 5 2" xfId="5384"/>
    <cellStyle name="Percent 28 5 2 2" xfId="7009"/>
    <cellStyle name="Percent 28 5 2 2 2" xfId="10095"/>
    <cellStyle name="Percent 28 5 2 2 2 2" xfId="16288"/>
    <cellStyle name="Percent 28 5 2 2 2 2 2" xfId="36171"/>
    <cellStyle name="Percent 28 5 2 2 2 3" xfId="22440"/>
    <cellStyle name="Percent 28 5 2 2 2 3 2" xfId="42323"/>
    <cellStyle name="Percent 28 5 2 2 2 4" xfId="30018"/>
    <cellStyle name="Percent 28 5 2 2 3" xfId="13222"/>
    <cellStyle name="Percent 28 5 2 2 3 2" xfId="33105"/>
    <cellStyle name="Percent 28 5 2 2 4" xfId="19374"/>
    <cellStyle name="Percent 28 5 2 2 4 2" xfId="39257"/>
    <cellStyle name="Percent 28 5 2 2 5" xfId="26952"/>
    <cellStyle name="Percent 28 5 2 3" xfId="8560"/>
    <cellStyle name="Percent 28 5 2 3 2" xfId="14754"/>
    <cellStyle name="Percent 28 5 2 3 2 2" xfId="34637"/>
    <cellStyle name="Percent 28 5 2 3 3" xfId="20906"/>
    <cellStyle name="Percent 28 5 2 3 3 2" xfId="40789"/>
    <cellStyle name="Percent 28 5 2 3 4" xfId="28484"/>
    <cellStyle name="Percent 28 5 2 4" xfId="11688"/>
    <cellStyle name="Percent 28 5 2 4 2" xfId="31571"/>
    <cellStyle name="Percent 28 5 2 5" xfId="17840"/>
    <cellStyle name="Percent 28 5 2 5 2" xfId="37723"/>
    <cellStyle name="Percent 28 5 2 6" xfId="25418"/>
    <cellStyle name="Percent 28 5 3" xfId="6233"/>
    <cellStyle name="Percent 28 5 3 2" xfId="9326"/>
    <cellStyle name="Percent 28 5 3 2 2" xfId="15519"/>
    <cellStyle name="Percent 28 5 3 2 2 2" xfId="35402"/>
    <cellStyle name="Percent 28 5 3 2 3" xfId="21671"/>
    <cellStyle name="Percent 28 5 3 2 3 2" xfId="41554"/>
    <cellStyle name="Percent 28 5 3 2 4" xfId="29249"/>
    <cellStyle name="Percent 28 5 3 3" xfId="12453"/>
    <cellStyle name="Percent 28 5 3 3 2" xfId="32336"/>
    <cellStyle name="Percent 28 5 3 4" xfId="18605"/>
    <cellStyle name="Percent 28 5 3 4 2" xfId="38488"/>
    <cellStyle name="Percent 28 5 3 5" xfId="26183"/>
    <cellStyle name="Percent 28 5 4" xfId="7791"/>
    <cellStyle name="Percent 28 5 4 2" xfId="13985"/>
    <cellStyle name="Percent 28 5 4 2 2" xfId="33868"/>
    <cellStyle name="Percent 28 5 4 3" xfId="20137"/>
    <cellStyle name="Percent 28 5 4 3 2" xfId="40020"/>
    <cellStyle name="Percent 28 5 4 4" xfId="27715"/>
    <cellStyle name="Percent 28 5 5" xfId="10919"/>
    <cellStyle name="Percent 28 5 5 2" xfId="30802"/>
    <cellStyle name="Percent 28 5 6" xfId="17071"/>
    <cellStyle name="Percent 28 5 6 2" xfId="36954"/>
    <cellStyle name="Percent 28 5 7" xfId="24649"/>
    <cellStyle name="Percent 29" xfId="4342"/>
    <cellStyle name="Percent 29 2" xfId="4343"/>
    <cellStyle name="Percent 29 2 2" xfId="4344"/>
    <cellStyle name="Percent 29 2 2 2" xfId="5386"/>
    <cellStyle name="Percent 29 2 2 2 2" xfId="7011"/>
    <cellStyle name="Percent 29 2 2 2 2 2" xfId="10097"/>
    <cellStyle name="Percent 29 2 2 2 2 2 2" xfId="16290"/>
    <cellStyle name="Percent 29 2 2 2 2 2 2 2" xfId="36173"/>
    <cellStyle name="Percent 29 2 2 2 2 2 3" xfId="22442"/>
    <cellStyle name="Percent 29 2 2 2 2 2 3 2" xfId="42325"/>
    <cellStyle name="Percent 29 2 2 2 2 2 4" xfId="30020"/>
    <cellStyle name="Percent 29 2 2 2 2 3" xfId="13224"/>
    <cellStyle name="Percent 29 2 2 2 2 3 2" xfId="33107"/>
    <cellStyle name="Percent 29 2 2 2 2 4" xfId="19376"/>
    <cellStyle name="Percent 29 2 2 2 2 4 2" xfId="39259"/>
    <cellStyle name="Percent 29 2 2 2 2 5" xfId="26954"/>
    <cellStyle name="Percent 29 2 2 2 3" xfId="8562"/>
    <cellStyle name="Percent 29 2 2 2 3 2" xfId="14756"/>
    <cellStyle name="Percent 29 2 2 2 3 2 2" xfId="34639"/>
    <cellStyle name="Percent 29 2 2 2 3 3" xfId="20908"/>
    <cellStyle name="Percent 29 2 2 2 3 3 2" xfId="40791"/>
    <cellStyle name="Percent 29 2 2 2 3 4" xfId="28486"/>
    <cellStyle name="Percent 29 2 2 2 4" xfId="11690"/>
    <cellStyle name="Percent 29 2 2 2 4 2" xfId="31573"/>
    <cellStyle name="Percent 29 2 2 2 5" xfId="17842"/>
    <cellStyle name="Percent 29 2 2 2 5 2" xfId="37725"/>
    <cellStyle name="Percent 29 2 2 2 6" xfId="25420"/>
    <cellStyle name="Percent 29 2 2 3" xfId="6236"/>
    <cellStyle name="Percent 29 2 2 3 2" xfId="9328"/>
    <cellStyle name="Percent 29 2 2 3 2 2" xfId="15521"/>
    <cellStyle name="Percent 29 2 2 3 2 2 2" xfId="35404"/>
    <cellStyle name="Percent 29 2 2 3 2 3" xfId="21673"/>
    <cellStyle name="Percent 29 2 2 3 2 3 2" xfId="41556"/>
    <cellStyle name="Percent 29 2 2 3 2 4" xfId="29251"/>
    <cellStyle name="Percent 29 2 2 3 3" xfId="12455"/>
    <cellStyle name="Percent 29 2 2 3 3 2" xfId="32338"/>
    <cellStyle name="Percent 29 2 2 3 4" xfId="18607"/>
    <cellStyle name="Percent 29 2 2 3 4 2" xfId="38490"/>
    <cellStyle name="Percent 29 2 2 3 5" xfId="26185"/>
    <cellStyle name="Percent 29 2 2 4" xfId="7793"/>
    <cellStyle name="Percent 29 2 2 4 2" xfId="13987"/>
    <cellStyle name="Percent 29 2 2 4 2 2" xfId="33870"/>
    <cellStyle name="Percent 29 2 2 4 3" xfId="20139"/>
    <cellStyle name="Percent 29 2 2 4 3 2" xfId="40022"/>
    <cellStyle name="Percent 29 2 2 4 4" xfId="27717"/>
    <cellStyle name="Percent 29 2 2 5" xfId="10921"/>
    <cellStyle name="Percent 29 2 2 5 2" xfId="30804"/>
    <cellStyle name="Percent 29 2 2 6" xfId="17073"/>
    <cellStyle name="Percent 29 2 2 6 2" xfId="36956"/>
    <cellStyle name="Percent 29 2 2 7" xfId="24651"/>
    <cellStyle name="Percent 29 2 3" xfId="5385"/>
    <cellStyle name="Percent 29 2 3 2" xfId="7010"/>
    <cellStyle name="Percent 29 2 3 2 2" xfId="10096"/>
    <cellStyle name="Percent 29 2 3 2 2 2" xfId="16289"/>
    <cellStyle name="Percent 29 2 3 2 2 2 2" xfId="36172"/>
    <cellStyle name="Percent 29 2 3 2 2 3" xfId="22441"/>
    <cellStyle name="Percent 29 2 3 2 2 3 2" xfId="42324"/>
    <cellStyle name="Percent 29 2 3 2 2 4" xfId="30019"/>
    <cellStyle name="Percent 29 2 3 2 3" xfId="13223"/>
    <cellStyle name="Percent 29 2 3 2 3 2" xfId="33106"/>
    <cellStyle name="Percent 29 2 3 2 4" xfId="19375"/>
    <cellStyle name="Percent 29 2 3 2 4 2" xfId="39258"/>
    <cellStyle name="Percent 29 2 3 2 5" xfId="26953"/>
    <cellStyle name="Percent 29 2 3 3" xfId="8561"/>
    <cellStyle name="Percent 29 2 3 3 2" xfId="14755"/>
    <cellStyle name="Percent 29 2 3 3 2 2" xfId="34638"/>
    <cellStyle name="Percent 29 2 3 3 3" xfId="20907"/>
    <cellStyle name="Percent 29 2 3 3 3 2" xfId="40790"/>
    <cellStyle name="Percent 29 2 3 3 4" xfId="28485"/>
    <cellStyle name="Percent 29 2 3 4" xfId="11689"/>
    <cellStyle name="Percent 29 2 3 4 2" xfId="31572"/>
    <cellStyle name="Percent 29 2 3 5" xfId="17841"/>
    <cellStyle name="Percent 29 2 3 5 2" xfId="37724"/>
    <cellStyle name="Percent 29 2 3 6" xfId="25419"/>
    <cellStyle name="Percent 29 2 4" xfId="6235"/>
    <cellStyle name="Percent 29 2 4 2" xfId="9327"/>
    <cellStyle name="Percent 29 2 4 2 2" xfId="15520"/>
    <cellStyle name="Percent 29 2 4 2 2 2" xfId="35403"/>
    <cellStyle name="Percent 29 2 4 2 3" xfId="21672"/>
    <cellStyle name="Percent 29 2 4 2 3 2" xfId="41555"/>
    <cellStyle name="Percent 29 2 4 2 4" xfId="29250"/>
    <cellStyle name="Percent 29 2 4 3" xfId="12454"/>
    <cellStyle name="Percent 29 2 4 3 2" xfId="32337"/>
    <cellStyle name="Percent 29 2 4 4" xfId="18606"/>
    <cellStyle name="Percent 29 2 4 4 2" xfId="38489"/>
    <cellStyle name="Percent 29 2 4 5" xfId="26184"/>
    <cellStyle name="Percent 29 2 5" xfId="7792"/>
    <cellStyle name="Percent 29 2 5 2" xfId="13986"/>
    <cellStyle name="Percent 29 2 5 2 2" xfId="33869"/>
    <cellStyle name="Percent 29 2 5 3" xfId="20138"/>
    <cellStyle name="Percent 29 2 5 3 2" xfId="40021"/>
    <cellStyle name="Percent 29 2 5 4" xfId="27716"/>
    <cellStyle name="Percent 29 2 6" xfId="10920"/>
    <cellStyle name="Percent 29 2 6 2" xfId="30803"/>
    <cellStyle name="Percent 29 2 7" xfId="17072"/>
    <cellStyle name="Percent 29 2 7 2" xfId="36955"/>
    <cellStyle name="Percent 29 2 8" xfId="24650"/>
    <cellStyle name="Percent 29 3" xfId="4345"/>
    <cellStyle name="Percent 29 3 2" xfId="4346"/>
    <cellStyle name="Percent 29 3 2 2" xfId="5388"/>
    <cellStyle name="Percent 29 3 2 2 2" xfId="7013"/>
    <cellStyle name="Percent 29 3 2 2 2 2" xfId="10099"/>
    <cellStyle name="Percent 29 3 2 2 2 2 2" xfId="16292"/>
    <cellStyle name="Percent 29 3 2 2 2 2 2 2" xfId="36175"/>
    <cellStyle name="Percent 29 3 2 2 2 2 3" xfId="22444"/>
    <cellStyle name="Percent 29 3 2 2 2 2 3 2" xfId="42327"/>
    <cellStyle name="Percent 29 3 2 2 2 2 4" xfId="30022"/>
    <cellStyle name="Percent 29 3 2 2 2 3" xfId="13226"/>
    <cellStyle name="Percent 29 3 2 2 2 3 2" xfId="33109"/>
    <cellStyle name="Percent 29 3 2 2 2 4" xfId="19378"/>
    <cellStyle name="Percent 29 3 2 2 2 4 2" xfId="39261"/>
    <cellStyle name="Percent 29 3 2 2 2 5" xfId="26956"/>
    <cellStyle name="Percent 29 3 2 2 3" xfId="8564"/>
    <cellStyle name="Percent 29 3 2 2 3 2" xfId="14758"/>
    <cellStyle name="Percent 29 3 2 2 3 2 2" xfId="34641"/>
    <cellStyle name="Percent 29 3 2 2 3 3" xfId="20910"/>
    <cellStyle name="Percent 29 3 2 2 3 3 2" xfId="40793"/>
    <cellStyle name="Percent 29 3 2 2 3 4" xfId="28488"/>
    <cellStyle name="Percent 29 3 2 2 4" xfId="11692"/>
    <cellStyle name="Percent 29 3 2 2 4 2" xfId="31575"/>
    <cellStyle name="Percent 29 3 2 2 5" xfId="17844"/>
    <cellStyle name="Percent 29 3 2 2 5 2" xfId="37727"/>
    <cellStyle name="Percent 29 3 2 2 6" xfId="25422"/>
    <cellStyle name="Percent 29 3 2 3" xfId="6238"/>
    <cellStyle name="Percent 29 3 2 3 2" xfId="9330"/>
    <cellStyle name="Percent 29 3 2 3 2 2" xfId="15523"/>
    <cellStyle name="Percent 29 3 2 3 2 2 2" xfId="35406"/>
    <cellStyle name="Percent 29 3 2 3 2 3" xfId="21675"/>
    <cellStyle name="Percent 29 3 2 3 2 3 2" xfId="41558"/>
    <cellStyle name="Percent 29 3 2 3 2 4" xfId="29253"/>
    <cellStyle name="Percent 29 3 2 3 3" xfId="12457"/>
    <cellStyle name="Percent 29 3 2 3 3 2" xfId="32340"/>
    <cellStyle name="Percent 29 3 2 3 4" xfId="18609"/>
    <cellStyle name="Percent 29 3 2 3 4 2" xfId="38492"/>
    <cellStyle name="Percent 29 3 2 3 5" xfId="26187"/>
    <cellStyle name="Percent 29 3 2 4" xfId="7795"/>
    <cellStyle name="Percent 29 3 2 4 2" xfId="13989"/>
    <cellStyle name="Percent 29 3 2 4 2 2" xfId="33872"/>
    <cellStyle name="Percent 29 3 2 4 3" xfId="20141"/>
    <cellStyle name="Percent 29 3 2 4 3 2" xfId="40024"/>
    <cellStyle name="Percent 29 3 2 4 4" xfId="27719"/>
    <cellStyle name="Percent 29 3 2 5" xfId="10923"/>
    <cellStyle name="Percent 29 3 2 5 2" xfId="30806"/>
    <cellStyle name="Percent 29 3 2 6" xfId="17075"/>
    <cellStyle name="Percent 29 3 2 6 2" xfId="36958"/>
    <cellStyle name="Percent 29 3 2 7" xfId="24653"/>
    <cellStyle name="Percent 29 3 3" xfId="5387"/>
    <cellStyle name="Percent 29 3 3 2" xfId="7012"/>
    <cellStyle name="Percent 29 3 3 2 2" xfId="10098"/>
    <cellStyle name="Percent 29 3 3 2 2 2" xfId="16291"/>
    <cellStyle name="Percent 29 3 3 2 2 2 2" xfId="36174"/>
    <cellStyle name="Percent 29 3 3 2 2 3" xfId="22443"/>
    <cellStyle name="Percent 29 3 3 2 2 3 2" xfId="42326"/>
    <cellStyle name="Percent 29 3 3 2 2 4" xfId="30021"/>
    <cellStyle name="Percent 29 3 3 2 3" xfId="13225"/>
    <cellStyle name="Percent 29 3 3 2 3 2" xfId="33108"/>
    <cellStyle name="Percent 29 3 3 2 4" xfId="19377"/>
    <cellStyle name="Percent 29 3 3 2 4 2" xfId="39260"/>
    <cellStyle name="Percent 29 3 3 2 5" xfId="26955"/>
    <cellStyle name="Percent 29 3 3 3" xfId="8563"/>
    <cellStyle name="Percent 29 3 3 3 2" xfId="14757"/>
    <cellStyle name="Percent 29 3 3 3 2 2" xfId="34640"/>
    <cellStyle name="Percent 29 3 3 3 3" xfId="20909"/>
    <cellStyle name="Percent 29 3 3 3 3 2" xfId="40792"/>
    <cellStyle name="Percent 29 3 3 3 4" xfId="28487"/>
    <cellStyle name="Percent 29 3 3 4" xfId="11691"/>
    <cellStyle name="Percent 29 3 3 4 2" xfId="31574"/>
    <cellStyle name="Percent 29 3 3 5" xfId="17843"/>
    <cellStyle name="Percent 29 3 3 5 2" xfId="37726"/>
    <cellStyle name="Percent 29 3 3 6" xfId="25421"/>
    <cellStyle name="Percent 29 3 4" xfId="6237"/>
    <cellStyle name="Percent 29 3 4 2" xfId="9329"/>
    <cellStyle name="Percent 29 3 4 2 2" xfId="15522"/>
    <cellStyle name="Percent 29 3 4 2 2 2" xfId="35405"/>
    <cellStyle name="Percent 29 3 4 2 3" xfId="21674"/>
    <cellStyle name="Percent 29 3 4 2 3 2" xfId="41557"/>
    <cellStyle name="Percent 29 3 4 2 4" xfId="29252"/>
    <cellStyle name="Percent 29 3 4 3" xfId="12456"/>
    <cellStyle name="Percent 29 3 4 3 2" xfId="32339"/>
    <cellStyle name="Percent 29 3 4 4" xfId="18608"/>
    <cellStyle name="Percent 29 3 4 4 2" xfId="38491"/>
    <cellStyle name="Percent 29 3 4 5" xfId="26186"/>
    <cellStyle name="Percent 29 3 5" xfId="7794"/>
    <cellStyle name="Percent 29 3 5 2" xfId="13988"/>
    <cellStyle name="Percent 29 3 5 2 2" xfId="33871"/>
    <cellStyle name="Percent 29 3 5 3" xfId="20140"/>
    <cellStyle name="Percent 29 3 5 3 2" xfId="40023"/>
    <cellStyle name="Percent 29 3 5 4" xfId="27718"/>
    <cellStyle name="Percent 29 3 6" xfId="10922"/>
    <cellStyle name="Percent 29 3 6 2" xfId="30805"/>
    <cellStyle name="Percent 29 3 7" xfId="17074"/>
    <cellStyle name="Percent 29 3 7 2" xfId="36957"/>
    <cellStyle name="Percent 29 3 8" xfId="24652"/>
    <cellStyle name="Percent 29 4" xfId="4347"/>
    <cellStyle name="Percent 29 4 2" xfId="4348"/>
    <cellStyle name="Percent 29 4 2 2" xfId="5389"/>
    <cellStyle name="Percent 29 4 2 2 2" xfId="7014"/>
    <cellStyle name="Percent 29 4 2 2 2 2" xfId="10100"/>
    <cellStyle name="Percent 29 4 2 2 2 2 2" xfId="16293"/>
    <cellStyle name="Percent 29 4 2 2 2 2 2 2" xfId="36176"/>
    <cellStyle name="Percent 29 4 2 2 2 2 3" xfId="22445"/>
    <cellStyle name="Percent 29 4 2 2 2 2 3 2" xfId="42328"/>
    <cellStyle name="Percent 29 4 2 2 2 2 4" xfId="30023"/>
    <cellStyle name="Percent 29 4 2 2 2 3" xfId="13227"/>
    <cellStyle name="Percent 29 4 2 2 2 3 2" xfId="33110"/>
    <cellStyle name="Percent 29 4 2 2 2 4" xfId="19379"/>
    <cellStyle name="Percent 29 4 2 2 2 4 2" xfId="39262"/>
    <cellStyle name="Percent 29 4 2 2 2 5" xfId="26957"/>
    <cellStyle name="Percent 29 4 2 2 3" xfId="8565"/>
    <cellStyle name="Percent 29 4 2 2 3 2" xfId="14759"/>
    <cellStyle name="Percent 29 4 2 2 3 2 2" xfId="34642"/>
    <cellStyle name="Percent 29 4 2 2 3 3" xfId="20911"/>
    <cellStyle name="Percent 29 4 2 2 3 3 2" xfId="40794"/>
    <cellStyle name="Percent 29 4 2 2 3 4" xfId="28489"/>
    <cellStyle name="Percent 29 4 2 2 4" xfId="11693"/>
    <cellStyle name="Percent 29 4 2 2 4 2" xfId="31576"/>
    <cellStyle name="Percent 29 4 2 2 5" xfId="17845"/>
    <cellStyle name="Percent 29 4 2 2 5 2" xfId="37728"/>
    <cellStyle name="Percent 29 4 2 2 6" xfId="25423"/>
    <cellStyle name="Percent 29 4 2 3" xfId="6239"/>
    <cellStyle name="Percent 29 4 2 3 2" xfId="9331"/>
    <cellStyle name="Percent 29 4 2 3 2 2" xfId="15524"/>
    <cellStyle name="Percent 29 4 2 3 2 2 2" xfId="35407"/>
    <cellStyle name="Percent 29 4 2 3 2 3" xfId="21676"/>
    <cellStyle name="Percent 29 4 2 3 2 3 2" xfId="41559"/>
    <cellStyle name="Percent 29 4 2 3 2 4" xfId="29254"/>
    <cellStyle name="Percent 29 4 2 3 3" xfId="12458"/>
    <cellStyle name="Percent 29 4 2 3 3 2" xfId="32341"/>
    <cellStyle name="Percent 29 4 2 3 4" xfId="18610"/>
    <cellStyle name="Percent 29 4 2 3 4 2" xfId="38493"/>
    <cellStyle name="Percent 29 4 2 3 5" xfId="26188"/>
    <cellStyle name="Percent 29 4 2 4" xfId="7796"/>
    <cellStyle name="Percent 29 4 2 4 2" xfId="13990"/>
    <cellStyle name="Percent 29 4 2 4 2 2" xfId="33873"/>
    <cellStyle name="Percent 29 4 2 4 3" xfId="20142"/>
    <cellStyle name="Percent 29 4 2 4 3 2" xfId="40025"/>
    <cellStyle name="Percent 29 4 2 4 4" xfId="27720"/>
    <cellStyle name="Percent 29 4 2 5" xfId="10924"/>
    <cellStyle name="Percent 29 4 2 5 2" xfId="30807"/>
    <cellStyle name="Percent 29 4 2 6" xfId="17076"/>
    <cellStyle name="Percent 29 4 2 6 2" xfId="36959"/>
    <cellStyle name="Percent 29 4 2 7" xfId="24654"/>
    <cellStyle name="Percent 29 5" xfId="4349"/>
    <cellStyle name="Percent 29 5 2" xfId="5390"/>
    <cellStyle name="Percent 29 5 2 2" xfId="7015"/>
    <cellStyle name="Percent 29 5 2 2 2" xfId="10101"/>
    <cellStyle name="Percent 29 5 2 2 2 2" xfId="16294"/>
    <cellStyle name="Percent 29 5 2 2 2 2 2" xfId="36177"/>
    <cellStyle name="Percent 29 5 2 2 2 3" xfId="22446"/>
    <cellStyle name="Percent 29 5 2 2 2 3 2" xfId="42329"/>
    <cellStyle name="Percent 29 5 2 2 2 4" xfId="30024"/>
    <cellStyle name="Percent 29 5 2 2 3" xfId="13228"/>
    <cellStyle name="Percent 29 5 2 2 3 2" xfId="33111"/>
    <cellStyle name="Percent 29 5 2 2 4" xfId="19380"/>
    <cellStyle name="Percent 29 5 2 2 4 2" xfId="39263"/>
    <cellStyle name="Percent 29 5 2 2 5" xfId="26958"/>
    <cellStyle name="Percent 29 5 2 3" xfId="8566"/>
    <cellStyle name="Percent 29 5 2 3 2" xfId="14760"/>
    <cellStyle name="Percent 29 5 2 3 2 2" xfId="34643"/>
    <cellStyle name="Percent 29 5 2 3 3" xfId="20912"/>
    <cellStyle name="Percent 29 5 2 3 3 2" xfId="40795"/>
    <cellStyle name="Percent 29 5 2 3 4" xfId="28490"/>
    <cellStyle name="Percent 29 5 2 4" xfId="11694"/>
    <cellStyle name="Percent 29 5 2 4 2" xfId="31577"/>
    <cellStyle name="Percent 29 5 2 5" xfId="17846"/>
    <cellStyle name="Percent 29 5 2 5 2" xfId="37729"/>
    <cellStyle name="Percent 29 5 2 6" xfId="25424"/>
    <cellStyle name="Percent 29 5 3" xfId="6240"/>
    <cellStyle name="Percent 29 5 3 2" xfId="9332"/>
    <cellStyle name="Percent 29 5 3 2 2" xfId="15525"/>
    <cellStyle name="Percent 29 5 3 2 2 2" xfId="35408"/>
    <cellStyle name="Percent 29 5 3 2 3" xfId="21677"/>
    <cellStyle name="Percent 29 5 3 2 3 2" xfId="41560"/>
    <cellStyle name="Percent 29 5 3 2 4" xfId="29255"/>
    <cellStyle name="Percent 29 5 3 3" xfId="12459"/>
    <cellStyle name="Percent 29 5 3 3 2" xfId="32342"/>
    <cellStyle name="Percent 29 5 3 4" xfId="18611"/>
    <cellStyle name="Percent 29 5 3 4 2" xfId="38494"/>
    <cellStyle name="Percent 29 5 3 5" xfId="26189"/>
    <cellStyle name="Percent 29 5 4" xfId="7797"/>
    <cellStyle name="Percent 29 5 4 2" xfId="13991"/>
    <cellStyle name="Percent 29 5 4 2 2" xfId="33874"/>
    <cellStyle name="Percent 29 5 4 3" xfId="20143"/>
    <cellStyle name="Percent 29 5 4 3 2" xfId="40026"/>
    <cellStyle name="Percent 29 5 4 4" xfId="27721"/>
    <cellStyle name="Percent 29 5 5" xfId="10925"/>
    <cellStyle name="Percent 29 5 5 2" xfId="30808"/>
    <cellStyle name="Percent 29 5 6" xfId="17077"/>
    <cellStyle name="Percent 29 5 6 2" xfId="36960"/>
    <cellStyle name="Percent 29 5 7" xfId="24655"/>
    <cellStyle name="Percent 3" xfId="45"/>
    <cellStyle name="Percent 3 10" xfId="343"/>
    <cellStyle name="Percent 3 10 2" xfId="5391"/>
    <cellStyle name="Percent 3 10 2 2" xfId="7016"/>
    <cellStyle name="Percent 3 10 2 2 2" xfId="10102"/>
    <cellStyle name="Percent 3 10 2 2 2 2" xfId="16295"/>
    <cellStyle name="Percent 3 10 2 2 2 2 2" xfId="36178"/>
    <cellStyle name="Percent 3 10 2 2 2 3" xfId="22447"/>
    <cellStyle name="Percent 3 10 2 2 2 3 2" xfId="42330"/>
    <cellStyle name="Percent 3 10 2 2 2 4" xfId="30025"/>
    <cellStyle name="Percent 3 10 2 2 3" xfId="13229"/>
    <cellStyle name="Percent 3 10 2 2 3 2" xfId="33112"/>
    <cellStyle name="Percent 3 10 2 2 4" xfId="19381"/>
    <cellStyle name="Percent 3 10 2 2 4 2" xfId="39264"/>
    <cellStyle name="Percent 3 10 2 2 5" xfId="26959"/>
    <cellStyle name="Percent 3 10 2 3" xfId="8567"/>
    <cellStyle name="Percent 3 10 2 3 2" xfId="14761"/>
    <cellStyle name="Percent 3 10 2 3 2 2" xfId="34644"/>
    <cellStyle name="Percent 3 10 2 3 3" xfId="20913"/>
    <cellStyle name="Percent 3 10 2 3 3 2" xfId="40796"/>
    <cellStyle name="Percent 3 10 2 3 4" xfId="28491"/>
    <cellStyle name="Percent 3 10 2 4" xfId="11695"/>
    <cellStyle name="Percent 3 10 2 4 2" xfId="31578"/>
    <cellStyle name="Percent 3 10 2 5" xfId="17847"/>
    <cellStyle name="Percent 3 10 2 5 2" xfId="37730"/>
    <cellStyle name="Percent 3 10 2 6" xfId="25425"/>
    <cellStyle name="Percent 3 10 3" xfId="6241"/>
    <cellStyle name="Percent 3 10 3 2" xfId="9333"/>
    <cellStyle name="Percent 3 10 3 2 2" xfId="15526"/>
    <cellStyle name="Percent 3 10 3 2 2 2" xfId="35409"/>
    <cellStyle name="Percent 3 10 3 2 3" xfId="21678"/>
    <cellStyle name="Percent 3 10 3 2 3 2" xfId="41561"/>
    <cellStyle name="Percent 3 10 3 2 4" xfId="29256"/>
    <cellStyle name="Percent 3 10 3 3" xfId="12460"/>
    <cellStyle name="Percent 3 10 3 3 2" xfId="32343"/>
    <cellStyle name="Percent 3 10 3 4" xfId="18612"/>
    <cellStyle name="Percent 3 10 3 4 2" xfId="38495"/>
    <cellStyle name="Percent 3 10 3 5" xfId="26190"/>
    <cellStyle name="Percent 3 10 4" xfId="7798"/>
    <cellStyle name="Percent 3 10 4 2" xfId="13992"/>
    <cellStyle name="Percent 3 10 4 2 2" xfId="33875"/>
    <cellStyle name="Percent 3 10 4 3" xfId="20144"/>
    <cellStyle name="Percent 3 10 4 3 2" xfId="40027"/>
    <cellStyle name="Percent 3 10 4 4" xfId="27722"/>
    <cellStyle name="Percent 3 10 5" xfId="10926"/>
    <cellStyle name="Percent 3 10 5 2" xfId="30809"/>
    <cellStyle name="Percent 3 10 6" xfId="17078"/>
    <cellStyle name="Percent 3 10 6 2" xfId="36961"/>
    <cellStyle name="Percent 3 10 7" xfId="4350"/>
    <cellStyle name="Percent 3 10 7 2" xfId="24656"/>
    <cellStyle name="Percent 3 11" xfId="363"/>
    <cellStyle name="Percent 3 11 2" xfId="5392"/>
    <cellStyle name="Percent 3 11 2 2" xfId="7017"/>
    <cellStyle name="Percent 3 11 2 2 2" xfId="10103"/>
    <cellStyle name="Percent 3 11 2 2 2 2" xfId="16296"/>
    <cellStyle name="Percent 3 11 2 2 2 2 2" xfId="36179"/>
    <cellStyle name="Percent 3 11 2 2 2 3" xfId="22448"/>
    <cellStyle name="Percent 3 11 2 2 2 3 2" xfId="42331"/>
    <cellStyle name="Percent 3 11 2 2 2 4" xfId="30026"/>
    <cellStyle name="Percent 3 11 2 2 3" xfId="13230"/>
    <cellStyle name="Percent 3 11 2 2 3 2" xfId="33113"/>
    <cellStyle name="Percent 3 11 2 2 4" xfId="19382"/>
    <cellStyle name="Percent 3 11 2 2 4 2" xfId="39265"/>
    <cellStyle name="Percent 3 11 2 2 5" xfId="26960"/>
    <cellStyle name="Percent 3 11 2 3" xfId="8568"/>
    <cellStyle name="Percent 3 11 2 3 2" xfId="14762"/>
    <cellStyle name="Percent 3 11 2 3 2 2" xfId="34645"/>
    <cellStyle name="Percent 3 11 2 3 3" xfId="20914"/>
    <cellStyle name="Percent 3 11 2 3 3 2" xfId="40797"/>
    <cellStyle name="Percent 3 11 2 3 4" xfId="28492"/>
    <cellStyle name="Percent 3 11 2 4" xfId="11696"/>
    <cellStyle name="Percent 3 11 2 4 2" xfId="31579"/>
    <cellStyle name="Percent 3 11 2 5" xfId="17848"/>
    <cellStyle name="Percent 3 11 2 5 2" xfId="37731"/>
    <cellStyle name="Percent 3 11 2 6" xfId="25426"/>
    <cellStyle name="Percent 3 11 3" xfId="6242"/>
    <cellStyle name="Percent 3 11 3 2" xfId="9334"/>
    <cellStyle name="Percent 3 11 3 2 2" xfId="15527"/>
    <cellStyle name="Percent 3 11 3 2 2 2" xfId="35410"/>
    <cellStyle name="Percent 3 11 3 2 3" xfId="21679"/>
    <cellStyle name="Percent 3 11 3 2 3 2" xfId="41562"/>
    <cellStyle name="Percent 3 11 3 2 4" xfId="29257"/>
    <cellStyle name="Percent 3 11 3 3" xfId="12461"/>
    <cellStyle name="Percent 3 11 3 3 2" xfId="32344"/>
    <cellStyle name="Percent 3 11 3 4" xfId="18613"/>
    <cellStyle name="Percent 3 11 3 4 2" xfId="38496"/>
    <cellStyle name="Percent 3 11 3 5" xfId="26191"/>
    <cellStyle name="Percent 3 11 4" xfId="7799"/>
    <cellStyle name="Percent 3 11 4 2" xfId="13993"/>
    <cellStyle name="Percent 3 11 4 2 2" xfId="33876"/>
    <cellStyle name="Percent 3 11 4 3" xfId="20145"/>
    <cellStyle name="Percent 3 11 4 3 2" xfId="40028"/>
    <cellStyle name="Percent 3 11 4 4" xfId="27723"/>
    <cellStyle name="Percent 3 11 5" xfId="10927"/>
    <cellStyle name="Percent 3 11 5 2" xfId="30810"/>
    <cellStyle name="Percent 3 11 6" xfId="17079"/>
    <cellStyle name="Percent 3 11 6 2" xfId="36962"/>
    <cellStyle name="Percent 3 11 7" xfId="4351"/>
    <cellStyle name="Percent 3 11 7 2" xfId="24657"/>
    <cellStyle name="Percent 3 12" xfId="378"/>
    <cellStyle name="Percent 3 12 2" xfId="5393"/>
    <cellStyle name="Percent 3 12 2 2" xfId="7018"/>
    <cellStyle name="Percent 3 12 2 2 2" xfId="10104"/>
    <cellStyle name="Percent 3 12 2 2 2 2" xfId="16297"/>
    <cellStyle name="Percent 3 12 2 2 2 2 2" xfId="36180"/>
    <cellStyle name="Percent 3 12 2 2 2 3" xfId="22449"/>
    <cellStyle name="Percent 3 12 2 2 2 3 2" xfId="42332"/>
    <cellStyle name="Percent 3 12 2 2 2 4" xfId="30027"/>
    <cellStyle name="Percent 3 12 2 2 3" xfId="13231"/>
    <cellStyle name="Percent 3 12 2 2 3 2" xfId="33114"/>
    <cellStyle name="Percent 3 12 2 2 4" xfId="19383"/>
    <cellStyle name="Percent 3 12 2 2 4 2" xfId="39266"/>
    <cellStyle name="Percent 3 12 2 2 5" xfId="26961"/>
    <cellStyle name="Percent 3 12 2 3" xfId="8569"/>
    <cellStyle name="Percent 3 12 2 3 2" xfId="14763"/>
    <cellStyle name="Percent 3 12 2 3 2 2" xfId="34646"/>
    <cellStyle name="Percent 3 12 2 3 3" xfId="20915"/>
    <cellStyle name="Percent 3 12 2 3 3 2" xfId="40798"/>
    <cellStyle name="Percent 3 12 2 3 4" xfId="28493"/>
    <cellStyle name="Percent 3 12 2 4" xfId="11697"/>
    <cellStyle name="Percent 3 12 2 4 2" xfId="31580"/>
    <cellStyle name="Percent 3 12 2 5" xfId="17849"/>
    <cellStyle name="Percent 3 12 2 5 2" xfId="37732"/>
    <cellStyle name="Percent 3 12 2 6" xfId="25427"/>
    <cellStyle name="Percent 3 12 3" xfId="6243"/>
    <cellStyle name="Percent 3 12 3 2" xfId="9335"/>
    <cellStyle name="Percent 3 12 3 2 2" xfId="15528"/>
    <cellStyle name="Percent 3 12 3 2 2 2" xfId="35411"/>
    <cellStyle name="Percent 3 12 3 2 3" xfId="21680"/>
    <cellStyle name="Percent 3 12 3 2 3 2" xfId="41563"/>
    <cellStyle name="Percent 3 12 3 2 4" xfId="29258"/>
    <cellStyle name="Percent 3 12 3 3" xfId="12462"/>
    <cellStyle name="Percent 3 12 3 3 2" xfId="32345"/>
    <cellStyle name="Percent 3 12 3 4" xfId="18614"/>
    <cellStyle name="Percent 3 12 3 4 2" xfId="38497"/>
    <cellStyle name="Percent 3 12 3 5" xfId="26192"/>
    <cellStyle name="Percent 3 12 4" xfId="7800"/>
    <cellStyle name="Percent 3 12 4 2" xfId="13994"/>
    <cellStyle name="Percent 3 12 4 2 2" xfId="33877"/>
    <cellStyle name="Percent 3 12 4 3" xfId="20146"/>
    <cellStyle name="Percent 3 12 4 3 2" xfId="40029"/>
    <cellStyle name="Percent 3 12 4 4" xfId="27724"/>
    <cellStyle name="Percent 3 12 5" xfId="10928"/>
    <cellStyle name="Percent 3 12 5 2" xfId="30811"/>
    <cellStyle name="Percent 3 12 6" xfId="17080"/>
    <cellStyle name="Percent 3 12 6 2" xfId="36963"/>
    <cellStyle name="Percent 3 12 7" xfId="4352"/>
    <cellStyle name="Percent 3 12 7 2" xfId="24658"/>
    <cellStyle name="Percent 3 13" xfId="394"/>
    <cellStyle name="Percent 3 13 2" xfId="5394"/>
    <cellStyle name="Percent 3 13 2 2" xfId="7019"/>
    <cellStyle name="Percent 3 13 2 2 2" xfId="10105"/>
    <cellStyle name="Percent 3 13 2 2 2 2" xfId="16298"/>
    <cellStyle name="Percent 3 13 2 2 2 2 2" xfId="36181"/>
    <cellStyle name="Percent 3 13 2 2 2 3" xfId="22450"/>
    <cellStyle name="Percent 3 13 2 2 2 3 2" xfId="42333"/>
    <cellStyle name="Percent 3 13 2 2 2 4" xfId="30028"/>
    <cellStyle name="Percent 3 13 2 2 3" xfId="13232"/>
    <cellStyle name="Percent 3 13 2 2 3 2" xfId="33115"/>
    <cellStyle name="Percent 3 13 2 2 4" xfId="19384"/>
    <cellStyle name="Percent 3 13 2 2 4 2" xfId="39267"/>
    <cellStyle name="Percent 3 13 2 2 5" xfId="26962"/>
    <cellStyle name="Percent 3 13 2 3" xfId="8570"/>
    <cellStyle name="Percent 3 13 2 3 2" xfId="14764"/>
    <cellStyle name="Percent 3 13 2 3 2 2" xfId="34647"/>
    <cellStyle name="Percent 3 13 2 3 3" xfId="20916"/>
    <cellStyle name="Percent 3 13 2 3 3 2" xfId="40799"/>
    <cellStyle name="Percent 3 13 2 3 4" xfId="28494"/>
    <cellStyle name="Percent 3 13 2 4" xfId="11698"/>
    <cellStyle name="Percent 3 13 2 4 2" xfId="31581"/>
    <cellStyle name="Percent 3 13 2 5" xfId="17850"/>
    <cellStyle name="Percent 3 13 2 5 2" xfId="37733"/>
    <cellStyle name="Percent 3 13 2 6" xfId="25428"/>
    <cellStyle name="Percent 3 13 3" xfId="6244"/>
    <cellStyle name="Percent 3 13 3 2" xfId="9336"/>
    <cellStyle name="Percent 3 13 3 2 2" xfId="15529"/>
    <cellStyle name="Percent 3 13 3 2 2 2" xfId="35412"/>
    <cellStyle name="Percent 3 13 3 2 3" xfId="21681"/>
    <cellStyle name="Percent 3 13 3 2 3 2" xfId="41564"/>
    <cellStyle name="Percent 3 13 3 2 4" xfId="29259"/>
    <cellStyle name="Percent 3 13 3 3" xfId="12463"/>
    <cellStyle name="Percent 3 13 3 3 2" xfId="32346"/>
    <cellStyle name="Percent 3 13 3 4" xfId="18615"/>
    <cellStyle name="Percent 3 13 3 4 2" xfId="38498"/>
    <cellStyle name="Percent 3 13 3 5" xfId="26193"/>
    <cellStyle name="Percent 3 13 4" xfId="7801"/>
    <cellStyle name="Percent 3 13 4 2" xfId="13995"/>
    <cellStyle name="Percent 3 13 4 2 2" xfId="33878"/>
    <cellStyle name="Percent 3 13 4 3" xfId="20147"/>
    <cellStyle name="Percent 3 13 4 3 2" xfId="40030"/>
    <cellStyle name="Percent 3 13 4 4" xfId="27725"/>
    <cellStyle name="Percent 3 13 5" xfId="10929"/>
    <cellStyle name="Percent 3 13 5 2" xfId="30812"/>
    <cellStyle name="Percent 3 13 6" xfId="17081"/>
    <cellStyle name="Percent 3 13 6 2" xfId="36964"/>
    <cellStyle name="Percent 3 13 7" xfId="4353"/>
    <cellStyle name="Percent 3 13 7 2" xfId="24659"/>
    <cellStyle name="Percent 3 14" xfId="407"/>
    <cellStyle name="Percent 3 14 2" xfId="5395"/>
    <cellStyle name="Percent 3 14 2 2" xfId="7020"/>
    <cellStyle name="Percent 3 14 2 2 2" xfId="10106"/>
    <cellStyle name="Percent 3 14 2 2 2 2" xfId="16299"/>
    <cellStyle name="Percent 3 14 2 2 2 2 2" xfId="36182"/>
    <cellStyle name="Percent 3 14 2 2 2 3" xfId="22451"/>
    <cellStyle name="Percent 3 14 2 2 2 3 2" xfId="42334"/>
    <cellStyle name="Percent 3 14 2 2 2 4" xfId="30029"/>
    <cellStyle name="Percent 3 14 2 2 3" xfId="13233"/>
    <cellStyle name="Percent 3 14 2 2 3 2" xfId="33116"/>
    <cellStyle name="Percent 3 14 2 2 4" xfId="19385"/>
    <cellStyle name="Percent 3 14 2 2 4 2" xfId="39268"/>
    <cellStyle name="Percent 3 14 2 2 5" xfId="26963"/>
    <cellStyle name="Percent 3 14 2 3" xfId="8571"/>
    <cellStyle name="Percent 3 14 2 3 2" xfId="14765"/>
    <cellStyle name="Percent 3 14 2 3 2 2" xfId="34648"/>
    <cellStyle name="Percent 3 14 2 3 3" xfId="20917"/>
    <cellStyle name="Percent 3 14 2 3 3 2" xfId="40800"/>
    <cellStyle name="Percent 3 14 2 3 4" xfId="28495"/>
    <cellStyle name="Percent 3 14 2 4" xfId="11699"/>
    <cellStyle name="Percent 3 14 2 4 2" xfId="31582"/>
    <cellStyle name="Percent 3 14 2 5" xfId="17851"/>
    <cellStyle name="Percent 3 14 2 5 2" xfId="37734"/>
    <cellStyle name="Percent 3 14 2 6" xfId="25429"/>
    <cellStyle name="Percent 3 14 3" xfId="6245"/>
    <cellStyle name="Percent 3 14 3 2" xfId="9337"/>
    <cellStyle name="Percent 3 14 3 2 2" xfId="15530"/>
    <cellStyle name="Percent 3 14 3 2 2 2" xfId="35413"/>
    <cellStyle name="Percent 3 14 3 2 3" xfId="21682"/>
    <cellStyle name="Percent 3 14 3 2 3 2" xfId="41565"/>
    <cellStyle name="Percent 3 14 3 2 4" xfId="29260"/>
    <cellStyle name="Percent 3 14 3 3" xfId="12464"/>
    <cellStyle name="Percent 3 14 3 3 2" xfId="32347"/>
    <cellStyle name="Percent 3 14 3 4" xfId="18616"/>
    <cellStyle name="Percent 3 14 3 4 2" xfId="38499"/>
    <cellStyle name="Percent 3 14 3 5" xfId="26194"/>
    <cellStyle name="Percent 3 14 4" xfId="7802"/>
    <cellStyle name="Percent 3 14 4 2" xfId="13996"/>
    <cellStyle name="Percent 3 14 4 2 2" xfId="33879"/>
    <cellStyle name="Percent 3 14 4 3" xfId="20148"/>
    <cellStyle name="Percent 3 14 4 3 2" xfId="40031"/>
    <cellStyle name="Percent 3 14 4 4" xfId="27726"/>
    <cellStyle name="Percent 3 14 5" xfId="10930"/>
    <cellStyle name="Percent 3 14 5 2" xfId="30813"/>
    <cellStyle name="Percent 3 14 6" xfId="17082"/>
    <cellStyle name="Percent 3 14 6 2" xfId="36965"/>
    <cellStyle name="Percent 3 14 7" xfId="4354"/>
    <cellStyle name="Percent 3 14 7 2" xfId="24660"/>
    <cellStyle name="Percent 3 15" xfId="385"/>
    <cellStyle name="Percent 3 15 2" xfId="5396"/>
    <cellStyle name="Percent 3 15 2 2" xfId="7021"/>
    <cellStyle name="Percent 3 15 2 2 2" xfId="10107"/>
    <cellStyle name="Percent 3 15 2 2 2 2" xfId="16300"/>
    <cellStyle name="Percent 3 15 2 2 2 2 2" xfId="36183"/>
    <cellStyle name="Percent 3 15 2 2 2 3" xfId="22452"/>
    <cellStyle name="Percent 3 15 2 2 2 3 2" xfId="42335"/>
    <cellStyle name="Percent 3 15 2 2 2 4" xfId="30030"/>
    <cellStyle name="Percent 3 15 2 2 3" xfId="13234"/>
    <cellStyle name="Percent 3 15 2 2 3 2" xfId="33117"/>
    <cellStyle name="Percent 3 15 2 2 4" xfId="19386"/>
    <cellStyle name="Percent 3 15 2 2 4 2" xfId="39269"/>
    <cellStyle name="Percent 3 15 2 2 5" xfId="26964"/>
    <cellStyle name="Percent 3 15 2 3" xfId="8572"/>
    <cellStyle name="Percent 3 15 2 3 2" xfId="14766"/>
    <cellStyle name="Percent 3 15 2 3 2 2" xfId="34649"/>
    <cellStyle name="Percent 3 15 2 3 3" xfId="20918"/>
    <cellStyle name="Percent 3 15 2 3 3 2" xfId="40801"/>
    <cellStyle name="Percent 3 15 2 3 4" xfId="28496"/>
    <cellStyle name="Percent 3 15 2 4" xfId="11700"/>
    <cellStyle name="Percent 3 15 2 4 2" xfId="31583"/>
    <cellStyle name="Percent 3 15 2 5" xfId="17852"/>
    <cellStyle name="Percent 3 15 2 5 2" xfId="37735"/>
    <cellStyle name="Percent 3 15 2 6" xfId="25430"/>
    <cellStyle name="Percent 3 15 3" xfId="6246"/>
    <cellStyle name="Percent 3 15 3 2" xfId="9338"/>
    <cellStyle name="Percent 3 15 3 2 2" xfId="15531"/>
    <cellStyle name="Percent 3 15 3 2 2 2" xfId="35414"/>
    <cellStyle name="Percent 3 15 3 2 3" xfId="21683"/>
    <cellStyle name="Percent 3 15 3 2 3 2" xfId="41566"/>
    <cellStyle name="Percent 3 15 3 2 4" xfId="29261"/>
    <cellStyle name="Percent 3 15 3 3" xfId="12465"/>
    <cellStyle name="Percent 3 15 3 3 2" xfId="32348"/>
    <cellStyle name="Percent 3 15 3 4" xfId="18617"/>
    <cellStyle name="Percent 3 15 3 4 2" xfId="38500"/>
    <cellStyle name="Percent 3 15 3 5" xfId="26195"/>
    <cellStyle name="Percent 3 15 4" xfId="7803"/>
    <cellStyle name="Percent 3 15 4 2" xfId="13997"/>
    <cellStyle name="Percent 3 15 4 2 2" xfId="33880"/>
    <cellStyle name="Percent 3 15 4 3" xfId="20149"/>
    <cellStyle name="Percent 3 15 4 3 2" xfId="40032"/>
    <cellStyle name="Percent 3 15 4 4" xfId="27727"/>
    <cellStyle name="Percent 3 15 5" xfId="10931"/>
    <cellStyle name="Percent 3 15 5 2" xfId="30814"/>
    <cellStyle name="Percent 3 15 6" xfId="17083"/>
    <cellStyle name="Percent 3 15 6 2" xfId="36966"/>
    <cellStyle name="Percent 3 15 7" xfId="4355"/>
    <cellStyle name="Percent 3 15 7 2" xfId="24661"/>
    <cellStyle name="Percent 3 16" xfId="455"/>
    <cellStyle name="Percent 3 16 2" xfId="5397"/>
    <cellStyle name="Percent 3 16 2 2" xfId="7022"/>
    <cellStyle name="Percent 3 16 2 2 2" xfId="10108"/>
    <cellStyle name="Percent 3 16 2 2 2 2" xfId="16301"/>
    <cellStyle name="Percent 3 16 2 2 2 2 2" xfId="36184"/>
    <cellStyle name="Percent 3 16 2 2 2 3" xfId="22453"/>
    <cellStyle name="Percent 3 16 2 2 2 3 2" xfId="42336"/>
    <cellStyle name="Percent 3 16 2 2 2 4" xfId="30031"/>
    <cellStyle name="Percent 3 16 2 2 3" xfId="13235"/>
    <cellStyle name="Percent 3 16 2 2 3 2" xfId="33118"/>
    <cellStyle name="Percent 3 16 2 2 4" xfId="19387"/>
    <cellStyle name="Percent 3 16 2 2 4 2" xfId="39270"/>
    <cellStyle name="Percent 3 16 2 2 5" xfId="26965"/>
    <cellStyle name="Percent 3 16 2 3" xfId="8573"/>
    <cellStyle name="Percent 3 16 2 3 2" xfId="14767"/>
    <cellStyle name="Percent 3 16 2 3 2 2" xfId="34650"/>
    <cellStyle name="Percent 3 16 2 3 3" xfId="20919"/>
    <cellStyle name="Percent 3 16 2 3 3 2" xfId="40802"/>
    <cellStyle name="Percent 3 16 2 3 4" xfId="28497"/>
    <cellStyle name="Percent 3 16 2 4" xfId="11701"/>
    <cellStyle name="Percent 3 16 2 4 2" xfId="31584"/>
    <cellStyle name="Percent 3 16 2 5" xfId="17853"/>
    <cellStyle name="Percent 3 16 2 5 2" xfId="37736"/>
    <cellStyle name="Percent 3 16 2 6" xfId="25431"/>
    <cellStyle name="Percent 3 16 3" xfId="6247"/>
    <cellStyle name="Percent 3 16 3 2" xfId="9339"/>
    <cellStyle name="Percent 3 16 3 2 2" xfId="15532"/>
    <cellStyle name="Percent 3 16 3 2 2 2" xfId="35415"/>
    <cellStyle name="Percent 3 16 3 2 3" xfId="21684"/>
    <cellStyle name="Percent 3 16 3 2 3 2" xfId="41567"/>
    <cellStyle name="Percent 3 16 3 2 4" xfId="29262"/>
    <cellStyle name="Percent 3 16 3 3" xfId="12466"/>
    <cellStyle name="Percent 3 16 3 3 2" xfId="32349"/>
    <cellStyle name="Percent 3 16 3 4" xfId="18618"/>
    <cellStyle name="Percent 3 16 3 4 2" xfId="38501"/>
    <cellStyle name="Percent 3 16 3 5" xfId="26196"/>
    <cellStyle name="Percent 3 16 4" xfId="7804"/>
    <cellStyle name="Percent 3 16 4 2" xfId="13998"/>
    <cellStyle name="Percent 3 16 4 2 2" xfId="33881"/>
    <cellStyle name="Percent 3 16 4 3" xfId="20150"/>
    <cellStyle name="Percent 3 16 4 3 2" xfId="40033"/>
    <cellStyle name="Percent 3 16 4 4" xfId="27728"/>
    <cellStyle name="Percent 3 16 5" xfId="10932"/>
    <cellStyle name="Percent 3 16 5 2" xfId="30815"/>
    <cellStyle name="Percent 3 16 6" xfId="17084"/>
    <cellStyle name="Percent 3 16 6 2" xfId="36967"/>
    <cellStyle name="Percent 3 16 7" xfId="4356"/>
    <cellStyle name="Percent 3 16 7 2" xfId="24662"/>
    <cellStyle name="Percent 3 17" xfId="468"/>
    <cellStyle name="Percent 3 17 2" xfId="5398"/>
    <cellStyle name="Percent 3 17 2 2" xfId="7023"/>
    <cellStyle name="Percent 3 17 2 2 2" xfId="10109"/>
    <cellStyle name="Percent 3 17 2 2 2 2" xfId="16302"/>
    <cellStyle name="Percent 3 17 2 2 2 2 2" xfId="36185"/>
    <cellStyle name="Percent 3 17 2 2 2 3" xfId="22454"/>
    <cellStyle name="Percent 3 17 2 2 2 3 2" xfId="42337"/>
    <cellStyle name="Percent 3 17 2 2 2 4" xfId="30032"/>
    <cellStyle name="Percent 3 17 2 2 3" xfId="13236"/>
    <cellStyle name="Percent 3 17 2 2 3 2" xfId="33119"/>
    <cellStyle name="Percent 3 17 2 2 4" xfId="19388"/>
    <cellStyle name="Percent 3 17 2 2 4 2" xfId="39271"/>
    <cellStyle name="Percent 3 17 2 2 5" xfId="26966"/>
    <cellStyle name="Percent 3 17 2 3" xfId="8574"/>
    <cellStyle name="Percent 3 17 2 3 2" xfId="14768"/>
    <cellStyle name="Percent 3 17 2 3 2 2" xfId="34651"/>
    <cellStyle name="Percent 3 17 2 3 3" xfId="20920"/>
    <cellStyle name="Percent 3 17 2 3 3 2" xfId="40803"/>
    <cellStyle name="Percent 3 17 2 3 4" xfId="28498"/>
    <cellStyle name="Percent 3 17 2 4" xfId="11702"/>
    <cellStyle name="Percent 3 17 2 4 2" xfId="31585"/>
    <cellStyle name="Percent 3 17 2 5" xfId="17854"/>
    <cellStyle name="Percent 3 17 2 5 2" xfId="37737"/>
    <cellStyle name="Percent 3 17 2 6" xfId="25432"/>
    <cellStyle name="Percent 3 17 3" xfId="6248"/>
    <cellStyle name="Percent 3 17 3 2" xfId="9340"/>
    <cellStyle name="Percent 3 17 3 2 2" xfId="15533"/>
    <cellStyle name="Percent 3 17 3 2 2 2" xfId="35416"/>
    <cellStyle name="Percent 3 17 3 2 3" xfId="21685"/>
    <cellStyle name="Percent 3 17 3 2 3 2" xfId="41568"/>
    <cellStyle name="Percent 3 17 3 2 4" xfId="29263"/>
    <cellStyle name="Percent 3 17 3 3" xfId="12467"/>
    <cellStyle name="Percent 3 17 3 3 2" xfId="32350"/>
    <cellStyle name="Percent 3 17 3 4" xfId="18619"/>
    <cellStyle name="Percent 3 17 3 4 2" xfId="38502"/>
    <cellStyle name="Percent 3 17 3 5" xfId="26197"/>
    <cellStyle name="Percent 3 17 4" xfId="7805"/>
    <cellStyle name="Percent 3 17 4 2" xfId="13999"/>
    <cellStyle name="Percent 3 17 4 2 2" xfId="33882"/>
    <cellStyle name="Percent 3 17 4 3" xfId="20151"/>
    <cellStyle name="Percent 3 17 4 3 2" xfId="40034"/>
    <cellStyle name="Percent 3 17 4 4" xfId="27729"/>
    <cellStyle name="Percent 3 17 5" xfId="10933"/>
    <cellStyle name="Percent 3 17 5 2" xfId="30816"/>
    <cellStyle name="Percent 3 17 6" xfId="17085"/>
    <cellStyle name="Percent 3 17 6 2" xfId="36968"/>
    <cellStyle name="Percent 3 17 7" xfId="4357"/>
    <cellStyle name="Percent 3 17 7 2" xfId="24663"/>
    <cellStyle name="Percent 3 18" xfId="501"/>
    <cellStyle name="Percent 3 18 2" xfId="5399"/>
    <cellStyle name="Percent 3 18 2 2" xfId="7024"/>
    <cellStyle name="Percent 3 18 2 2 2" xfId="10110"/>
    <cellStyle name="Percent 3 18 2 2 2 2" xfId="16303"/>
    <cellStyle name="Percent 3 18 2 2 2 2 2" xfId="36186"/>
    <cellStyle name="Percent 3 18 2 2 2 3" xfId="22455"/>
    <cellStyle name="Percent 3 18 2 2 2 3 2" xfId="42338"/>
    <cellStyle name="Percent 3 18 2 2 2 4" xfId="30033"/>
    <cellStyle name="Percent 3 18 2 2 3" xfId="13237"/>
    <cellStyle name="Percent 3 18 2 2 3 2" xfId="33120"/>
    <cellStyle name="Percent 3 18 2 2 4" xfId="19389"/>
    <cellStyle name="Percent 3 18 2 2 4 2" xfId="39272"/>
    <cellStyle name="Percent 3 18 2 2 5" xfId="26967"/>
    <cellStyle name="Percent 3 18 2 3" xfId="8575"/>
    <cellStyle name="Percent 3 18 2 3 2" xfId="14769"/>
    <cellStyle name="Percent 3 18 2 3 2 2" xfId="34652"/>
    <cellStyle name="Percent 3 18 2 3 3" xfId="20921"/>
    <cellStyle name="Percent 3 18 2 3 3 2" xfId="40804"/>
    <cellStyle name="Percent 3 18 2 3 4" xfId="28499"/>
    <cellStyle name="Percent 3 18 2 4" xfId="11703"/>
    <cellStyle name="Percent 3 18 2 4 2" xfId="31586"/>
    <cellStyle name="Percent 3 18 2 5" xfId="17855"/>
    <cellStyle name="Percent 3 18 2 5 2" xfId="37738"/>
    <cellStyle name="Percent 3 18 2 6" xfId="25433"/>
    <cellStyle name="Percent 3 18 3" xfId="6249"/>
    <cellStyle name="Percent 3 18 3 2" xfId="9341"/>
    <cellStyle name="Percent 3 18 3 2 2" xfId="15534"/>
    <cellStyle name="Percent 3 18 3 2 2 2" xfId="35417"/>
    <cellStyle name="Percent 3 18 3 2 3" xfId="21686"/>
    <cellStyle name="Percent 3 18 3 2 3 2" xfId="41569"/>
    <cellStyle name="Percent 3 18 3 2 4" xfId="29264"/>
    <cellStyle name="Percent 3 18 3 3" xfId="12468"/>
    <cellStyle name="Percent 3 18 3 3 2" xfId="32351"/>
    <cellStyle name="Percent 3 18 3 4" xfId="18620"/>
    <cellStyle name="Percent 3 18 3 4 2" xfId="38503"/>
    <cellStyle name="Percent 3 18 3 5" xfId="26198"/>
    <cellStyle name="Percent 3 18 4" xfId="7806"/>
    <cellStyle name="Percent 3 18 4 2" xfId="14000"/>
    <cellStyle name="Percent 3 18 4 2 2" xfId="33883"/>
    <cellStyle name="Percent 3 18 4 3" xfId="20152"/>
    <cellStyle name="Percent 3 18 4 3 2" xfId="40035"/>
    <cellStyle name="Percent 3 18 4 4" xfId="27730"/>
    <cellStyle name="Percent 3 18 5" xfId="10934"/>
    <cellStyle name="Percent 3 18 5 2" xfId="30817"/>
    <cellStyle name="Percent 3 18 6" xfId="17086"/>
    <cellStyle name="Percent 3 18 6 2" xfId="36969"/>
    <cellStyle name="Percent 3 18 7" xfId="4358"/>
    <cellStyle name="Percent 3 18 7 2" xfId="24664"/>
    <cellStyle name="Percent 3 19" xfId="517"/>
    <cellStyle name="Percent 3 19 2" xfId="5400"/>
    <cellStyle name="Percent 3 19 2 2" xfId="7025"/>
    <cellStyle name="Percent 3 19 2 2 2" xfId="10111"/>
    <cellStyle name="Percent 3 19 2 2 2 2" xfId="16304"/>
    <cellStyle name="Percent 3 19 2 2 2 2 2" xfId="36187"/>
    <cellStyle name="Percent 3 19 2 2 2 3" xfId="22456"/>
    <cellStyle name="Percent 3 19 2 2 2 3 2" xfId="42339"/>
    <cellStyle name="Percent 3 19 2 2 2 4" xfId="30034"/>
    <cellStyle name="Percent 3 19 2 2 3" xfId="13238"/>
    <cellStyle name="Percent 3 19 2 2 3 2" xfId="33121"/>
    <cellStyle name="Percent 3 19 2 2 4" xfId="19390"/>
    <cellStyle name="Percent 3 19 2 2 4 2" xfId="39273"/>
    <cellStyle name="Percent 3 19 2 2 5" xfId="26968"/>
    <cellStyle name="Percent 3 19 2 3" xfId="8576"/>
    <cellStyle name="Percent 3 19 2 3 2" xfId="14770"/>
    <cellStyle name="Percent 3 19 2 3 2 2" xfId="34653"/>
    <cellStyle name="Percent 3 19 2 3 3" xfId="20922"/>
    <cellStyle name="Percent 3 19 2 3 3 2" xfId="40805"/>
    <cellStyle name="Percent 3 19 2 3 4" xfId="28500"/>
    <cellStyle name="Percent 3 19 2 4" xfId="11704"/>
    <cellStyle name="Percent 3 19 2 4 2" xfId="31587"/>
    <cellStyle name="Percent 3 19 2 5" xfId="17856"/>
    <cellStyle name="Percent 3 19 2 5 2" xfId="37739"/>
    <cellStyle name="Percent 3 19 2 6" xfId="25434"/>
    <cellStyle name="Percent 3 19 3" xfId="6250"/>
    <cellStyle name="Percent 3 19 3 2" xfId="9342"/>
    <cellStyle name="Percent 3 19 3 2 2" xfId="15535"/>
    <cellStyle name="Percent 3 19 3 2 2 2" xfId="35418"/>
    <cellStyle name="Percent 3 19 3 2 3" xfId="21687"/>
    <cellStyle name="Percent 3 19 3 2 3 2" xfId="41570"/>
    <cellStyle name="Percent 3 19 3 2 4" xfId="29265"/>
    <cellStyle name="Percent 3 19 3 3" xfId="12469"/>
    <cellStyle name="Percent 3 19 3 3 2" xfId="32352"/>
    <cellStyle name="Percent 3 19 3 4" xfId="18621"/>
    <cellStyle name="Percent 3 19 3 4 2" xfId="38504"/>
    <cellStyle name="Percent 3 19 3 5" xfId="26199"/>
    <cellStyle name="Percent 3 19 4" xfId="7807"/>
    <cellStyle name="Percent 3 19 4 2" xfId="14001"/>
    <cellStyle name="Percent 3 19 4 2 2" xfId="33884"/>
    <cellStyle name="Percent 3 19 4 3" xfId="20153"/>
    <cellStyle name="Percent 3 19 4 3 2" xfId="40036"/>
    <cellStyle name="Percent 3 19 4 4" xfId="27731"/>
    <cellStyle name="Percent 3 19 5" xfId="10935"/>
    <cellStyle name="Percent 3 19 5 2" xfId="30818"/>
    <cellStyle name="Percent 3 19 6" xfId="17087"/>
    <cellStyle name="Percent 3 19 6 2" xfId="36970"/>
    <cellStyle name="Percent 3 19 7" xfId="4359"/>
    <cellStyle name="Percent 3 19 7 2" xfId="24665"/>
    <cellStyle name="Percent 3 2" xfId="61"/>
    <cellStyle name="Percent 3 2 10" xfId="4361"/>
    <cellStyle name="Percent 3 2 10 2" xfId="5402"/>
    <cellStyle name="Percent 3 2 10 2 2" xfId="7027"/>
    <cellStyle name="Percent 3 2 10 2 2 2" xfId="10113"/>
    <cellStyle name="Percent 3 2 10 2 2 2 2" xfId="16306"/>
    <cellStyle name="Percent 3 2 10 2 2 2 2 2" xfId="36189"/>
    <cellStyle name="Percent 3 2 10 2 2 2 3" xfId="22458"/>
    <cellStyle name="Percent 3 2 10 2 2 2 3 2" xfId="42341"/>
    <cellStyle name="Percent 3 2 10 2 2 2 4" xfId="30036"/>
    <cellStyle name="Percent 3 2 10 2 2 3" xfId="13240"/>
    <cellStyle name="Percent 3 2 10 2 2 3 2" xfId="33123"/>
    <cellStyle name="Percent 3 2 10 2 2 4" xfId="19392"/>
    <cellStyle name="Percent 3 2 10 2 2 4 2" xfId="39275"/>
    <cellStyle name="Percent 3 2 10 2 2 5" xfId="26970"/>
    <cellStyle name="Percent 3 2 10 2 3" xfId="8578"/>
    <cellStyle name="Percent 3 2 10 2 3 2" xfId="14772"/>
    <cellStyle name="Percent 3 2 10 2 3 2 2" xfId="34655"/>
    <cellStyle name="Percent 3 2 10 2 3 3" xfId="20924"/>
    <cellStyle name="Percent 3 2 10 2 3 3 2" xfId="40807"/>
    <cellStyle name="Percent 3 2 10 2 3 4" xfId="28502"/>
    <cellStyle name="Percent 3 2 10 2 4" xfId="11706"/>
    <cellStyle name="Percent 3 2 10 2 4 2" xfId="31589"/>
    <cellStyle name="Percent 3 2 10 2 5" xfId="17858"/>
    <cellStyle name="Percent 3 2 10 2 5 2" xfId="37741"/>
    <cellStyle name="Percent 3 2 10 2 6" xfId="25436"/>
    <cellStyle name="Percent 3 2 10 3" xfId="6252"/>
    <cellStyle name="Percent 3 2 10 3 2" xfId="9344"/>
    <cellStyle name="Percent 3 2 10 3 2 2" xfId="15537"/>
    <cellStyle name="Percent 3 2 10 3 2 2 2" xfId="35420"/>
    <cellStyle name="Percent 3 2 10 3 2 3" xfId="21689"/>
    <cellStyle name="Percent 3 2 10 3 2 3 2" xfId="41572"/>
    <cellStyle name="Percent 3 2 10 3 2 4" xfId="29267"/>
    <cellStyle name="Percent 3 2 10 3 3" xfId="12471"/>
    <cellStyle name="Percent 3 2 10 3 3 2" xfId="32354"/>
    <cellStyle name="Percent 3 2 10 3 4" xfId="18623"/>
    <cellStyle name="Percent 3 2 10 3 4 2" xfId="38506"/>
    <cellStyle name="Percent 3 2 10 3 5" xfId="26201"/>
    <cellStyle name="Percent 3 2 10 4" xfId="7809"/>
    <cellStyle name="Percent 3 2 10 4 2" xfId="14003"/>
    <cellStyle name="Percent 3 2 10 4 2 2" xfId="33886"/>
    <cellStyle name="Percent 3 2 10 4 3" xfId="20155"/>
    <cellStyle name="Percent 3 2 10 4 3 2" xfId="40038"/>
    <cellStyle name="Percent 3 2 10 4 4" xfId="27733"/>
    <cellStyle name="Percent 3 2 10 5" xfId="10937"/>
    <cellStyle name="Percent 3 2 10 5 2" xfId="30820"/>
    <cellStyle name="Percent 3 2 10 6" xfId="17089"/>
    <cellStyle name="Percent 3 2 10 6 2" xfId="36972"/>
    <cellStyle name="Percent 3 2 10 7" xfId="24667"/>
    <cellStyle name="Percent 3 2 11" xfId="4362"/>
    <cellStyle name="Percent 3 2 11 2" xfId="5403"/>
    <cellStyle name="Percent 3 2 11 2 2" xfId="7028"/>
    <cellStyle name="Percent 3 2 11 2 2 2" xfId="10114"/>
    <cellStyle name="Percent 3 2 11 2 2 2 2" xfId="16307"/>
    <cellStyle name="Percent 3 2 11 2 2 2 2 2" xfId="36190"/>
    <cellStyle name="Percent 3 2 11 2 2 2 3" xfId="22459"/>
    <cellStyle name="Percent 3 2 11 2 2 2 3 2" xfId="42342"/>
    <cellStyle name="Percent 3 2 11 2 2 2 4" xfId="30037"/>
    <cellStyle name="Percent 3 2 11 2 2 3" xfId="13241"/>
    <cellStyle name="Percent 3 2 11 2 2 3 2" xfId="33124"/>
    <cellStyle name="Percent 3 2 11 2 2 4" xfId="19393"/>
    <cellStyle name="Percent 3 2 11 2 2 4 2" xfId="39276"/>
    <cellStyle name="Percent 3 2 11 2 2 5" xfId="26971"/>
    <cellStyle name="Percent 3 2 11 2 3" xfId="8579"/>
    <cellStyle name="Percent 3 2 11 2 3 2" xfId="14773"/>
    <cellStyle name="Percent 3 2 11 2 3 2 2" xfId="34656"/>
    <cellStyle name="Percent 3 2 11 2 3 3" xfId="20925"/>
    <cellStyle name="Percent 3 2 11 2 3 3 2" xfId="40808"/>
    <cellStyle name="Percent 3 2 11 2 3 4" xfId="28503"/>
    <cellStyle name="Percent 3 2 11 2 4" xfId="11707"/>
    <cellStyle name="Percent 3 2 11 2 4 2" xfId="31590"/>
    <cellStyle name="Percent 3 2 11 2 5" xfId="17859"/>
    <cellStyle name="Percent 3 2 11 2 5 2" xfId="37742"/>
    <cellStyle name="Percent 3 2 11 2 6" xfId="25437"/>
    <cellStyle name="Percent 3 2 11 3" xfId="6253"/>
    <cellStyle name="Percent 3 2 11 3 2" xfId="9345"/>
    <cellStyle name="Percent 3 2 11 3 2 2" xfId="15538"/>
    <cellStyle name="Percent 3 2 11 3 2 2 2" xfId="35421"/>
    <cellStyle name="Percent 3 2 11 3 2 3" xfId="21690"/>
    <cellStyle name="Percent 3 2 11 3 2 3 2" xfId="41573"/>
    <cellStyle name="Percent 3 2 11 3 2 4" xfId="29268"/>
    <cellStyle name="Percent 3 2 11 3 3" xfId="12472"/>
    <cellStyle name="Percent 3 2 11 3 3 2" xfId="32355"/>
    <cellStyle name="Percent 3 2 11 3 4" xfId="18624"/>
    <cellStyle name="Percent 3 2 11 3 4 2" xfId="38507"/>
    <cellStyle name="Percent 3 2 11 3 5" xfId="26202"/>
    <cellStyle name="Percent 3 2 11 4" xfId="7810"/>
    <cellStyle name="Percent 3 2 11 4 2" xfId="14004"/>
    <cellStyle name="Percent 3 2 11 4 2 2" xfId="33887"/>
    <cellStyle name="Percent 3 2 11 4 3" xfId="20156"/>
    <cellStyle name="Percent 3 2 11 4 3 2" xfId="40039"/>
    <cellStyle name="Percent 3 2 11 4 4" xfId="27734"/>
    <cellStyle name="Percent 3 2 11 5" xfId="10938"/>
    <cellStyle name="Percent 3 2 11 5 2" xfId="30821"/>
    <cellStyle name="Percent 3 2 11 6" xfId="17090"/>
    <cellStyle name="Percent 3 2 11 6 2" xfId="36973"/>
    <cellStyle name="Percent 3 2 11 7" xfId="24668"/>
    <cellStyle name="Percent 3 2 12" xfId="4363"/>
    <cellStyle name="Percent 3 2 12 2" xfId="5404"/>
    <cellStyle name="Percent 3 2 12 2 2" xfId="7029"/>
    <cellStyle name="Percent 3 2 12 2 2 2" xfId="10115"/>
    <cellStyle name="Percent 3 2 12 2 2 2 2" xfId="16308"/>
    <cellStyle name="Percent 3 2 12 2 2 2 2 2" xfId="36191"/>
    <cellStyle name="Percent 3 2 12 2 2 2 3" xfId="22460"/>
    <cellStyle name="Percent 3 2 12 2 2 2 3 2" xfId="42343"/>
    <cellStyle name="Percent 3 2 12 2 2 2 4" xfId="30038"/>
    <cellStyle name="Percent 3 2 12 2 2 3" xfId="13242"/>
    <cellStyle name="Percent 3 2 12 2 2 3 2" xfId="33125"/>
    <cellStyle name="Percent 3 2 12 2 2 4" xfId="19394"/>
    <cellStyle name="Percent 3 2 12 2 2 4 2" xfId="39277"/>
    <cellStyle name="Percent 3 2 12 2 2 5" xfId="26972"/>
    <cellStyle name="Percent 3 2 12 2 3" xfId="8580"/>
    <cellStyle name="Percent 3 2 12 2 3 2" xfId="14774"/>
    <cellStyle name="Percent 3 2 12 2 3 2 2" xfId="34657"/>
    <cellStyle name="Percent 3 2 12 2 3 3" xfId="20926"/>
    <cellStyle name="Percent 3 2 12 2 3 3 2" xfId="40809"/>
    <cellStyle name="Percent 3 2 12 2 3 4" xfId="28504"/>
    <cellStyle name="Percent 3 2 12 2 4" xfId="11708"/>
    <cellStyle name="Percent 3 2 12 2 4 2" xfId="31591"/>
    <cellStyle name="Percent 3 2 12 2 5" xfId="17860"/>
    <cellStyle name="Percent 3 2 12 2 5 2" xfId="37743"/>
    <cellStyle name="Percent 3 2 12 2 6" xfId="25438"/>
    <cellStyle name="Percent 3 2 12 3" xfId="6254"/>
    <cellStyle name="Percent 3 2 12 3 2" xfId="9346"/>
    <cellStyle name="Percent 3 2 12 3 2 2" xfId="15539"/>
    <cellStyle name="Percent 3 2 12 3 2 2 2" xfId="35422"/>
    <cellStyle name="Percent 3 2 12 3 2 3" xfId="21691"/>
    <cellStyle name="Percent 3 2 12 3 2 3 2" xfId="41574"/>
    <cellStyle name="Percent 3 2 12 3 2 4" xfId="29269"/>
    <cellStyle name="Percent 3 2 12 3 3" xfId="12473"/>
    <cellStyle name="Percent 3 2 12 3 3 2" xfId="32356"/>
    <cellStyle name="Percent 3 2 12 3 4" xfId="18625"/>
    <cellStyle name="Percent 3 2 12 3 4 2" xfId="38508"/>
    <cellStyle name="Percent 3 2 12 3 5" xfId="26203"/>
    <cellStyle name="Percent 3 2 12 4" xfId="7811"/>
    <cellStyle name="Percent 3 2 12 4 2" xfId="14005"/>
    <cellStyle name="Percent 3 2 12 4 2 2" xfId="33888"/>
    <cellStyle name="Percent 3 2 12 4 3" xfId="20157"/>
    <cellStyle name="Percent 3 2 12 4 3 2" xfId="40040"/>
    <cellStyle name="Percent 3 2 12 4 4" xfId="27735"/>
    <cellStyle name="Percent 3 2 12 5" xfId="10939"/>
    <cellStyle name="Percent 3 2 12 5 2" xfId="30822"/>
    <cellStyle name="Percent 3 2 12 6" xfId="17091"/>
    <cellStyle name="Percent 3 2 12 6 2" xfId="36974"/>
    <cellStyle name="Percent 3 2 12 7" xfId="24669"/>
    <cellStyle name="Percent 3 2 13" xfId="4364"/>
    <cellStyle name="Percent 3 2 13 2" xfId="5405"/>
    <cellStyle name="Percent 3 2 13 2 2" xfId="7030"/>
    <cellStyle name="Percent 3 2 13 2 2 2" xfId="10116"/>
    <cellStyle name="Percent 3 2 13 2 2 2 2" xfId="16309"/>
    <cellStyle name="Percent 3 2 13 2 2 2 2 2" xfId="36192"/>
    <cellStyle name="Percent 3 2 13 2 2 2 3" xfId="22461"/>
    <cellStyle name="Percent 3 2 13 2 2 2 3 2" xfId="42344"/>
    <cellStyle name="Percent 3 2 13 2 2 2 4" xfId="30039"/>
    <cellStyle name="Percent 3 2 13 2 2 3" xfId="13243"/>
    <cellStyle name="Percent 3 2 13 2 2 3 2" xfId="33126"/>
    <cellStyle name="Percent 3 2 13 2 2 4" xfId="19395"/>
    <cellStyle name="Percent 3 2 13 2 2 4 2" xfId="39278"/>
    <cellStyle name="Percent 3 2 13 2 2 5" xfId="26973"/>
    <cellStyle name="Percent 3 2 13 2 3" xfId="8581"/>
    <cellStyle name="Percent 3 2 13 2 3 2" xfId="14775"/>
    <cellStyle name="Percent 3 2 13 2 3 2 2" xfId="34658"/>
    <cellStyle name="Percent 3 2 13 2 3 3" xfId="20927"/>
    <cellStyle name="Percent 3 2 13 2 3 3 2" xfId="40810"/>
    <cellStyle name="Percent 3 2 13 2 3 4" xfId="28505"/>
    <cellStyle name="Percent 3 2 13 2 4" xfId="11709"/>
    <cellStyle name="Percent 3 2 13 2 4 2" xfId="31592"/>
    <cellStyle name="Percent 3 2 13 2 5" xfId="17861"/>
    <cellStyle name="Percent 3 2 13 2 5 2" xfId="37744"/>
    <cellStyle name="Percent 3 2 13 2 6" xfId="25439"/>
    <cellStyle name="Percent 3 2 13 3" xfId="6255"/>
    <cellStyle name="Percent 3 2 13 3 2" xfId="9347"/>
    <cellStyle name="Percent 3 2 13 3 2 2" xfId="15540"/>
    <cellStyle name="Percent 3 2 13 3 2 2 2" xfId="35423"/>
    <cellStyle name="Percent 3 2 13 3 2 3" xfId="21692"/>
    <cellStyle name="Percent 3 2 13 3 2 3 2" xfId="41575"/>
    <cellStyle name="Percent 3 2 13 3 2 4" xfId="29270"/>
    <cellStyle name="Percent 3 2 13 3 3" xfId="12474"/>
    <cellStyle name="Percent 3 2 13 3 3 2" xfId="32357"/>
    <cellStyle name="Percent 3 2 13 3 4" xfId="18626"/>
    <cellStyle name="Percent 3 2 13 3 4 2" xfId="38509"/>
    <cellStyle name="Percent 3 2 13 3 5" xfId="26204"/>
    <cellStyle name="Percent 3 2 13 4" xfId="7812"/>
    <cellStyle name="Percent 3 2 13 4 2" xfId="14006"/>
    <cellStyle name="Percent 3 2 13 4 2 2" xfId="33889"/>
    <cellStyle name="Percent 3 2 13 4 3" xfId="20158"/>
    <cellStyle name="Percent 3 2 13 4 3 2" xfId="40041"/>
    <cellStyle name="Percent 3 2 13 4 4" xfId="27736"/>
    <cellStyle name="Percent 3 2 13 5" xfId="10940"/>
    <cellStyle name="Percent 3 2 13 5 2" xfId="30823"/>
    <cellStyle name="Percent 3 2 13 6" xfId="17092"/>
    <cellStyle name="Percent 3 2 13 6 2" xfId="36975"/>
    <cellStyle name="Percent 3 2 13 7" xfId="24670"/>
    <cellStyle name="Percent 3 2 14" xfId="4365"/>
    <cellStyle name="Percent 3 2 14 2" xfId="5406"/>
    <cellStyle name="Percent 3 2 14 2 2" xfId="7031"/>
    <cellStyle name="Percent 3 2 14 2 2 2" xfId="10117"/>
    <cellStyle name="Percent 3 2 14 2 2 2 2" xfId="16310"/>
    <cellStyle name="Percent 3 2 14 2 2 2 2 2" xfId="36193"/>
    <cellStyle name="Percent 3 2 14 2 2 2 3" xfId="22462"/>
    <cellStyle name="Percent 3 2 14 2 2 2 3 2" xfId="42345"/>
    <cellStyle name="Percent 3 2 14 2 2 2 4" xfId="30040"/>
    <cellStyle name="Percent 3 2 14 2 2 3" xfId="13244"/>
    <cellStyle name="Percent 3 2 14 2 2 3 2" xfId="33127"/>
    <cellStyle name="Percent 3 2 14 2 2 4" xfId="19396"/>
    <cellStyle name="Percent 3 2 14 2 2 4 2" xfId="39279"/>
    <cellStyle name="Percent 3 2 14 2 2 5" xfId="26974"/>
    <cellStyle name="Percent 3 2 14 2 3" xfId="8582"/>
    <cellStyle name="Percent 3 2 14 2 3 2" xfId="14776"/>
    <cellStyle name="Percent 3 2 14 2 3 2 2" xfId="34659"/>
    <cellStyle name="Percent 3 2 14 2 3 3" xfId="20928"/>
    <cellStyle name="Percent 3 2 14 2 3 3 2" xfId="40811"/>
    <cellStyle name="Percent 3 2 14 2 3 4" xfId="28506"/>
    <cellStyle name="Percent 3 2 14 2 4" xfId="11710"/>
    <cellStyle name="Percent 3 2 14 2 4 2" xfId="31593"/>
    <cellStyle name="Percent 3 2 14 2 5" xfId="17862"/>
    <cellStyle name="Percent 3 2 14 2 5 2" xfId="37745"/>
    <cellStyle name="Percent 3 2 14 2 6" xfId="25440"/>
    <cellStyle name="Percent 3 2 14 3" xfId="6256"/>
    <cellStyle name="Percent 3 2 14 3 2" xfId="9348"/>
    <cellStyle name="Percent 3 2 14 3 2 2" xfId="15541"/>
    <cellStyle name="Percent 3 2 14 3 2 2 2" xfId="35424"/>
    <cellStyle name="Percent 3 2 14 3 2 3" xfId="21693"/>
    <cellStyle name="Percent 3 2 14 3 2 3 2" xfId="41576"/>
    <cellStyle name="Percent 3 2 14 3 2 4" xfId="29271"/>
    <cellStyle name="Percent 3 2 14 3 3" xfId="12475"/>
    <cellStyle name="Percent 3 2 14 3 3 2" xfId="32358"/>
    <cellStyle name="Percent 3 2 14 3 4" xfId="18627"/>
    <cellStyle name="Percent 3 2 14 3 4 2" xfId="38510"/>
    <cellStyle name="Percent 3 2 14 3 5" xfId="26205"/>
    <cellStyle name="Percent 3 2 14 4" xfId="7813"/>
    <cellStyle name="Percent 3 2 14 4 2" xfId="14007"/>
    <cellStyle name="Percent 3 2 14 4 2 2" xfId="33890"/>
    <cellStyle name="Percent 3 2 14 4 3" xfId="20159"/>
    <cellStyle name="Percent 3 2 14 4 3 2" xfId="40042"/>
    <cellStyle name="Percent 3 2 14 4 4" xfId="27737"/>
    <cellStyle name="Percent 3 2 14 5" xfId="10941"/>
    <cellStyle name="Percent 3 2 14 5 2" xfId="30824"/>
    <cellStyle name="Percent 3 2 14 6" xfId="17093"/>
    <cellStyle name="Percent 3 2 14 6 2" xfId="36976"/>
    <cellStyle name="Percent 3 2 14 7" xfId="24671"/>
    <cellStyle name="Percent 3 2 15" xfId="4366"/>
    <cellStyle name="Percent 3 2 15 2" xfId="5407"/>
    <cellStyle name="Percent 3 2 15 2 2" xfId="7032"/>
    <cellStyle name="Percent 3 2 15 2 2 2" xfId="10118"/>
    <cellStyle name="Percent 3 2 15 2 2 2 2" xfId="16311"/>
    <cellStyle name="Percent 3 2 15 2 2 2 2 2" xfId="36194"/>
    <cellStyle name="Percent 3 2 15 2 2 2 3" xfId="22463"/>
    <cellStyle name="Percent 3 2 15 2 2 2 3 2" xfId="42346"/>
    <cellStyle name="Percent 3 2 15 2 2 2 4" xfId="30041"/>
    <cellStyle name="Percent 3 2 15 2 2 3" xfId="13245"/>
    <cellStyle name="Percent 3 2 15 2 2 3 2" xfId="33128"/>
    <cellStyle name="Percent 3 2 15 2 2 4" xfId="19397"/>
    <cellStyle name="Percent 3 2 15 2 2 4 2" xfId="39280"/>
    <cellStyle name="Percent 3 2 15 2 2 5" xfId="26975"/>
    <cellStyle name="Percent 3 2 15 2 3" xfId="8583"/>
    <cellStyle name="Percent 3 2 15 2 3 2" xfId="14777"/>
    <cellStyle name="Percent 3 2 15 2 3 2 2" xfId="34660"/>
    <cellStyle name="Percent 3 2 15 2 3 3" xfId="20929"/>
    <cellStyle name="Percent 3 2 15 2 3 3 2" xfId="40812"/>
    <cellStyle name="Percent 3 2 15 2 3 4" xfId="28507"/>
    <cellStyle name="Percent 3 2 15 2 4" xfId="11711"/>
    <cellStyle name="Percent 3 2 15 2 4 2" xfId="31594"/>
    <cellStyle name="Percent 3 2 15 2 5" xfId="17863"/>
    <cellStyle name="Percent 3 2 15 2 5 2" xfId="37746"/>
    <cellStyle name="Percent 3 2 15 2 6" xfId="25441"/>
    <cellStyle name="Percent 3 2 15 3" xfId="6257"/>
    <cellStyle name="Percent 3 2 15 3 2" xfId="9349"/>
    <cellStyle name="Percent 3 2 15 3 2 2" xfId="15542"/>
    <cellStyle name="Percent 3 2 15 3 2 2 2" xfId="35425"/>
    <cellStyle name="Percent 3 2 15 3 2 3" xfId="21694"/>
    <cellStyle name="Percent 3 2 15 3 2 3 2" xfId="41577"/>
    <cellStyle name="Percent 3 2 15 3 2 4" xfId="29272"/>
    <cellStyle name="Percent 3 2 15 3 3" xfId="12476"/>
    <cellStyle name="Percent 3 2 15 3 3 2" xfId="32359"/>
    <cellStyle name="Percent 3 2 15 3 4" xfId="18628"/>
    <cellStyle name="Percent 3 2 15 3 4 2" xfId="38511"/>
    <cellStyle name="Percent 3 2 15 3 5" xfId="26206"/>
    <cellStyle name="Percent 3 2 15 4" xfId="7814"/>
    <cellStyle name="Percent 3 2 15 4 2" xfId="14008"/>
    <cellStyle name="Percent 3 2 15 4 2 2" xfId="33891"/>
    <cellStyle name="Percent 3 2 15 4 3" xfId="20160"/>
    <cellStyle name="Percent 3 2 15 4 3 2" xfId="40043"/>
    <cellStyle name="Percent 3 2 15 4 4" xfId="27738"/>
    <cellStyle name="Percent 3 2 15 5" xfId="10942"/>
    <cellStyle name="Percent 3 2 15 5 2" xfId="30825"/>
    <cellStyle name="Percent 3 2 15 6" xfId="17094"/>
    <cellStyle name="Percent 3 2 15 6 2" xfId="36977"/>
    <cellStyle name="Percent 3 2 15 7" xfId="24672"/>
    <cellStyle name="Percent 3 2 16" xfId="4367"/>
    <cellStyle name="Percent 3 2 16 2" xfId="5408"/>
    <cellStyle name="Percent 3 2 16 2 2" xfId="7033"/>
    <cellStyle name="Percent 3 2 16 2 2 2" xfId="10119"/>
    <cellStyle name="Percent 3 2 16 2 2 2 2" xfId="16312"/>
    <cellStyle name="Percent 3 2 16 2 2 2 2 2" xfId="36195"/>
    <cellStyle name="Percent 3 2 16 2 2 2 3" xfId="22464"/>
    <cellStyle name="Percent 3 2 16 2 2 2 3 2" xfId="42347"/>
    <cellStyle name="Percent 3 2 16 2 2 2 4" xfId="30042"/>
    <cellStyle name="Percent 3 2 16 2 2 3" xfId="13246"/>
    <cellStyle name="Percent 3 2 16 2 2 3 2" xfId="33129"/>
    <cellStyle name="Percent 3 2 16 2 2 4" xfId="19398"/>
    <cellStyle name="Percent 3 2 16 2 2 4 2" xfId="39281"/>
    <cellStyle name="Percent 3 2 16 2 2 5" xfId="26976"/>
    <cellStyle name="Percent 3 2 16 2 3" xfId="8584"/>
    <cellStyle name="Percent 3 2 16 2 3 2" xfId="14778"/>
    <cellStyle name="Percent 3 2 16 2 3 2 2" xfId="34661"/>
    <cellStyle name="Percent 3 2 16 2 3 3" xfId="20930"/>
    <cellStyle name="Percent 3 2 16 2 3 3 2" xfId="40813"/>
    <cellStyle name="Percent 3 2 16 2 3 4" xfId="28508"/>
    <cellStyle name="Percent 3 2 16 2 4" xfId="11712"/>
    <cellStyle name="Percent 3 2 16 2 4 2" xfId="31595"/>
    <cellStyle name="Percent 3 2 16 2 5" xfId="17864"/>
    <cellStyle name="Percent 3 2 16 2 5 2" xfId="37747"/>
    <cellStyle name="Percent 3 2 16 2 6" xfId="25442"/>
    <cellStyle name="Percent 3 2 16 3" xfId="6258"/>
    <cellStyle name="Percent 3 2 16 3 2" xfId="9350"/>
    <cellStyle name="Percent 3 2 16 3 2 2" xfId="15543"/>
    <cellStyle name="Percent 3 2 16 3 2 2 2" xfId="35426"/>
    <cellStyle name="Percent 3 2 16 3 2 3" xfId="21695"/>
    <cellStyle name="Percent 3 2 16 3 2 3 2" xfId="41578"/>
    <cellStyle name="Percent 3 2 16 3 2 4" xfId="29273"/>
    <cellStyle name="Percent 3 2 16 3 3" xfId="12477"/>
    <cellStyle name="Percent 3 2 16 3 3 2" xfId="32360"/>
    <cellStyle name="Percent 3 2 16 3 4" xfId="18629"/>
    <cellStyle name="Percent 3 2 16 3 4 2" xfId="38512"/>
    <cellStyle name="Percent 3 2 16 3 5" xfId="26207"/>
    <cellStyle name="Percent 3 2 16 4" xfId="7815"/>
    <cellStyle name="Percent 3 2 16 4 2" xfId="14009"/>
    <cellStyle name="Percent 3 2 16 4 2 2" xfId="33892"/>
    <cellStyle name="Percent 3 2 16 4 3" xfId="20161"/>
    <cellStyle name="Percent 3 2 16 4 3 2" xfId="40044"/>
    <cellStyle name="Percent 3 2 16 4 4" xfId="27739"/>
    <cellStyle name="Percent 3 2 16 5" xfId="10943"/>
    <cellStyle name="Percent 3 2 16 5 2" xfId="30826"/>
    <cellStyle name="Percent 3 2 16 6" xfId="17095"/>
    <cellStyle name="Percent 3 2 16 6 2" xfId="36978"/>
    <cellStyle name="Percent 3 2 16 7" xfId="24673"/>
    <cellStyle name="Percent 3 2 17" xfId="4368"/>
    <cellStyle name="Percent 3 2 17 2" xfId="5409"/>
    <cellStyle name="Percent 3 2 17 2 2" xfId="7034"/>
    <cellStyle name="Percent 3 2 17 2 2 2" xfId="10120"/>
    <cellStyle name="Percent 3 2 17 2 2 2 2" xfId="16313"/>
    <cellStyle name="Percent 3 2 17 2 2 2 2 2" xfId="36196"/>
    <cellStyle name="Percent 3 2 17 2 2 2 3" xfId="22465"/>
    <cellStyle name="Percent 3 2 17 2 2 2 3 2" xfId="42348"/>
    <cellStyle name="Percent 3 2 17 2 2 2 4" xfId="30043"/>
    <cellStyle name="Percent 3 2 17 2 2 3" xfId="13247"/>
    <cellStyle name="Percent 3 2 17 2 2 3 2" xfId="33130"/>
    <cellStyle name="Percent 3 2 17 2 2 4" xfId="19399"/>
    <cellStyle name="Percent 3 2 17 2 2 4 2" xfId="39282"/>
    <cellStyle name="Percent 3 2 17 2 2 5" xfId="26977"/>
    <cellStyle name="Percent 3 2 17 2 3" xfId="8585"/>
    <cellStyle name="Percent 3 2 17 2 3 2" xfId="14779"/>
    <cellStyle name="Percent 3 2 17 2 3 2 2" xfId="34662"/>
    <cellStyle name="Percent 3 2 17 2 3 3" xfId="20931"/>
    <cellStyle name="Percent 3 2 17 2 3 3 2" xfId="40814"/>
    <cellStyle name="Percent 3 2 17 2 3 4" xfId="28509"/>
    <cellStyle name="Percent 3 2 17 2 4" xfId="11713"/>
    <cellStyle name="Percent 3 2 17 2 4 2" xfId="31596"/>
    <cellStyle name="Percent 3 2 17 2 5" xfId="17865"/>
    <cellStyle name="Percent 3 2 17 2 5 2" xfId="37748"/>
    <cellStyle name="Percent 3 2 17 2 6" xfId="25443"/>
    <cellStyle name="Percent 3 2 17 3" xfId="6259"/>
    <cellStyle name="Percent 3 2 17 3 2" xfId="9351"/>
    <cellStyle name="Percent 3 2 17 3 2 2" xfId="15544"/>
    <cellStyle name="Percent 3 2 17 3 2 2 2" xfId="35427"/>
    <cellStyle name="Percent 3 2 17 3 2 3" xfId="21696"/>
    <cellStyle name="Percent 3 2 17 3 2 3 2" xfId="41579"/>
    <cellStyle name="Percent 3 2 17 3 2 4" xfId="29274"/>
    <cellStyle name="Percent 3 2 17 3 3" xfId="12478"/>
    <cellStyle name="Percent 3 2 17 3 3 2" xfId="32361"/>
    <cellStyle name="Percent 3 2 17 3 4" xfId="18630"/>
    <cellStyle name="Percent 3 2 17 3 4 2" xfId="38513"/>
    <cellStyle name="Percent 3 2 17 3 5" xfId="26208"/>
    <cellStyle name="Percent 3 2 17 4" xfId="7816"/>
    <cellStyle name="Percent 3 2 17 4 2" xfId="14010"/>
    <cellStyle name="Percent 3 2 17 4 2 2" xfId="33893"/>
    <cellStyle name="Percent 3 2 17 4 3" xfId="20162"/>
    <cellStyle name="Percent 3 2 17 4 3 2" xfId="40045"/>
    <cellStyle name="Percent 3 2 17 4 4" xfId="27740"/>
    <cellStyle name="Percent 3 2 17 5" xfId="10944"/>
    <cellStyle name="Percent 3 2 17 5 2" xfId="30827"/>
    <cellStyle name="Percent 3 2 17 6" xfId="17096"/>
    <cellStyle name="Percent 3 2 17 6 2" xfId="36979"/>
    <cellStyle name="Percent 3 2 17 7" xfId="24674"/>
    <cellStyle name="Percent 3 2 18" xfId="4369"/>
    <cellStyle name="Percent 3 2 18 2" xfId="5410"/>
    <cellStyle name="Percent 3 2 18 2 2" xfId="7035"/>
    <cellStyle name="Percent 3 2 18 2 2 2" xfId="10121"/>
    <cellStyle name="Percent 3 2 18 2 2 2 2" xfId="16314"/>
    <cellStyle name="Percent 3 2 18 2 2 2 2 2" xfId="36197"/>
    <cellStyle name="Percent 3 2 18 2 2 2 3" xfId="22466"/>
    <cellStyle name="Percent 3 2 18 2 2 2 3 2" xfId="42349"/>
    <cellStyle name="Percent 3 2 18 2 2 2 4" xfId="30044"/>
    <cellStyle name="Percent 3 2 18 2 2 3" xfId="13248"/>
    <cellStyle name="Percent 3 2 18 2 2 3 2" xfId="33131"/>
    <cellStyle name="Percent 3 2 18 2 2 4" xfId="19400"/>
    <cellStyle name="Percent 3 2 18 2 2 4 2" xfId="39283"/>
    <cellStyle name="Percent 3 2 18 2 2 5" xfId="26978"/>
    <cellStyle name="Percent 3 2 18 2 3" xfId="8586"/>
    <cellStyle name="Percent 3 2 18 2 3 2" xfId="14780"/>
    <cellStyle name="Percent 3 2 18 2 3 2 2" xfId="34663"/>
    <cellStyle name="Percent 3 2 18 2 3 3" xfId="20932"/>
    <cellStyle name="Percent 3 2 18 2 3 3 2" xfId="40815"/>
    <cellStyle name="Percent 3 2 18 2 3 4" xfId="28510"/>
    <cellStyle name="Percent 3 2 18 2 4" xfId="11714"/>
    <cellStyle name="Percent 3 2 18 2 4 2" xfId="31597"/>
    <cellStyle name="Percent 3 2 18 2 5" xfId="17866"/>
    <cellStyle name="Percent 3 2 18 2 5 2" xfId="37749"/>
    <cellStyle name="Percent 3 2 18 2 6" xfId="25444"/>
    <cellStyle name="Percent 3 2 18 3" xfId="6260"/>
    <cellStyle name="Percent 3 2 18 3 2" xfId="9352"/>
    <cellStyle name="Percent 3 2 18 3 2 2" xfId="15545"/>
    <cellStyle name="Percent 3 2 18 3 2 2 2" xfId="35428"/>
    <cellStyle name="Percent 3 2 18 3 2 3" xfId="21697"/>
    <cellStyle name="Percent 3 2 18 3 2 3 2" xfId="41580"/>
    <cellStyle name="Percent 3 2 18 3 2 4" xfId="29275"/>
    <cellStyle name="Percent 3 2 18 3 3" xfId="12479"/>
    <cellStyle name="Percent 3 2 18 3 3 2" xfId="32362"/>
    <cellStyle name="Percent 3 2 18 3 4" xfId="18631"/>
    <cellStyle name="Percent 3 2 18 3 4 2" xfId="38514"/>
    <cellStyle name="Percent 3 2 18 3 5" xfId="26209"/>
    <cellStyle name="Percent 3 2 18 4" xfId="7817"/>
    <cellStyle name="Percent 3 2 18 4 2" xfId="14011"/>
    <cellStyle name="Percent 3 2 18 4 2 2" xfId="33894"/>
    <cellStyle name="Percent 3 2 18 4 3" xfId="20163"/>
    <cellStyle name="Percent 3 2 18 4 3 2" xfId="40046"/>
    <cellStyle name="Percent 3 2 18 4 4" xfId="27741"/>
    <cellStyle name="Percent 3 2 18 5" xfId="10945"/>
    <cellStyle name="Percent 3 2 18 5 2" xfId="30828"/>
    <cellStyle name="Percent 3 2 18 6" xfId="17097"/>
    <cellStyle name="Percent 3 2 18 6 2" xfId="36980"/>
    <cellStyle name="Percent 3 2 18 7" xfId="24675"/>
    <cellStyle name="Percent 3 2 19" xfId="4370"/>
    <cellStyle name="Percent 3 2 19 2" xfId="5411"/>
    <cellStyle name="Percent 3 2 19 2 2" xfId="7036"/>
    <cellStyle name="Percent 3 2 19 2 2 2" xfId="10122"/>
    <cellStyle name="Percent 3 2 19 2 2 2 2" xfId="16315"/>
    <cellStyle name="Percent 3 2 19 2 2 2 2 2" xfId="36198"/>
    <cellStyle name="Percent 3 2 19 2 2 2 3" xfId="22467"/>
    <cellStyle name="Percent 3 2 19 2 2 2 3 2" xfId="42350"/>
    <cellStyle name="Percent 3 2 19 2 2 2 4" xfId="30045"/>
    <cellStyle name="Percent 3 2 19 2 2 3" xfId="13249"/>
    <cellStyle name="Percent 3 2 19 2 2 3 2" xfId="33132"/>
    <cellStyle name="Percent 3 2 19 2 2 4" xfId="19401"/>
    <cellStyle name="Percent 3 2 19 2 2 4 2" xfId="39284"/>
    <cellStyle name="Percent 3 2 19 2 2 5" xfId="26979"/>
    <cellStyle name="Percent 3 2 19 2 3" xfId="8587"/>
    <cellStyle name="Percent 3 2 19 2 3 2" xfId="14781"/>
    <cellStyle name="Percent 3 2 19 2 3 2 2" xfId="34664"/>
    <cellStyle name="Percent 3 2 19 2 3 3" xfId="20933"/>
    <cellStyle name="Percent 3 2 19 2 3 3 2" xfId="40816"/>
    <cellStyle name="Percent 3 2 19 2 3 4" xfId="28511"/>
    <cellStyle name="Percent 3 2 19 2 4" xfId="11715"/>
    <cellStyle name="Percent 3 2 19 2 4 2" xfId="31598"/>
    <cellStyle name="Percent 3 2 19 2 5" xfId="17867"/>
    <cellStyle name="Percent 3 2 19 2 5 2" xfId="37750"/>
    <cellStyle name="Percent 3 2 19 2 6" xfId="25445"/>
    <cellStyle name="Percent 3 2 19 3" xfId="6261"/>
    <cellStyle name="Percent 3 2 19 3 2" xfId="9353"/>
    <cellStyle name="Percent 3 2 19 3 2 2" xfId="15546"/>
    <cellStyle name="Percent 3 2 19 3 2 2 2" xfId="35429"/>
    <cellStyle name="Percent 3 2 19 3 2 3" xfId="21698"/>
    <cellStyle name="Percent 3 2 19 3 2 3 2" xfId="41581"/>
    <cellStyle name="Percent 3 2 19 3 2 4" xfId="29276"/>
    <cellStyle name="Percent 3 2 19 3 3" xfId="12480"/>
    <cellStyle name="Percent 3 2 19 3 3 2" xfId="32363"/>
    <cellStyle name="Percent 3 2 19 3 4" xfId="18632"/>
    <cellStyle name="Percent 3 2 19 3 4 2" xfId="38515"/>
    <cellStyle name="Percent 3 2 19 3 5" xfId="26210"/>
    <cellStyle name="Percent 3 2 19 4" xfId="7818"/>
    <cellStyle name="Percent 3 2 19 4 2" xfId="14012"/>
    <cellStyle name="Percent 3 2 19 4 2 2" xfId="33895"/>
    <cellStyle name="Percent 3 2 19 4 3" xfId="20164"/>
    <cellStyle name="Percent 3 2 19 4 3 2" xfId="40047"/>
    <cellStyle name="Percent 3 2 19 4 4" xfId="27742"/>
    <cellStyle name="Percent 3 2 19 5" xfId="10946"/>
    <cellStyle name="Percent 3 2 19 5 2" xfId="30829"/>
    <cellStyle name="Percent 3 2 19 6" xfId="17098"/>
    <cellStyle name="Percent 3 2 19 6 2" xfId="36981"/>
    <cellStyle name="Percent 3 2 19 7" xfId="24676"/>
    <cellStyle name="Percent 3 2 2" xfId="4371"/>
    <cellStyle name="Percent 3 2 2 2" xfId="4372"/>
    <cellStyle name="Percent 3 2 2 2 2" xfId="5412"/>
    <cellStyle name="Percent 3 2 2 2 2 2" xfId="7037"/>
    <cellStyle name="Percent 3 2 2 2 2 2 2" xfId="10123"/>
    <cellStyle name="Percent 3 2 2 2 2 2 2 2" xfId="16316"/>
    <cellStyle name="Percent 3 2 2 2 2 2 2 2 2" xfId="36199"/>
    <cellStyle name="Percent 3 2 2 2 2 2 2 3" xfId="22468"/>
    <cellStyle name="Percent 3 2 2 2 2 2 2 3 2" xfId="42351"/>
    <cellStyle name="Percent 3 2 2 2 2 2 2 4" xfId="30046"/>
    <cellStyle name="Percent 3 2 2 2 2 2 3" xfId="13250"/>
    <cellStyle name="Percent 3 2 2 2 2 2 3 2" xfId="33133"/>
    <cellStyle name="Percent 3 2 2 2 2 2 4" xfId="19402"/>
    <cellStyle name="Percent 3 2 2 2 2 2 4 2" xfId="39285"/>
    <cellStyle name="Percent 3 2 2 2 2 2 5" xfId="26980"/>
    <cellStyle name="Percent 3 2 2 2 2 3" xfId="8588"/>
    <cellStyle name="Percent 3 2 2 2 2 3 2" xfId="14782"/>
    <cellStyle name="Percent 3 2 2 2 2 3 2 2" xfId="34665"/>
    <cellStyle name="Percent 3 2 2 2 2 3 3" xfId="20934"/>
    <cellStyle name="Percent 3 2 2 2 2 3 3 2" xfId="40817"/>
    <cellStyle name="Percent 3 2 2 2 2 3 4" xfId="28512"/>
    <cellStyle name="Percent 3 2 2 2 2 4" xfId="11716"/>
    <cellStyle name="Percent 3 2 2 2 2 4 2" xfId="31599"/>
    <cellStyle name="Percent 3 2 2 2 2 5" xfId="17868"/>
    <cellStyle name="Percent 3 2 2 2 2 5 2" xfId="37751"/>
    <cellStyle name="Percent 3 2 2 2 2 6" xfId="25446"/>
    <cellStyle name="Percent 3 2 2 2 3" xfId="6262"/>
    <cellStyle name="Percent 3 2 2 2 3 2" xfId="9354"/>
    <cellStyle name="Percent 3 2 2 2 3 2 2" xfId="15547"/>
    <cellStyle name="Percent 3 2 2 2 3 2 2 2" xfId="35430"/>
    <cellStyle name="Percent 3 2 2 2 3 2 3" xfId="21699"/>
    <cellStyle name="Percent 3 2 2 2 3 2 3 2" xfId="41582"/>
    <cellStyle name="Percent 3 2 2 2 3 2 4" xfId="29277"/>
    <cellStyle name="Percent 3 2 2 2 3 3" xfId="12481"/>
    <cellStyle name="Percent 3 2 2 2 3 3 2" xfId="32364"/>
    <cellStyle name="Percent 3 2 2 2 3 4" xfId="18633"/>
    <cellStyle name="Percent 3 2 2 2 3 4 2" xfId="38516"/>
    <cellStyle name="Percent 3 2 2 2 3 5" xfId="26211"/>
    <cellStyle name="Percent 3 2 2 2 4" xfId="7819"/>
    <cellStyle name="Percent 3 2 2 2 4 2" xfId="14013"/>
    <cellStyle name="Percent 3 2 2 2 4 2 2" xfId="33896"/>
    <cellStyle name="Percent 3 2 2 2 4 3" xfId="20165"/>
    <cellStyle name="Percent 3 2 2 2 4 3 2" xfId="40048"/>
    <cellStyle name="Percent 3 2 2 2 4 4" xfId="27743"/>
    <cellStyle name="Percent 3 2 2 2 5" xfId="10947"/>
    <cellStyle name="Percent 3 2 2 2 5 2" xfId="30830"/>
    <cellStyle name="Percent 3 2 2 2 6" xfId="17099"/>
    <cellStyle name="Percent 3 2 2 2 6 2" xfId="36982"/>
    <cellStyle name="Percent 3 2 2 2 7" xfId="24677"/>
    <cellStyle name="Percent 3 2 2 3" xfId="4373"/>
    <cellStyle name="Percent 3 2 2 3 2" xfId="5413"/>
    <cellStyle name="Percent 3 2 2 3 2 2" xfId="7038"/>
    <cellStyle name="Percent 3 2 2 3 2 2 2" xfId="10124"/>
    <cellStyle name="Percent 3 2 2 3 2 2 2 2" xfId="16317"/>
    <cellStyle name="Percent 3 2 2 3 2 2 2 2 2" xfId="36200"/>
    <cellStyle name="Percent 3 2 2 3 2 2 2 3" xfId="22469"/>
    <cellStyle name="Percent 3 2 2 3 2 2 2 3 2" xfId="42352"/>
    <cellStyle name="Percent 3 2 2 3 2 2 2 4" xfId="30047"/>
    <cellStyle name="Percent 3 2 2 3 2 2 3" xfId="13251"/>
    <cellStyle name="Percent 3 2 2 3 2 2 3 2" xfId="33134"/>
    <cellStyle name="Percent 3 2 2 3 2 2 4" xfId="19403"/>
    <cellStyle name="Percent 3 2 2 3 2 2 4 2" xfId="39286"/>
    <cellStyle name="Percent 3 2 2 3 2 2 5" xfId="26981"/>
    <cellStyle name="Percent 3 2 2 3 2 3" xfId="8589"/>
    <cellStyle name="Percent 3 2 2 3 2 3 2" xfId="14783"/>
    <cellStyle name="Percent 3 2 2 3 2 3 2 2" xfId="34666"/>
    <cellStyle name="Percent 3 2 2 3 2 3 3" xfId="20935"/>
    <cellStyle name="Percent 3 2 2 3 2 3 3 2" xfId="40818"/>
    <cellStyle name="Percent 3 2 2 3 2 3 4" xfId="28513"/>
    <cellStyle name="Percent 3 2 2 3 2 4" xfId="11717"/>
    <cellStyle name="Percent 3 2 2 3 2 4 2" xfId="31600"/>
    <cellStyle name="Percent 3 2 2 3 2 5" xfId="17869"/>
    <cellStyle name="Percent 3 2 2 3 2 5 2" xfId="37752"/>
    <cellStyle name="Percent 3 2 2 3 2 6" xfId="25447"/>
    <cellStyle name="Percent 3 2 2 3 3" xfId="6263"/>
    <cellStyle name="Percent 3 2 2 3 3 2" xfId="9355"/>
    <cellStyle name="Percent 3 2 2 3 3 2 2" xfId="15548"/>
    <cellStyle name="Percent 3 2 2 3 3 2 2 2" xfId="35431"/>
    <cellStyle name="Percent 3 2 2 3 3 2 3" xfId="21700"/>
    <cellStyle name="Percent 3 2 2 3 3 2 3 2" xfId="41583"/>
    <cellStyle name="Percent 3 2 2 3 3 2 4" xfId="29278"/>
    <cellStyle name="Percent 3 2 2 3 3 3" xfId="12482"/>
    <cellStyle name="Percent 3 2 2 3 3 3 2" xfId="32365"/>
    <cellStyle name="Percent 3 2 2 3 3 4" xfId="18634"/>
    <cellStyle name="Percent 3 2 2 3 3 4 2" xfId="38517"/>
    <cellStyle name="Percent 3 2 2 3 3 5" xfId="26212"/>
    <cellStyle name="Percent 3 2 2 3 4" xfId="7820"/>
    <cellStyle name="Percent 3 2 2 3 4 2" xfId="14014"/>
    <cellStyle name="Percent 3 2 2 3 4 2 2" xfId="33897"/>
    <cellStyle name="Percent 3 2 2 3 4 3" xfId="20166"/>
    <cellStyle name="Percent 3 2 2 3 4 3 2" xfId="40049"/>
    <cellStyle name="Percent 3 2 2 3 4 4" xfId="27744"/>
    <cellStyle name="Percent 3 2 2 3 5" xfId="10948"/>
    <cellStyle name="Percent 3 2 2 3 5 2" xfId="30831"/>
    <cellStyle name="Percent 3 2 2 3 6" xfId="17100"/>
    <cellStyle name="Percent 3 2 2 3 6 2" xfId="36983"/>
    <cellStyle name="Percent 3 2 2 3 7" xfId="24678"/>
    <cellStyle name="Percent 3 2 2 4" xfId="4374"/>
    <cellStyle name="Percent 3 2 2 4 2" xfId="5414"/>
    <cellStyle name="Percent 3 2 2 4 2 2" xfId="7039"/>
    <cellStyle name="Percent 3 2 2 4 2 2 2" xfId="10125"/>
    <cellStyle name="Percent 3 2 2 4 2 2 2 2" xfId="16318"/>
    <cellStyle name="Percent 3 2 2 4 2 2 2 2 2" xfId="36201"/>
    <cellStyle name="Percent 3 2 2 4 2 2 2 3" xfId="22470"/>
    <cellStyle name="Percent 3 2 2 4 2 2 2 3 2" xfId="42353"/>
    <cellStyle name="Percent 3 2 2 4 2 2 2 4" xfId="30048"/>
    <cellStyle name="Percent 3 2 2 4 2 2 3" xfId="13252"/>
    <cellStyle name="Percent 3 2 2 4 2 2 3 2" xfId="33135"/>
    <cellStyle name="Percent 3 2 2 4 2 2 4" xfId="19404"/>
    <cellStyle name="Percent 3 2 2 4 2 2 4 2" xfId="39287"/>
    <cellStyle name="Percent 3 2 2 4 2 2 5" xfId="26982"/>
    <cellStyle name="Percent 3 2 2 4 2 3" xfId="8590"/>
    <cellStyle name="Percent 3 2 2 4 2 3 2" xfId="14784"/>
    <cellStyle name="Percent 3 2 2 4 2 3 2 2" xfId="34667"/>
    <cellStyle name="Percent 3 2 2 4 2 3 3" xfId="20936"/>
    <cellStyle name="Percent 3 2 2 4 2 3 3 2" xfId="40819"/>
    <cellStyle name="Percent 3 2 2 4 2 3 4" xfId="28514"/>
    <cellStyle name="Percent 3 2 2 4 2 4" xfId="11718"/>
    <cellStyle name="Percent 3 2 2 4 2 4 2" xfId="31601"/>
    <cellStyle name="Percent 3 2 2 4 2 5" xfId="17870"/>
    <cellStyle name="Percent 3 2 2 4 2 5 2" xfId="37753"/>
    <cellStyle name="Percent 3 2 2 4 2 6" xfId="25448"/>
    <cellStyle name="Percent 3 2 2 4 3" xfId="6264"/>
    <cellStyle name="Percent 3 2 2 4 3 2" xfId="9356"/>
    <cellStyle name="Percent 3 2 2 4 3 2 2" xfId="15549"/>
    <cellStyle name="Percent 3 2 2 4 3 2 2 2" xfId="35432"/>
    <cellStyle name="Percent 3 2 2 4 3 2 3" xfId="21701"/>
    <cellStyle name="Percent 3 2 2 4 3 2 3 2" xfId="41584"/>
    <cellStyle name="Percent 3 2 2 4 3 2 4" xfId="29279"/>
    <cellStyle name="Percent 3 2 2 4 3 3" xfId="12483"/>
    <cellStyle name="Percent 3 2 2 4 3 3 2" xfId="32366"/>
    <cellStyle name="Percent 3 2 2 4 3 4" xfId="18635"/>
    <cellStyle name="Percent 3 2 2 4 3 4 2" xfId="38518"/>
    <cellStyle name="Percent 3 2 2 4 3 5" xfId="26213"/>
    <cellStyle name="Percent 3 2 2 4 4" xfId="7821"/>
    <cellStyle name="Percent 3 2 2 4 4 2" xfId="14015"/>
    <cellStyle name="Percent 3 2 2 4 4 2 2" xfId="33898"/>
    <cellStyle name="Percent 3 2 2 4 4 3" xfId="20167"/>
    <cellStyle name="Percent 3 2 2 4 4 3 2" xfId="40050"/>
    <cellStyle name="Percent 3 2 2 4 4 4" xfId="27745"/>
    <cellStyle name="Percent 3 2 2 4 5" xfId="10949"/>
    <cellStyle name="Percent 3 2 2 4 5 2" xfId="30832"/>
    <cellStyle name="Percent 3 2 2 4 6" xfId="17101"/>
    <cellStyle name="Percent 3 2 2 4 6 2" xfId="36984"/>
    <cellStyle name="Percent 3 2 2 4 7" xfId="24679"/>
    <cellStyle name="Percent 3 2 2 5" xfId="4375"/>
    <cellStyle name="Percent 3 2 2 5 2" xfId="5415"/>
    <cellStyle name="Percent 3 2 2 5 2 2" xfId="7040"/>
    <cellStyle name="Percent 3 2 2 5 2 2 2" xfId="10126"/>
    <cellStyle name="Percent 3 2 2 5 2 2 2 2" xfId="16319"/>
    <cellStyle name="Percent 3 2 2 5 2 2 2 2 2" xfId="36202"/>
    <cellStyle name="Percent 3 2 2 5 2 2 2 3" xfId="22471"/>
    <cellStyle name="Percent 3 2 2 5 2 2 2 3 2" xfId="42354"/>
    <cellStyle name="Percent 3 2 2 5 2 2 2 4" xfId="30049"/>
    <cellStyle name="Percent 3 2 2 5 2 2 3" xfId="13253"/>
    <cellStyle name="Percent 3 2 2 5 2 2 3 2" xfId="33136"/>
    <cellStyle name="Percent 3 2 2 5 2 2 4" xfId="19405"/>
    <cellStyle name="Percent 3 2 2 5 2 2 4 2" xfId="39288"/>
    <cellStyle name="Percent 3 2 2 5 2 2 5" xfId="26983"/>
    <cellStyle name="Percent 3 2 2 5 2 3" xfId="8591"/>
    <cellStyle name="Percent 3 2 2 5 2 3 2" xfId="14785"/>
    <cellStyle name="Percent 3 2 2 5 2 3 2 2" xfId="34668"/>
    <cellStyle name="Percent 3 2 2 5 2 3 3" xfId="20937"/>
    <cellStyle name="Percent 3 2 2 5 2 3 3 2" xfId="40820"/>
    <cellStyle name="Percent 3 2 2 5 2 3 4" xfId="28515"/>
    <cellStyle name="Percent 3 2 2 5 2 4" xfId="11719"/>
    <cellStyle name="Percent 3 2 2 5 2 4 2" xfId="31602"/>
    <cellStyle name="Percent 3 2 2 5 2 5" xfId="17871"/>
    <cellStyle name="Percent 3 2 2 5 2 5 2" xfId="37754"/>
    <cellStyle name="Percent 3 2 2 5 2 6" xfId="25449"/>
    <cellStyle name="Percent 3 2 2 5 3" xfId="6265"/>
    <cellStyle name="Percent 3 2 2 5 3 2" xfId="9357"/>
    <cellStyle name="Percent 3 2 2 5 3 2 2" xfId="15550"/>
    <cellStyle name="Percent 3 2 2 5 3 2 2 2" xfId="35433"/>
    <cellStyle name="Percent 3 2 2 5 3 2 3" xfId="21702"/>
    <cellStyle name="Percent 3 2 2 5 3 2 3 2" xfId="41585"/>
    <cellStyle name="Percent 3 2 2 5 3 2 4" xfId="29280"/>
    <cellStyle name="Percent 3 2 2 5 3 3" xfId="12484"/>
    <cellStyle name="Percent 3 2 2 5 3 3 2" xfId="32367"/>
    <cellStyle name="Percent 3 2 2 5 3 4" xfId="18636"/>
    <cellStyle name="Percent 3 2 2 5 3 4 2" xfId="38519"/>
    <cellStyle name="Percent 3 2 2 5 3 5" xfId="26214"/>
    <cellStyle name="Percent 3 2 2 5 4" xfId="7822"/>
    <cellStyle name="Percent 3 2 2 5 4 2" xfId="14016"/>
    <cellStyle name="Percent 3 2 2 5 4 2 2" xfId="33899"/>
    <cellStyle name="Percent 3 2 2 5 4 3" xfId="20168"/>
    <cellStyle name="Percent 3 2 2 5 4 3 2" xfId="40051"/>
    <cellStyle name="Percent 3 2 2 5 4 4" xfId="27746"/>
    <cellStyle name="Percent 3 2 2 5 5" xfId="10950"/>
    <cellStyle name="Percent 3 2 2 5 5 2" xfId="30833"/>
    <cellStyle name="Percent 3 2 2 5 6" xfId="17102"/>
    <cellStyle name="Percent 3 2 2 5 6 2" xfId="36985"/>
    <cellStyle name="Percent 3 2 2 5 7" xfId="24680"/>
    <cellStyle name="Percent 3 2 20" xfId="4376"/>
    <cellStyle name="Percent 3 2 20 2" xfId="5416"/>
    <cellStyle name="Percent 3 2 20 2 2" xfId="7041"/>
    <cellStyle name="Percent 3 2 20 2 2 2" xfId="10127"/>
    <cellStyle name="Percent 3 2 20 2 2 2 2" xfId="16320"/>
    <cellStyle name="Percent 3 2 20 2 2 2 2 2" xfId="36203"/>
    <cellStyle name="Percent 3 2 20 2 2 2 3" xfId="22472"/>
    <cellStyle name="Percent 3 2 20 2 2 2 3 2" xfId="42355"/>
    <cellStyle name="Percent 3 2 20 2 2 2 4" xfId="30050"/>
    <cellStyle name="Percent 3 2 20 2 2 3" xfId="13254"/>
    <cellStyle name="Percent 3 2 20 2 2 3 2" xfId="33137"/>
    <cellStyle name="Percent 3 2 20 2 2 4" xfId="19406"/>
    <cellStyle name="Percent 3 2 20 2 2 4 2" xfId="39289"/>
    <cellStyle name="Percent 3 2 20 2 2 5" xfId="26984"/>
    <cellStyle name="Percent 3 2 20 2 3" xfId="8592"/>
    <cellStyle name="Percent 3 2 20 2 3 2" xfId="14786"/>
    <cellStyle name="Percent 3 2 20 2 3 2 2" xfId="34669"/>
    <cellStyle name="Percent 3 2 20 2 3 3" xfId="20938"/>
    <cellStyle name="Percent 3 2 20 2 3 3 2" xfId="40821"/>
    <cellStyle name="Percent 3 2 20 2 3 4" xfId="28516"/>
    <cellStyle name="Percent 3 2 20 2 4" xfId="11720"/>
    <cellStyle name="Percent 3 2 20 2 4 2" xfId="31603"/>
    <cellStyle name="Percent 3 2 20 2 5" xfId="17872"/>
    <cellStyle name="Percent 3 2 20 2 5 2" xfId="37755"/>
    <cellStyle name="Percent 3 2 20 2 6" xfId="25450"/>
    <cellStyle name="Percent 3 2 20 3" xfId="6266"/>
    <cellStyle name="Percent 3 2 20 3 2" xfId="9358"/>
    <cellStyle name="Percent 3 2 20 3 2 2" xfId="15551"/>
    <cellStyle name="Percent 3 2 20 3 2 2 2" xfId="35434"/>
    <cellStyle name="Percent 3 2 20 3 2 3" xfId="21703"/>
    <cellStyle name="Percent 3 2 20 3 2 3 2" xfId="41586"/>
    <cellStyle name="Percent 3 2 20 3 2 4" xfId="29281"/>
    <cellStyle name="Percent 3 2 20 3 3" xfId="12485"/>
    <cellStyle name="Percent 3 2 20 3 3 2" xfId="32368"/>
    <cellStyle name="Percent 3 2 20 3 4" xfId="18637"/>
    <cellStyle name="Percent 3 2 20 3 4 2" xfId="38520"/>
    <cellStyle name="Percent 3 2 20 3 5" xfId="26215"/>
    <cellStyle name="Percent 3 2 20 4" xfId="7823"/>
    <cellStyle name="Percent 3 2 20 4 2" xfId="14017"/>
    <cellStyle name="Percent 3 2 20 4 2 2" xfId="33900"/>
    <cellStyle name="Percent 3 2 20 4 3" xfId="20169"/>
    <cellStyle name="Percent 3 2 20 4 3 2" xfId="40052"/>
    <cellStyle name="Percent 3 2 20 4 4" xfId="27747"/>
    <cellStyle name="Percent 3 2 20 5" xfId="10951"/>
    <cellStyle name="Percent 3 2 20 5 2" xfId="30834"/>
    <cellStyle name="Percent 3 2 20 6" xfId="17103"/>
    <cellStyle name="Percent 3 2 20 6 2" xfId="36986"/>
    <cellStyle name="Percent 3 2 20 7" xfId="24681"/>
    <cellStyle name="Percent 3 2 21" xfId="4377"/>
    <cellStyle name="Percent 3 2 21 2" xfId="4378"/>
    <cellStyle name="Percent 3 2 21 2 2" xfId="5417"/>
    <cellStyle name="Percent 3 2 21 2 2 2" xfId="7042"/>
    <cellStyle name="Percent 3 2 21 2 2 2 2" xfId="10128"/>
    <cellStyle name="Percent 3 2 21 2 2 2 2 2" xfId="16321"/>
    <cellStyle name="Percent 3 2 21 2 2 2 2 2 2" xfId="36204"/>
    <cellStyle name="Percent 3 2 21 2 2 2 2 3" xfId="22473"/>
    <cellStyle name="Percent 3 2 21 2 2 2 2 3 2" xfId="42356"/>
    <cellStyle name="Percent 3 2 21 2 2 2 2 4" xfId="30051"/>
    <cellStyle name="Percent 3 2 21 2 2 2 3" xfId="13255"/>
    <cellStyle name="Percent 3 2 21 2 2 2 3 2" xfId="33138"/>
    <cellStyle name="Percent 3 2 21 2 2 2 4" xfId="19407"/>
    <cellStyle name="Percent 3 2 21 2 2 2 4 2" xfId="39290"/>
    <cellStyle name="Percent 3 2 21 2 2 2 5" xfId="26985"/>
    <cellStyle name="Percent 3 2 21 2 2 3" xfId="8593"/>
    <cellStyle name="Percent 3 2 21 2 2 3 2" xfId="14787"/>
    <cellStyle name="Percent 3 2 21 2 2 3 2 2" xfId="34670"/>
    <cellStyle name="Percent 3 2 21 2 2 3 3" xfId="20939"/>
    <cellStyle name="Percent 3 2 21 2 2 3 3 2" xfId="40822"/>
    <cellStyle name="Percent 3 2 21 2 2 3 4" xfId="28517"/>
    <cellStyle name="Percent 3 2 21 2 2 4" xfId="11721"/>
    <cellStyle name="Percent 3 2 21 2 2 4 2" xfId="31604"/>
    <cellStyle name="Percent 3 2 21 2 2 5" xfId="17873"/>
    <cellStyle name="Percent 3 2 21 2 2 5 2" xfId="37756"/>
    <cellStyle name="Percent 3 2 21 2 2 6" xfId="25451"/>
    <cellStyle name="Percent 3 2 21 2 3" xfId="6267"/>
    <cellStyle name="Percent 3 2 21 2 3 2" xfId="9359"/>
    <cellStyle name="Percent 3 2 21 2 3 2 2" xfId="15552"/>
    <cellStyle name="Percent 3 2 21 2 3 2 2 2" xfId="35435"/>
    <cellStyle name="Percent 3 2 21 2 3 2 3" xfId="21704"/>
    <cellStyle name="Percent 3 2 21 2 3 2 3 2" xfId="41587"/>
    <cellStyle name="Percent 3 2 21 2 3 2 4" xfId="29282"/>
    <cellStyle name="Percent 3 2 21 2 3 3" xfId="12486"/>
    <cellStyle name="Percent 3 2 21 2 3 3 2" xfId="32369"/>
    <cellStyle name="Percent 3 2 21 2 3 4" xfId="18638"/>
    <cellStyle name="Percent 3 2 21 2 3 4 2" xfId="38521"/>
    <cellStyle name="Percent 3 2 21 2 3 5" xfId="26216"/>
    <cellStyle name="Percent 3 2 21 2 4" xfId="7824"/>
    <cellStyle name="Percent 3 2 21 2 4 2" xfId="14018"/>
    <cellStyle name="Percent 3 2 21 2 4 2 2" xfId="33901"/>
    <cellStyle name="Percent 3 2 21 2 4 3" xfId="20170"/>
    <cellStyle name="Percent 3 2 21 2 4 3 2" xfId="40053"/>
    <cellStyle name="Percent 3 2 21 2 4 4" xfId="27748"/>
    <cellStyle name="Percent 3 2 21 2 5" xfId="10952"/>
    <cellStyle name="Percent 3 2 21 2 5 2" xfId="30835"/>
    <cellStyle name="Percent 3 2 21 2 6" xfId="17104"/>
    <cellStyle name="Percent 3 2 21 2 6 2" xfId="36987"/>
    <cellStyle name="Percent 3 2 21 2 7" xfId="24682"/>
    <cellStyle name="Percent 3 2 21 3" xfId="4379"/>
    <cellStyle name="Percent 3 2 21 4" xfId="4380"/>
    <cellStyle name="Percent 3 2 22" xfId="4381"/>
    <cellStyle name="Percent 3 2 23" xfId="5401"/>
    <cellStyle name="Percent 3 2 23 2" xfId="7026"/>
    <cellStyle name="Percent 3 2 23 2 2" xfId="10112"/>
    <cellStyle name="Percent 3 2 23 2 2 2" xfId="16305"/>
    <cellStyle name="Percent 3 2 23 2 2 2 2" xfId="36188"/>
    <cellStyle name="Percent 3 2 23 2 2 3" xfId="22457"/>
    <cellStyle name="Percent 3 2 23 2 2 3 2" xfId="42340"/>
    <cellStyle name="Percent 3 2 23 2 2 4" xfId="30035"/>
    <cellStyle name="Percent 3 2 23 2 3" xfId="13239"/>
    <cellStyle name="Percent 3 2 23 2 3 2" xfId="33122"/>
    <cellStyle name="Percent 3 2 23 2 4" xfId="19391"/>
    <cellStyle name="Percent 3 2 23 2 4 2" xfId="39274"/>
    <cellStyle name="Percent 3 2 23 2 5" xfId="26969"/>
    <cellStyle name="Percent 3 2 23 3" xfId="8577"/>
    <cellStyle name="Percent 3 2 23 3 2" xfId="14771"/>
    <cellStyle name="Percent 3 2 23 3 2 2" xfId="34654"/>
    <cellStyle name="Percent 3 2 23 3 3" xfId="20923"/>
    <cellStyle name="Percent 3 2 23 3 3 2" xfId="40806"/>
    <cellStyle name="Percent 3 2 23 3 4" xfId="28501"/>
    <cellStyle name="Percent 3 2 23 4" xfId="11705"/>
    <cellStyle name="Percent 3 2 23 4 2" xfId="31588"/>
    <cellStyle name="Percent 3 2 23 5" xfId="17857"/>
    <cellStyle name="Percent 3 2 23 5 2" xfId="37740"/>
    <cellStyle name="Percent 3 2 23 6" xfId="25435"/>
    <cellStyle name="Percent 3 2 24" xfId="6251"/>
    <cellStyle name="Percent 3 2 24 2" xfId="9343"/>
    <cellStyle name="Percent 3 2 24 2 2" xfId="15536"/>
    <cellStyle name="Percent 3 2 24 2 2 2" xfId="35419"/>
    <cellStyle name="Percent 3 2 24 2 3" xfId="21688"/>
    <cellStyle name="Percent 3 2 24 2 3 2" xfId="41571"/>
    <cellStyle name="Percent 3 2 24 2 4" xfId="29266"/>
    <cellStyle name="Percent 3 2 24 3" xfId="12470"/>
    <cellStyle name="Percent 3 2 24 3 2" xfId="32353"/>
    <cellStyle name="Percent 3 2 24 4" xfId="18622"/>
    <cellStyle name="Percent 3 2 24 4 2" xfId="38505"/>
    <cellStyle name="Percent 3 2 24 5" xfId="26200"/>
    <cellStyle name="Percent 3 2 25" xfId="7808"/>
    <cellStyle name="Percent 3 2 25 2" xfId="14002"/>
    <cellStyle name="Percent 3 2 25 2 2" xfId="33885"/>
    <cellStyle name="Percent 3 2 25 3" xfId="20154"/>
    <cellStyle name="Percent 3 2 25 3 2" xfId="40037"/>
    <cellStyle name="Percent 3 2 25 4" xfId="27732"/>
    <cellStyle name="Percent 3 2 26" xfId="10936"/>
    <cellStyle name="Percent 3 2 26 2" xfId="30819"/>
    <cellStyle name="Percent 3 2 27" xfId="17088"/>
    <cellStyle name="Percent 3 2 27 2" xfId="36971"/>
    <cellStyle name="Percent 3 2 28" xfId="4360"/>
    <cellStyle name="Percent 3 2 28 2" xfId="24666"/>
    <cellStyle name="Percent 3 2 29" xfId="23313"/>
    <cellStyle name="Percent 3 2 3" xfId="4382"/>
    <cellStyle name="Percent 3 2 3 10" xfId="17105"/>
    <cellStyle name="Percent 3 2 3 10 2" xfId="36988"/>
    <cellStyle name="Percent 3 2 3 11" xfId="24683"/>
    <cellStyle name="Percent 3 2 3 2" xfId="4383"/>
    <cellStyle name="Percent 3 2 3 2 2" xfId="5419"/>
    <cellStyle name="Percent 3 2 3 2 2 2" xfId="7044"/>
    <cellStyle name="Percent 3 2 3 2 2 2 2" xfId="10130"/>
    <cellStyle name="Percent 3 2 3 2 2 2 2 2" xfId="16323"/>
    <cellStyle name="Percent 3 2 3 2 2 2 2 2 2" xfId="36206"/>
    <cellStyle name="Percent 3 2 3 2 2 2 2 3" xfId="22475"/>
    <cellStyle name="Percent 3 2 3 2 2 2 2 3 2" xfId="42358"/>
    <cellStyle name="Percent 3 2 3 2 2 2 2 4" xfId="30053"/>
    <cellStyle name="Percent 3 2 3 2 2 2 3" xfId="13257"/>
    <cellStyle name="Percent 3 2 3 2 2 2 3 2" xfId="33140"/>
    <cellStyle name="Percent 3 2 3 2 2 2 4" xfId="19409"/>
    <cellStyle name="Percent 3 2 3 2 2 2 4 2" xfId="39292"/>
    <cellStyle name="Percent 3 2 3 2 2 2 5" xfId="26987"/>
    <cellStyle name="Percent 3 2 3 2 2 3" xfId="8595"/>
    <cellStyle name="Percent 3 2 3 2 2 3 2" xfId="14789"/>
    <cellStyle name="Percent 3 2 3 2 2 3 2 2" xfId="34672"/>
    <cellStyle name="Percent 3 2 3 2 2 3 3" xfId="20941"/>
    <cellStyle name="Percent 3 2 3 2 2 3 3 2" xfId="40824"/>
    <cellStyle name="Percent 3 2 3 2 2 3 4" xfId="28519"/>
    <cellStyle name="Percent 3 2 3 2 2 4" xfId="11723"/>
    <cellStyle name="Percent 3 2 3 2 2 4 2" xfId="31606"/>
    <cellStyle name="Percent 3 2 3 2 2 5" xfId="17875"/>
    <cellStyle name="Percent 3 2 3 2 2 5 2" xfId="37758"/>
    <cellStyle name="Percent 3 2 3 2 2 6" xfId="25453"/>
    <cellStyle name="Percent 3 2 3 2 3" xfId="6271"/>
    <cellStyle name="Percent 3 2 3 2 3 2" xfId="9361"/>
    <cellStyle name="Percent 3 2 3 2 3 2 2" xfId="15554"/>
    <cellStyle name="Percent 3 2 3 2 3 2 2 2" xfId="35437"/>
    <cellStyle name="Percent 3 2 3 2 3 2 3" xfId="21706"/>
    <cellStyle name="Percent 3 2 3 2 3 2 3 2" xfId="41589"/>
    <cellStyle name="Percent 3 2 3 2 3 2 4" xfId="29284"/>
    <cellStyle name="Percent 3 2 3 2 3 3" xfId="12488"/>
    <cellStyle name="Percent 3 2 3 2 3 3 2" xfId="32371"/>
    <cellStyle name="Percent 3 2 3 2 3 4" xfId="18640"/>
    <cellStyle name="Percent 3 2 3 2 3 4 2" xfId="38523"/>
    <cellStyle name="Percent 3 2 3 2 3 5" xfId="26218"/>
    <cellStyle name="Percent 3 2 3 2 4" xfId="7826"/>
    <cellStyle name="Percent 3 2 3 2 4 2" xfId="14020"/>
    <cellStyle name="Percent 3 2 3 2 4 2 2" xfId="33903"/>
    <cellStyle name="Percent 3 2 3 2 4 3" xfId="20172"/>
    <cellStyle name="Percent 3 2 3 2 4 3 2" xfId="40055"/>
    <cellStyle name="Percent 3 2 3 2 4 4" xfId="27750"/>
    <cellStyle name="Percent 3 2 3 2 5" xfId="10954"/>
    <cellStyle name="Percent 3 2 3 2 5 2" xfId="30837"/>
    <cellStyle name="Percent 3 2 3 2 6" xfId="17106"/>
    <cellStyle name="Percent 3 2 3 2 6 2" xfId="36989"/>
    <cellStyle name="Percent 3 2 3 2 7" xfId="24684"/>
    <cellStyle name="Percent 3 2 3 3" xfId="4384"/>
    <cellStyle name="Percent 3 2 3 3 2" xfId="5420"/>
    <cellStyle name="Percent 3 2 3 3 2 2" xfId="7045"/>
    <cellStyle name="Percent 3 2 3 3 2 2 2" xfId="10131"/>
    <cellStyle name="Percent 3 2 3 3 2 2 2 2" xfId="16324"/>
    <cellStyle name="Percent 3 2 3 3 2 2 2 2 2" xfId="36207"/>
    <cellStyle name="Percent 3 2 3 3 2 2 2 3" xfId="22476"/>
    <cellStyle name="Percent 3 2 3 3 2 2 2 3 2" xfId="42359"/>
    <cellStyle name="Percent 3 2 3 3 2 2 2 4" xfId="30054"/>
    <cellStyle name="Percent 3 2 3 3 2 2 3" xfId="13258"/>
    <cellStyle name="Percent 3 2 3 3 2 2 3 2" xfId="33141"/>
    <cellStyle name="Percent 3 2 3 3 2 2 4" xfId="19410"/>
    <cellStyle name="Percent 3 2 3 3 2 2 4 2" xfId="39293"/>
    <cellStyle name="Percent 3 2 3 3 2 2 5" xfId="26988"/>
    <cellStyle name="Percent 3 2 3 3 2 3" xfId="8596"/>
    <cellStyle name="Percent 3 2 3 3 2 3 2" xfId="14790"/>
    <cellStyle name="Percent 3 2 3 3 2 3 2 2" xfId="34673"/>
    <cellStyle name="Percent 3 2 3 3 2 3 3" xfId="20942"/>
    <cellStyle name="Percent 3 2 3 3 2 3 3 2" xfId="40825"/>
    <cellStyle name="Percent 3 2 3 3 2 3 4" xfId="28520"/>
    <cellStyle name="Percent 3 2 3 3 2 4" xfId="11724"/>
    <cellStyle name="Percent 3 2 3 3 2 4 2" xfId="31607"/>
    <cellStyle name="Percent 3 2 3 3 2 5" xfId="17876"/>
    <cellStyle name="Percent 3 2 3 3 2 5 2" xfId="37759"/>
    <cellStyle name="Percent 3 2 3 3 2 6" xfId="25454"/>
    <cellStyle name="Percent 3 2 3 3 3" xfId="6272"/>
    <cellStyle name="Percent 3 2 3 3 3 2" xfId="9362"/>
    <cellStyle name="Percent 3 2 3 3 3 2 2" xfId="15555"/>
    <cellStyle name="Percent 3 2 3 3 3 2 2 2" xfId="35438"/>
    <cellStyle name="Percent 3 2 3 3 3 2 3" xfId="21707"/>
    <cellStyle name="Percent 3 2 3 3 3 2 3 2" xfId="41590"/>
    <cellStyle name="Percent 3 2 3 3 3 2 4" xfId="29285"/>
    <cellStyle name="Percent 3 2 3 3 3 3" xfId="12489"/>
    <cellStyle name="Percent 3 2 3 3 3 3 2" xfId="32372"/>
    <cellStyle name="Percent 3 2 3 3 3 4" xfId="18641"/>
    <cellStyle name="Percent 3 2 3 3 3 4 2" xfId="38524"/>
    <cellStyle name="Percent 3 2 3 3 3 5" xfId="26219"/>
    <cellStyle name="Percent 3 2 3 3 4" xfId="7827"/>
    <cellStyle name="Percent 3 2 3 3 4 2" xfId="14021"/>
    <cellStyle name="Percent 3 2 3 3 4 2 2" xfId="33904"/>
    <cellStyle name="Percent 3 2 3 3 4 3" xfId="20173"/>
    <cellStyle name="Percent 3 2 3 3 4 3 2" xfId="40056"/>
    <cellStyle name="Percent 3 2 3 3 4 4" xfId="27751"/>
    <cellStyle name="Percent 3 2 3 3 5" xfId="10955"/>
    <cellStyle name="Percent 3 2 3 3 5 2" xfId="30838"/>
    <cellStyle name="Percent 3 2 3 3 6" xfId="17107"/>
    <cellStyle name="Percent 3 2 3 3 6 2" xfId="36990"/>
    <cellStyle name="Percent 3 2 3 3 7" xfId="24685"/>
    <cellStyle name="Percent 3 2 3 4" xfId="4385"/>
    <cellStyle name="Percent 3 2 3 4 2" xfId="5421"/>
    <cellStyle name="Percent 3 2 3 4 2 2" xfId="7046"/>
    <cellStyle name="Percent 3 2 3 4 2 2 2" xfId="10132"/>
    <cellStyle name="Percent 3 2 3 4 2 2 2 2" xfId="16325"/>
    <cellStyle name="Percent 3 2 3 4 2 2 2 2 2" xfId="36208"/>
    <cellStyle name="Percent 3 2 3 4 2 2 2 3" xfId="22477"/>
    <cellStyle name="Percent 3 2 3 4 2 2 2 3 2" xfId="42360"/>
    <cellStyle name="Percent 3 2 3 4 2 2 2 4" xfId="30055"/>
    <cellStyle name="Percent 3 2 3 4 2 2 3" xfId="13259"/>
    <cellStyle name="Percent 3 2 3 4 2 2 3 2" xfId="33142"/>
    <cellStyle name="Percent 3 2 3 4 2 2 4" xfId="19411"/>
    <cellStyle name="Percent 3 2 3 4 2 2 4 2" xfId="39294"/>
    <cellStyle name="Percent 3 2 3 4 2 2 5" xfId="26989"/>
    <cellStyle name="Percent 3 2 3 4 2 3" xfId="8597"/>
    <cellStyle name="Percent 3 2 3 4 2 3 2" xfId="14791"/>
    <cellStyle name="Percent 3 2 3 4 2 3 2 2" xfId="34674"/>
    <cellStyle name="Percent 3 2 3 4 2 3 3" xfId="20943"/>
    <cellStyle name="Percent 3 2 3 4 2 3 3 2" xfId="40826"/>
    <cellStyle name="Percent 3 2 3 4 2 3 4" xfId="28521"/>
    <cellStyle name="Percent 3 2 3 4 2 4" xfId="11725"/>
    <cellStyle name="Percent 3 2 3 4 2 4 2" xfId="31608"/>
    <cellStyle name="Percent 3 2 3 4 2 5" xfId="17877"/>
    <cellStyle name="Percent 3 2 3 4 2 5 2" xfId="37760"/>
    <cellStyle name="Percent 3 2 3 4 2 6" xfId="25455"/>
    <cellStyle name="Percent 3 2 3 4 3" xfId="6273"/>
    <cellStyle name="Percent 3 2 3 4 3 2" xfId="9363"/>
    <cellStyle name="Percent 3 2 3 4 3 2 2" xfId="15556"/>
    <cellStyle name="Percent 3 2 3 4 3 2 2 2" xfId="35439"/>
    <cellStyle name="Percent 3 2 3 4 3 2 3" xfId="21708"/>
    <cellStyle name="Percent 3 2 3 4 3 2 3 2" xfId="41591"/>
    <cellStyle name="Percent 3 2 3 4 3 2 4" xfId="29286"/>
    <cellStyle name="Percent 3 2 3 4 3 3" xfId="12490"/>
    <cellStyle name="Percent 3 2 3 4 3 3 2" xfId="32373"/>
    <cellStyle name="Percent 3 2 3 4 3 4" xfId="18642"/>
    <cellStyle name="Percent 3 2 3 4 3 4 2" xfId="38525"/>
    <cellStyle name="Percent 3 2 3 4 3 5" xfId="26220"/>
    <cellStyle name="Percent 3 2 3 4 4" xfId="7828"/>
    <cellStyle name="Percent 3 2 3 4 4 2" xfId="14022"/>
    <cellStyle name="Percent 3 2 3 4 4 2 2" xfId="33905"/>
    <cellStyle name="Percent 3 2 3 4 4 3" xfId="20174"/>
    <cellStyle name="Percent 3 2 3 4 4 3 2" xfId="40057"/>
    <cellStyle name="Percent 3 2 3 4 4 4" xfId="27752"/>
    <cellStyle name="Percent 3 2 3 4 5" xfId="10956"/>
    <cellStyle name="Percent 3 2 3 4 5 2" xfId="30839"/>
    <cellStyle name="Percent 3 2 3 4 6" xfId="17108"/>
    <cellStyle name="Percent 3 2 3 4 6 2" xfId="36991"/>
    <cellStyle name="Percent 3 2 3 4 7" xfId="24686"/>
    <cellStyle name="Percent 3 2 3 5" xfId="4386"/>
    <cellStyle name="Percent 3 2 3 5 2" xfId="5422"/>
    <cellStyle name="Percent 3 2 3 5 2 2" xfId="7047"/>
    <cellStyle name="Percent 3 2 3 5 2 2 2" xfId="10133"/>
    <cellStyle name="Percent 3 2 3 5 2 2 2 2" xfId="16326"/>
    <cellStyle name="Percent 3 2 3 5 2 2 2 2 2" xfId="36209"/>
    <cellStyle name="Percent 3 2 3 5 2 2 2 3" xfId="22478"/>
    <cellStyle name="Percent 3 2 3 5 2 2 2 3 2" xfId="42361"/>
    <cellStyle name="Percent 3 2 3 5 2 2 2 4" xfId="30056"/>
    <cellStyle name="Percent 3 2 3 5 2 2 3" xfId="13260"/>
    <cellStyle name="Percent 3 2 3 5 2 2 3 2" xfId="33143"/>
    <cellStyle name="Percent 3 2 3 5 2 2 4" xfId="19412"/>
    <cellStyle name="Percent 3 2 3 5 2 2 4 2" xfId="39295"/>
    <cellStyle name="Percent 3 2 3 5 2 2 5" xfId="26990"/>
    <cellStyle name="Percent 3 2 3 5 2 3" xfId="8598"/>
    <cellStyle name="Percent 3 2 3 5 2 3 2" xfId="14792"/>
    <cellStyle name="Percent 3 2 3 5 2 3 2 2" xfId="34675"/>
    <cellStyle name="Percent 3 2 3 5 2 3 3" xfId="20944"/>
    <cellStyle name="Percent 3 2 3 5 2 3 3 2" xfId="40827"/>
    <cellStyle name="Percent 3 2 3 5 2 3 4" xfId="28522"/>
    <cellStyle name="Percent 3 2 3 5 2 4" xfId="11726"/>
    <cellStyle name="Percent 3 2 3 5 2 4 2" xfId="31609"/>
    <cellStyle name="Percent 3 2 3 5 2 5" xfId="17878"/>
    <cellStyle name="Percent 3 2 3 5 2 5 2" xfId="37761"/>
    <cellStyle name="Percent 3 2 3 5 2 6" xfId="25456"/>
    <cellStyle name="Percent 3 2 3 5 3" xfId="6274"/>
    <cellStyle name="Percent 3 2 3 5 3 2" xfId="9364"/>
    <cellStyle name="Percent 3 2 3 5 3 2 2" xfId="15557"/>
    <cellStyle name="Percent 3 2 3 5 3 2 2 2" xfId="35440"/>
    <cellStyle name="Percent 3 2 3 5 3 2 3" xfId="21709"/>
    <cellStyle name="Percent 3 2 3 5 3 2 3 2" xfId="41592"/>
    <cellStyle name="Percent 3 2 3 5 3 2 4" xfId="29287"/>
    <cellStyle name="Percent 3 2 3 5 3 3" xfId="12491"/>
    <cellStyle name="Percent 3 2 3 5 3 3 2" xfId="32374"/>
    <cellStyle name="Percent 3 2 3 5 3 4" xfId="18643"/>
    <cellStyle name="Percent 3 2 3 5 3 4 2" xfId="38526"/>
    <cellStyle name="Percent 3 2 3 5 3 5" xfId="26221"/>
    <cellStyle name="Percent 3 2 3 5 4" xfId="7829"/>
    <cellStyle name="Percent 3 2 3 5 4 2" xfId="14023"/>
    <cellStyle name="Percent 3 2 3 5 4 2 2" xfId="33906"/>
    <cellStyle name="Percent 3 2 3 5 4 3" xfId="20175"/>
    <cellStyle name="Percent 3 2 3 5 4 3 2" xfId="40058"/>
    <cellStyle name="Percent 3 2 3 5 4 4" xfId="27753"/>
    <cellStyle name="Percent 3 2 3 5 5" xfId="10957"/>
    <cellStyle name="Percent 3 2 3 5 5 2" xfId="30840"/>
    <cellStyle name="Percent 3 2 3 5 6" xfId="17109"/>
    <cellStyle name="Percent 3 2 3 5 6 2" xfId="36992"/>
    <cellStyle name="Percent 3 2 3 5 7" xfId="24687"/>
    <cellStyle name="Percent 3 2 3 6" xfId="5418"/>
    <cellStyle name="Percent 3 2 3 6 2" xfId="7043"/>
    <cellStyle name="Percent 3 2 3 6 2 2" xfId="10129"/>
    <cellStyle name="Percent 3 2 3 6 2 2 2" xfId="16322"/>
    <cellStyle name="Percent 3 2 3 6 2 2 2 2" xfId="36205"/>
    <cellStyle name="Percent 3 2 3 6 2 2 3" xfId="22474"/>
    <cellStyle name="Percent 3 2 3 6 2 2 3 2" xfId="42357"/>
    <cellStyle name="Percent 3 2 3 6 2 2 4" xfId="30052"/>
    <cellStyle name="Percent 3 2 3 6 2 3" xfId="13256"/>
    <cellStyle name="Percent 3 2 3 6 2 3 2" xfId="33139"/>
    <cellStyle name="Percent 3 2 3 6 2 4" xfId="19408"/>
    <cellStyle name="Percent 3 2 3 6 2 4 2" xfId="39291"/>
    <cellStyle name="Percent 3 2 3 6 2 5" xfId="26986"/>
    <cellStyle name="Percent 3 2 3 6 3" xfId="8594"/>
    <cellStyle name="Percent 3 2 3 6 3 2" xfId="14788"/>
    <cellStyle name="Percent 3 2 3 6 3 2 2" xfId="34671"/>
    <cellStyle name="Percent 3 2 3 6 3 3" xfId="20940"/>
    <cellStyle name="Percent 3 2 3 6 3 3 2" xfId="40823"/>
    <cellStyle name="Percent 3 2 3 6 3 4" xfId="28518"/>
    <cellStyle name="Percent 3 2 3 6 4" xfId="11722"/>
    <cellStyle name="Percent 3 2 3 6 4 2" xfId="31605"/>
    <cellStyle name="Percent 3 2 3 6 5" xfId="17874"/>
    <cellStyle name="Percent 3 2 3 6 5 2" xfId="37757"/>
    <cellStyle name="Percent 3 2 3 6 6" xfId="25452"/>
    <cellStyle name="Percent 3 2 3 7" xfId="6270"/>
    <cellStyle name="Percent 3 2 3 7 2" xfId="9360"/>
    <cellStyle name="Percent 3 2 3 7 2 2" xfId="15553"/>
    <cellStyle name="Percent 3 2 3 7 2 2 2" xfId="35436"/>
    <cellStyle name="Percent 3 2 3 7 2 3" xfId="21705"/>
    <cellStyle name="Percent 3 2 3 7 2 3 2" xfId="41588"/>
    <cellStyle name="Percent 3 2 3 7 2 4" xfId="29283"/>
    <cellStyle name="Percent 3 2 3 7 3" xfId="12487"/>
    <cellStyle name="Percent 3 2 3 7 3 2" xfId="32370"/>
    <cellStyle name="Percent 3 2 3 7 4" xfId="18639"/>
    <cellStyle name="Percent 3 2 3 7 4 2" xfId="38522"/>
    <cellStyle name="Percent 3 2 3 7 5" xfId="26217"/>
    <cellStyle name="Percent 3 2 3 8" xfId="7825"/>
    <cellStyle name="Percent 3 2 3 8 2" xfId="14019"/>
    <cellStyle name="Percent 3 2 3 8 2 2" xfId="33902"/>
    <cellStyle name="Percent 3 2 3 8 3" xfId="20171"/>
    <cellStyle name="Percent 3 2 3 8 3 2" xfId="40054"/>
    <cellStyle name="Percent 3 2 3 8 4" xfId="27749"/>
    <cellStyle name="Percent 3 2 3 9" xfId="10953"/>
    <cellStyle name="Percent 3 2 3 9 2" xfId="30836"/>
    <cellStyle name="Percent 3 2 4" xfId="4387"/>
    <cellStyle name="Percent 3 2 4 2" xfId="4388"/>
    <cellStyle name="Percent 3 2 4 2 2" xfId="5424"/>
    <cellStyle name="Percent 3 2 4 2 2 2" xfId="7049"/>
    <cellStyle name="Percent 3 2 4 2 2 2 2" xfId="10135"/>
    <cellStyle name="Percent 3 2 4 2 2 2 2 2" xfId="16328"/>
    <cellStyle name="Percent 3 2 4 2 2 2 2 2 2" xfId="36211"/>
    <cellStyle name="Percent 3 2 4 2 2 2 2 3" xfId="22480"/>
    <cellStyle name="Percent 3 2 4 2 2 2 2 3 2" xfId="42363"/>
    <cellStyle name="Percent 3 2 4 2 2 2 2 4" xfId="30058"/>
    <cellStyle name="Percent 3 2 4 2 2 2 3" xfId="13262"/>
    <cellStyle name="Percent 3 2 4 2 2 2 3 2" xfId="33145"/>
    <cellStyle name="Percent 3 2 4 2 2 2 4" xfId="19414"/>
    <cellStyle name="Percent 3 2 4 2 2 2 4 2" xfId="39297"/>
    <cellStyle name="Percent 3 2 4 2 2 2 5" xfId="26992"/>
    <cellStyle name="Percent 3 2 4 2 2 3" xfId="8600"/>
    <cellStyle name="Percent 3 2 4 2 2 3 2" xfId="14794"/>
    <cellStyle name="Percent 3 2 4 2 2 3 2 2" xfId="34677"/>
    <cellStyle name="Percent 3 2 4 2 2 3 3" xfId="20946"/>
    <cellStyle name="Percent 3 2 4 2 2 3 3 2" xfId="40829"/>
    <cellStyle name="Percent 3 2 4 2 2 3 4" xfId="28524"/>
    <cellStyle name="Percent 3 2 4 2 2 4" xfId="11728"/>
    <cellStyle name="Percent 3 2 4 2 2 4 2" xfId="31611"/>
    <cellStyle name="Percent 3 2 4 2 2 5" xfId="17880"/>
    <cellStyle name="Percent 3 2 4 2 2 5 2" xfId="37763"/>
    <cellStyle name="Percent 3 2 4 2 2 6" xfId="25458"/>
    <cellStyle name="Percent 3 2 4 2 3" xfId="6276"/>
    <cellStyle name="Percent 3 2 4 2 3 2" xfId="9366"/>
    <cellStyle name="Percent 3 2 4 2 3 2 2" xfId="15559"/>
    <cellStyle name="Percent 3 2 4 2 3 2 2 2" xfId="35442"/>
    <cellStyle name="Percent 3 2 4 2 3 2 3" xfId="21711"/>
    <cellStyle name="Percent 3 2 4 2 3 2 3 2" xfId="41594"/>
    <cellStyle name="Percent 3 2 4 2 3 2 4" xfId="29289"/>
    <cellStyle name="Percent 3 2 4 2 3 3" xfId="12493"/>
    <cellStyle name="Percent 3 2 4 2 3 3 2" xfId="32376"/>
    <cellStyle name="Percent 3 2 4 2 3 4" xfId="18645"/>
    <cellStyle name="Percent 3 2 4 2 3 4 2" xfId="38528"/>
    <cellStyle name="Percent 3 2 4 2 3 5" xfId="26223"/>
    <cellStyle name="Percent 3 2 4 2 4" xfId="7831"/>
    <cellStyle name="Percent 3 2 4 2 4 2" xfId="14025"/>
    <cellStyle name="Percent 3 2 4 2 4 2 2" xfId="33908"/>
    <cellStyle name="Percent 3 2 4 2 4 3" xfId="20177"/>
    <cellStyle name="Percent 3 2 4 2 4 3 2" xfId="40060"/>
    <cellStyle name="Percent 3 2 4 2 4 4" xfId="27755"/>
    <cellStyle name="Percent 3 2 4 2 5" xfId="10959"/>
    <cellStyle name="Percent 3 2 4 2 5 2" xfId="30842"/>
    <cellStyle name="Percent 3 2 4 2 6" xfId="17111"/>
    <cellStyle name="Percent 3 2 4 2 6 2" xfId="36994"/>
    <cellStyle name="Percent 3 2 4 2 7" xfId="24689"/>
    <cellStyle name="Percent 3 2 4 3" xfId="5423"/>
    <cellStyle name="Percent 3 2 4 3 2" xfId="7048"/>
    <cellStyle name="Percent 3 2 4 3 2 2" xfId="10134"/>
    <cellStyle name="Percent 3 2 4 3 2 2 2" xfId="16327"/>
    <cellStyle name="Percent 3 2 4 3 2 2 2 2" xfId="36210"/>
    <cellStyle name="Percent 3 2 4 3 2 2 3" xfId="22479"/>
    <cellStyle name="Percent 3 2 4 3 2 2 3 2" xfId="42362"/>
    <cellStyle name="Percent 3 2 4 3 2 2 4" xfId="30057"/>
    <cellStyle name="Percent 3 2 4 3 2 3" xfId="13261"/>
    <cellStyle name="Percent 3 2 4 3 2 3 2" xfId="33144"/>
    <cellStyle name="Percent 3 2 4 3 2 4" xfId="19413"/>
    <cellStyle name="Percent 3 2 4 3 2 4 2" xfId="39296"/>
    <cellStyle name="Percent 3 2 4 3 2 5" xfId="26991"/>
    <cellStyle name="Percent 3 2 4 3 3" xfId="8599"/>
    <cellStyle name="Percent 3 2 4 3 3 2" xfId="14793"/>
    <cellStyle name="Percent 3 2 4 3 3 2 2" xfId="34676"/>
    <cellStyle name="Percent 3 2 4 3 3 3" xfId="20945"/>
    <cellStyle name="Percent 3 2 4 3 3 3 2" xfId="40828"/>
    <cellStyle name="Percent 3 2 4 3 3 4" xfId="28523"/>
    <cellStyle name="Percent 3 2 4 3 4" xfId="11727"/>
    <cellStyle name="Percent 3 2 4 3 4 2" xfId="31610"/>
    <cellStyle name="Percent 3 2 4 3 5" xfId="17879"/>
    <cellStyle name="Percent 3 2 4 3 5 2" xfId="37762"/>
    <cellStyle name="Percent 3 2 4 3 6" xfId="25457"/>
    <cellStyle name="Percent 3 2 4 4" xfId="6275"/>
    <cellStyle name="Percent 3 2 4 4 2" xfId="9365"/>
    <cellStyle name="Percent 3 2 4 4 2 2" xfId="15558"/>
    <cellStyle name="Percent 3 2 4 4 2 2 2" xfId="35441"/>
    <cellStyle name="Percent 3 2 4 4 2 3" xfId="21710"/>
    <cellStyle name="Percent 3 2 4 4 2 3 2" xfId="41593"/>
    <cellStyle name="Percent 3 2 4 4 2 4" xfId="29288"/>
    <cellStyle name="Percent 3 2 4 4 3" xfId="12492"/>
    <cellStyle name="Percent 3 2 4 4 3 2" xfId="32375"/>
    <cellStyle name="Percent 3 2 4 4 4" xfId="18644"/>
    <cellStyle name="Percent 3 2 4 4 4 2" xfId="38527"/>
    <cellStyle name="Percent 3 2 4 4 5" xfId="26222"/>
    <cellStyle name="Percent 3 2 4 5" xfId="7830"/>
    <cellStyle name="Percent 3 2 4 5 2" xfId="14024"/>
    <cellStyle name="Percent 3 2 4 5 2 2" xfId="33907"/>
    <cellStyle name="Percent 3 2 4 5 3" xfId="20176"/>
    <cellStyle name="Percent 3 2 4 5 3 2" xfId="40059"/>
    <cellStyle name="Percent 3 2 4 5 4" xfId="27754"/>
    <cellStyle name="Percent 3 2 4 6" xfId="10958"/>
    <cellStyle name="Percent 3 2 4 6 2" xfId="30841"/>
    <cellStyle name="Percent 3 2 4 7" xfId="17110"/>
    <cellStyle name="Percent 3 2 4 7 2" xfId="36993"/>
    <cellStyle name="Percent 3 2 4 8" xfId="24688"/>
    <cellStyle name="Percent 3 2 5" xfId="4389"/>
    <cellStyle name="Percent 3 2 5 2" xfId="4390"/>
    <cellStyle name="Percent 3 2 5 2 2" xfId="5426"/>
    <cellStyle name="Percent 3 2 5 2 2 2" xfId="7051"/>
    <cellStyle name="Percent 3 2 5 2 2 2 2" xfId="10137"/>
    <cellStyle name="Percent 3 2 5 2 2 2 2 2" xfId="16330"/>
    <cellStyle name="Percent 3 2 5 2 2 2 2 2 2" xfId="36213"/>
    <cellStyle name="Percent 3 2 5 2 2 2 2 3" xfId="22482"/>
    <cellStyle name="Percent 3 2 5 2 2 2 2 3 2" xfId="42365"/>
    <cellStyle name="Percent 3 2 5 2 2 2 2 4" xfId="30060"/>
    <cellStyle name="Percent 3 2 5 2 2 2 3" xfId="13264"/>
    <cellStyle name="Percent 3 2 5 2 2 2 3 2" xfId="33147"/>
    <cellStyle name="Percent 3 2 5 2 2 2 4" xfId="19416"/>
    <cellStyle name="Percent 3 2 5 2 2 2 4 2" xfId="39299"/>
    <cellStyle name="Percent 3 2 5 2 2 2 5" xfId="26994"/>
    <cellStyle name="Percent 3 2 5 2 2 3" xfId="8602"/>
    <cellStyle name="Percent 3 2 5 2 2 3 2" xfId="14796"/>
    <cellStyle name="Percent 3 2 5 2 2 3 2 2" xfId="34679"/>
    <cellStyle name="Percent 3 2 5 2 2 3 3" xfId="20948"/>
    <cellStyle name="Percent 3 2 5 2 2 3 3 2" xfId="40831"/>
    <cellStyle name="Percent 3 2 5 2 2 3 4" xfId="28526"/>
    <cellStyle name="Percent 3 2 5 2 2 4" xfId="11730"/>
    <cellStyle name="Percent 3 2 5 2 2 4 2" xfId="31613"/>
    <cellStyle name="Percent 3 2 5 2 2 5" xfId="17882"/>
    <cellStyle name="Percent 3 2 5 2 2 5 2" xfId="37765"/>
    <cellStyle name="Percent 3 2 5 2 2 6" xfId="25460"/>
    <cellStyle name="Percent 3 2 5 2 3" xfId="6278"/>
    <cellStyle name="Percent 3 2 5 2 3 2" xfId="9368"/>
    <cellStyle name="Percent 3 2 5 2 3 2 2" xfId="15561"/>
    <cellStyle name="Percent 3 2 5 2 3 2 2 2" xfId="35444"/>
    <cellStyle name="Percent 3 2 5 2 3 2 3" xfId="21713"/>
    <cellStyle name="Percent 3 2 5 2 3 2 3 2" xfId="41596"/>
    <cellStyle name="Percent 3 2 5 2 3 2 4" xfId="29291"/>
    <cellStyle name="Percent 3 2 5 2 3 3" xfId="12495"/>
    <cellStyle name="Percent 3 2 5 2 3 3 2" xfId="32378"/>
    <cellStyle name="Percent 3 2 5 2 3 4" xfId="18647"/>
    <cellStyle name="Percent 3 2 5 2 3 4 2" xfId="38530"/>
    <cellStyle name="Percent 3 2 5 2 3 5" xfId="26225"/>
    <cellStyle name="Percent 3 2 5 2 4" xfId="7833"/>
    <cellStyle name="Percent 3 2 5 2 4 2" xfId="14027"/>
    <cellStyle name="Percent 3 2 5 2 4 2 2" xfId="33910"/>
    <cellStyle name="Percent 3 2 5 2 4 3" xfId="20179"/>
    <cellStyle name="Percent 3 2 5 2 4 3 2" xfId="40062"/>
    <cellStyle name="Percent 3 2 5 2 4 4" xfId="27757"/>
    <cellStyle name="Percent 3 2 5 2 5" xfId="10961"/>
    <cellStyle name="Percent 3 2 5 2 5 2" xfId="30844"/>
    <cellStyle name="Percent 3 2 5 2 6" xfId="17113"/>
    <cellStyle name="Percent 3 2 5 2 6 2" xfId="36996"/>
    <cellStyle name="Percent 3 2 5 2 7" xfId="24691"/>
    <cellStyle name="Percent 3 2 5 3" xfId="5425"/>
    <cellStyle name="Percent 3 2 5 3 2" xfId="7050"/>
    <cellStyle name="Percent 3 2 5 3 2 2" xfId="10136"/>
    <cellStyle name="Percent 3 2 5 3 2 2 2" xfId="16329"/>
    <cellStyle name="Percent 3 2 5 3 2 2 2 2" xfId="36212"/>
    <cellStyle name="Percent 3 2 5 3 2 2 3" xfId="22481"/>
    <cellStyle name="Percent 3 2 5 3 2 2 3 2" xfId="42364"/>
    <cellStyle name="Percent 3 2 5 3 2 2 4" xfId="30059"/>
    <cellStyle name="Percent 3 2 5 3 2 3" xfId="13263"/>
    <cellStyle name="Percent 3 2 5 3 2 3 2" xfId="33146"/>
    <cellStyle name="Percent 3 2 5 3 2 4" xfId="19415"/>
    <cellStyle name="Percent 3 2 5 3 2 4 2" xfId="39298"/>
    <cellStyle name="Percent 3 2 5 3 2 5" xfId="26993"/>
    <cellStyle name="Percent 3 2 5 3 3" xfId="8601"/>
    <cellStyle name="Percent 3 2 5 3 3 2" xfId="14795"/>
    <cellStyle name="Percent 3 2 5 3 3 2 2" xfId="34678"/>
    <cellStyle name="Percent 3 2 5 3 3 3" xfId="20947"/>
    <cellStyle name="Percent 3 2 5 3 3 3 2" xfId="40830"/>
    <cellStyle name="Percent 3 2 5 3 3 4" xfId="28525"/>
    <cellStyle name="Percent 3 2 5 3 4" xfId="11729"/>
    <cellStyle name="Percent 3 2 5 3 4 2" xfId="31612"/>
    <cellStyle name="Percent 3 2 5 3 5" xfId="17881"/>
    <cellStyle name="Percent 3 2 5 3 5 2" xfId="37764"/>
    <cellStyle name="Percent 3 2 5 3 6" xfId="25459"/>
    <cellStyle name="Percent 3 2 5 4" xfId="6277"/>
    <cellStyle name="Percent 3 2 5 4 2" xfId="9367"/>
    <cellStyle name="Percent 3 2 5 4 2 2" xfId="15560"/>
    <cellStyle name="Percent 3 2 5 4 2 2 2" xfId="35443"/>
    <cellStyle name="Percent 3 2 5 4 2 3" xfId="21712"/>
    <cellStyle name="Percent 3 2 5 4 2 3 2" xfId="41595"/>
    <cellStyle name="Percent 3 2 5 4 2 4" xfId="29290"/>
    <cellStyle name="Percent 3 2 5 4 3" xfId="12494"/>
    <cellStyle name="Percent 3 2 5 4 3 2" xfId="32377"/>
    <cellStyle name="Percent 3 2 5 4 4" xfId="18646"/>
    <cellStyle name="Percent 3 2 5 4 4 2" xfId="38529"/>
    <cellStyle name="Percent 3 2 5 4 5" xfId="26224"/>
    <cellStyle name="Percent 3 2 5 5" xfId="7832"/>
    <cellStyle name="Percent 3 2 5 5 2" xfId="14026"/>
    <cellStyle name="Percent 3 2 5 5 2 2" xfId="33909"/>
    <cellStyle name="Percent 3 2 5 5 3" xfId="20178"/>
    <cellStyle name="Percent 3 2 5 5 3 2" xfId="40061"/>
    <cellStyle name="Percent 3 2 5 5 4" xfId="27756"/>
    <cellStyle name="Percent 3 2 5 6" xfId="10960"/>
    <cellStyle name="Percent 3 2 5 6 2" xfId="30843"/>
    <cellStyle name="Percent 3 2 5 7" xfId="17112"/>
    <cellStyle name="Percent 3 2 5 7 2" xfId="36995"/>
    <cellStyle name="Percent 3 2 5 8" xfId="24690"/>
    <cellStyle name="Percent 3 2 6" xfId="4391"/>
    <cellStyle name="Percent 3 2 6 2" xfId="4392"/>
    <cellStyle name="Percent 3 2 6 2 2" xfId="5428"/>
    <cellStyle name="Percent 3 2 6 2 2 2" xfId="7053"/>
    <cellStyle name="Percent 3 2 6 2 2 2 2" xfId="10139"/>
    <cellStyle name="Percent 3 2 6 2 2 2 2 2" xfId="16332"/>
    <cellStyle name="Percent 3 2 6 2 2 2 2 2 2" xfId="36215"/>
    <cellStyle name="Percent 3 2 6 2 2 2 2 3" xfId="22484"/>
    <cellStyle name="Percent 3 2 6 2 2 2 2 3 2" xfId="42367"/>
    <cellStyle name="Percent 3 2 6 2 2 2 2 4" xfId="30062"/>
    <cellStyle name="Percent 3 2 6 2 2 2 3" xfId="13266"/>
    <cellStyle name="Percent 3 2 6 2 2 2 3 2" xfId="33149"/>
    <cellStyle name="Percent 3 2 6 2 2 2 4" xfId="19418"/>
    <cellStyle name="Percent 3 2 6 2 2 2 4 2" xfId="39301"/>
    <cellStyle name="Percent 3 2 6 2 2 2 5" xfId="26996"/>
    <cellStyle name="Percent 3 2 6 2 2 3" xfId="8604"/>
    <cellStyle name="Percent 3 2 6 2 2 3 2" xfId="14798"/>
    <cellStyle name="Percent 3 2 6 2 2 3 2 2" xfId="34681"/>
    <cellStyle name="Percent 3 2 6 2 2 3 3" xfId="20950"/>
    <cellStyle name="Percent 3 2 6 2 2 3 3 2" xfId="40833"/>
    <cellStyle name="Percent 3 2 6 2 2 3 4" xfId="28528"/>
    <cellStyle name="Percent 3 2 6 2 2 4" xfId="11732"/>
    <cellStyle name="Percent 3 2 6 2 2 4 2" xfId="31615"/>
    <cellStyle name="Percent 3 2 6 2 2 5" xfId="17884"/>
    <cellStyle name="Percent 3 2 6 2 2 5 2" xfId="37767"/>
    <cellStyle name="Percent 3 2 6 2 2 6" xfId="25462"/>
    <cellStyle name="Percent 3 2 6 2 3" xfId="6280"/>
    <cellStyle name="Percent 3 2 6 2 3 2" xfId="9370"/>
    <cellStyle name="Percent 3 2 6 2 3 2 2" xfId="15563"/>
    <cellStyle name="Percent 3 2 6 2 3 2 2 2" xfId="35446"/>
    <cellStyle name="Percent 3 2 6 2 3 2 3" xfId="21715"/>
    <cellStyle name="Percent 3 2 6 2 3 2 3 2" xfId="41598"/>
    <cellStyle name="Percent 3 2 6 2 3 2 4" xfId="29293"/>
    <cellStyle name="Percent 3 2 6 2 3 3" xfId="12497"/>
    <cellStyle name="Percent 3 2 6 2 3 3 2" xfId="32380"/>
    <cellStyle name="Percent 3 2 6 2 3 4" xfId="18649"/>
    <cellStyle name="Percent 3 2 6 2 3 4 2" xfId="38532"/>
    <cellStyle name="Percent 3 2 6 2 3 5" xfId="26227"/>
    <cellStyle name="Percent 3 2 6 2 4" xfId="7835"/>
    <cellStyle name="Percent 3 2 6 2 4 2" xfId="14029"/>
    <cellStyle name="Percent 3 2 6 2 4 2 2" xfId="33912"/>
    <cellStyle name="Percent 3 2 6 2 4 3" xfId="20181"/>
    <cellStyle name="Percent 3 2 6 2 4 3 2" xfId="40064"/>
    <cellStyle name="Percent 3 2 6 2 4 4" xfId="27759"/>
    <cellStyle name="Percent 3 2 6 2 5" xfId="10963"/>
    <cellStyle name="Percent 3 2 6 2 5 2" xfId="30846"/>
    <cellStyle name="Percent 3 2 6 2 6" xfId="17115"/>
    <cellStyle name="Percent 3 2 6 2 6 2" xfId="36998"/>
    <cellStyle name="Percent 3 2 6 2 7" xfId="24693"/>
    <cellStyle name="Percent 3 2 6 3" xfId="5427"/>
    <cellStyle name="Percent 3 2 6 3 2" xfId="7052"/>
    <cellStyle name="Percent 3 2 6 3 2 2" xfId="10138"/>
    <cellStyle name="Percent 3 2 6 3 2 2 2" xfId="16331"/>
    <cellStyle name="Percent 3 2 6 3 2 2 2 2" xfId="36214"/>
    <cellStyle name="Percent 3 2 6 3 2 2 3" xfId="22483"/>
    <cellStyle name="Percent 3 2 6 3 2 2 3 2" xfId="42366"/>
    <cellStyle name="Percent 3 2 6 3 2 2 4" xfId="30061"/>
    <cellStyle name="Percent 3 2 6 3 2 3" xfId="13265"/>
    <cellStyle name="Percent 3 2 6 3 2 3 2" xfId="33148"/>
    <cellStyle name="Percent 3 2 6 3 2 4" xfId="19417"/>
    <cellStyle name="Percent 3 2 6 3 2 4 2" xfId="39300"/>
    <cellStyle name="Percent 3 2 6 3 2 5" xfId="26995"/>
    <cellStyle name="Percent 3 2 6 3 3" xfId="8603"/>
    <cellStyle name="Percent 3 2 6 3 3 2" xfId="14797"/>
    <cellStyle name="Percent 3 2 6 3 3 2 2" xfId="34680"/>
    <cellStyle name="Percent 3 2 6 3 3 3" xfId="20949"/>
    <cellStyle name="Percent 3 2 6 3 3 3 2" xfId="40832"/>
    <cellStyle name="Percent 3 2 6 3 3 4" xfId="28527"/>
    <cellStyle name="Percent 3 2 6 3 4" xfId="11731"/>
    <cellStyle name="Percent 3 2 6 3 4 2" xfId="31614"/>
    <cellStyle name="Percent 3 2 6 3 5" xfId="17883"/>
    <cellStyle name="Percent 3 2 6 3 5 2" xfId="37766"/>
    <cellStyle name="Percent 3 2 6 3 6" xfId="25461"/>
    <cellStyle name="Percent 3 2 6 4" xfId="6279"/>
    <cellStyle name="Percent 3 2 6 4 2" xfId="9369"/>
    <cellStyle name="Percent 3 2 6 4 2 2" xfId="15562"/>
    <cellStyle name="Percent 3 2 6 4 2 2 2" xfId="35445"/>
    <cellStyle name="Percent 3 2 6 4 2 3" xfId="21714"/>
    <cellStyle name="Percent 3 2 6 4 2 3 2" xfId="41597"/>
    <cellStyle name="Percent 3 2 6 4 2 4" xfId="29292"/>
    <cellStyle name="Percent 3 2 6 4 3" xfId="12496"/>
    <cellStyle name="Percent 3 2 6 4 3 2" xfId="32379"/>
    <cellStyle name="Percent 3 2 6 4 4" xfId="18648"/>
    <cellStyle name="Percent 3 2 6 4 4 2" xfId="38531"/>
    <cellStyle name="Percent 3 2 6 4 5" xfId="26226"/>
    <cellStyle name="Percent 3 2 6 5" xfId="7834"/>
    <cellStyle name="Percent 3 2 6 5 2" xfId="14028"/>
    <cellStyle name="Percent 3 2 6 5 2 2" xfId="33911"/>
    <cellStyle name="Percent 3 2 6 5 3" xfId="20180"/>
    <cellStyle name="Percent 3 2 6 5 3 2" xfId="40063"/>
    <cellStyle name="Percent 3 2 6 5 4" xfId="27758"/>
    <cellStyle name="Percent 3 2 6 6" xfId="10962"/>
    <cellStyle name="Percent 3 2 6 6 2" xfId="30845"/>
    <cellStyle name="Percent 3 2 6 7" xfId="17114"/>
    <cellStyle name="Percent 3 2 6 7 2" xfId="36997"/>
    <cellStyle name="Percent 3 2 6 8" xfId="24692"/>
    <cellStyle name="Percent 3 2 7" xfId="4393"/>
    <cellStyle name="Percent 3 2 7 2" xfId="5429"/>
    <cellStyle name="Percent 3 2 7 2 2" xfId="7054"/>
    <cellStyle name="Percent 3 2 7 2 2 2" xfId="10140"/>
    <cellStyle name="Percent 3 2 7 2 2 2 2" xfId="16333"/>
    <cellStyle name="Percent 3 2 7 2 2 2 2 2" xfId="36216"/>
    <cellStyle name="Percent 3 2 7 2 2 2 3" xfId="22485"/>
    <cellStyle name="Percent 3 2 7 2 2 2 3 2" xfId="42368"/>
    <cellStyle name="Percent 3 2 7 2 2 2 4" xfId="30063"/>
    <cellStyle name="Percent 3 2 7 2 2 3" xfId="13267"/>
    <cellStyle name="Percent 3 2 7 2 2 3 2" xfId="33150"/>
    <cellStyle name="Percent 3 2 7 2 2 4" xfId="19419"/>
    <cellStyle name="Percent 3 2 7 2 2 4 2" xfId="39302"/>
    <cellStyle name="Percent 3 2 7 2 2 5" xfId="26997"/>
    <cellStyle name="Percent 3 2 7 2 3" xfId="8605"/>
    <cellStyle name="Percent 3 2 7 2 3 2" xfId="14799"/>
    <cellStyle name="Percent 3 2 7 2 3 2 2" xfId="34682"/>
    <cellStyle name="Percent 3 2 7 2 3 3" xfId="20951"/>
    <cellStyle name="Percent 3 2 7 2 3 3 2" xfId="40834"/>
    <cellStyle name="Percent 3 2 7 2 3 4" xfId="28529"/>
    <cellStyle name="Percent 3 2 7 2 4" xfId="11733"/>
    <cellStyle name="Percent 3 2 7 2 4 2" xfId="31616"/>
    <cellStyle name="Percent 3 2 7 2 5" xfId="17885"/>
    <cellStyle name="Percent 3 2 7 2 5 2" xfId="37768"/>
    <cellStyle name="Percent 3 2 7 2 6" xfId="25463"/>
    <cellStyle name="Percent 3 2 7 3" xfId="6281"/>
    <cellStyle name="Percent 3 2 7 3 2" xfId="9371"/>
    <cellStyle name="Percent 3 2 7 3 2 2" xfId="15564"/>
    <cellStyle name="Percent 3 2 7 3 2 2 2" xfId="35447"/>
    <cellStyle name="Percent 3 2 7 3 2 3" xfId="21716"/>
    <cellStyle name="Percent 3 2 7 3 2 3 2" xfId="41599"/>
    <cellStyle name="Percent 3 2 7 3 2 4" xfId="29294"/>
    <cellStyle name="Percent 3 2 7 3 3" xfId="12498"/>
    <cellStyle name="Percent 3 2 7 3 3 2" xfId="32381"/>
    <cellStyle name="Percent 3 2 7 3 4" xfId="18650"/>
    <cellStyle name="Percent 3 2 7 3 4 2" xfId="38533"/>
    <cellStyle name="Percent 3 2 7 3 5" xfId="26228"/>
    <cellStyle name="Percent 3 2 7 4" xfId="7836"/>
    <cellStyle name="Percent 3 2 7 4 2" xfId="14030"/>
    <cellStyle name="Percent 3 2 7 4 2 2" xfId="33913"/>
    <cellStyle name="Percent 3 2 7 4 3" xfId="20182"/>
    <cellStyle name="Percent 3 2 7 4 3 2" xfId="40065"/>
    <cellStyle name="Percent 3 2 7 4 4" xfId="27760"/>
    <cellStyle name="Percent 3 2 7 5" xfId="10964"/>
    <cellStyle name="Percent 3 2 7 5 2" xfId="30847"/>
    <cellStyle name="Percent 3 2 7 6" xfId="17116"/>
    <cellStyle name="Percent 3 2 7 6 2" xfId="36999"/>
    <cellStyle name="Percent 3 2 7 7" xfId="24694"/>
    <cellStyle name="Percent 3 2 8" xfId="4394"/>
    <cellStyle name="Percent 3 2 8 2" xfId="5430"/>
    <cellStyle name="Percent 3 2 8 2 2" xfId="7055"/>
    <cellStyle name="Percent 3 2 8 2 2 2" xfId="10141"/>
    <cellStyle name="Percent 3 2 8 2 2 2 2" xfId="16334"/>
    <cellStyle name="Percent 3 2 8 2 2 2 2 2" xfId="36217"/>
    <cellStyle name="Percent 3 2 8 2 2 2 3" xfId="22486"/>
    <cellStyle name="Percent 3 2 8 2 2 2 3 2" xfId="42369"/>
    <cellStyle name="Percent 3 2 8 2 2 2 4" xfId="30064"/>
    <cellStyle name="Percent 3 2 8 2 2 3" xfId="13268"/>
    <cellStyle name="Percent 3 2 8 2 2 3 2" xfId="33151"/>
    <cellStyle name="Percent 3 2 8 2 2 4" xfId="19420"/>
    <cellStyle name="Percent 3 2 8 2 2 4 2" xfId="39303"/>
    <cellStyle name="Percent 3 2 8 2 2 5" xfId="26998"/>
    <cellStyle name="Percent 3 2 8 2 3" xfId="8606"/>
    <cellStyle name="Percent 3 2 8 2 3 2" xfId="14800"/>
    <cellStyle name="Percent 3 2 8 2 3 2 2" xfId="34683"/>
    <cellStyle name="Percent 3 2 8 2 3 3" xfId="20952"/>
    <cellStyle name="Percent 3 2 8 2 3 3 2" xfId="40835"/>
    <cellStyle name="Percent 3 2 8 2 3 4" xfId="28530"/>
    <cellStyle name="Percent 3 2 8 2 4" xfId="11734"/>
    <cellStyle name="Percent 3 2 8 2 4 2" xfId="31617"/>
    <cellStyle name="Percent 3 2 8 2 5" xfId="17886"/>
    <cellStyle name="Percent 3 2 8 2 5 2" xfId="37769"/>
    <cellStyle name="Percent 3 2 8 2 6" xfId="25464"/>
    <cellStyle name="Percent 3 2 8 3" xfId="6282"/>
    <cellStyle name="Percent 3 2 8 3 2" xfId="9372"/>
    <cellStyle name="Percent 3 2 8 3 2 2" xfId="15565"/>
    <cellStyle name="Percent 3 2 8 3 2 2 2" xfId="35448"/>
    <cellStyle name="Percent 3 2 8 3 2 3" xfId="21717"/>
    <cellStyle name="Percent 3 2 8 3 2 3 2" xfId="41600"/>
    <cellStyle name="Percent 3 2 8 3 2 4" xfId="29295"/>
    <cellStyle name="Percent 3 2 8 3 3" xfId="12499"/>
    <cellStyle name="Percent 3 2 8 3 3 2" xfId="32382"/>
    <cellStyle name="Percent 3 2 8 3 4" xfId="18651"/>
    <cellStyle name="Percent 3 2 8 3 4 2" xfId="38534"/>
    <cellStyle name="Percent 3 2 8 3 5" xfId="26229"/>
    <cellStyle name="Percent 3 2 8 4" xfId="7837"/>
    <cellStyle name="Percent 3 2 8 4 2" xfId="14031"/>
    <cellStyle name="Percent 3 2 8 4 2 2" xfId="33914"/>
    <cellStyle name="Percent 3 2 8 4 3" xfId="20183"/>
    <cellStyle name="Percent 3 2 8 4 3 2" xfId="40066"/>
    <cellStyle name="Percent 3 2 8 4 4" xfId="27761"/>
    <cellStyle name="Percent 3 2 8 5" xfId="10965"/>
    <cellStyle name="Percent 3 2 8 5 2" xfId="30848"/>
    <cellStyle name="Percent 3 2 8 6" xfId="17117"/>
    <cellStyle name="Percent 3 2 8 6 2" xfId="37000"/>
    <cellStyle name="Percent 3 2 8 7" xfId="24695"/>
    <cellStyle name="Percent 3 2 9" xfId="4395"/>
    <cellStyle name="Percent 3 2 9 2" xfId="5431"/>
    <cellStyle name="Percent 3 2 9 2 2" xfId="7056"/>
    <cellStyle name="Percent 3 2 9 2 2 2" xfId="10142"/>
    <cellStyle name="Percent 3 2 9 2 2 2 2" xfId="16335"/>
    <cellStyle name="Percent 3 2 9 2 2 2 2 2" xfId="36218"/>
    <cellStyle name="Percent 3 2 9 2 2 2 3" xfId="22487"/>
    <cellStyle name="Percent 3 2 9 2 2 2 3 2" xfId="42370"/>
    <cellStyle name="Percent 3 2 9 2 2 2 4" xfId="30065"/>
    <cellStyle name="Percent 3 2 9 2 2 3" xfId="13269"/>
    <cellStyle name="Percent 3 2 9 2 2 3 2" xfId="33152"/>
    <cellStyle name="Percent 3 2 9 2 2 4" xfId="19421"/>
    <cellStyle name="Percent 3 2 9 2 2 4 2" xfId="39304"/>
    <cellStyle name="Percent 3 2 9 2 2 5" xfId="26999"/>
    <cellStyle name="Percent 3 2 9 2 3" xfId="8607"/>
    <cellStyle name="Percent 3 2 9 2 3 2" xfId="14801"/>
    <cellStyle name="Percent 3 2 9 2 3 2 2" xfId="34684"/>
    <cellStyle name="Percent 3 2 9 2 3 3" xfId="20953"/>
    <cellStyle name="Percent 3 2 9 2 3 3 2" xfId="40836"/>
    <cellStyle name="Percent 3 2 9 2 3 4" xfId="28531"/>
    <cellStyle name="Percent 3 2 9 2 4" xfId="11735"/>
    <cellStyle name="Percent 3 2 9 2 4 2" xfId="31618"/>
    <cellStyle name="Percent 3 2 9 2 5" xfId="17887"/>
    <cellStyle name="Percent 3 2 9 2 5 2" xfId="37770"/>
    <cellStyle name="Percent 3 2 9 2 6" xfId="25465"/>
    <cellStyle name="Percent 3 2 9 3" xfId="6283"/>
    <cellStyle name="Percent 3 2 9 3 2" xfId="9373"/>
    <cellStyle name="Percent 3 2 9 3 2 2" xfId="15566"/>
    <cellStyle name="Percent 3 2 9 3 2 2 2" xfId="35449"/>
    <cellStyle name="Percent 3 2 9 3 2 3" xfId="21718"/>
    <cellStyle name="Percent 3 2 9 3 2 3 2" xfId="41601"/>
    <cellStyle name="Percent 3 2 9 3 2 4" xfId="29296"/>
    <cellStyle name="Percent 3 2 9 3 3" xfId="12500"/>
    <cellStyle name="Percent 3 2 9 3 3 2" xfId="32383"/>
    <cellStyle name="Percent 3 2 9 3 4" xfId="18652"/>
    <cellStyle name="Percent 3 2 9 3 4 2" xfId="38535"/>
    <cellStyle name="Percent 3 2 9 3 5" xfId="26230"/>
    <cellStyle name="Percent 3 2 9 4" xfId="7838"/>
    <cellStyle name="Percent 3 2 9 4 2" xfId="14032"/>
    <cellStyle name="Percent 3 2 9 4 2 2" xfId="33915"/>
    <cellStyle name="Percent 3 2 9 4 3" xfId="20184"/>
    <cellStyle name="Percent 3 2 9 4 3 2" xfId="40067"/>
    <cellStyle name="Percent 3 2 9 4 4" xfId="27762"/>
    <cellStyle name="Percent 3 2 9 5" xfId="10966"/>
    <cellStyle name="Percent 3 2 9 5 2" xfId="30849"/>
    <cellStyle name="Percent 3 2 9 6" xfId="17118"/>
    <cellStyle name="Percent 3 2 9 6 2" xfId="37001"/>
    <cellStyle name="Percent 3 2 9 7" xfId="24696"/>
    <cellStyle name="Percent 3 20" xfId="545"/>
    <cellStyle name="Percent 3 20 2" xfId="5432"/>
    <cellStyle name="Percent 3 20 2 2" xfId="7057"/>
    <cellStyle name="Percent 3 20 2 2 2" xfId="10143"/>
    <cellStyle name="Percent 3 20 2 2 2 2" xfId="16336"/>
    <cellStyle name="Percent 3 20 2 2 2 2 2" xfId="36219"/>
    <cellStyle name="Percent 3 20 2 2 2 3" xfId="22488"/>
    <cellStyle name="Percent 3 20 2 2 2 3 2" xfId="42371"/>
    <cellStyle name="Percent 3 20 2 2 2 4" xfId="30066"/>
    <cellStyle name="Percent 3 20 2 2 3" xfId="13270"/>
    <cellStyle name="Percent 3 20 2 2 3 2" xfId="33153"/>
    <cellStyle name="Percent 3 20 2 2 4" xfId="19422"/>
    <cellStyle name="Percent 3 20 2 2 4 2" xfId="39305"/>
    <cellStyle name="Percent 3 20 2 2 5" xfId="27000"/>
    <cellStyle name="Percent 3 20 2 3" xfId="8608"/>
    <cellStyle name="Percent 3 20 2 3 2" xfId="14802"/>
    <cellStyle name="Percent 3 20 2 3 2 2" xfId="34685"/>
    <cellStyle name="Percent 3 20 2 3 3" xfId="20954"/>
    <cellStyle name="Percent 3 20 2 3 3 2" xfId="40837"/>
    <cellStyle name="Percent 3 20 2 3 4" xfId="28532"/>
    <cellStyle name="Percent 3 20 2 4" xfId="11736"/>
    <cellStyle name="Percent 3 20 2 4 2" xfId="31619"/>
    <cellStyle name="Percent 3 20 2 5" xfId="17888"/>
    <cellStyle name="Percent 3 20 2 5 2" xfId="37771"/>
    <cellStyle name="Percent 3 20 2 6" xfId="25466"/>
    <cellStyle name="Percent 3 20 3" xfId="6284"/>
    <cellStyle name="Percent 3 20 3 2" xfId="9374"/>
    <cellStyle name="Percent 3 20 3 2 2" xfId="15567"/>
    <cellStyle name="Percent 3 20 3 2 2 2" xfId="35450"/>
    <cellStyle name="Percent 3 20 3 2 3" xfId="21719"/>
    <cellStyle name="Percent 3 20 3 2 3 2" xfId="41602"/>
    <cellStyle name="Percent 3 20 3 2 4" xfId="29297"/>
    <cellStyle name="Percent 3 20 3 3" xfId="12501"/>
    <cellStyle name="Percent 3 20 3 3 2" xfId="32384"/>
    <cellStyle name="Percent 3 20 3 4" xfId="18653"/>
    <cellStyle name="Percent 3 20 3 4 2" xfId="38536"/>
    <cellStyle name="Percent 3 20 3 5" xfId="26231"/>
    <cellStyle name="Percent 3 20 4" xfId="7839"/>
    <cellStyle name="Percent 3 20 4 2" xfId="14033"/>
    <cellStyle name="Percent 3 20 4 2 2" xfId="33916"/>
    <cellStyle name="Percent 3 20 4 3" xfId="20185"/>
    <cellStyle name="Percent 3 20 4 3 2" xfId="40068"/>
    <cellStyle name="Percent 3 20 4 4" xfId="27763"/>
    <cellStyle name="Percent 3 20 5" xfId="10967"/>
    <cellStyle name="Percent 3 20 5 2" xfId="30850"/>
    <cellStyle name="Percent 3 20 6" xfId="17119"/>
    <cellStyle name="Percent 3 20 6 2" xfId="37002"/>
    <cellStyle name="Percent 3 20 7" xfId="4396"/>
    <cellStyle name="Percent 3 20 7 2" xfId="24697"/>
    <cellStyle name="Percent 3 21" xfId="572"/>
    <cellStyle name="Percent 3 21 2" xfId="5433"/>
    <cellStyle name="Percent 3 21 2 2" xfId="7058"/>
    <cellStyle name="Percent 3 21 2 2 2" xfId="10144"/>
    <cellStyle name="Percent 3 21 2 2 2 2" xfId="16337"/>
    <cellStyle name="Percent 3 21 2 2 2 2 2" xfId="36220"/>
    <cellStyle name="Percent 3 21 2 2 2 3" xfId="22489"/>
    <cellStyle name="Percent 3 21 2 2 2 3 2" xfId="42372"/>
    <cellStyle name="Percent 3 21 2 2 2 4" xfId="30067"/>
    <cellStyle name="Percent 3 21 2 2 3" xfId="13271"/>
    <cellStyle name="Percent 3 21 2 2 3 2" xfId="33154"/>
    <cellStyle name="Percent 3 21 2 2 4" xfId="19423"/>
    <cellStyle name="Percent 3 21 2 2 4 2" xfId="39306"/>
    <cellStyle name="Percent 3 21 2 2 5" xfId="27001"/>
    <cellStyle name="Percent 3 21 2 3" xfId="8609"/>
    <cellStyle name="Percent 3 21 2 3 2" xfId="14803"/>
    <cellStyle name="Percent 3 21 2 3 2 2" xfId="34686"/>
    <cellStyle name="Percent 3 21 2 3 3" xfId="20955"/>
    <cellStyle name="Percent 3 21 2 3 3 2" xfId="40838"/>
    <cellStyle name="Percent 3 21 2 3 4" xfId="28533"/>
    <cellStyle name="Percent 3 21 2 4" xfId="11737"/>
    <cellStyle name="Percent 3 21 2 4 2" xfId="31620"/>
    <cellStyle name="Percent 3 21 2 5" xfId="17889"/>
    <cellStyle name="Percent 3 21 2 5 2" xfId="37772"/>
    <cellStyle name="Percent 3 21 2 6" xfId="25467"/>
    <cellStyle name="Percent 3 21 3" xfId="6285"/>
    <cellStyle name="Percent 3 21 3 2" xfId="9375"/>
    <cellStyle name="Percent 3 21 3 2 2" xfId="15568"/>
    <cellStyle name="Percent 3 21 3 2 2 2" xfId="35451"/>
    <cellStyle name="Percent 3 21 3 2 3" xfId="21720"/>
    <cellStyle name="Percent 3 21 3 2 3 2" xfId="41603"/>
    <cellStyle name="Percent 3 21 3 2 4" xfId="29298"/>
    <cellStyle name="Percent 3 21 3 3" xfId="12502"/>
    <cellStyle name="Percent 3 21 3 3 2" xfId="32385"/>
    <cellStyle name="Percent 3 21 3 4" xfId="18654"/>
    <cellStyle name="Percent 3 21 3 4 2" xfId="38537"/>
    <cellStyle name="Percent 3 21 3 5" xfId="26232"/>
    <cellStyle name="Percent 3 21 4" xfId="7840"/>
    <cellStyle name="Percent 3 21 4 2" xfId="14034"/>
    <cellStyle name="Percent 3 21 4 2 2" xfId="33917"/>
    <cellStyle name="Percent 3 21 4 3" xfId="20186"/>
    <cellStyle name="Percent 3 21 4 3 2" xfId="40069"/>
    <cellStyle name="Percent 3 21 4 4" xfId="27764"/>
    <cellStyle name="Percent 3 21 5" xfId="10968"/>
    <cellStyle name="Percent 3 21 5 2" xfId="30851"/>
    <cellStyle name="Percent 3 21 6" xfId="17120"/>
    <cellStyle name="Percent 3 21 6 2" xfId="37003"/>
    <cellStyle name="Percent 3 21 7" xfId="4397"/>
    <cellStyle name="Percent 3 21 7 2" xfId="24698"/>
    <cellStyle name="Percent 3 22" xfId="562"/>
    <cellStyle name="Percent 3 22 2" xfId="10237"/>
    <cellStyle name="Percent 3 23" xfId="470"/>
    <cellStyle name="Percent 3 24" xfId="682"/>
    <cellStyle name="Percent 3 25" xfId="708"/>
    <cellStyle name="Percent 3 26" xfId="714"/>
    <cellStyle name="Percent 3 27" xfId="742"/>
    <cellStyle name="Percent 3 28" xfId="768"/>
    <cellStyle name="Percent 3 29" xfId="793"/>
    <cellStyle name="Percent 3 3" xfId="62"/>
    <cellStyle name="Percent 3 3 2" xfId="246"/>
    <cellStyle name="Percent 3 3 2 2" xfId="5434"/>
    <cellStyle name="Percent 3 3 2 2 2" xfId="7059"/>
    <cellStyle name="Percent 3 3 2 2 2 2" xfId="10145"/>
    <cellStyle name="Percent 3 3 2 2 2 2 2" xfId="16338"/>
    <cellStyle name="Percent 3 3 2 2 2 2 2 2" xfId="36221"/>
    <cellStyle name="Percent 3 3 2 2 2 2 3" xfId="22490"/>
    <cellStyle name="Percent 3 3 2 2 2 2 3 2" xfId="42373"/>
    <cellStyle name="Percent 3 3 2 2 2 2 4" xfId="30068"/>
    <cellStyle name="Percent 3 3 2 2 2 3" xfId="13272"/>
    <cellStyle name="Percent 3 3 2 2 2 3 2" xfId="33155"/>
    <cellStyle name="Percent 3 3 2 2 2 4" xfId="19424"/>
    <cellStyle name="Percent 3 3 2 2 2 4 2" xfId="39307"/>
    <cellStyle name="Percent 3 3 2 2 2 5" xfId="27002"/>
    <cellStyle name="Percent 3 3 2 2 3" xfId="8610"/>
    <cellStyle name="Percent 3 3 2 2 3 2" xfId="14804"/>
    <cellStyle name="Percent 3 3 2 2 3 2 2" xfId="34687"/>
    <cellStyle name="Percent 3 3 2 2 3 3" xfId="20956"/>
    <cellStyle name="Percent 3 3 2 2 3 3 2" xfId="40839"/>
    <cellStyle name="Percent 3 3 2 2 3 4" xfId="28534"/>
    <cellStyle name="Percent 3 3 2 2 4" xfId="11738"/>
    <cellStyle name="Percent 3 3 2 2 4 2" xfId="31621"/>
    <cellStyle name="Percent 3 3 2 2 5" xfId="17890"/>
    <cellStyle name="Percent 3 3 2 2 5 2" xfId="37773"/>
    <cellStyle name="Percent 3 3 2 2 6" xfId="25468"/>
    <cellStyle name="Percent 3 3 2 3" xfId="6286"/>
    <cellStyle name="Percent 3 3 2 3 2" xfId="9376"/>
    <cellStyle name="Percent 3 3 2 3 2 2" xfId="15569"/>
    <cellStyle name="Percent 3 3 2 3 2 2 2" xfId="35452"/>
    <cellStyle name="Percent 3 3 2 3 2 3" xfId="21721"/>
    <cellStyle name="Percent 3 3 2 3 2 3 2" xfId="41604"/>
    <cellStyle name="Percent 3 3 2 3 2 4" xfId="29299"/>
    <cellStyle name="Percent 3 3 2 3 3" xfId="12503"/>
    <cellStyle name="Percent 3 3 2 3 3 2" xfId="32386"/>
    <cellStyle name="Percent 3 3 2 3 4" xfId="18655"/>
    <cellStyle name="Percent 3 3 2 3 4 2" xfId="38538"/>
    <cellStyle name="Percent 3 3 2 3 5" xfId="26233"/>
    <cellStyle name="Percent 3 3 2 4" xfId="7841"/>
    <cellStyle name="Percent 3 3 2 4 2" xfId="14035"/>
    <cellStyle name="Percent 3 3 2 4 2 2" xfId="33918"/>
    <cellStyle name="Percent 3 3 2 4 3" xfId="20187"/>
    <cellStyle name="Percent 3 3 2 4 3 2" xfId="40070"/>
    <cellStyle name="Percent 3 3 2 4 4" xfId="27765"/>
    <cellStyle name="Percent 3 3 2 5" xfId="10969"/>
    <cellStyle name="Percent 3 3 2 5 2" xfId="30852"/>
    <cellStyle name="Percent 3 3 2 6" xfId="17121"/>
    <cellStyle name="Percent 3 3 2 6 2" xfId="37004"/>
    <cellStyle name="Percent 3 3 2 7" xfId="4399"/>
    <cellStyle name="Percent 3 3 2 7 2" xfId="24699"/>
    <cellStyle name="Percent 3 3 3" xfId="4400"/>
    <cellStyle name="Percent 3 3 3 2" xfId="5435"/>
    <cellStyle name="Percent 3 3 3 2 2" xfId="7060"/>
    <cellStyle name="Percent 3 3 3 2 2 2" xfId="10146"/>
    <cellStyle name="Percent 3 3 3 2 2 2 2" xfId="16339"/>
    <cellStyle name="Percent 3 3 3 2 2 2 2 2" xfId="36222"/>
    <cellStyle name="Percent 3 3 3 2 2 2 3" xfId="22491"/>
    <cellStyle name="Percent 3 3 3 2 2 2 3 2" xfId="42374"/>
    <cellStyle name="Percent 3 3 3 2 2 2 4" xfId="30069"/>
    <cellStyle name="Percent 3 3 3 2 2 3" xfId="13273"/>
    <cellStyle name="Percent 3 3 3 2 2 3 2" xfId="33156"/>
    <cellStyle name="Percent 3 3 3 2 2 4" xfId="19425"/>
    <cellStyle name="Percent 3 3 3 2 2 4 2" xfId="39308"/>
    <cellStyle name="Percent 3 3 3 2 2 5" xfId="27003"/>
    <cellStyle name="Percent 3 3 3 2 3" xfId="8611"/>
    <cellStyle name="Percent 3 3 3 2 3 2" xfId="14805"/>
    <cellStyle name="Percent 3 3 3 2 3 2 2" xfId="34688"/>
    <cellStyle name="Percent 3 3 3 2 3 3" xfId="20957"/>
    <cellStyle name="Percent 3 3 3 2 3 3 2" xfId="40840"/>
    <cellStyle name="Percent 3 3 3 2 3 4" xfId="28535"/>
    <cellStyle name="Percent 3 3 3 2 4" xfId="11739"/>
    <cellStyle name="Percent 3 3 3 2 4 2" xfId="31622"/>
    <cellStyle name="Percent 3 3 3 2 5" xfId="17891"/>
    <cellStyle name="Percent 3 3 3 2 5 2" xfId="37774"/>
    <cellStyle name="Percent 3 3 3 2 6" xfId="25469"/>
    <cellStyle name="Percent 3 3 3 3" xfId="6287"/>
    <cellStyle name="Percent 3 3 3 3 2" xfId="9377"/>
    <cellStyle name="Percent 3 3 3 3 2 2" xfId="15570"/>
    <cellStyle name="Percent 3 3 3 3 2 2 2" xfId="35453"/>
    <cellStyle name="Percent 3 3 3 3 2 3" xfId="21722"/>
    <cellStyle name="Percent 3 3 3 3 2 3 2" xfId="41605"/>
    <cellStyle name="Percent 3 3 3 3 2 4" xfId="29300"/>
    <cellStyle name="Percent 3 3 3 3 3" xfId="12504"/>
    <cellStyle name="Percent 3 3 3 3 3 2" xfId="32387"/>
    <cellStyle name="Percent 3 3 3 3 4" xfId="18656"/>
    <cellStyle name="Percent 3 3 3 3 4 2" xfId="38539"/>
    <cellStyle name="Percent 3 3 3 3 5" xfId="26234"/>
    <cellStyle name="Percent 3 3 3 4" xfId="7842"/>
    <cellStyle name="Percent 3 3 3 4 2" xfId="14036"/>
    <cellStyle name="Percent 3 3 3 4 2 2" xfId="33919"/>
    <cellStyle name="Percent 3 3 3 4 3" xfId="20188"/>
    <cellStyle name="Percent 3 3 3 4 3 2" xfId="40071"/>
    <cellStyle name="Percent 3 3 3 4 4" xfId="27766"/>
    <cellStyle name="Percent 3 3 3 5" xfId="10970"/>
    <cellStyle name="Percent 3 3 3 5 2" xfId="30853"/>
    <cellStyle name="Percent 3 3 3 6" xfId="17122"/>
    <cellStyle name="Percent 3 3 3 6 2" xfId="37005"/>
    <cellStyle name="Percent 3 3 3 7" xfId="24700"/>
    <cellStyle name="Percent 3 3 4" xfId="4401"/>
    <cellStyle name="Percent 3 3 4 2" xfId="5436"/>
    <cellStyle name="Percent 3 3 4 2 2" xfId="7061"/>
    <cellStyle name="Percent 3 3 4 2 2 2" xfId="10147"/>
    <cellStyle name="Percent 3 3 4 2 2 2 2" xfId="16340"/>
    <cellStyle name="Percent 3 3 4 2 2 2 2 2" xfId="36223"/>
    <cellStyle name="Percent 3 3 4 2 2 2 3" xfId="22492"/>
    <cellStyle name="Percent 3 3 4 2 2 2 3 2" xfId="42375"/>
    <cellStyle name="Percent 3 3 4 2 2 2 4" xfId="30070"/>
    <cellStyle name="Percent 3 3 4 2 2 3" xfId="13274"/>
    <cellStyle name="Percent 3 3 4 2 2 3 2" xfId="33157"/>
    <cellStyle name="Percent 3 3 4 2 2 4" xfId="19426"/>
    <cellStyle name="Percent 3 3 4 2 2 4 2" xfId="39309"/>
    <cellStyle name="Percent 3 3 4 2 2 5" xfId="27004"/>
    <cellStyle name="Percent 3 3 4 2 3" xfId="8612"/>
    <cellStyle name="Percent 3 3 4 2 3 2" xfId="14806"/>
    <cellStyle name="Percent 3 3 4 2 3 2 2" xfId="34689"/>
    <cellStyle name="Percent 3 3 4 2 3 3" xfId="20958"/>
    <cellStyle name="Percent 3 3 4 2 3 3 2" xfId="40841"/>
    <cellStyle name="Percent 3 3 4 2 3 4" xfId="28536"/>
    <cellStyle name="Percent 3 3 4 2 4" xfId="11740"/>
    <cellStyle name="Percent 3 3 4 2 4 2" xfId="31623"/>
    <cellStyle name="Percent 3 3 4 2 5" xfId="17892"/>
    <cellStyle name="Percent 3 3 4 2 5 2" xfId="37775"/>
    <cellStyle name="Percent 3 3 4 2 6" xfId="25470"/>
    <cellStyle name="Percent 3 3 4 3" xfId="6288"/>
    <cellStyle name="Percent 3 3 4 3 2" xfId="9378"/>
    <cellStyle name="Percent 3 3 4 3 2 2" xfId="15571"/>
    <cellStyle name="Percent 3 3 4 3 2 2 2" xfId="35454"/>
    <cellStyle name="Percent 3 3 4 3 2 3" xfId="21723"/>
    <cellStyle name="Percent 3 3 4 3 2 3 2" xfId="41606"/>
    <cellStyle name="Percent 3 3 4 3 2 4" xfId="29301"/>
    <cellStyle name="Percent 3 3 4 3 3" xfId="12505"/>
    <cellStyle name="Percent 3 3 4 3 3 2" xfId="32388"/>
    <cellStyle name="Percent 3 3 4 3 4" xfId="18657"/>
    <cellStyle name="Percent 3 3 4 3 4 2" xfId="38540"/>
    <cellStyle name="Percent 3 3 4 3 5" xfId="26235"/>
    <cellStyle name="Percent 3 3 4 4" xfId="7843"/>
    <cellStyle name="Percent 3 3 4 4 2" xfId="14037"/>
    <cellStyle name="Percent 3 3 4 4 2 2" xfId="33920"/>
    <cellStyle name="Percent 3 3 4 4 3" xfId="20189"/>
    <cellStyle name="Percent 3 3 4 4 3 2" xfId="40072"/>
    <cellStyle name="Percent 3 3 4 4 4" xfId="27767"/>
    <cellStyle name="Percent 3 3 4 5" xfId="10971"/>
    <cellStyle name="Percent 3 3 4 5 2" xfId="30854"/>
    <cellStyle name="Percent 3 3 4 6" xfId="17123"/>
    <cellStyle name="Percent 3 3 4 6 2" xfId="37006"/>
    <cellStyle name="Percent 3 3 4 7" xfId="24701"/>
    <cellStyle name="Percent 3 3 5" xfId="4402"/>
    <cellStyle name="Percent 3 3 5 2" xfId="5437"/>
    <cellStyle name="Percent 3 3 5 2 2" xfId="7062"/>
    <cellStyle name="Percent 3 3 5 2 2 2" xfId="10148"/>
    <cellStyle name="Percent 3 3 5 2 2 2 2" xfId="16341"/>
    <cellStyle name="Percent 3 3 5 2 2 2 2 2" xfId="36224"/>
    <cellStyle name="Percent 3 3 5 2 2 2 3" xfId="22493"/>
    <cellStyle name="Percent 3 3 5 2 2 2 3 2" xfId="42376"/>
    <cellStyle name="Percent 3 3 5 2 2 2 4" xfId="30071"/>
    <cellStyle name="Percent 3 3 5 2 2 3" xfId="13275"/>
    <cellStyle name="Percent 3 3 5 2 2 3 2" xfId="33158"/>
    <cellStyle name="Percent 3 3 5 2 2 4" xfId="19427"/>
    <cellStyle name="Percent 3 3 5 2 2 4 2" xfId="39310"/>
    <cellStyle name="Percent 3 3 5 2 2 5" xfId="27005"/>
    <cellStyle name="Percent 3 3 5 2 3" xfId="8613"/>
    <cellStyle name="Percent 3 3 5 2 3 2" xfId="14807"/>
    <cellStyle name="Percent 3 3 5 2 3 2 2" xfId="34690"/>
    <cellStyle name="Percent 3 3 5 2 3 3" xfId="20959"/>
    <cellStyle name="Percent 3 3 5 2 3 3 2" xfId="40842"/>
    <cellStyle name="Percent 3 3 5 2 3 4" xfId="28537"/>
    <cellStyle name="Percent 3 3 5 2 4" xfId="11741"/>
    <cellStyle name="Percent 3 3 5 2 4 2" xfId="31624"/>
    <cellStyle name="Percent 3 3 5 2 5" xfId="17893"/>
    <cellStyle name="Percent 3 3 5 2 5 2" xfId="37776"/>
    <cellStyle name="Percent 3 3 5 2 6" xfId="25471"/>
    <cellStyle name="Percent 3 3 5 3" xfId="6289"/>
    <cellStyle name="Percent 3 3 5 3 2" xfId="9379"/>
    <cellStyle name="Percent 3 3 5 3 2 2" xfId="15572"/>
    <cellStyle name="Percent 3 3 5 3 2 2 2" xfId="35455"/>
    <cellStyle name="Percent 3 3 5 3 2 3" xfId="21724"/>
    <cellStyle name="Percent 3 3 5 3 2 3 2" xfId="41607"/>
    <cellStyle name="Percent 3 3 5 3 2 4" xfId="29302"/>
    <cellStyle name="Percent 3 3 5 3 3" xfId="12506"/>
    <cellStyle name="Percent 3 3 5 3 3 2" xfId="32389"/>
    <cellStyle name="Percent 3 3 5 3 4" xfId="18658"/>
    <cellStyle name="Percent 3 3 5 3 4 2" xfId="38541"/>
    <cellStyle name="Percent 3 3 5 3 5" xfId="26236"/>
    <cellStyle name="Percent 3 3 5 4" xfId="7844"/>
    <cellStyle name="Percent 3 3 5 4 2" xfId="14038"/>
    <cellStyle name="Percent 3 3 5 4 2 2" xfId="33921"/>
    <cellStyle name="Percent 3 3 5 4 3" xfId="20190"/>
    <cellStyle name="Percent 3 3 5 4 3 2" xfId="40073"/>
    <cellStyle name="Percent 3 3 5 4 4" xfId="27768"/>
    <cellStyle name="Percent 3 3 5 5" xfId="10972"/>
    <cellStyle name="Percent 3 3 5 5 2" xfId="30855"/>
    <cellStyle name="Percent 3 3 5 6" xfId="17124"/>
    <cellStyle name="Percent 3 3 5 6 2" xfId="37007"/>
    <cellStyle name="Percent 3 3 5 7" xfId="24702"/>
    <cellStyle name="Percent 3 3 6" xfId="10260"/>
    <cellStyle name="Percent 3 3 7" xfId="4398"/>
    <cellStyle name="Percent 3 3 8" xfId="23314"/>
    <cellStyle name="Percent 3 30" xfId="852"/>
    <cellStyle name="Percent 3 31" xfId="854"/>
    <cellStyle name="Percent 3 31 2" xfId="23697"/>
    <cellStyle name="Percent 3 32" xfId="22817"/>
    <cellStyle name="Percent 3 32 2" xfId="42691"/>
    <cellStyle name="Percent 3 33" xfId="196"/>
    <cellStyle name="Percent 3 33 2" xfId="23406"/>
    <cellStyle name="Percent 3 4" xfId="99"/>
    <cellStyle name="Percent 3 4 10" xfId="17125"/>
    <cellStyle name="Percent 3 4 10 2" xfId="37008"/>
    <cellStyle name="Percent 3 4 11" xfId="4403"/>
    <cellStyle name="Percent 3 4 11 2" xfId="24703"/>
    <cellStyle name="Percent 3 4 12" xfId="215"/>
    <cellStyle name="Percent 3 4 13" xfId="23315"/>
    <cellStyle name="Percent 3 4 2" xfId="270"/>
    <cellStyle name="Percent 3 4 2 2" xfId="5439"/>
    <cellStyle name="Percent 3 4 2 2 2" xfId="7064"/>
    <cellStyle name="Percent 3 4 2 2 2 2" xfId="10150"/>
    <cellStyle name="Percent 3 4 2 2 2 2 2" xfId="16343"/>
    <cellStyle name="Percent 3 4 2 2 2 2 2 2" xfId="36226"/>
    <cellStyle name="Percent 3 4 2 2 2 2 3" xfId="22495"/>
    <cellStyle name="Percent 3 4 2 2 2 2 3 2" xfId="42378"/>
    <cellStyle name="Percent 3 4 2 2 2 2 4" xfId="30073"/>
    <cellStyle name="Percent 3 4 2 2 2 3" xfId="13277"/>
    <cellStyle name="Percent 3 4 2 2 2 3 2" xfId="33160"/>
    <cellStyle name="Percent 3 4 2 2 2 4" xfId="19429"/>
    <cellStyle name="Percent 3 4 2 2 2 4 2" xfId="39312"/>
    <cellStyle name="Percent 3 4 2 2 2 5" xfId="27007"/>
    <cellStyle name="Percent 3 4 2 2 3" xfId="8615"/>
    <cellStyle name="Percent 3 4 2 2 3 2" xfId="14809"/>
    <cellStyle name="Percent 3 4 2 2 3 2 2" xfId="34692"/>
    <cellStyle name="Percent 3 4 2 2 3 3" xfId="20961"/>
    <cellStyle name="Percent 3 4 2 2 3 3 2" xfId="40844"/>
    <cellStyle name="Percent 3 4 2 2 3 4" xfId="28539"/>
    <cellStyle name="Percent 3 4 2 2 4" xfId="11743"/>
    <cellStyle name="Percent 3 4 2 2 4 2" xfId="31626"/>
    <cellStyle name="Percent 3 4 2 2 5" xfId="17895"/>
    <cellStyle name="Percent 3 4 2 2 5 2" xfId="37778"/>
    <cellStyle name="Percent 3 4 2 2 6" xfId="25473"/>
    <cellStyle name="Percent 3 4 2 3" xfId="6291"/>
    <cellStyle name="Percent 3 4 2 3 2" xfId="9381"/>
    <cellStyle name="Percent 3 4 2 3 2 2" xfId="15574"/>
    <cellStyle name="Percent 3 4 2 3 2 2 2" xfId="35457"/>
    <cellStyle name="Percent 3 4 2 3 2 3" xfId="21726"/>
    <cellStyle name="Percent 3 4 2 3 2 3 2" xfId="41609"/>
    <cellStyle name="Percent 3 4 2 3 2 4" xfId="29304"/>
    <cellStyle name="Percent 3 4 2 3 3" xfId="12508"/>
    <cellStyle name="Percent 3 4 2 3 3 2" xfId="32391"/>
    <cellStyle name="Percent 3 4 2 3 4" xfId="18660"/>
    <cellStyle name="Percent 3 4 2 3 4 2" xfId="38543"/>
    <cellStyle name="Percent 3 4 2 3 5" xfId="26238"/>
    <cellStyle name="Percent 3 4 2 4" xfId="7846"/>
    <cellStyle name="Percent 3 4 2 4 2" xfId="14040"/>
    <cellStyle name="Percent 3 4 2 4 2 2" xfId="33923"/>
    <cellStyle name="Percent 3 4 2 4 3" xfId="20192"/>
    <cellStyle name="Percent 3 4 2 4 3 2" xfId="40075"/>
    <cellStyle name="Percent 3 4 2 4 4" xfId="27770"/>
    <cellStyle name="Percent 3 4 2 5" xfId="10974"/>
    <cellStyle name="Percent 3 4 2 5 2" xfId="30857"/>
    <cellStyle name="Percent 3 4 2 6" xfId="17126"/>
    <cellStyle name="Percent 3 4 2 6 2" xfId="37009"/>
    <cellStyle name="Percent 3 4 2 7" xfId="4404"/>
    <cellStyle name="Percent 3 4 2 7 2" xfId="24704"/>
    <cellStyle name="Percent 3 4 3" xfId="4405"/>
    <cellStyle name="Percent 3 4 3 2" xfId="5440"/>
    <cellStyle name="Percent 3 4 3 2 2" xfId="7065"/>
    <cellStyle name="Percent 3 4 3 2 2 2" xfId="10151"/>
    <cellStyle name="Percent 3 4 3 2 2 2 2" xfId="16344"/>
    <cellStyle name="Percent 3 4 3 2 2 2 2 2" xfId="36227"/>
    <cellStyle name="Percent 3 4 3 2 2 2 3" xfId="22496"/>
    <cellStyle name="Percent 3 4 3 2 2 2 3 2" xfId="42379"/>
    <cellStyle name="Percent 3 4 3 2 2 2 4" xfId="30074"/>
    <cellStyle name="Percent 3 4 3 2 2 3" xfId="13278"/>
    <cellStyle name="Percent 3 4 3 2 2 3 2" xfId="33161"/>
    <cellStyle name="Percent 3 4 3 2 2 4" xfId="19430"/>
    <cellStyle name="Percent 3 4 3 2 2 4 2" xfId="39313"/>
    <cellStyle name="Percent 3 4 3 2 2 5" xfId="27008"/>
    <cellStyle name="Percent 3 4 3 2 3" xfId="8616"/>
    <cellStyle name="Percent 3 4 3 2 3 2" xfId="14810"/>
    <cellStyle name="Percent 3 4 3 2 3 2 2" xfId="34693"/>
    <cellStyle name="Percent 3 4 3 2 3 3" xfId="20962"/>
    <cellStyle name="Percent 3 4 3 2 3 3 2" xfId="40845"/>
    <cellStyle name="Percent 3 4 3 2 3 4" xfId="28540"/>
    <cellStyle name="Percent 3 4 3 2 4" xfId="11744"/>
    <cellStyle name="Percent 3 4 3 2 4 2" xfId="31627"/>
    <cellStyle name="Percent 3 4 3 2 5" xfId="17896"/>
    <cellStyle name="Percent 3 4 3 2 5 2" xfId="37779"/>
    <cellStyle name="Percent 3 4 3 2 6" xfId="25474"/>
    <cellStyle name="Percent 3 4 3 3" xfId="6292"/>
    <cellStyle name="Percent 3 4 3 3 2" xfId="9382"/>
    <cellStyle name="Percent 3 4 3 3 2 2" xfId="15575"/>
    <cellStyle name="Percent 3 4 3 3 2 2 2" xfId="35458"/>
    <cellStyle name="Percent 3 4 3 3 2 3" xfId="21727"/>
    <cellStyle name="Percent 3 4 3 3 2 3 2" xfId="41610"/>
    <cellStyle name="Percent 3 4 3 3 2 4" xfId="29305"/>
    <cellStyle name="Percent 3 4 3 3 3" xfId="12509"/>
    <cellStyle name="Percent 3 4 3 3 3 2" xfId="32392"/>
    <cellStyle name="Percent 3 4 3 3 4" xfId="18661"/>
    <cellStyle name="Percent 3 4 3 3 4 2" xfId="38544"/>
    <cellStyle name="Percent 3 4 3 3 5" xfId="26239"/>
    <cellStyle name="Percent 3 4 3 4" xfId="7847"/>
    <cellStyle name="Percent 3 4 3 4 2" xfId="14041"/>
    <cellStyle name="Percent 3 4 3 4 2 2" xfId="33924"/>
    <cellStyle name="Percent 3 4 3 4 3" xfId="20193"/>
    <cellStyle name="Percent 3 4 3 4 3 2" xfId="40076"/>
    <cellStyle name="Percent 3 4 3 4 4" xfId="27771"/>
    <cellStyle name="Percent 3 4 3 5" xfId="10975"/>
    <cellStyle name="Percent 3 4 3 5 2" xfId="30858"/>
    <cellStyle name="Percent 3 4 3 6" xfId="17127"/>
    <cellStyle name="Percent 3 4 3 6 2" xfId="37010"/>
    <cellStyle name="Percent 3 4 3 7" xfId="24705"/>
    <cellStyle name="Percent 3 4 4" xfId="4406"/>
    <cellStyle name="Percent 3 4 4 2" xfId="5441"/>
    <cellStyle name="Percent 3 4 4 2 2" xfId="7066"/>
    <cellStyle name="Percent 3 4 4 2 2 2" xfId="10152"/>
    <cellStyle name="Percent 3 4 4 2 2 2 2" xfId="16345"/>
    <cellStyle name="Percent 3 4 4 2 2 2 2 2" xfId="36228"/>
    <cellStyle name="Percent 3 4 4 2 2 2 3" xfId="22497"/>
    <cellStyle name="Percent 3 4 4 2 2 2 3 2" xfId="42380"/>
    <cellStyle name="Percent 3 4 4 2 2 2 4" xfId="30075"/>
    <cellStyle name="Percent 3 4 4 2 2 3" xfId="13279"/>
    <cellStyle name="Percent 3 4 4 2 2 3 2" xfId="33162"/>
    <cellStyle name="Percent 3 4 4 2 2 4" xfId="19431"/>
    <cellStyle name="Percent 3 4 4 2 2 4 2" xfId="39314"/>
    <cellStyle name="Percent 3 4 4 2 2 5" xfId="27009"/>
    <cellStyle name="Percent 3 4 4 2 3" xfId="8617"/>
    <cellStyle name="Percent 3 4 4 2 3 2" xfId="14811"/>
    <cellStyle name="Percent 3 4 4 2 3 2 2" xfId="34694"/>
    <cellStyle name="Percent 3 4 4 2 3 3" xfId="20963"/>
    <cellStyle name="Percent 3 4 4 2 3 3 2" xfId="40846"/>
    <cellStyle name="Percent 3 4 4 2 3 4" xfId="28541"/>
    <cellStyle name="Percent 3 4 4 2 4" xfId="11745"/>
    <cellStyle name="Percent 3 4 4 2 4 2" xfId="31628"/>
    <cellStyle name="Percent 3 4 4 2 5" xfId="17897"/>
    <cellStyle name="Percent 3 4 4 2 5 2" xfId="37780"/>
    <cellStyle name="Percent 3 4 4 2 6" xfId="25475"/>
    <cellStyle name="Percent 3 4 4 3" xfId="6293"/>
    <cellStyle name="Percent 3 4 4 3 2" xfId="9383"/>
    <cellStyle name="Percent 3 4 4 3 2 2" xfId="15576"/>
    <cellStyle name="Percent 3 4 4 3 2 2 2" xfId="35459"/>
    <cellStyle name="Percent 3 4 4 3 2 3" xfId="21728"/>
    <cellStyle name="Percent 3 4 4 3 2 3 2" xfId="41611"/>
    <cellStyle name="Percent 3 4 4 3 2 4" xfId="29306"/>
    <cellStyle name="Percent 3 4 4 3 3" xfId="12510"/>
    <cellStyle name="Percent 3 4 4 3 3 2" xfId="32393"/>
    <cellStyle name="Percent 3 4 4 3 4" xfId="18662"/>
    <cellStyle name="Percent 3 4 4 3 4 2" xfId="38545"/>
    <cellStyle name="Percent 3 4 4 3 5" xfId="26240"/>
    <cellStyle name="Percent 3 4 4 4" xfId="7848"/>
    <cellStyle name="Percent 3 4 4 4 2" xfId="14042"/>
    <cellStyle name="Percent 3 4 4 4 2 2" xfId="33925"/>
    <cellStyle name="Percent 3 4 4 4 3" xfId="20194"/>
    <cellStyle name="Percent 3 4 4 4 3 2" xfId="40077"/>
    <cellStyle name="Percent 3 4 4 4 4" xfId="27772"/>
    <cellStyle name="Percent 3 4 4 5" xfId="10976"/>
    <cellStyle name="Percent 3 4 4 5 2" xfId="30859"/>
    <cellStyle name="Percent 3 4 4 6" xfId="17128"/>
    <cellStyle name="Percent 3 4 4 6 2" xfId="37011"/>
    <cellStyle name="Percent 3 4 4 7" xfId="24706"/>
    <cellStyle name="Percent 3 4 5" xfId="4407"/>
    <cellStyle name="Percent 3 4 5 2" xfId="5442"/>
    <cellStyle name="Percent 3 4 5 2 2" xfId="7067"/>
    <cellStyle name="Percent 3 4 5 2 2 2" xfId="10153"/>
    <cellStyle name="Percent 3 4 5 2 2 2 2" xfId="16346"/>
    <cellStyle name="Percent 3 4 5 2 2 2 2 2" xfId="36229"/>
    <cellStyle name="Percent 3 4 5 2 2 2 3" xfId="22498"/>
    <cellStyle name="Percent 3 4 5 2 2 2 3 2" xfId="42381"/>
    <cellStyle name="Percent 3 4 5 2 2 2 4" xfId="30076"/>
    <cellStyle name="Percent 3 4 5 2 2 3" xfId="13280"/>
    <cellStyle name="Percent 3 4 5 2 2 3 2" xfId="33163"/>
    <cellStyle name="Percent 3 4 5 2 2 4" xfId="19432"/>
    <cellStyle name="Percent 3 4 5 2 2 4 2" xfId="39315"/>
    <cellStyle name="Percent 3 4 5 2 2 5" xfId="27010"/>
    <cellStyle name="Percent 3 4 5 2 3" xfId="8618"/>
    <cellStyle name="Percent 3 4 5 2 3 2" xfId="14812"/>
    <cellStyle name="Percent 3 4 5 2 3 2 2" xfId="34695"/>
    <cellStyle name="Percent 3 4 5 2 3 3" xfId="20964"/>
    <cellStyle name="Percent 3 4 5 2 3 3 2" xfId="40847"/>
    <cellStyle name="Percent 3 4 5 2 3 4" xfId="28542"/>
    <cellStyle name="Percent 3 4 5 2 4" xfId="11746"/>
    <cellStyle name="Percent 3 4 5 2 4 2" xfId="31629"/>
    <cellStyle name="Percent 3 4 5 2 5" xfId="17898"/>
    <cellStyle name="Percent 3 4 5 2 5 2" xfId="37781"/>
    <cellStyle name="Percent 3 4 5 2 6" xfId="25476"/>
    <cellStyle name="Percent 3 4 5 3" xfId="6294"/>
    <cellStyle name="Percent 3 4 5 3 2" xfId="9384"/>
    <cellStyle name="Percent 3 4 5 3 2 2" xfId="15577"/>
    <cellStyle name="Percent 3 4 5 3 2 2 2" xfId="35460"/>
    <cellStyle name="Percent 3 4 5 3 2 3" xfId="21729"/>
    <cellStyle name="Percent 3 4 5 3 2 3 2" xfId="41612"/>
    <cellStyle name="Percent 3 4 5 3 2 4" xfId="29307"/>
    <cellStyle name="Percent 3 4 5 3 3" xfId="12511"/>
    <cellStyle name="Percent 3 4 5 3 3 2" xfId="32394"/>
    <cellStyle name="Percent 3 4 5 3 4" xfId="18663"/>
    <cellStyle name="Percent 3 4 5 3 4 2" xfId="38546"/>
    <cellStyle name="Percent 3 4 5 3 5" xfId="26241"/>
    <cellStyle name="Percent 3 4 5 4" xfId="7849"/>
    <cellStyle name="Percent 3 4 5 4 2" xfId="14043"/>
    <cellStyle name="Percent 3 4 5 4 2 2" xfId="33926"/>
    <cellStyle name="Percent 3 4 5 4 3" xfId="20195"/>
    <cellStyle name="Percent 3 4 5 4 3 2" xfId="40078"/>
    <cellStyle name="Percent 3 4 5 4 4" xfId="27773"/>
    <cellStyle name="Percent 3 4 5 5" xfId="10977"/>
    <cellStyle name="Percent 3 4 5 5 2" xfId="30860"/>
    <cellStyle name="Percent 3 4 5 6" xfId="17129"/>
    <cellStyle name="Percent 3 4 5 6 2" xfId="37012"/>
    <cellStyle name="Percent 3 4 5 7" xfId="24707"/>
    <cellStyle name="Percent 3 4 6" xfId="5438"/>
    <cellStyle name="Percent 3 4 6 2" xfId="7063"/>
    <cellStyle name="Percent 3 4 6 2 2" xfId="10149"/>
    <cellStyle name="Percent 3 4 6 2 2 2" xfId="16342"/>
    <cellStyle name="Percent 3 4 6 2 2 2 2" xfId="36225"/>
    <cellStyle name="Percent 3 4 6 2 2 3" xfId="22494"/>
    <cellStyle name="Percent 3 4 6 2 2 3 2" xfId="42377"/>
    <cellStyle name="Percent 3 4 6 2 2 4" xfId="30072"/>
    <cellStyle name="Percent 3 4 6 2 3" xfId="13276"/>
    <cellStyle name="Percent 3 4 6 2 3 2" xfId="33159"/>
    <cellStyle name="Percent 3 4 6 2 4" xfId="19428"/>
    <cellStyle name="Percent 3 4 6 2 4 2" xfId="39311"/>
    <cellStyle name="Percent 3 4 6 2 5" xfId="27006"/>
    <cellStyle name="Percent 3 4 6 3" xfId="8614"/>
    <cellStyle name="Percent 3 4 6 3 2" xfId="14808"/>
    <cellStyle name="Percent 3 4 6 3 2 2" xfId="34691"/>
    <cellStyle name="Percent 3 4 6 3 3" xfId="20960"/>
    <cellStyle name="Percent 3 4 6 3 3 2" xfId="40843"/>
    <cellStyle name="Percent 3 4 6 3 4" xfId="28538"/>
    <cellStyle name="Percent 3 4 6 4" xfId="11742"/>
    <cellStyle name="Percent 3 4 6 4 2" xfId="31625"/>
    <cellStyle name="Percent 3 4 6 5" xfId="17894"/>
    <cellStyle name="Percent 3 4 6 5 2" xfId="37777"/>
    <cellStyle name="Percent 3 4 6 6" xfId="25472"/>
    <cellStyle name="Percent 3 4 7" xfId="6290"/>
    <cellStyle name="Percent 3 4 7 2" xfId="9380"/>
    <cellStyle name="Percent 3 4 7 2 2" xfId="15573"/>
    <cellStyle name="Percent 3 4 7 2 2 2" xfId="35456"/>
    <cellStyle name="Percent 3 4 7 2 3" xfId="21725"/>
    <cellStyle name="Percent 3 4 7 2 3 2" xfId="41608"/>
    <cellStyle name="Percent 3 4 7 2 4" xfId="29303"/>
    <cellStyle name="Percent 3 4 7 3" xfId="12507"/>
    <cellStyle name="Percent 3 4 7 3 2" xfId="32390"/>
    <cellStyle name="Percent 3 4 7 4" xfId="18659"/>
    <cellStyle name="Percent 3 4 7 4 2" xfId="38542"/>
    <cellStyle name="Percent 3 4 7 5" xfId="26237"/>
    <cellStyle name="Percent 3 4 8" xfId="7845"/>
    <cellStyle name="Percent 3 4 8 2" xfId="14039"/>
    <cellStyle name="Percent 3 4 8 2 2" xfId="33922"/>
    <cellStyle name="Percent 3 4 8 3" xfId="20191"/>
    <cellStyle name="Percent 3 4 8 3 2" xfId="40074"/>
    <cellStyle name="Percent 3 4 8 4" xfId="27769"/>
    <cellStyle name="Percent 3 4 9" xfId="10973"/>
    <cellStyle name="Percent 3 4 9 2" xfId="30856"/>
    <cellStyle name="Percent 3 5" xfId="242"/>
    <cellStyle name="Percent 3 5 2" xfId="4409"/>
    <cellStyle name="Percent 3 5 2 2" xfId="5444"/>
    <cellStyle name="Percent 3 5 2 2 2" xfId="7069"/>
    <cellStyle name="Percent 3 5 2 2 2 2" xfId="10155"/>
    <cellStyle name="Percent 3 5 2 2 2 2 2" xfId="16348"/>
    <cellStyle name="Percent 3 5 2 2 2 2 2 2" xfId="36231"/>
    <cellStyle name="Percent 3 5 2 2 2 2 3" xfId="22500"/>
    <cellStyle name="Percent 3 5 2 2 2 2 3 2" xfId="42383"/>
    <cellStyle name="Percent 3 5 2 2 2 2 4" xfId="30078"/>
    <cellStyle name="Percent 3 5 2 2 2 3" xfId="13282"/>
    <cellStyle name="Percent 3 5 2 2 2 3 2" xfId="33165"/>
    <cellStyle name="Percent 3 5 2 2 2 4" xfId="19434"/>
    <cellStyle name="Percent 3 5 2 2 2 4 2" xfId="39317"/>
    <cellStyle name="Percent 3 5 2 2 2 5" xfId="27012"/>
    <cellStyle name="Percent 3 5 2 2 3" xfId="8620"/>
    <cellStyle name="Percent 3 5 2 2 3 2" xfId="14814"/>
    <cellStyle name="Percent 3 5 2 2 3 2 2" xfId="34697"/>
    <cellStyle name="Percent 3 5 2 2 3 3" xfId="20966"/>
    <cellStyle name="Percent 3 5 2 2 3 3 2" xfId="40849"/>
    <cellStyle name="Percent 3 5 2 2 3 4" xfId="28544"/>
    <cellStyle name="Percent 3 5 2 2 4" xfId="11748"/>
    <cellStyle name="Percent 3 5 2 2 4 2" xfId="31631"/>
    <cellStyle name="Percent 3 5 2 2 5" xfId="17900"/>
    <cellStyle name="Percent 3 5 2 2 5 2" xfId="37783"/>
    <cellStyle name="Percent 3 5 2 2 6" xfId="25478"/>
    <cellStyle name="Percent 3 5 2 3" xfId="6296"/>
    <cellStyle name="Percent 3 5 2 3 2" xfId="9386"/>
    <cellStyle name="Percent 3 5 2 3 2 2" xfId="15579"/>
    <cellStyle name="Percent 3 5 2 3 2 2 2" xfId="35462"/>
    <cellStyle name="Percent 3 5 2 3 2 3" xfId="21731"/>
    <cellStyle name="Percent 3 5 2 3 2 3 2" xfId="41614"/>
    <cellStyle name="Percent 3 5 2 3 2 4" xfId="29309"/>
    <cellStyle name="Percent 3 5 2 3 3" xfId="12513"/>
    <cellStyle name="Percent 3 5 2 3 3 2" xfId="32396"/>
    <cellStyle name="Percent 3 5 2 3 4" xfId="18665"/>
    <cellStyle name="Percent 3 5 2 3 4 2" xfId="38548"/>
    <cellStyle name="Percent 3 5 2 3 5" xfId="26243"/>
    <cellStyle name="Percent 3 5 2 4" xfId="7851"/>
    <cellStyle name="Percent 3 5 2 4 2" xfId="14045"/>
    <cellStyle name="Percent 3 5 2 4 2 2" xfId="33928"/>
    <cellStyle name="Percent 3 5 2 4 3" xfId="20197"/>
    <cellStyle name="Percent 3 5 2 4 3 2" xfId="40080"/>
    <cellStyle name="Percent 3 5 2 4 4" xfId="27775"/>
    <cellStyle name="Percent 3 5 2 5" xfId="10979"/>
    <cellStyle name="Percent 3 5 2 5 2" xfId="30862"/>
    <cellStyle name="Percent 3 5 2 6" xfId="17131"/>
    <cellStyle name="Percent 3 5 2 6 2" xfId="37014"/>
    <cellStyle name="Percent 3 5 2 7" xfId="24709"/>
    <cellStyle name="Percent 3 5 3" xfId="5443"/>
    <cellStyle name="Percent 3 5 3 2" xfId="7068"/>
    <cellStyle name="Percent 3 5 3 2 2" xfId="10154"/>
    <cellStyle name="Percent 3 5 3 2 2 2" xfId="16347"/>
    <cellStyle name="Percent 3 5 3 2 2 2 2" xfId="36230"/>
    <cellStyle name="Percent 3 5 3 2 2 3" xfId="22499"/>
    <cellStyle name="Percent 3 5 3 2 2 3 2" xfId="42382"/>
    <cellStyle name="Percent 3 5 3 2 2 4" xfId="30077"/>
    <cellStyle name="Percent 3 5 3 2 3" xfId="13281"/>
    <cellStyle name="Percent 3 5 3 2 3 2" xfId="33164"/>
    <cellStyle name="Percent 3 5 3 2 4" xfId="19433"/>
    <cellStyle name="Percent 3 5 3 2 4 2" xfId="39316"/>
    <cellStyle name="Percent 3 5 3 2 5" xfId="27011"/>
    <cellStyle name="Percent 3 5 3 3" xfId="8619"/>
    <cellStyle name="Percent 3 5 3 3 2" xfId="14813"/>
    <cellStyle name="Percent 3 5 3 3 2 2" xfId="34696"/>
    <cellStyle name="Percent 3 5 3 3 3" xfId="20965"/>
    <cellStyle name="Percent 3 5 3 3 3 2" xfId="40848"/>
    <cellStyle name="Percent 3 5 3 3 4" xfId="28543"/>
    <cellStyle name="Percent 3 5 3 4" xfId="11747"/>
    <cellStyle name="Percent 3 5 3 4 2" xfId="31630"/>
    <cellStyle name="Percent 3 5 3 5" xfId="17899"/>
    <cellStyle name="Percent 3 5 3 5 2" xfId="37782"/>
    <cellStyle name="Percent 3 5 3 6" xfId="25477"/>
    <cellStyle name="Percent 3 5 4" xfId="6295"/>
    <cellStyle name="Percent 3 5 4 2" xfId="9385"/>
    <cellStyle name="Percent 3 5 4 2 2" xfId="15578"/>
    <cellStyle name="Percent 3 5 4 2 2 2" xfId="35461"/>
    <cellStyle name="Percent 3 5 4 2 3" xfId="21730"/>
    <cellStyle name="Percent 3 5 4 2 3 2" xfId="41613"/>
    <cellStyle name="Percent 3 5 4 2 4" xfId="29308"/>
    <cellStyle name="Percent 3 5 4 3" xfId="12512"/>
    <cellStyle name="Percent 3 5 4 3 2" xfId="32395"/>
    <cellStyle name="Percent 3 5 4 4" xfId="18664"/>
    <cellStyle name="Percent 3 5 4 4 2" xfId="38547"/>
    <cellStyle name="Percent 3 5 4 5" xfId="26242"/>
    <cellStyle name="Percent 3 5 5" xfId="7850"/>
    <cellStyle name="Percent 3 5 5 2" xfId="14044"/>
    <cellStyle name="Percent 3 5 5 2 2" xfId="33927"/>
    <cellStyle name="Percent 3 5 5 3" xfId="20196"/>
    <cellStyle name="Percent 3 5 5 3 2" xfId="40079"/>
    <cellStyle name="Percent 3 5 5 4" xfId="27774"/>
    <cellStyle name="Percent 3 5 6" xfId="10978"/>
    <cellStyle name="Percent 3 5 6 2" xfId="30861"/>
    <cellStyle name="Percent 3 5 7" xfId="17130"/>
    <cellStyle name="Percent 3 5 7 2" xfId="37013"/>
    <cellStyle name="Percent 3 5 8" xfId="4408"/>
    <cellStyle name="Percent 3 5 8 2" xfId="24708"/>
    <cellStyle name="Percent 3 5 9" xfId="23316"/>
    <cellStyle name="Percent 3 6" xfId="277"/>
    <cellStyle name="Percent 3 6 2" xfId="4411"/>
    <cellStyle name="Percent 3 6 2 2" xfId="5446"/>
    <cellStyle name="Percent 3 6 2 2 2" xfId="7071"/>
    <cellStyle name="Percent 3 6 2 2 2 2" xfId="10157"/>
    <cellStyle name="Percent 3 6 2 2 2 2 2" xfId="16350"/>
    <cellStyle name="Percent 3 6 2 2 2 2 2 2" xfId="36233"/>
    <cellStyle name="Percent 3 6 2 2 2 2 3" xfId="22502"/>
    <cellStyle name="Percent 3 6 2 2 2 2 3 2" xfId="42385"/>
    <cellStyle name="Percent 3 6 2 2 2 2 4" xfId="30080"/>
    <cellStyle name="Percent 3 6 2 2 2 3" xfId="13284"/>
    <cellStyle name="Percent 3 6 2 2 2 3 2" xfId="33167"/>
    <cellStyle name="Percent 3 6 2 2 2 4" xfId="19436"/>
    <cellStyle name="Percent 3 6 2 2 2 4 2" xfId="39319"/>
    <cellStyle name="Percent 3 6 2 2 2 5" xfId="27014"/>
    <cellStyle name="Percent 3 6 2 2 3" xfId="8622"/>
    <cellStyle name="Percent 3 6 2 2 3 2" xfId="14816"/>
    <cellStyle name="Percent 3 6 2 2 3 2 2" xfId="34699"/>
    <cellStyle name="Percent 3 6 2 2 3 3" xfId="20968"/>
    <cellStyle name="Percent 3 6 2 2 3 3 2" xfId="40851"/>
    <cellStyle name="Percent 3 6 2 2 3 4" xfId="28546"/>
    <cellStyle name="Percent 3 6 2 2 4" xfId="11750"/>
    <cellStyle name="Percent 3 6 2 2 4 2" xfId="31633"/>
    <cellStyle name="Percent 3 6 2 2 5" xfId="17902"/>
    <cellStyle name="Percent 3 6 2 2 5 2" xfId="37785"/>
    <cellStyle name="Percent 3 6 2 2 6" xfId="25480"/>
    <cellStyle name="Percent 3 6 2 3" xfId="6298"/>
    <cellStyle name="Percent 3 6 2 3 2" xfId="9388"/>
    <cellStyle name="Percent 3 6 2 3 2 2" xfId="15581"/>
    <cellStyle name="Percent 3 6 2 3 2 2 2" xfId="35464"/>
    <cellStyle name="Percent 3 6 2 3 2 3" xfId="21733"/>
    <cellStyle name="Percent 3 6 2 3 2 3 2" xfId="41616"/>
    <cellStyle name="Percent 3 6 2 3 2 4" xfId="29311"/>
    <cellStyle name="Percent 3 6 2 3 3" xfId="12515"/>
    <cellStyle name="Percent 3 6 2 3 3 2" xfId="32398"/>
    <cellStyle name="Percent 3 6 2 3 4" xfId="18667"/>
    <cellStyle name="Percent 3 6 2 3 4 2" xfId="38550"/>
    <cellStyle name="Percent 3 6 2 3 5" xfId="26245"/>
    <cellStyle name="Percent 3 6 2 4" xfId="7853"/>
    <cellStyle name="Percent 3 6 2 4 2" xfId="14047"/>
    <cellStyle name="Percent 3 6 2 4 2 2" xfId="33930"/>
    <cellStyle name="Percent 3 6 2 4 3" xfId="20199"/>
    <cellStyle name="Percent 3 6 2 4 3 2" xfId="40082"/>
    <cellStyle name="Percent 3 6 2 4 4" xfId="27777"/>
    <cellStyle name="Percent 3 6 2 5" xfId="10981"/>
    <cellStyle name="Percent 3 6 2 5 2" xfId="30864"/>
    <cellStyle name="Percent 3 6 2 6" xfId="17133"/>
    <cellStyle name="Percent 3 6 2 6 2" xfId="37016"/>
    <cellStyle name="Percent 3 6 2 7" xfId="24711"/>
    <cellStyle name="Percent 3 6 3" xfId="5445"/>
    <cellStyle name="Percent 3 6 3 2" xfId="7070"/>
    <cellStyle name="Percent 3 6 3 2 2" xfId="10156"/>
    <cellStyle name="Percent 3 6 3 2 2 2" xfId="16349"/>
    <cellStyle name="Percent 3 6 3 2 2 2 2" xfId="36232"/>
    <cellStyle name="Percent 3 6 3 2 2 3" xfId="22501"/>
    <cellStyle name="Percent 3 6 3 2 2 3 2" xfId="42384"/>
    <cellStyle name="Percent 3 6 3 2 2 4" xfId="30079"/>
    <cellStyle name="Percent 3 6 3 2 3" xfId="13283"/>
    <cellStyle name="Percent 3 6 3 2 3 2" xfId="33166"/>
    <cellStyle name="Percent 3 6 3 2 4" xfId="19435"/>
    <cellStyle name="Percent 3 6 3 2 4 2" xfId="39318"/>
    <cellStyle name="Percent 3 6 3 2 5" xfId="27013"/>
    <cellStyle name="Percent 3 6 3 3" xfId="8621"/>
    <cellStyle name="Percent 3 6 3 3 2" xfId="14815"/>
    <cellStyle name="Percent 3 6 3 3 2 2" xfId="34698"/>
    <cellStyle name="Percent 3 6 3 3 3" xfId="20967"/>
    <cellStyle name="Percent 3 6 3 3 3 2" xfId="40850"/>
    <cellStyle name="Percent 3 6 3 3 4" xfId="28545"/>
    <cellStyle name="Percent 3 6 3 4" xfId="11749"/>
    <cellStyle name="Percent 3 6 3 4 2" xfId="31632"/>
    <cellStyle name="Percent 3 6 3 5" xfId="17901"/>
    <cellStyle name="Percent 3 6 3 5 2" xfId="37784"/>
    <cellStyle name="Percent 3 6 3 6" xfId="25479"/>
    <cellStyle name="Percent 3 6 4" xfId="6297"/>
    <cellStyle name="Percent 3 6 4 2" xfId="9387"/>
    <cellStyle name="Percent 3 6 4 2 2" xfId="15580"/>
    <cellStyle name="Percent 3 6 4 2 2 2" xfId="35463"/>
    <cellStyle name="Percent 3 6 4 2 3" xfId="21732"/>
    <cellStyle name="Percent 3 6 4 2 3 2" xfId="41615"/>
    <cellStyle name="Percent 3 6 4 2 4" xfId="29310"/>
    <cellStyle name="Percent 3 6 4 3" xfId="12514"/>
    <cellStyle name="Percent 3 6 4 3 2" xfId="32397"/>
    <cellStyle name="Percent 3 6 4 4" xfId="18666"/>
    <cellStyle name="Percent 3 6 4 4 2" xfId="38549"/>
    <cellStyle name="Percent 3 6 4 5" xfId="26244"/>
    <cellStyle name="Percent 3 6 5" xfId="7852"/>
    <cellStyle name="Percent 3 6 5 2" xfId="14046"/>
    <cellStyle name="Percent 3 6 5 2 2" xfId="33929"/>
    <cellStyle name="Percent 3 6 5 3" xfId="20198"/>
    <cellStyle name="Percent 3 6 5 3 2" xfId="40081"/>
    <cellStyle name="Percent 3 6 5 4" xfId="27776"/>
    <cellStyle name="Percent 3 6 6" xfId="10980"/>
    <cellStyle name="Percent 3 6 6 2" xfId="30863"/>
    <cellStyle name="Percent 3 6 7" xfId="17132"/>
    <cellStyle name="Percent 3 6 7 2" xfId="37015"/>
    <cellStyle name="Percent 3 6 8" xfId="4410"/>
    <cellStyle name="Percent 3 6 8 2" xfId="24710"/>
    <cellStyle name="Percent 3 6 9" xfId="23317"/>
    <cellStyle name="Percent 3 7" xfId="304"/>
    <cellStyle name="Percent 3 7 2" xfId="4413"/>
    <cellStyle name="Percent 3 7 2 2" xfId="5448"/>
    <cellStyle name="Percent 3 7 2 2 2" xfId="7073"/>
    <cellStyle name="Percent 3 7 2 2 2 2" xfId="10159"/>
    <cellStyle name="Percent 3 7 2 2 2 2 2" xfId="16352"/>
    <cellStyle name="Percent 3 7 2 2 2 2 2 2" xfId="36235"/>
    <cellStyle name="Percent 3 7 2 2 2 2 3" xfId="22504"/>
    <cellStyle name="Percent 3 7 2 2 2 2 3 2" xfId="42387"/>
    <cellStyle name="Percent 3 7 2 2 2 2 4" xfId="30082"/>
    <cellStyle name="Percent 3 7 2 2 2 3" xfId="13286"/>
    <cellStyle name="Percent 3 7 2 2 2 3 2" xfId="33169"/>
    <cellStyle name="Percent 3 7 2 2 2 4" xfId="19438"/>
    <cellStyle name="Percent 3 7 2 2 2 4 2" xfId="39321"/>
    <cellStyle name="Percent 3 7 2 2 2 5" xfId="27016"/>
    <cellStyle name="Percent 3 7 2 2 3" xfId="8624"/>
    <cellStyle name="Percent 3 7 2 2 3 2" xfId="14818"/>
    <cellStyle name="Percent 3 7 2 2 3 2 2" xfId="34701"/>
    <cellStyle name="Percent 3 7 2 2 3 3" xfId="20970"/>
    <cellStyle name="Percent 3 7 2 2 3 3 2" xfId="40853"/>
    <cellStyle name="Percent 3 7 2 2 3 4" xfId="28548"/>
    <cellStyle name="Percent 3 7 2 2 4" xfId="11752"/>
    <cellStyle name="Percent 3 7 2 2 4 2" xfId="31635"/>
    <cellStyle name="Percent 3 7 2 2 5" xfId="17904"/>
    <cellStyle name="Percent 3 7 2 2 5 2" xfId="37787"/>
    <cellStyle name="Percent 3 7 2 2 6" xfId="25482"/>
    <cellStyle name="Percent 3 7 2 3" xfId="6300"/>
    <cellStyle name="Percent 3 7 2 3 2" xfId="9390"/>
    <cellStyle name="Percent 3 7 2 3 2 2" xfId="15583"/>
    <cellStyle name="Percent 3 7 2 3 2 2 2" xfId="35466"/>
    <cellStyle name="Percent 3 7 2 3 2 3" xfId="21735"/>
    <cellStyle name="Percent 3 7 2 3 2 3 2" xfId="41618"/>
    <cellStyle name="Percent 3 7 2 3 2 4" xfId="29313"/>
    <cellStyle name="Percent 3 7 2 3 3" xfId="12517"/>
    <cellStyle name="Percent 3 7 2 3 3 2" xfId="32400"/>
    <cellStyle name="Percent 3 7 2 3 4" xfId="18669"/>
    <cellStyle name="Percent 3 7 2 3 4 2" xfId="38552"/>
    <cellStyle name="Percent 3 7 2 3 5" xfId="26247"/>
    <cellStyle name="Percent 3 7 2 4" xfId="7855"/>
    <cellStyle name="Percent 3 7 2 4 2" xfId="14049"/>
    <cellStyle name="Percent 3 7 2 4 2 2" xfId="33932"/>
    <cellStyle name="Percent 3 7 2 4 3" xfId="20201"/>
    <cellStyle name="Percent 3 7 2 4 3 2" xfId="40084"/>
    <cellStyle name="Percent 3 7 2 4 4" xfId="27779"/>
    <cellStyle name="Percent 3 7 2 5" xfId="10983"/>
    <cellStyle name="Percent 3 7 2 5 2" xfId="30866"/>
    <cellStyle name="Percent 3 7 2 6" xfId="17135"/>
    <cellStyle name="Percent 3 7 2 6 2" xfId="37018"/>
    <cellStyle name="Percent 3 7 2 7" xfId="24713"/>
    <cellStyle name="Percent 3 7 3" xfId="5447"/>
    <cellStyle name="Percent 3 7 3 2" xfId="7072"/>
    <cellStyle name="Percent 3 7 3 2 2" xfId="10158"/>
    <cellStyle name="Percent 3 7 3 2 2 2" xfId="16351"/>
    <cellStyle name="Percent 3 7 3 2 2 2 2" xfId="36234"/>
    <cellStyle name="Percent 3 7 3 2 2 3" xfId="22503"/>
    <cellStyle name="Percent 3 7 3 2 2 3 2" xfId="42386"/>
    <cellStyle name="Percent 3 7 3 2 2 4" xfId="30081"/>
    <cellStyle name="Percent 3 7 3 2 3" xfId="13285"/>
    <cellStyle name="Percent 3 7 3 2 3 2" xfId="33168"/>
    <cellStyle name="Percent 3 7 3 2 4" xfId="19437"/>
    <cellStyle name="Percent 3 7 3 2 4 2" xfId="39320"/>
    <cellStyle name="Percent 3 7 3 2 5" xfId="27015"/>
    <cellStyle name="Percent 3 7 3 3" xfId="8623"/>
    <cellStyle name="Percent 3 7 3 3 2" xfId="14817"/>
    <cellStyle name="Percent 3 7 3 3 2 2" xfId="34700"/>
    <cellStyle name="Percent 3 7 3 3 3" xfId="20969"/>
    <cellStyle name="Percent 3 7 3 3 3 2" xfId="40852"/>
    <cellStyle name="Percent 3 7 3 3 4" xfId="28547"/>
    <cellStyle name="Percent 3 7 3 4" xfId="11751"/>
    <cellStyle name="Percent 3 7 3 4 2" xfId="31634"/>
    <cellStyle name="Percent 3 7 3 5" xfId="17903"/>
    <cellStyle name="Percent 3 7 3 5 2" xfId="37786"/>
    <cellStyle name="Percent 3 7 3 6" xfId="25481"/>
    <cellStyle name="Percent 3 7 4" xfId="6299"/>
    <cellStyle name="Percent 3 7 4 2" xfId="9389"/>
    <cellStyle name="Percent 3 7 4 2 2" xfId="15582"/>
    <cellStyle name="Percent 3 7 4 2 2 2" xfId="35465"/>
    <cellStyle name="Percent 3 7 4 2 3" xfId="21734"/>
    <cellStyle name="Percent 3 7 4 2 3 2" xfId="41617"/>
    <cellStyle name="Percent 3 7 4 2 4" xfId="29312"/>
    <cellStyle name="Percent 3 7 4 3" xfId="12516"/>
    <cellStyle name="Percent 3 7 4 3 2" xfId="32399"/>
    <cellStyle name="Percent 3 7 4 4" xfId="18668"/>
    <cellStyle name="Percent 3 7 4 4 2" xfId="38551"/>
    <cellStyle name="Percent 3 7 4 5" xfId="26246"/>
    <cellStyle name="Percent 3 7 5" xfId="7854"/>
    <cellStyle name="Percent 3 7 5 2" xfId="14048"/>
    <cellStyle name="Percent 3 7 5 2 2" xfId="33931"/>
    <cellStyle name="Percent 3 7 5 3" xfId="20200"/>
    <cellStyle name="Percent 3 7 5 3 2" xfId="40083"/>
    <cellStyle name="Percent 3 7 5 4" xfId="27778"/>
    <cellStyle name="Percent 3 7 6" xfId="10982"/>
    <cellStyle name="Percent 3 7 6 2" xfId="30865"/>
    <cellStyle name="Percent 3 7 7" xfId="17134"/>
    <cellStyle name="Percent 3 7 7 2" xfId="37017"/>
    <cellStyle name="Percent 3 7 8" xfId="4412"/>
    <cellStyle name="Percent 3 7 8 2" xfId="24712"/>
    <cellStyle name="Percent 3 8" xfId="313"/>
    <cellStyle name="Percent 3 8 2" xfId="5449"/>
    <cellStyle name="Percent 3 8 2 2" xfId="7074"/>
    <cellStyle name="Percent 3 8 2 2 2" xfId="10160"/>
    <cellStyle name="Percent 3 8 2 2 2 2" xfId="16353"/>
    <cellStyle name="Percent 3 8 2 2 2 2 2" xfId="36236"/>
    <cellStyle name="Percent 3 8 2 2 2 3" xfId="22505"/>
    <cellStyle name="Percent 3 8 2 2 2 3 2" xfId="42388"/>
    <cellStyle name="Percent 3 8 2 2 2 4" xfId="30083"/>
    <cellStyle name="Percent 3 8 2 2 3" xfId="13287"/>
    <cellStyle name="Percent 3 8 2 2 3 2" xfId="33170"/>
    <cellStyle name="Percent 3 8 2 2 4" xfId="19439"/>
    <cellStyle name="Percent 3 8 2 2 4 2" xfId="39322"/>
    <cellStyle name="Percent 3 8 2 2 5" xfId="27017"/>
    <cellStyle name="Percent 3 8 2 3" xfId="8625"/>
    <cellStyle name="Percent 3 8 2 3 2" xfId="14819"/>
    <cellStyle name="Percent 3 8 2 3 2 2" xfId="34702"/>
    <cellStyle name="Percent 3 8 2 3 3" xfId="20971"/>
    <cellStyle name="Percent 3 8 2 3 3 2" xfId="40854"/>
    <cellStyle name="Percent 3 8 2 3 4" xfId="28549"/>
    <cellStyle name="Percent 3 8 2 4" xfId="11753"/>
    <cellStyle name="Percent 3 8 2 4 2" xfId="31636"/>
    <cellStyle name="Percent 3 8 2 5" xfId="17905"/>
    <cellStyle name="Percent 3 8 2 5 2" xfId="37788"/>
    <cellStyle name="Percent 3 8 2 6" xfId="25483"/>
    <cellStyle name="Percent 3 8 3" xfId="6301"/>
    <cellStyle name="Percent 3 8 3 2" xfId="9391"/>
    <cellStyle name="Percent 3 8 3 2 2" xfId="15584"/>
    <cellStyle name="Percent 3 8 3 2 2 2" xfId="35467"/>
    <cellStyle name="Percent 3 8 3 2 3" xfId="21736"/>
    <cellStyle name="Percent 3 8 3 2 3 2" xfId="41619"/>
    <cellStyle name="Percent 3 8 3 2 4" xfId="29314"/>
    <cellStyle name="Percent 3 8 3 3" xfId="12518"/>
    <cellStyle name="Percent 3 8 3 3 2" xfId="32401"/>
    <cellStyle name="Percent 3 8 3 4" xfId="18670"/>
    <cellStyle name="Percent 3 8 3 4 2" xfId="38553"/>
    <cellStyle name="Percent 3 8 3 5" xfId="26248"/>
    <cellStyle name="Percent 3 8 4" xfId="7856"/>
    <cellStyle name="Percent 3 8 4 2" xfId="14050"/>
    <cellStyle name="Percent 3 8 4 2 2" xfId="33933"/>
    <cellStyle name="Percent 3 8 4 3" xfId="20202"/>
    <cellStyle name="Percent 3 8 4 3 2" xfId="40085"/>
    <cellStyle name="Percent 3 8 4 4" xfId="27780"/>
    <cellStyle name="Percent 3 8 5" xfId="10984"/>
    <cellStyle name="Percent 3 8 5 2" xfId="30867"/>
    <cellStyle name="Percent 3 8 6" xfId="17136"/>
    <cellStyle name="Percent 3 8 6 2" xfId="37019"/>
    <cellStyle name="Percent 3 8 7" xfId="4414"/>
    <cellStyle name="Percent 3 8 7 2" xfId="24714"/>
    <cellStyle name="Percent 3 9" xfId="349"/>
    <cellStyle name="Percent 3 9 2" xfId="5450"/>
    <cellStyle name="Percent 3 9 2 2" xfId="7075"/>
    <cellStyle name="Percent 3 9 2 2 2" xfId="10161"/>
    <cellStyle name="Percent 3 9 2 2 2 2" xfId="16354"/>
    <cellStyle name="Percent 3 9 2 2 2 2 2" xfId="36237"/>
    <cellStyle name="Percent 3 9 2 2 2 3" xfId="22506"/>
    <cellStyle name="Percent 3 9 2 2 2 3 2" xfId="42389"/>
    <cellStyle name="Percent 3 9 2 2 2 4" xfId="30084"/>
    <cellStyle name="Percent 3 9 2 2 3" xfId="13288"/>
    <cellStyle name="Percent 3 9 2 2 3 2" xfId="33171"/>
    <cellStyle name="Percent 3 9 2 2 4" xfId="19440"/>
    <cellStyle name="Percent 3 9 2 2 4 2" xfId="39323"/>
    <cellStyle name="Percent 3 9 2 2 5" xfId="27018"/>
    <cellStyle name="Percent 3 9 2 3" xfId="8626"/>
    <cellStyle name="Percent 3 9 2 3 2" xfId="14820"/>
    <cellStyle name="Percent 3 9 2 3 2 2" xfId="34703"/>
    <cellStyle name="Percent 3 9 2 3 3" xfId="20972"/>
    <cellStyle name="Percent 3 9 2 3 3 2" xfId="40855"/>
    <cellStyle name="Percent 3 9 2 3 4" xfId="28550"/>
    <cellStyle name="Percent 3 9 2 4" xfId="11754"/>
    <cellStyle name="Percent 3 9 2 4 2" xfId="31637"/>
    <cellStyle name="Percent 3 9 2 5" xfId="17906"/>
    <cellStyle name="Percent 3 9 2 5 2" xfId="37789"/>
    <cellStyle name="Percent 3 9 2 6" xfId="25484"/>
    <cellStyle name="Percent 3 9 3" xfId="6302"/>
    <cellStyle name="Percent 3 9 3 2" xfId="9392"/>
    <cellStyle name="Percent 3 9 3 2 2" xfId="15585"/>
    <cellStyle name="Percent 3 9 3 2 2 2" xfId="35468"/>
    <cellStyle name="Percent 3 9 3 2 3" xfId="21737"/>
    <cellStyle name="Percent 3 9 3 2 3 2" xfId="41620"/>
    <cellStyle name="Percent 3 9 3 2 4" xfId="29315"/>
    <cellStyle name="Percent 3 9 3 3" xfId="12519"/>
    <cellStyle name="Percent 3 9 3 3 2" xfId="32402"/>
    <cellStyle name="Percent 3 9 3 4" xfId="18671"/>
    <cellStyle name="Percent 3 9 3 4 2" xfId="38554"/>
    <cellStyle name="Percent 3 9 3 5" xfId="26249"/>
    <cellStyle name="Percent 3 9 4" xfId="7857"/>
    <cellStyle name="Percent 3 9 4 2" xfId="14051"/>
    <cellStyle name="Percent 3 9 4 2 2" xfId="33934"/>
    <cellStyle name="Percent 3 9 4 3" xfId="20203"/>
    <cellStyle name="Percent 3 9 4 3 2" xfId="40086"/>
    <cellStyle name="Percent 3 9 4 4" xfId="27781"/>
    <cellStyle name="Percent 3 9 5" xfId="10985"/>
    <cellStyle name="Percent 3 9 5 2" xfId="30868"/>
    <cellStyle name="Percent 3 9 6" xfId="17137"/>
    <cellStyle name="Percent 3 9 6 2" xfId="37020"/>
    <cellStyle name="Percent 3 9 7" xfId="4415"/>
    <cellStyle name="Percent 3 9 7 2" xfId="24715"/>
    <cellStyle name="Percent 30" xfId="4416"/>
    <cellStyle name="Percent 30 2" xfId="4417"/>
    <cellStyle name="Percent 30 2 2" xfId="4418"/>
    <cellStyle name="Percent 30 2 2 2" xfId="5452"/>
    <cellStyle name="Percent 30 2 2 2 2" xfId="7077"/>
    <cellStyle name="Percent 30 2 2 2 2 2" xfId="10163"/>
    <cellStyle name="Percent 30 2 2 2 2 2 2" xfId="16356"/>
    <cellStyle name="Percent 30 2 2 2 2 2 2 2" xfId="36239"/>
    <cellStyle name="Percent 30 2 2 2 2 2 3" xfId="22508"/>
    <cellStyle name="Percent 30 2 2 2 2 2 3 2" xfId="42391"/>
    <cellStyle name="Percent 30 2 2 2 2 2 4" xfId="30086"/>
    <cellStyle name="Percent 30 2 2 2 2 3" xfId="13290"/>
    <cellStyle name="Percent 30 2 2 2 2 3 2" xfId="33173"/>
    <cellStyle name="Percent 30 2 2 2 2 4" xfId="19442"/>
    <cellStyle name="Percent 30 2 2 2 2 4 2" xfId="39325"/>
    <cellStyle name="Percent 30 2 2 2 2 5" xfId="27020"/>
    <cellStyle name="Percent 30 2 2 2 3" xfId="8628"/>
    <cellStyle name="Percent 30 2 2 2 3 2" xfId="14822"/>
    <cellStyle name="Percent 30 2 2 2 3 2 2" xfId="34705"/>
    <cellStyle name="Percent 30 2 2 2 3 3" xfId="20974"/>
    <cellStyle name="Percent 30 2 2 2 3 3 2" xfId="40857"/>
    <cellStyle name="Percent 30 2 2 2 3 4" xfId="28552"/>
    <cellStyle name="Percent 30 2 2 2 4" xfId="11756"/>
    <cellStyle name="Percent 30 2 2 2 4 2" xfId="31639"/>
    <cellStyle name="Percent 30 2 2 2 5" xfId="17908"/>
    <cellStyle name="Percent 30 2 2 2 5 2" xfId="37791"/>
    <cellStyle name="Percent 30 2 2 2 6" xfId="25486"/>
    <cellStyle name="Percent 30 2 2 3" xfId="6305"/>
    <cellStyle name="Percent 30 2 2 3 2" xfId="9394"/>
    <cellStyle name="Percent 30 2 2 3 2 2" xfId="15587"/>
    <cellStyle name="Percent 30 2 2 3 2 2 2" xfId="35470"/>
    <cellStyle name="Percent 30 2 2 3 2 3" xfId="21739"/>
    <cellStyle name="Percent 30 2 2 3 2 3 2" xfId="41622"/>
    <cellStyle name="Percent 30 2 2 3 2 4" xfId="29317"/>
    <cellStyle name="Percent 30 2 2 3 3" xfId="12521"/>
    <cellStyle name="Percent 30 2 2 3 3 2" xfId="32404"/>
    <cellStyle name="Percent 30 2 2 3 4" xfId="18673"/>
    <cellStyle name="Percent 30 2 2 3 4 2" xfId="38556"/>
    <cellStyle name="Percent 30 2 2 3 5" xfId="26251"/>
    <cellStyle name="Percent 30 2 2 4" xfId="7859"/>
    <cellStyle name="Percent 30 2 2 4 2" xfId="14053"/>
    <cellStyle name="Percent 30 2 2 4 2 2" xfId="33936"/>
    <cellStyle name="Percent 30 2 2 4 3" xfId="20205"/>
    <cellStyle name="Percent 30 2 2 4 3 2" xfId="40088"/>
    <cellStyle name="Percent 30 2 2 4 4" xfId="27783"/>
    <cellStyle name="Percent 30 2 2 5" xfId="10987"/>
    <cellStyle name="Percent 30 2 2 5 2" xfId="30870"/>
    <cellStyle name="Percent 30 2 2 6" xfId="17139"/>
    <cellStyle name="Percent 30 2 2 6 2" xfId="37022"/>
    <cellStyle name="Percent 30 2 2 7" xfId="24717"/>
    <cellStyle name="Percent 30 2 3" xfId="5451"/>
    <cellStyle name="Percent 30 2 3 2" xfId="7076"/>
    <cellStyle name="Percent 30 2 3 2 2" xfId="10162"/>
    <cellStyle name="Percent 30 2 3 2 2 2" xfId="16355"/>
    <cellStyle name="Percent 30 2 3 2 2 2 2" xfId="36238"/>
    <cellStyle name="Percent 30 2 3 2 2 3" xfId="22507"/>
    <cellStyle name="Percent 30 2 3 2 2 3 2" xfId="42390"/>
    <cellStyle name="Percent 30 2 3 2 2 4" xfId="30085"/>
    <cellStyle name="Percent 30 2 3 2 3" xfId="13289"/>
    <cellStyle name="Percent 30 2 3 2 3 2" xfId="33172"/>
    <cellStyle name="Percent 30 2 3 2 4" xfId="19441"/>
    <cellStyle name="Percent 30 2 3 2 4 2" xfId="39324"/>
    <cellStyle name="Percent 30 2 3 2 5" xfId="27019"/>
    <cellStyle name="Percent 30 2 3 3" xfId="8627"/>
    <cellStyle name="Percent 30 2 3 3 2" xfId="14821"/>
    <cellStyle name="Percent 30 2 3 3 2 2" xfId="34704"/>
    <cellStyle name="Percent 30 2 3 3 3" xfId="20973"/>
    <cellStyle name="Percent 30 2 3 3 3 2" xfId="40856"/>
    <cellStyle name="Percent 30 2 3 3 4" xfId="28551"/>
    <cellStyle name="Percent 30 2 3 4" xfId="11755"/>
    <cellStyle name="Percent 30 2 3 4 2" xfId="31638"/>
    <cellStyle name="Percent 30 2 3 5" xfId="17907"/>
    <cellStyle name="Percent 30 2 3 5 2" xfId="37790"/>
    <cellStyle name="Percent 30 2 3 6" xfId="25485"/>
    <cellStyle name="Percent 30 2 4" xfId="6304"/>
    <cellStyle name="Percent 30 2 4 2" xfId="9393"/>
    <cellStyle name="Percent 30 2 4 2 2" xfId="15586"/>
    <cellStyle name="Percent 30 2 4 2 2 2" xfId="35469"/>
    <cellStyle name="Percent 30 2 4 2 3" xfId="21738"/>
    <cellStyle name="Percent 30 2 4 2 3 2" xfId="41621"/>
    <cellStyle name="Percent 30 2 4 2 4" xfId="29316"/>
    <cellStyle name="Percent 30 2 4 3" xfId="12520"/>
    <cellStyle name="Percent 30 2 4 3 2" xfId="32403"/>
    <cellStyle name="Percent 30 2 4 4" xfId="18672"/>
    <cellStyle name="Percent 30 2 4 4 2" xfId="38555"/>
    <cellStyle name="Percent 30 2 4 5" xfId="26250"/>
    <cellStyle name="Percent 30 2 5" xfId="7858"/>
    <cellStyle name="Percent 30 2 5 2" xfId="14052"/>
    <cellStyle name="Percent 30 2 5 2 2" xfId="33935"/>
    <cellStyle name="Percent 30 2 5 3" xfId="20204"/>
    <cellStyle name="Percent 30 2 5 3 2" xfId="40087"/>
    <cellStyle name="Percent 30 2 5 4" xfId="27782"/>
    <cellStyle name="Percent 30 2 6" xfId="10986"/>
    <cellStyle name="Percent 30 2 6 2" xfId="30869"/>
    <cellStyle name="Percent 30 2 7" xfId="17138"/>
    <cellStyle name="Percent 30 2 7 2" xfId="37021"/>
    <cellStyle name="Percent 30 2 8" xfId="24716"/>
    <cellStyle name="Percent 30 3" xfId="4419"/>
    <cellStyle name="Percent 30 3 2" xfId="4420"/>
    <cellStyle name="Percent 30 3 2 2" xfId="5454"/>
    <cellStyle name="Percent 30 3 2 2 2" xfId="7079"/>
    <cellStyle name="Percent 30 3 2 2 2 2" xfId="10165"/>
    <cellStyle name="Percent 30 3 2 2 2 2 2" xfId="16358"/>
    <cellStyle name="Percent 30 3 2 2 2 2 2 2" xfId="36241"/>
    <cellStyle name="Percent 30 3 2 2 2 2 3" xfId="22510"/>
    <cellStyle name="Percent 30 3 2 2 2 2 3 2" xfId="42393"/>
    <cellStyle name="Percent 30 3 2 2 2 2 4" xfId="30088"/>
    <cellStyle name="Percent 30 3 2 2 2 3" xfId="13292"/>
    <cellStyle name="Percent 30 3 2 2 2 3 2" xfId="33175"/>
    <cellStyle name="Percent 30 3 2 2 2 4" xfId="19444"/>
    <cellStyle name="Percent 30 3 2 2 2 4 2" xfId="39327"/>
    <cellStyle name="Percent 30 3 2 2 2 5" xfId="27022"/>
    <cellStyle name="Percent 30 3 2 2 3" xfId="8630"/>
    <cellStyle name="Percent 30 3 2 2 3 2" xfId="14824"/>
    <cellStyle name="Percent 30 3 2 2 3 2 2" xfId="34707"/>
    <cellStyle name="Percent 30 3 2 2 3 3" xfId="20976"/>
    <cellStyle name="Percent 30 3 2 2 3 3 2" xfId="40859"/>
    <cellStyle name="Percent 30 3 2 2 3 4" xfId="28554"/>
    <cellStyle name="Percent 30 3 2 2 4" xfId="11758"/>
    <cellStyle name="Percent 30 3 2 2 4 2" xfId="31641"/>
    <cellStyle name="Percent 30 3 2 2 5" xfId="17910"/>
    <cellStyle name="Percent 30 3 2 2 5 2" xfId="37793"/>
    <cellStyle name="Percent 30 3 2 2 6" xfId="25488"/>
    <cellStyle name="Percent 30 3 2 3" xfId="6307"/>
    <cellStyle name="Percent 30 3 2 3 2" xfId="9396"/>
    <cellStyle name="Percent 30 3 2 3 2 2" xfId="15589"/>
    <cellStyle name="Percent 30 3 2 3 2 2 2" xfId="35472"/>
    <cellStyle name="Percent 30 3 2 3 2 3" xfId="21741"/>
    <cellStyle name="Percent 30 3 2 3 2 3 2" xfId="41624"/>
    <cellStyle name="Percent 30 3 2 3 2 4" xfId="29319"/>
    <cellStyle name="Percent 30 3 2 3 3" xfId="12523"/>
    <cellStyle name="Percent 30 3 2 3 3 2" xfId="32406"/>
    <cellStyle name="Percent 30 3 2 3 4" xfId="18675"/>
    <cellStyle name="Percent 30 3 2 3 4 2" xfId="38558"/>
    <cellStyle name="Percent 30 3 2 3 5" xfId="26253"/>
    <cellStyle name="Percent 30 3 2 4" xfId="7861"/>
    <cellStyle name="Percent 30 3 2 4 2" xfId="14055"/>
    <cellStyle name="Percent 30 3 2 4 2 2" xfId="33938"/>
    <cellStyle name="Percent 30 3 2 4 3" xfId="20207"/>
    <cellStyle name="Percent 30 3 2 4 3 2" xfId="40090"/>
    <cellStyle name="Percent 30 3 2 4 4" xfId="27785"/>
    <cellStyle name="Percent 30 3 2 5" xfId="10989"/>
    <cellStyle name="Percent 30 3 2 5 2" xfId="30872"/>
    <cellStyle name="Percent 30 3 2 6" xfId="17141"/>
    <cellStyle name="Percent 30 3 2 6 2" xfId="37024"/>
    <cellStyle name="Percent 30 3 2 7" xfId="24719"/>
    <cellStyle name="Percent 30 3 3" xfId="5453"/>
    <cellStyle name="Percent 30 3 3 2" xfId="7078"/>
    <cellStyle name="Percent 30 3 3 2 2" xfId="10164"/>
    <cellStyle name="Percent 30 3 3 2 2 2" xfId="16357"/>
    <cellStyle name="Percent 30 3 3 2 2 2 2" xfId="36240"/>
    <cellStyle name="Percent 30 3 3 2 2 3" xfId="22509"/>
    <cellStyle name="Percent 30 3 3 2 2 3 2" xfId="42392"/>
    <cellStyle name="Percent 30 3 3 2 2 4" xfId="30087"/>
    <cellStyle name="Percent 30 3 3 2 3" xfId="13291"/>
    <cellStyle name="Percent 30 3 3 2 3 2" xfId="33174"/>
    <cellStyle name="Percent 30 3 3 2 4" xfId="19443"/>
    <cellStyle name="Percent 30 3 3 2 4 2" xfId="39326"/>
    <cellStyle name="Percent 30 3 3 2 5" xfId="27021"/>
    <cellStyle name="Percent 30 3 3 3" xfId="8629"/>
    <cellStyle name="Percent 30 3 3 3 2" xfId="14823"/>
    <cellStyle name="Percent 30 3 3 3 2 2" xfId="34706"/>
    <cellStyle name="Percent 30 3 3 3 3" xfId="20975"/>
    <cellStyle name="Percent 30 3 3 3 3 2" xfId="40858"/>
    <cellStyle name="Percent 30 3 3 3 4" xfId="28553"/>
    <cellStyle name="Percent 30 3 3 4" xfId="11757"/>
    <cellStyle name="Percent 30 3 3 4 2" xfId="31640"/>
    <cellStyle name="Percent 30 3 3 5" xfId="17909"/>
    <cellStyle name="Percent 30 3 3 5 2" xfId="37792"/>
    <cellStyle name="Percent 30 3 3 6" xfId="25487"/>
    <cellStyle name="Percent 30 3 4" xfId="6306"/>
    <cellStyle name="Percent 30 3 4 2" xfId="9395"/>
    <cellStyle name="Percent 30 3 4 2 2" xfId="15588"/>
    <cellStyle name="Percent 30 3 4 2 2 2" xfId="35471"/>
    <cellStyle name="Percent 30 3 4 2 3" xfId="21740"/>
    <cellStyle name="Percent 30 3 4 2 3 2" xfId="41623"/>
    <cellStyle name="Percent 30 3 4 2 4" xfId="29318"/>
    <cellStyle name="Percent 30 3 4 3" xfId="12522"/>
    <cellStyle name="Percent 30 3 4 3 2" xfId="32405"/>
    <cellStyle name="Percent 30 3 4 4" xfId="18674"/>
    <cellStyle name="Percent 30 3 4 4 2" xfId="38557"/>
    <cellStyle name="Percent 30 3 4 5" xfId="26252"/>
    <cellStyle name="Percent 30 3 5" xfId="7860"/>
    <cellStyle name="Percent 30 3 5 2" xfId="14054"/>
    <cellStyle name="Percent 30 3 5 2 2" xfId="33937"/>
    <cellStyle name="Percent 30 3 5 3" xfId="20206"/>
    <cellStyle name="Percent 30 3 5 3 2" xfId="40089"/>
    <cellStyle name="Percent 30 3 5 4" xfId="27784"/>
    <cellStyle name="Percent 30 3 6" xfId="10988"/>
    <cellStyle name="Percent 30 3 6 2" xfId="30871"/>
    <cellStyle name="Percent 30 3 7" xfId="17140"/>
    <cellStyle name="Percent 30 3 7 2" xfId="37023"/>
    <cellStyle name="Percent 30 3 8" xfId="24718"/>
    <cellStyle name="Percent 30 4" xfId="4421"/>
    <cellStyle name="Percent 30 4 2" xfId="4422"/>
    <cellStyle name="Percent 30 4 2 2" xfId="5455"/>
    <cellStyle name="Percent 30 4 2 2 2" xfId="7080"/>
    <cellStyle name="Percent 30 4 2 2 2 2" xfId="10166"/>
    <cellStyle name="Percent 30 4 2 2 2 2 2" xfId="16359"/>
    <cellStyle name="Percent 30 4 2 2 2 2 2 2" xfId="36242"/>
    <cellStyle name="Percent 30 4 2 2 2 2 3" xfId="22511"/>
    <cellStyle name="Percent 30 4 2 2 2 2 3 2" xfId="42394"/>
    <cellStyle name="Percent 30 4 2 2 2 2 4" xfId="30089"/>
    <cellStyle name="Percent 30 4 2 2 2 3" xfId="13293"/>
    <cellStyle name="Percent 30 4 2 2 2 3 2" xfId="33176"/>
    <cellStyle name="Percent 30 4 2 2 2 4" xfId="19445"/>
    <cellStyle name="Percent 30 4 2 2 2 4 2" xfId="39328"/>
    <cellStyle name="Percent 30 4 2 2 2 5" xfId="27023"/>
    <cellStyle name="Percent 30 4 2 2 3" xfId="8631"/>
    <cellStyle name="Percent 30 4 2 2 3 2" xfId="14825"/>
    <cellStyle name="Percent 30 4 2 2 3 2 2" xfId="34708"/>
    <cellStyle name="Percent 30 4 2 2 3 3" xfId="20977"/>
    <cellStyle name="Percent 30 4 2 2 3 3 2" xfId="40860"/>
    <cellStyle name="Percent 30 4 2 2 3 4" xfId="28555"/>
    <cellStyle name="Percent 30 4 2 2 4" xfId="11759"/>
    <cellStyle name="Percent 30 4 2 2 4 2" xfId="31642"/>
    <cellStyle name="Percent 30 4 2 2 5" xfId="17911"/>
    <cellStyle name="Percent 30 4 2 2 5 2" xfId="37794"/>
    <cellStyle name="Percent 30 4 2 2 6" xfId="25489"/>
    <cellStyle name="Percent 30 4 2 3" xfId="6308"/>
    <cellStyle name="Percent 30 4 2 3 2" xfId="9397"/>
    <cellStyle name="Percent 30 4 2 3 2 2" xfId="15590"/>
    <cellStyle name="Percent 30 4 2 3 2 2 2" xfId="35473"/>
    <cellStyle name="Percent 30 4 2 3 2 3" xfId="21742"/>
    <cellStyle name="Percent 30 4 2 3 2 3 2" xfId="41625"/>
    <cellStyle name="Percent 30 4 2 3 2 4" xfId="29320"/>
    <cellStyle name="Percent 30 4 2 3 3" xfId="12524"/>
    <cellStyle name="Percent 30 4 2 3 3 2" xfId="32407"/>
    <cellStyle name="Percent 30 4 2 3 4" xfId="18676"/>
    <cellStyle name="Percent 30 4 2 3 4 2" xfId="38559"/>
    <cellStyle name="Percent 30 4 2 3 5" xfId="26254"/>
    <cellStyle name="Percent 30 4 2 4" xfId="7862"/>
    <cellStyle name="Percent 30 4 2 4 2" xfId="14056"/>
    <cellStyle name="Percent 30 4 2 4 2 2" xfId="33939"/>
    <cellStyle name="Percent 30 4 2 4 3" xfId="20208"/>
    <cellStyle name="Percent 30 4 2 4 3 2" xfId="40091"/>
    <cellStyle name="Percent 30 4 2 4 4" xfId="27786"/>
    <cellStyle name="Percent 30 4 2 5" xfId="10990"/>
    <cellStyle name="Percent 30 4 2 5 2" xfId="30873"/>
    <cellStyle name="Percent 30 4 2 6" xfId="17142"/>
    <cellStyle name="Percent 30 4 2 6 2" xfId="37025"/>
    <cellStyle name="Percent 30 4 2 7" xfId="24720"/>
    <cellStyle name="Percent 30 5" xfId="4423"/>
    <cellStyle name="Percent 30 5 2" xfId="5456"/>
    <cellStyle name="Percent 30 5 2 2" xfId="7081"/>
    <cellStyle name="Percent 30 5 2 2 2" xfId="10167"/>
    <cellStyle name="Percent 30 5 2 2 2 2" xfId="16360"/>
    <cellStyle name="Percent 30 5 2 2 2 2 2" xfId="36243"/>
    <cellStyle name="Percent 30 5 2 2 2 3" xfId="22512"/>
    <cellStyle name="Percent 30 5 2 2 2 3 2" xfId="42395"/>
    <cellStyle name="Percent 30 5 2 2 2 4" xfId="30090"/>
    <cellStyle name="Percent 30 5 2 2 3" xfId="13294"/>
    <cellStyle name="Percent 30 5 2 2 3 2" xfId="33177"/>
    <cellStyle name="Percent 30 5 2 2 4" xfId="19446"/>
    <cellStyle name="Percent 30 5 2 2 4 2" xfId="39329"/>
    <cellStyle name="Percent 30 5 2 2 5" xfId="27024"/>
    <cellStyle name="Percent 30 5 2 3" xfId="8632"/>
    <cellStyle name="Percent 30 5 2 3 2" xfId="14826"/>
    <cellStyle name="Percent 30 5 2 3 2 2" xfId="34709"/>
    <cellStyle name="Percent 30 5 2 3 3" xfId="20978"/>
    <cellStyle name="Percent 30 5 2 3 3 2" xfId="40861"/>
    <cellStyle name="Percent 30 5 2 3 4" xfId="28556"/>
    <cellStyle name="Percent 30 5 2 4" xfId="11760"/>
    <cellStyle name="Percent 30 5 2 4 2" xfId="31643"/>
    <cellStyle name="Percent 30 5 2 5" xfId="17912"/>
    <cellStyle name="Percent 30 5 2 5 2" xfId="37795"/>
    <cellStyle name="Percent 30 5 2 6" xfId="25490"/>
    <cellStyle name="Percent 30 5 3" xfId="6309"/>
    <cellStyle name="Percent 30 5 3 2" xfId="9398"/>
    <cellStyle name="Percent 30 5 3 2 2" xfId="15591"/>
    <cellStyle name="Percent 30 5 3 2 2 2" xfId="35474"/>
    <cellStyle name="Percent 30 5 3 2 3" xfId="21743"/>
    <cellStyle name="Percent 30 5 3 2 3 2" xfId="41626"/>
    <cellStyle name="Percent 30 5 3 2 4" xfId="29321"/>
    <cellStyle name="Percent 30 5 3 3" xfId="12525"/>
    <cellStyle name="Percent 30 5 3 3 2" xfId="32408"/>
    <cellStyle name="Percent 30 5 3 4" xfId="18677"/>
    <cellStyle name="Percent 30 5 3 4 2" xfId="38560"/>
    <cellStyle name="Percent 30 5 3 5" xfId="26255"/>
    <cellStyle name="Percent 30 5 4" xfId="7863"/>
    <cellStyle name="Percent 30 5 4 2" xfId="14057"/>
    <cellStyle name="Percent 30 5 4 2 2" xfId="33940"/>
    <cellStyle name="Percent 30 5 4 3" xfId="20209"/>
    <cellStyle name="Percent 30 5 4 3 2" xfId="40092"/>
    <cellStyle name="Percent 30 5 4 4" xfId="27787"/>
    <cellStyle name="Percent 30 5 5" xfId="10991"/>
    <cellStyle name="Percent 30 5 5 2" xfId="30874"/>
    <cellStyle name="Percent 30 5 6" xfId="17143"/>
    <cellStyle name="Percent 30 5 6 2" xfId="37026"/>
    <cellStyle name="Percent 30 5 7" xfId="24721"/>
    <cellStyle name="Percent 31" xfId="4424"/>
    <cellStyle name="Percent 31 2" xfId="4425"/>
    <cellStyle name="Percent 31 2 2" xfId="4426"/>
    <cellStyle name="Percent 31 2 2 2" xfId="5458"/>
    <cellStyle name="Percent 31 2 2 2 2" xfId="7083"/>
    <cellStyle name="Percent 31 2 2 2 2 2" xfId="10169"/>
    <cellStyle name="Percent 31 2 2 2 2 2 2" xfId="16362"/>
    <cellStyle name="Percent 31 2 2 2 2 2 2 2" xfId="36245"/>
    <cellStyle name="Percent 31 2 2 2 2 2 3" xfId="22514"/>
    <cellStyle name="Percent 31 2 2 2 2 2 3 2" xfId="42397"/>
    <cellStyle name="Percent 31 2 2 2 2 2 4" xfId="30092"/>
    <cellStyle name="Percent 31 2 2 2 2 3" xfId="13296"/>
    <cellStyle name="Percent 31 2 2 2 2 3 2" xfId="33179"/>
    <cellStyle name="Percent 31 2 2 2 2 4" xfId="19448"/>
    <cellStyle name="Percent 31 2 2 2 2 4 2" xfId="39331"/>
    <cellStyle name="Percent 31 2 2 2 2 5" xfId="27026"/>
    <cellStyle name="Percent 31 2 2 2 3" xfId="8634"/>
    <cellStyle name="Percent 31 2 2 2 3 2" xfId="14828"/>
    <cellStyle name="Percent 31 2 2 2 3 2 2" xfId="34711"/>
    <cellStyle name="Percent 31 2 2 2 3 3" xfId="20980"/>
    <cellStyle name="Percent 31 2 2 2 3 3 2" xfId="40863"/>
    <cellStyle name="Percent 31 2 2 2 3 4" xfId="28558"/>
    <cellStyle name="Percent 31 2 2 2 4" xfId="11762"/>
    <cellStyle name="Percent 31 2 2 2 4 2" xfId="31645"/>
    <cellStyle name="Percent 31 2 2 2 5" xfId="17914"/>
    <cellStyle name="Percent 31 2 2 2 5 2" xfId="37797"/>
    <cellStyle name="Percent 31 2 2 2 6" xfId="25492"/>
    <cellStyle name="Percent 31 2 2 3" xfId="6311"/>
    <cellStyle name="Percent 31 2 2 3 2" xfId="9400"/>
    <cellStyle name="Percent 31 2 2 3 2 2" xfId="15593"/>
    <cellStyle name="Percent 31 2 2 3 2 2 2" xfId="35476"/>
    <cellStyle name="Percent 31 2 2 3 2 3" xfId="21745"/>
    <cellStyle name="Percent 31 2 2 3 2 3 2" xfId="41628"/>
    <cellStyle name="Percent 31 2 2 3 2 4" xfId="29323"/>
    <cellStyle name="Percent 31 2 2 3 3" xfId="12527"/>
    <cellStyle name="Percent 31 2 2 3 3 2" xfId="32410"/>
    <cellStyle name="Percent 31 2 2 3 4" xfId="18679"/>
    <cellStyle name="Percent 31 2 2 3 4 2" xfId="38562"/>
    <cellStyle name="Percent 31 2 2 3 5" xfId="26257"/>
    <cellStyle name="Percent 31 2 2 4" xfId="7865"/>
    <cellStyle name="Percent 31 2 2 4 2" xfId="14059"/>
    <cellStyle name="Percent 31 2 2 4 2 2" xfId="33942"/>
    <cellStyle name="Percent 31 2 2 4 3" xfId="20211"/>
    <cellStyle name="Percent 31 2 2 4 3 2" xfId="40094"/>
    <cellStyle name="Percent 31 2 2 4 4" xfId="27789"/>
    <cellStyle name="Percent 31 2 2 5" xfId="10993"/>
    <cellStyle name="Percent 31 2 2 5 2" xfId="30876"/>
    <cellStyle name="Percent 31 2 2 6" xfId="17145"/>
    <cellStyle name="Percent 31 2 2 6 2" xfId="37028"/>
    <cellStyle name="Percent 31 2 2 7" xfId="24723"/>
    <cellStyle name="Percent 31 2 3" xfId="5457"/>
    <cellStyle name="Percent 31 2 3 2" xfId="7082"/>
    <cellStyle name="Percent 31 2 3 2 2" xfId="10168"/>
    <cellStyle name="Percent 31 2 3 2 2 2" xfId="16361"/>
    <cellStyle name="Percent 31 2 3 2 2 2 2" xfId="36244"/>
    <cellStyle name="Percent 31 2 3 2 2 3" xfId="22513"/>
    <cellStyle name="Percent 31 2 3 2 2 3 2" xfId="42396"/>
    <cellStyle name="Percent 31 2 3 2 2 4" xfId="30091"/>
    <cellStyle name="Percent 31 2 3 2 3" xfId="13295"/>
    <cellStyle name="Percent 31 2 3 2 3 2" xfId="33178"/>
    <cellStyle name="Percent 31 2 3 2 4" xfId="19447"/>
    <cellStyle name="Percent 31 2 3 2 4 2" xfId="39330"/>
    <cellStyle name="Percent 31 2 3 2 5" xfId="27025"/>
    <cellStyle name="Percent 31 2 3 3" xfId="8633"/>
    <cellStyle name="Percent 31 2 3 3 2" xfId="14827"/>
    <cellStyle name="Percent 31 2 3 3 2 2" xfId="34710"/>
    <cellStyle name="Percent 31 2 3 3 3" xfId="20979"/>
    <cellStyle name="Percent 31 2 3 3 3 2" xfId="40862"/>
    <cellStyle name="Percent 31 2 3 3 4" xfId="28557"/>
    <cellStyle name="Percent 31 2 3 4" xfId="11761"/>
    <cellStyle name="Percent 31 2 3 4 2" xfId="31644"/>
    <cellStyle name="Percent 31 2 3 5" xfId="17913"/>
    <cellStyle name="Percent 31 2 3 5 2" xfId="37796"/>
    <cellStyle name="Percent 31 2 3 6" xfId="25491"/>
    <cellStyle name="Percent 31 2 4" xfId="6310"/>
    <cellStyle name="Percent 31 2 4 2" xfId="9399"/>
    <cellStyle name="Percent 31 2 4 2 2" xfId="15592"/>
    <cellStyle name="Percent 31 2 4 2 2 2" xfId="35475"/>
    <cellStyle name="Percent 31 2 4 2 3" xfId="21744"/>
    <cellStyle name="Percent 31 2 4 2 3 2" xfId="41627"/>
    <cellStyle name="Percent 31 2 4 2 4" xfId="29322"/>
    <cellStyle name="Percent 31 2 4 3" xfId="12526"/>
    <cellStyle name="Percent 31 2 4 3 2" xfId="32409"/>
    <cellStyle name="Percent 31 2 4 4" xfId="18678"/>
    <cellStyle name="Percent 31 2 4 4 2" xfId="38561"/>
    <cellStyle name="Percent 31 2 4 5" xfId="26256"/>
    <cellStyle name="Percent 31 2 5" xfId="7864"/>
    <cellStyle name="Percent 31 2 5 2" xfId="14058"/>
    <cellStyle name="Percent 31 2 5 2 2" xfId="33941"/>
    <cellStyle name="Percent 31 2 5 3" xfId="20210"/>
    <cellStyle name="Percent 31 2 5 3 2" xfId="40093"/>
    <cellStyle name="Percent 31 2 5 4" xfId="27788"/>
    <cellStyle name="Percent 31 2 6" xfId="10992"/>
    <cellStyle name="Percent 31 2 6 2" xfId="30875"/>
    <cellStyle name="Percent 31 2 7" xfId="17144"/>
    <cellStyle name="Percent 31 2 7 2" xfId="37027"/>
    <cellStyle name="Percent 31 2 8" xfId="24722"/>
    <cellStyle name="Percent 31 3" xfId="4427"/>
    <cellStyle name="Percent 31 3 2" xfId="4428"/>
    <cellStyle name="Percent 31 3 2 2" xfId="5460"/>
    <cellStyle name="Percent 31 3 2 2 2" xfId="7085"/>
    <cellStyle name="Percent 31 3 2 2 2 2" xfId="10171"/>
    <cellStyle name="Percent 31 3 2 2 2 2 2" xfId="16364"/>
    <cellStyle name="Percent 31 3 2 2 2 2 2 2" xfId="36247"/>
    <cellStyle name="Percent 31 3 2 2 2 2 3" xfId="22516"/>
    <cellStyle name="Percent 31 3 2 2 2 2 3 2" xfId="42399"/>
    <cellStyle name="Percent 31 3 2 2 2 2 4" xfId="30094"/>
    <cellStyle name="Percent 31 3 2 2 2 3" xfId="13298"/>
    <cellStyle name="Percent 31 3 2 2 2 3 2" xfId="33181"/>
    <cellStyle name="Percent 31 3 2 2 2 4" xfId="19450"/>
    <cellStyle name="Percent 31 3 2 2 2 4 2" xfId="39333"/>
    <cellStyle name="Percent 31 3 2 2 2 5" xfId="27028"/>
    <cellStyle name="Percent 31 3 2 2 3" xfId="8636"/>
    <cellStyle name="Percent 31 3 2 2 3 2" xfId="14830"/>
    <cellStyle name="Percent 31 3 2 2 3 2 2" xfId="34713"/>
    <cellStyle name="Percent 31 3 2 2 3 3" xfId="20982"/>
    <cellStyle name="Percent 31 3 2 2 3 3 2" xfId="40865"/>
    <cellStyle name="Percent 31 3 2 2 3 4" xfId="28560"/>
    <cellStyle name="Percent 31 3 2 2 4" xfId="11764"/>
    <cellStyle name="Percent 31 3 2 2 4 2" xfId="31647"/>
    <cellStyle name="Percent 31 3 2 2 5" xfId="17916"/>
    <cellStyle name="Percent 31 3 2 2 5 2" xfId="37799"/>
    <cellStyle name="Percent 31 3 2 2 6" xfId="25494"/>
    <cellStyle name="Percent 31 3 2 3" xfId="6313"/>
    <cellStyle name="Percent 31 3 2 3 2" xfId="9402"/>
    <cellStyle name="Percent 31 3 2 3 2 2" xfId="15595"/>
    <cellStyle name="Percent 31 3 2 3 2 2 2" xfId="35478"/>
    <cellStyle name="Percent 31 3 2 3 2 3" xfId="21747"/>
    <cellStyle name="Percent 31 3 2 3 2 3 2" xfId="41630"/>
    <cellStyle name="Percent 31 3 2 3 2 4" xfId="29325"/>
    <cellStyle name="Percent 31 3 2 3 3" xfId="12529"/>
    <cellStyle name="Percent 31 3 2 3 3 2" xfId="32412"/>
    <cellStyle name="Percent 31 3 2 3 4" xfId="18681"/>
    <cellStyle name="Percent 31 3 2 3 4 2" xfId="38564"/>
    <cellStyle name="Percent 31 3 2 3 5" xfId="26259"/>
    <cellStyle name="Percent 31 3 2 4" xfId="7867"/>
    <cellStyle name="Percent 31 3 2 4 2" xfId="14061"/>
    <cellStyle name="Percent 31 3 2 4 2 2" xfId="33944"/>
    <cellStyle name="Percent 31 3 2 4 3" xfId="20213"/>
    <cellStyle name="Percent 31 3 2 4 3 2" xfId="40096"/>
    <cellStyle name="Percent 31 3 2 4 4" xfId="27791"/>
    <cellStyle name="Percent 31 3 2 5" xfId="10995"/>
    <cellStyle name="Percent 31 3 2 5 2" xfId="30878"/>
    <cellStyle name="Percent 31 3 2 6" xfId="17147"/>
    <cellStyle name="Percent 31 3 2 6 2" xfId="37030"/>
    <cellStyle name="Percent 31 3 2 7" xfId="24725"/>
    <cellStyle name="Percent 31 3 3" xfId="5459"/>
    <cellStyle name="Percent 31 3 3 2" xfId="7084"/>
    <cellStyle name="Percent 31 3 3 2 2" xfId="10170"/>
    <cellStyle name="Percent 31 3 3 2 2 2" xfId="16363"/>
    <cellStyle name="Percent 31 3 3 2 2 2 2" xfId="36246"/>
    <cellStyle name="Percent 31 3 3 2 2 3" xfId="22515"/>
    <cellStyle name="Percent 31 3 3 2 2 3 2" xfId="42398"/>
    <cellStyle name="Percent 31 3 3 2 2 4" xfId="30093"/>
    <cellStyle name="Percent 31 3 3 2 3" xfId="13297"/>
    <cellStyle name="Percent 31 3 3 2 3 2" xfId="33180"/>
    <cellStyle name="Percent 31 3 3 2 4" xfId="19449"/>
    <cellStyle name="Percent 31 3 3 2 4 2" xfId="39332"/>
    <cellStyle name="Percent 31 3 3 2 5" xfId="27027"/>
    <cellStyle name="Percent 31 3 3 3" xfId="8635"/>
    <cellStyle name="Percent 31 3 3 3 2" xfId="14829"/>
    <cellStyle name="Percent 31 3 3 3 2 2" xfId="34712"/>
    <cellStyle name="Percent 31 3 3 3 3" xfId="20981"/>
    <cellStyle name="Percent 31 3 3 3 3 2" xfId="40864"/>
    <cellStyle name="Percent 31 3 3 3 4" xfId="28559"/>
    <cellStyle name="Percent 31 3 3 4" xfId="11763"/>
    <cellStyle name="Percent 31 3 3 4 2" xfId="31646"/>
    <cellStyle name="Percent 31 3 3 5" xfId="17915"/>
    <cellStyle name="Percent 31 3 3 5 2" xfId="37798"/>
    <cellStyle name="Percent 31 3 3 6" xfId="25493"/>
    <cellStyle name="Percent 31 3 4" xfId="6312"/>
    <cellStyle name="Percent 31 3 4 2" xfId="9401"/>
    <cellStyle name="Percent 31 3 4 2 2" xfId="15594"/>
    <cellStyle name="Percent 31 3 4 2 2 2" xfId="35477"/>
    <cellStyle name="Percent 31 3 4 2 3" xfId="21746"/>
    <cellStyle name="Percent 31 3 4 2 3 2" xfId="41629"/>
    <cellStyle name="Percent 31 3 4 2 4" xfId="29324"/>
    <cellStyle name="Percent 31 3 4 3" xfId="12528"/>
    <cellStyle name="Percent 31 3 4 3 2" xfId="32411"/>
    <cellStyle name="Percent 31 3 4 4" xfId="18680"/>
    <cellStyle name="Percent 31 3 4 4 2" xfId="38563"/>
    <cellStyle name="Percent 31 3 4 5" xfId="26258"/>
    <cellStyle name="Percent 31 3 5" xfId="7866"/>
    <cellStyle name="Percent 31 3 5 2" xfId="14060"/>
    <cellStyle name="Percent 31 3 5 2 2" xfId="33943"/>
    <cellStyle name="Percent 31 3 5 3" xfId="20212"/>
    <cellStyle name="Percent 31 3 5 3 2" xfId="40095"/>
    <cellStyle name="Percent 31 3 5 4" xfId="27790"/>
    <cellStyle name="Percent 31 3 6" xfId="10994"/>
    <cellStyle name="Percent 31 3 6 2" xfId="30877"/>
    <cellStyle name="Percent 31 3 7" xfId="17146"/>
    <cellStyle name="Percent 31 3 7 2" xfId="37029"/>
    <cellStyle name="Percent 31 3 8" xfId="24724"/>
    <cellStyle name="Percent 31 4" xfId="4429"/>
    <cellStyle name="Percent 31 4 2" xfId="4430"/>
    <cellStyle name="Percent 31 4 2 2" xfId="5461"/>
    <cellStyle name="Percent 31 4 2 2 2" xfId="7086"/>
    <cellStyle name="Percent 31 4 2 2 2 2" xfId="10172"/>
    <cellStyle name="Percent 31 4 2 2 2 2 2" xfId="16365"/>
    <cellStyle name="Percent 31 4 2 2 2 2 2 2" xfId="36248"/>
    <cellStyle name="Percent 31 4 2 2 2 2 3" xfId="22517"/>
    <cellStyle name="Percent 31 4 2 2 2 2 3 2" xfId="42400"/>
    <cellStyle name="Percent 31 4 2 2 2 2 4" xfId="30095"/>
    <cellStyle name="Percent 31 4 2 2 2 3" xfId="13299"/>
    <cellStyle name="Percent 31 4 2 2 2 3 2" xfId="33182"/>
    <cellStyle name="Percent 31 4 2 2 2 4" xfId="19451"/>
    <cellStyle name="Percent 31 4 2 2 2 4 2" xfId="39334"/>
    <cellStyle name="Percent 31 4 2 2 2 5" xfId="27029"/>
    <cellStyle name="Percent 31 4 2 2 3" xfId="8637"/>
    <cellStyle name="Percent 31 4 2 2 3 2" xfId="14831"/>
    <cellStyle name="Percent 31 4 2 2 3 2 2" xfId="34714"/>
    <cellStyle name="Percent 31 4 2 2 3 3" xfId="20983"/>
    <cellStyle name="Percent 31 4 2 2 3 3 2" xfId="40866"/>
    <cellStyle name="Percent 31 4 2 2 3 4" xfId="28561"/>
    <cellStyle name="Percent 31 4 2 2 4" xfId="11765"/>
    <cellStyle name="Percent 31 4 2 2 4 2" xfId="31648"/>
    <cellStyle name="Percent 31 4 2 2 5" xfId="17917"/>
    <cellStyle name="Percent 31 4 2 2 5 2" xfId="37800"/>
    <cellStyle name="Percent 31 4 2 2 6" xfId="25495"/>
    <cellStyle name="Percent 31 4 2 3" xfId="6314"/>
    <cellStyle name="Percent 31 4 2 3 2" xfId="9403"/>
    <cellStyle name="Percent 31 4 2 3 2 2" xfId="15596"/>
    <cellStyle name="Percent 31 4 2 3 2 2 2" xfId="35479"/>
    <cellStyle name="Percent 31 4 2 3 2 3" xfId="21748"/>
    <cellStyle name="Percent 31 4 2 3 2 3 2" xfId="41631"/>
    <cellStyle name="Percent 31 4 2 3 2 4" xfId="29326"/>
    <cellStyle name="Percent 31 4 2 3 3" xfId="12530"/>
    <cellStyle name="Percent 31 4 2 3 3 2" xfId="32413"/>
    <cellStyle name="Percent 31 4 2 3 4" xfId="18682"/>
    <cellStyle name="Percent 31 4 2 3 4 2" xfId="38565"/>
    <cellStyle name="Percent 31 4 2 3 5" xfId="26260"/>
    <cellStyle name="Percent 31 4 2 4" xfId="7868"/>
    <cellStyle name="Percent 31 4 2 4 2" xfId="14062"/>
    <cellStyle name="Percent 31 4 2 4 2 2" xfId="33945"/>
    <cellStyle name="Percent 31 4 2 4 3" xfId="20214"/>
    <cellStyle name="Percent 31 4 2 4 3 2" xfId="40097"/>
    <cellStyle name="Percent 31 4 2 4 4" xfId="27792"/>
    <cellStyle name="Percent 31 4 2 5" xfId="10996"/>
    <cellStyle name="Percent 31 4 2 5 2" xfId="30879"/>
    <cellStyle name="Percent 31 4 2 6" xfId="17148"/>
    <cellStyle name="Percent 31 4 2 6 2" xfId="37031"/>
    <cellStyle name="Percent 31 4 2 7" xfId="24726"/>
    <cellStyle name="Percent 31 5" xfId="4431"/>
    <cellStyle name="Percent 31 5 2" xfId="5462"/>
    <cellStyle name="Percent 31 5 2 2" xfId="7087"/>
    <cellStyle name="Percent 31 5 2 2 2" xfId="10173"/>
    <cellStyle name="Percent 31 5 2 2 2 2" xfId="16366"/>
    <cellStyle name="Percent 31 5 2 2 2 2 2" xfId="36249"/>
    <cellStyle name="Percent 31 5 2 2 2 3" xfId="22518"/>
    <cellStyle name="Percent 31 5 2 2 2 3 2" xfId="42401"/>
    <cellStyle name="Percent 31 5 2 2 2 4" xfId="30096"/>
    <cellStyle name="Percent 31 5 2 2 3" xfId="13300"/>
    <cellStyle name="Percent 31 5 2 2 3 2" xfId="33183"/>
    <cellStyle name="Percent 31 5 2 2 4" xfId="19452"/>
    <cellStyle name="Percent 31 5 2 2 4 2" xfId="39335"/>
    <cellStyle name="Percent 31 5 2 2 5" xfId="27030"/>
    <cellStyle name="Percent 31 5 2 3" xfId="8638"/>
    <cellStyle name="Percent 31 5 2 3 2" xfId="14832"/>
    <cellStyle name="Percent 31 5 2 3 2 2" xfId="34715"/>
    <cellStyle name="Percent 31 5 2 3 3" xfId="20984"/>
    <cellStyle name="Percent 31 5 2 3 3 2" xfId="40867"/>
    <cellStyle name="Percent 31 5 2 3 4" xfId="28562"/>
    <cellStyle name="Percent 31 5 2 4" xfId="11766"/>
    <cellStyle name="Percent 31 5 2 4 2" xfId="31649"/>
    <cellStyle name="Percent 31 5 2 5" xfId="17918"/>
    <cellStyle name="Percent 31 5 2 5 2" xfId="37801"/>
    <cellStyle name="Percent 31 5 2 6" xfId="25496"/>
    <cellStyle name="Percent 31 5 3" xfId="6315"/>
    <cellStyle name="Percent 31 5 3 2" xfId="9404"/>
    <cellStyle name="Percent 31 5 3 2 2" xfId="15597"/>
    <cellStyle name="Percent 31 5 3 2 2 2" xfId="35480"/>
    <cellStyle name="Percent 31 5 3 2 3" xfId="21749"/>
    <cellStyle name="Percent 31 5 3 2 3 2" xfId="41632"/>
    <cellStyle name="Percent 31 5 3 2 4" xfId="29327"/>
    <cellStyle name="Percent 31 5 3 3" xfId="12531"/>
    <cellStyle name="Percent 31 5 3 3 2" xfId="32414"/>
    <cellStyle name="Percent 31 5 3 4" xfId="18683"/>
    <cellStyle name="Percent 31 5 3 4 2" xfId="38566"/>
    <cellStyle name="Percent 31 5 3 5" xfId="26261"/>
    <cellStyle name="Percent 31 5 4" xfId="7869"/>
    <cellStyle name="Percent 31 5 4 2" xfId="14063"/>
    <cellStyle name="Percent 31 5 4 2 2" xfId="33946"/>
    <cellStyle name="Percent 31 5 4 3" xfId="20215"/>
    <cellStyle name="Percent 31 5 4 3 2" xfId="40098"/>
    <cellStyle name="Percent 31 5 4 4" xfId="27793"/>
    <cellStyle name="Percent 31 5 5" xfId="10997"/>
    <cellStyle name="Percent 31 5 5 2" xfId="30880"/>
    <cellStyle name="Percent 31 5 6" xfId="17149"/>
    <cellStyle name="Percent 31 5 6 2" xfId="37032"/>
    <cellStyle name="Percent 31 5 7" xfId="24727"/>
    <cellStyle name="Percent 32" xfId="4432"/>
    <cellStyle name="Percent 32 2" xfId="4433"/>
    <cellStyle name="Percent 32 2 2" xfId="4434"/>
    <cellStyle name="Percent 32 2 2 2" xfId="5464"/>
    <cellStyle name="Percent 32 2 2 2 2" xfId="7089"/>
    <cellStyle name="Percent 32 2 2 2 2 2" xfId="10175"/>
    <cellStyle name="Percent 32 2 2 2 2 2 2" xfId="16368"/>
    <cellStyle name="Percent 32 2 2 2 2 2 2 2" xfId="36251"/>
    <cellStyle name="Percent 32 2 2 2 2 2 3" xfId="22520"/>
    <cellStyle name="Percent 32 2 2 2 2 2 3 2" xfId="42403"/>
    <cellStyle name="Percent 32 2 2 2 2 2 4" xfId="30098"/>
    <cellStyle name="Percent 32 2 2 2 2 3" xfId="13302"/>
    <cellStyle name="Percent 32 2 2 2 2 3 2" xfId="33185"/>
    <cellStyle name="Percent 32 2 2 2 2 4" xfId="19454"/>
    <cellStyle name="Percent 32 2 2 2 2 4 2" xfId="39337"/>
    <cellStyle name="Percent 32 2 2 2 2 5" xfId="27032"/>
    <cellStyle name="Percent 32 2 2 2 3" xfId="8640"/>
    <cellStyle name="Percent 32 2 2 2 3 2" xfId="14834"/>
    <cellStyle name="Percent 32 2 2 2 3 2 2" xfId="34717"/>
    <cellStyle name="Percent 32 2 2 2 3 3" xfId="20986"/>
    <cellStyle name="Percent 32 2 2 2 3 3 2" xfId="40869"/>
    <cellStyle name="Percent 32 2 2 2 3 4" xfId="28564"/>
    <cellStyle name="Percent 32 2 2 2 4" xfId="11768"/>
    <cellStyle name="Percent 32 2 2 2 4 2" xfId="31651"/>
    <cellStyle name="Percent 32 2 2 2 5" xfId="17920"/>
    <cellStyle name="Percent 32 2 2 2 5 2" xfId="37803"/>
    <cellStyle name="Percent 32 2 2 2 6" xfId="25498"/>
    <cellStyle name="Percent 32 2 2 3" xfId="6317"/>
    <cellStyle name="Percent 32 2 2 3 2" xfId="9406"/>
    <cellStyle name="Percent 32 2 2 3 2 2" xfId="15599"/>
    <cellStyle name="Percent 32 2 2 3 2 2 2" xfId="35482"/>
    <cellStyle name="Percent 32 2 2 3 2 3" xfId="21751"/>
    <cellStyle name="Percent 32 2 2 3 2 3 2" xfId="41634"/>
    <cellStyle name="Percent 32 2 2 3 2 4" xfId="29329"/>
    <cellStyle name="Percent 32 2 2 3 3" xfId="12533"/>
    <cellStyle name="Percent 32 2 2 3 3 2" xfId="32416"/>
    <cellStyle name="Percent 32 2 2 3 4" xfId="18685"/>
    <cellStyle name="Percent 32 2 2 3 4 2" xfId="38568"/>
    <cellStyle name="Percent 32 2 2 3 5" xfId="26263"/>
    <cellStyle name="Percent 32 2 2 4" xfId="7871"/>
    <cellStyle name="Percent 32 2 2 4 2" xfId="14065"/>
    <cellStyle name="Percent 32 2 2 4 2 2" xfId="33948"/>
    <cellStyle name="Percent 32 2 2 4 3" xfId="20217"/>
    <cellStyle name="Percent 32 2 2 4 3 2" xfId="40100"/>
    <cellStyle name="Percent 32 2 2 4 4" xfId="27795"/>
    <cellStyle name="Percent 32 2 2 5" xfId="10999"/>
    <cellStyle name="Percent 32 2 2 5 2" xfId="30882"/>
    <cellStyle name="Percent 32 2 2 6" xfId="17151"/>
    <cellStyle name="Percent 32 2 2 6 2" xfId="37034"/>
    <cellStyle name="Percent 32 2 2 7" xfId="24729"/>
    <cellStyle name="Percent 32 2 3" xfId="5463"/>
    <cellStyle name="Percent 32 2 3 2" xfId="7088"/>
    <cellStyle name="Percent 32 2 3 2 2" xfId="10174"/>
    <cellStyle name="Percent 32 2 3 2 2 2" xfId="16367"/>
    <cellStyle name="Percent 32 2 3 2 2 2 2" xfId="36250"/>
    <cellStyle name="Percent 32 2 3 2 2 3" xfId="22519"/>
    <cellStyle name="Percent 32 2 3 2 2 3 2" xfId="42402"/>
    <cellStyle name="Percent 32 2 3 2 2 4" xfId="30097"/>
    <cellStyle name="Percent 32 2 3 2 3" xfId="13301"/>
    <cellStyle name="Percent 32 2 3 2 3 2" xfId="33184"/>
    <cellStyle name="Percent 32 2 3 2 4" xfId="19453"/>
    <cellStyle name="Percent 32 2 3 2 4 2" xfId="39336"/>
    <cellStyle name="Percent 32 2 3 2 5" xfId="27031"/>
    <cellStyle name="Percent 32 2 3 3" xfId="8639"/>
    <cellStyle name="Percent 32 2 3 3 2" xfId="14833"/>
    <cellStyle name="Percent 32 2 3 3 2 2" xfId="34716"/>
    <cellStyle name="Percent 32 2 3 3 3" xfId="20985"/>
    <cellStyle name="Percent 32 2 3 3 3 2" xfId="40868"/>
    <cellStyle name="Percent 32 2 3 3 4" xfId="28563"/>
    <cellStyle name="Percent 32 2 3 4" xfId="11767"/>
    <cellStyle name="Percent 32 2 3 4 2" xfId="31650"/>
    <cellStyle name="Percent 32 2 3 5" xfId="17919"/>
    <cellStyle name="Percent 32 2 3 5 2" xfId="37802"/>
    <cellStyle name="Percent 32 2 3 6" xfId="25497"/>
    <cellStyle name="Percent 32 2 4" xfId="6316"/>
    <cellStyle name="Percent 32 2 4 2" xfId="9405"/>
    <cellStyle name="Percent 32 2 4 2 2" xfId="15598"/>
    <cellStyle name="Percent 32 2 4 2 2 2" xfId="35481"/>
    <cellStyle name="Percent 32 2 4 2 3" xfId="21750"/>
    <cellStyle name="Percent 32 2 4 2 3 2" xfId="41633"/>
    <cellStyle name="Percent 32 2 4 2 4" xfId="29328"/>
    <cellStyle name="Percent 32 2 4 3" xfId="12532"/>
    <cellStyle name="Percent 32 2 4 3 2" xfId="32415"/>
    <cellStyle name="Percent 32 2 4 4" xfId="18684"/>
    <cellStyle name="Percent 32 2 4 4 2" xfId="38567"/>
    <cellStyle name="Percent 32 2 4 5" xfId="26262"/>
    <cellStyle name="Percent 32 2 5" xfId="7870"/>
    <cellStyle name="Percent 32 2 5 2" xfId="14064"/>
    <cellStyle name="Percent 32 2 5 2 2" xfId="33947"/>
    <cellStyle name="Percent 32 2 5 3" xfId="20216"/>
    <cellStyle name="Percent 32 2 5 3 2" xfId="40099"/>
    <cellStyle name="Percent 32 2 5 4" xfId="27794"/>
    <cellStyle name="Percent 32 2 6" xfId="10998"/>
    <cellStyle name="Percent 32 2 6 2" xfId="30881"/>
    <cellStyle name="Percent 32 2 7" xfId="17150"/>
    <cellStyle name="Percent 32 2 7 2" xfId="37033"/>
    <cellStyle name="Percent 32 2 8" xfId="24728"/>
    <cellStyle name="Percent 32 3" xfId="4435"/>
    <cellStyle name="Percent 32 3 2" xfId="4436"/>
    <cellStyle name="Percent 32 3 2 2" xfId="5466"/>
    <cellStyle name="Percent 32 3 2 2 2" xfId="7091"/>
    <cellStyle name="Percent 32 3 2 2 2 2" xfId="10177"/>
    <cellStyle name="Percent 32 3 2 2 2 2 2" xfId="16370"/>
    <cellStyle name="Percent 32 3 2 2 2 2 2 2" xfId="36253"/>
    <cellStyle name="Percent 32 3 2 2 2 2 3" xfId="22522"/>
    <cellStyle name="Percent 32 3 2 2 2 2 3 2" xfId="42405"/>
    <cellStyle name="Percent 32 3 2 2 2 2 4" xfId="30100"/>
    <cellStyle name="Percent 32 3 2 2 2 3" xfId="13304"/>
    <cellStyle name="Percent 32 3 2 2 2 3 2" xfId="33187"/>
    <cellStyle name="Percent 32 3 2 2 2 4" xfId="19456"/>
    <cellStyle name="Percent 32 3 2 2 2 4 2" xfId="39339"/>
    <cellStyle name="Percent 32 3 2 2 2 5" xfId="27034"/>
    <cellStyle name="Percent 32 3 2 2 3" xfId="8642"/>
    <cellStyle name="Percent 32 3 2 2 3 2" xfId="14836"/>
    <cellStyle name="Percent 32 3 2 2 3 2 2" xfId="34719"/>
    <cellStyle name="Percent 32 3 2 2 3 3" xfId="20988"/>
    <cellStyle name="Percent 32 3 2 2 3 3 2" xfId="40871"/>
    <cellStyle name="Percent 32 3 2 2 3 4" xfId="28566"/>
    <cellStyle name="Percent 32 3 2 2 4" xfId="11770"/>
    <cellStyle name="Percent 32 3 2 2 4 2" xfId="31653"/>
    <cellStyle name="Percent 32 3 2 2 5" xfId="17922"/>
    <cellStyle name="Percent 32 3 2 2 5 2" xfId="37805"/>
    <cellStyle name="Percent 32 3 2 2 6" xfId="25500"/>
    <cellStyle name="Percent 32 3 2 3" xfId="6319"/>
    <cellStyle name="Percent 32 3 2 3 2" xfId="9408"/>
    <cellStyle name="Percent 32 3 2 3 2 2" xfId="15601"/>
    <cellStyle name="Percent 32 3 2 3 2 2 2" xfId="35484"/>
    <cellStyle name="Percent 32 3 2 3 2 3" xfId="21753"/>
    <cellStyle name="Percent 32 3 2 3 2 3 2" xfId="41636"/>
    <cellStyle name="Percent 32 3 2 3 2 4" xfId="29331"/>
    <cellStyle name="Percent 32 3 2 3 3" xfId="12535"/>
    <cellStyle name="Percent 32 3 2 3 3 2" xfId="32418"/>
    <cellStyle name="Percent 32 3 2 3 4" xfId="18687"/>
    <cellStyle name="Percent 32 3 2 3 4 2" xfId="38570"/>
    <cellStyle name="Percent 32 3 2 3 5" xfId="26265"/>
    <cellStyle name="Percent 32 3 2 4" xfId="7873"/>
    <cellStyle name="Percent 32 3 2 4 2" xfId="14067"/>
    <cellStyle name="Percent 32 3 2 4 2 2" xfId="33950"/>
    <cellStyle name="Percent 32 3 2 4 3" xfId="20219"/>
    <cellStyle name="Percent 32 3 2 4 3 2" xfId="40102"/>
    <cellStyle name="Percent 32 3 2 4 4" xfId="27797"/>
    <cellStyle name="Percent 32 3 2 5" xfId="11001"/>
    <cellStyle name="Percent 32 3 2 5 2" xfId="30884"/>
    <cellStyle name="Percent 32 3 2 6" xfId="17153"/>
    <cellStyle name="Percent 32 3 2 6 2" xfId="37036"/>
    <cellStyle name="Percent 32 3 2 7" xfId="24731"/>
    <cellStyle name="Percent 32 3 3" xfId="5465"/>
    <cellStyle name="Percent 32 3 3 2" xfId="7090"/>
    <cellStyle name="Percent 32 3 3 2 2" xfId="10176"/>
    <cellStyle name="Percent 32 3 3 2 2 2" xfId="16369"/>
    <cellStyle name="Percent 32 3 3 2 2 2 2" xfId="36252"/>
    <cellStyle name="Percent 32 3 3 2 2 3" xfId="22521"/>
    <cellStyle name="Percent 32 3 3 2 2 3 2" xfId="42404"/>
    <cellStyle name="Percent 32 3 3 2 2 4" xfId="30099"/>
    <cellStyle name="Percent 32 3 3 2 3" xfId="13303"/>
    <cellStyle name="Percent 32 3 3 2 3 2" xfId="33186"/>
    <cellStyle name="Percent 32 3 3 2 4" xfId="19455"/>
    <cellStyle name="Percent 32 3 3 2 4 2" xfId="39338"/>
    <cellStyle name="Percent 32 3 3 2 5" xfId="27033"/>
    <cellStyle name="Percent 32 3 3 3" xfId="8641"/>
    <cellStyle name="Percent 32 3 3 3 2" xfId="14835"/>
    <cellStyle name="Percent 32 3 3 3 2 2" xfId="34718"/>
    <cellStyle name="Percent 32 3 3 3 3" xfId="20987"/>
    <cellStyle name="Percent 32 3 3 3 3 2" xfId="40870"/>
    <cellStyle name="Percent 32 3 3 3 4" xfId="28565"/>
    <cellStyle name="Percent 32 3 3 4" xfId="11769"/>
    <cellStyle name="Percent 32 3 3 4 2" xfId="31652"/>
    <cellStyle name="Percent 32 3 3 5" xfId="17921"/>
    <cellStyle name="Percent 32 3 3 5 2" xfId="37804"/>
    <cellStyle name="Percent 32 3 3 6" xfId="25499"/>
    <cellStyle name="Percent 32 3 4" xfId="6318"/>
    <cellStyle name="Percent 32 3 4 2" xfId="9407"/>
    <cellStyle name="Percent 32 3 4 2 2" xfId="15600"/>
    <cellStyle name="Percent 32 3 4 2 2 2" xfId="35483"/>
    <cellStyle name="Percent 32 3 4 2 3" xfId="21752"/>
    <cellStyle name="Percent 32 3 4 2 3 2" xfId="41635"/>
    <cellStyle name="Percent 32 3 4 2 4" xfId="29330"/>
    <cellStyle name="Percent 32 3 4 3" xfId="12534"/>
    <cellStyle name="Percent 32 3 4 3 2" xfId="32417"/>
    <cellStyle name="Percent 32 3 4 4" xfId="18686"/>
    <cellStyle name="Percent 32 3 4 4 2" xfId="38569"/>
    <cellStyle name="Percent 32 3 4 5" xfId="26264"/>
    <cellStyle name="Percent 32 3 5" xfId="7872"/>
    <cellStyle name="Percent 32 3 5 2" xfId="14066"/>
    <cellStyle name="Percent 32 3 5 2 2" xfId="33949"/>
    <cellStyle name="Percent 32 3 5 3" xfId="20218"/>
    <cellStyle name="Percent 32 3 5 3 2" xfId="40101"/>
    <cellStyle name="Percent 32 3 5 4" xfId="27796"/>
    <cellStyle name="Percent 32 3 6" xfId="11000"/>
    <cellStyle name="Percent 32 3 6 2" xfId="30883"/>
    <cellStyle name="Percent 32 3 7" xfId="17152"/>
    <cellStyle name="Percent 32 3 7 2" xfId="37035"/>
    <cellStyle name="Percent 32 3 8" xfId="24730"/>
    <cellStyle name="Percent 32 4" xfId="4437"/>
    <cellStyle name="Percent 32 4 2" xfId="4438"/>
    <cellStyle name="Percent 32 4 2 2" xfId="5467"/>
    <cellStyle name="Percent 32 4 2 2 2" xfId="7092"/>
    <cellStyle name="Percent 32 4 2 2 2 2" xfId="10178"/>
    <cellStyle name="Percent 32 4 2 2 2 2 2" xfId="16371"/>
    <cellStyle name="Percent 32 4 2 2 2 2 2 2" xfId="36254"/>
    <cellStyle name="Percent 32 4 2 2 2 2 3" xfId="22523"/>
    <cellStyle name="Percent 32 4 2 2 2 2 3 2" xfId="42406"/>
    <cellStyle name="Percent 32 4 2 2 2 2 4" xfId="30101"/>
    <cellStyle name="Percent 32 4 2 2 2 3" xfId="13305"/>
    <cellStyle name="Percent 32 4 2 2 2 3 2" xfId="33188"/>
    <cellStyle name="Percent 32 4 2 2 2 4" xfId="19457"/>
    <cellStyle name="Percent 32 4 2 2 2 4 2" xfId="39340"/>
    <cellStyle name="Percent 32 4 2 2 2 5" xfId="27035"/>
    <cellStyle name="Percent 32 4 2 2 3" xfId="8643"/>
    <cellStyle name="Percent 32 4 2 2 3 2" xfId="14837"/>
    <cellStyle name="Percent 32 4 2 2 3 2 2" xfId="34720"/>
    <cellStyle name="Percent 32 4 2 2 3 3" xfId="20989"/>
    <cellStyle name="Percent 32 4 2 2 3 3 2" xfId="40872"/>
    <cellStyle name="Percent 32 4 2 2 3 4" xfId="28567"/>
    <cellStyle name="Percent 32 4 2 2 4" xfId="11771"/>
    <cellStyle name="Percent 32 4 2 2 4 2" xfId="31654"/>
    <cellStyle name="Percent 32 4 2 2 5" xfId="17923"/>
    <cellStyle name="Percent 32 4 2 2 5 2" xfId="37806"/>
    <cellStyle name="Percent 32 4 2 2 6" xfId="25501"/>
    <cellStyle name="Percent 32 4 2 3" xfId="6320"/>
    <cellStyle name="Percent 32 4 2 3 2" xfId="9409"/>
    <cellStyle name="Percent 32 4 2 3 2 2" xfId="15602"/>
    <cellStyle name="Percent 32 4 2 3 2 2 2" xfId="35485"/>
    <cellStyle name="Percent 32 4 2 3 2 3" xfId="21754"/>
    <cellStyle name="Percent 32 4 2 3 2 3 2" xfId="41637"/>
    <cellStyle name="Percent 32 4 2 3 2 4" xfId="29332"/>
    <cellStyle name="Percent 32 4 2 3 3" xfId="12536"/>
    <cellStyle name="Percent 32 4 2 3 3 2" xfId="32419"/>
    <cellStyle name="Percent 32 4 2 3 4" xfId="18688"/>
    <cellStyle name="Percent 32 4 2 3 4 2" xfId="38571"/>
    <cellStyle name="Percent 32 4 2 3 5" xfId="26266"/>
    <cellStyle name="Percent 32 4 2 4" xfId="7874"/>
    <cellStyle name="Percent 32 4 2 4 2" xfId="14068"/>
    <cellStyle name="Percent 32 4 2 4 2 2" xfId="33951"/>
    <cellStyle name="Percent 32 4 2 4 3" xfId="20220"/>
    <cellStyle name="Percent 32 4 2 4 3 2" xfId="40103"/>
    <cellStyle name="Percent 32 4 2 4 4" xfId="27798"/>
    <cellStyle name="Percent 32 4 2 5" xfId="11002"/>
    <cellStyle name="Percent 32 4 2 5 2" xfId="30885"/>
    <cellStyle name="Percent 32 4 2 6" xfId="17154"/>
    <cellStyle name="Percent 32 4 2 6 2" xfId="37037"/>
    <cellStyle name="Percent 32 4 2 7" xfId="24732"/>
    <cellStyle name="Percent 32 5" xfId="4439"/>
    <cellStyle name="Percent 32 5 2" xfId="5468"/>
    <cellStyle name="Percent 32 5 2 2" xfId="7093"/>
    <cellStyle name="Percent 32 5 2 2 2" xfId="10179"/>
    <cellStyle name="Percent 32 5 2 2 2 2" xfId="16372"/>
    <cellStyle name="Percent 32 5 2 2 2 2 2" xfId="36255"/>
    <cellStyle name="Percent 32 5 2 2 2 3" xfId="22524"/>
    <cellStyle name="Percent 32 5 2 2 2 3 2" xfId="42407"/>
    <cellStyle name="Percent 32 5 2 2 2 4" xfId="30102"/>
    <cellStyle name="Percent 32 5 2 2 3" xfId="13306"/>
    <cellStyle name="Percent 32 5 2 2 3 2" xfId="33189"/>
    <cellStyle name="Percent 32 5 2 2 4" xfId="19458"/>
    <cellStyle name="Percent 32 5 2 2 4 2" xfId="39341"/>
    <cellStyle name="Percent 32 5 2 2 5" xfId="27036"/>
    <cellStyle name="Percent 32 5 2 3" xfId="8644"/>
    <cellStyle name="Percent 32 5 2 3 2" xfId="14838"/>
    <cellStyle name="Percent 32 5 2 3 2 2" xfId="34721"/>
    <cellStyle name="Percent 32 5 2 3 3" xfId="20990"/>
    <cellStyle name="Percent 32 5 2 3 3 2" xfId="40873"/>
    <cellStyle name="Percent 32 5 2 3 4" xfId="28568"/>
    <cellStyle name="Percent 32 5 2 4" xfId="11772"/>
    <cellStyle name="Percent 32 5 2 4 2" xfId="31655"/>
    <cellStyle name="Percent 32 5 2 5" xfId="17924"/>
    <cellStyle name="Percent 32 5 2 5 2" xfId="37807"/>
    <cellStyle name="Percent 32 5 2 6" xfId="25502"/>
    <cellStyle name="Percent 32 5 3" xfId="6321"/>
    <cellStyle name="Percent 32 5 3 2" xfId="9410"/>
    <cellStyle name="Percent 32 5 3 2 2" xfId="15603"/>
    <cellStyle name="Percent 32 5 3 2 2 2" xfId="35486"/>
    <cellStyle name="Percent 32 5 3 2 3" xfId="21755"/>
    <cellStyle name="Percent 32 5 3 2 3 2" xfId="41638"/>
    <cellStyle name="Percent 32 5 3 2 4" xfId="29333"/>
    <cellStyle name="Percent 32 5 3 3" xfId="12537"/>
    <cellStyle name="Percent 32 5 3 3 2" xfId="32420"/>
    <cellStyle name="Percent 32 5 3 4" xfId="18689"/>
    <cellStyle name="Percent 32 5 3 4 2" xfId="38572"/>
    <cellStyle name="Percent 32 5 3 5" xfId="26267"/>
    <cellStyle name="Percent 32 5 4" xfId="7875"/>
    <cellStyle name="Percent 32 5 4 2" xfId="14069"/>
    <cellStyle name="Percent 32 5 4 2 2" xfId="33952"/>
    <cellStyle name="Percent 32 5 4 3" xfId="20221"/>
    <cellStyle name="Percent 32 5 4 3 2" xfId="40104"/>
    <cellStyle name="Percent 32 5 4 4" xfId="27799"/>
    <cellStyle name="Percent 32 5 5" xfId="11003"/>
    <cellStyle name="Percent 32 5 5 2" xfId="30886"/>
    <cellStyle name="Percent 32 5 6" xfId="17155"/>
    <cellStyle name="Percent 32 5 6 2" xfId="37038"/>
    <cellStyle name="Percent 32 5 7" xfId="24733"/>
    <cellStyle name="Percent 33" xfId="4440"/>
    <cellStyle name="Percent 33 2" xfId="4441"/>
    <cellStyle name="Percent 33 2 2" xfId="4442"/>
    <cellStyle name="Percent 33 2 2 2" xfId="5470"/>
    <cellStyle name="Percent 33 2 2 2 2" xfId="7095"/>
    <cellStyle name="Percent 33 2 2 2 2 2" xfId="10181"/>
    <cellStyle name="Percent 33 2 2 2 2 2 2" xfId="16374"/>
    <cellStyle name="Percent 33 2 2 2 2 2 2 2" xfId="36257"/>
    <cellStyle name="Percent 33 2 2 2 2 2 3" xfId="22526"/>
    <cellStyle name="Percent 33 2 2 2 2 2 3 2" xfId="42409"/>
    <cellStyle name="Percent 33 2 2 2 2 2 4" xfId="30104"/>
    <cellStyle name="Percent 33 2 2 2 2 3" xfId="13308"/>
    <cellStyle name="Percent 33 2 2 2 2 3 2" xfId="33191"/>
    <cellStyle name="Percent 33 2 2 2 2 4" xfId="19460"/>
    <cellStyle name="Percent 33 2 2 2 2 4 2" xfId="39343"/>
    <cellStyle name="Percent 33 2 2 2 2 5" xfId="27038"/>
    <cellStyle name="Percent 33 2 2 2 3" xfId="8646"/>
    <cellStyle name="Percent 33 2 2 2 3 2" xfId="14840"/>
    <cellStyle name="Percent 33 2 2 2 3 2 2" xfId="34723"/>
    <cellStyle name="Percent 33 2 2 2 3 3" xfId="20992"/>
    <cellStyle name="Percent 33 2 2 2 3 3 2" xfId="40875"/>
    <cellStyle name="Percent 33 2 2 2 3 4" xfId="28570"/>
    <cellStyle name="Percent 33 2 2 2 4" xfId="11774"/>
    <cellStyle name="Percent 33 2 2 2 4 2" xfId="31657"/>
    <cellStyle name="Percent 33 2 2 2 5" xfId="17926"/>
    <cellStyle name="Percent 33 2 2 2 5 2" xfId="37809"/>
    <cellStyle name="Percent 33 2 2 2 6" xfId="25504"/>
    <cellStyle name="Percent 33 2 2 3" xfId="6324"/>
    <cellStyle name="Percent 33 2 2 3 2" xfId="9412"/>
    <cellStyle name="Percent 33 2 2 3 2 2" xfId="15605"/>
    <cellStyle name="Percent 33 2 2 3 2 2 2" xfId="35488"/>
    <cellStyle name="Percent 33 2 2 3 2 3" xfId="21757"/>
    <cellStyle name="Percent 33 2 2 3 2 3 2" xfId="41640"/>
    <cellStyle name="Percent 33 2 2 3 2 4" xfId="29335"/>
    <cellStyle name="Percent 33 2 2 3 3" xfId="12539"/>
    <cellStyle name="Percent 33 2 2 3 3 2" xfId="32422"/>
    <cellStyle name="Percent 33 2 2 3 4" xfId="18691"/>
    <cellStyle name="Percent 33 2 2 3 4 2" xfId="38574"/>
    <cellStyle name="Percent 33 2 2 3 5" xfId="26269"/>
    <cellStyle name="Percent 33 2 2 4" xfId="7877"/>
    <cellStyle name="Percent 33 2 2 4 2" xfId="14071"/>
    <cellStyle name="Percent 33 2 2 4 2 2" xfId="33954"/>
    <cellStyle name="Percent 33 2 2 4 3" xfId="20223"/>
    <cellStyle name="Percent 33 2 2 4 3 2" xfId="40106"/>
    <cellStyle name="Percent 33 2 2 4 4" xfId="27801"/>
    <cellStyle name="Percent 33 2 2 5" xfId="11005"/>
    <cellStyle name="Percent 33 2 2 5 2" xfId="30888"/>
    <cellStyle name="Percent 33 2 2 6" xfId="17157"/>
    <cellStyle name="Percent 33 2 2 6 2" xfId="37040"/>
    <cellStyle name="Percent 33 2 2 7" xfId="24735"/>
    <cellStyle name="Percent 33 2 3" xfId="5469"/>
    <cellStyle name="Percent 33 2 3 2" xfId="7094"/>
    <cellStyle name="Percent 33 2 3 2 2" xfId="10180"/>
    <cellStyle name="Percent 33 2 3 2 2 2" xfId="16373"/>
    <cellStyle name="Percent 33 2 3 2 2 2 2" xfId="36256"/>
    <cellStyle name="Percent 33 2 3 2 2 3" xfId="22525"/>
    <cellStyle name="Percent 33 2 3 2 2 3 2" xfId="42408"/>
    <cellStyle name="Percent 33 2 3 2 2 4" xfId="30103"/>
    <cellStyle name="Percent 33 2 3 2 3" xfId="13307"/>
    <cellStyle name="Percent 33 2 3 2 3 2" xfId="33190"/>
    <cellStyle name="Percent 33 2 3 2 4" xfId="19459"/>
    <cellStyle name="Percent 33 2 3 2 4 2" xfId="39342"/>
    <cellStyle name="Percent 33 2 3 2 5" xfId="27037"/>
    <cellStyle name="Percent 33 2 3 3" xfId="8645"/>
    <cellStyle name="Percent 33 2 3 3 2" xfId="14839"/>
    <cellStyle name="Percent 33 2 3 3 2 2" xfId="34722"/>
    <cellStyle name="Percent 33 2 3 3 3" xfId="20991"/>
    <cellStyle name="Percent 33 2 3 3 3 2" xfId="40874"/>
    <cellStyle name="Percent 33 2 3 3 4" xfId="28569"/>
    <cellStyle name="Percent 33 2 3 4" xfId="11773"/>
    <cellStyle name="Percent 33 2 3 4 2" xfId="31656"/>
    <cellStyle name="Percent 33 2 3 5" xfId="17925"/>
    <cellStyle name="Percent 33 2 3 5 2" xfId="37808"/>
    <cellStyle name="Percent 33 2 3 6" xfId="25503"/>
    <cellStyle name="Percent 33 2 4" xfId="6323"/>
    <cellStyle name="Percent 33 2 4 2" xfId="9411"/>
    <cellStyle name="Percent 33 2 4 2 2" xfId="15604"/>
    <cellStyle name="Percent 33 2 4 2 2 2" xfId="35487"/>
    <cellStyle name="Percent 33 2 4 2 3" xfId="21756"/>
    <cellStyle name="Percent 33 2 4 2 3 2" xfId="41639"/>
    <cellStyle name="Percent 33 2 4 2 4" xfId="29334"/>
    <cellStyle name="Percent 33 2 4 3" xfId="12538"/>
    <cellStyle name="Percent 33 2 4 3 2" xfId="32421"/>
    <cellStyle name="Percent 33 2 4 4" xfId="18690"/>
    <cellStyle name="Percent 33 2 4 4 2" xfId="38573"/>
    <cellStyle name="Percent 33 2 4 5" xfId="26268"/>
    <cellStyle name="Percent 33 2 5" xfId="7876"/>
    <cellStyle name="Percent 33 2 5 2" xfId="14070"/>
    <cellStyle name="Percent 33 2 5 2 2" xfId="33953"/>
    <cellStyle name="Percent 33 2 5 3" xfId="20222"/>
    <cellStyle name="Percent 33 2 5 3 2" xfId="40105"/>
    <cellStyle name="Percent 33 2 5 4" xfId="27800"/>
    <cellStyle name="Percent 33 2 6" xfId="11004"/>
    <cellStyle name="Percent 33 2 6 2" xfId="30887"/>
    <cellStyle name="Percent 33 2 7" xfId="17156"/>
    <cellStyle name="Percent 33 2 7 2" xfId="37039"/>
    <cellStyle name="Percent 33 2 8" xfId="24734"/>
    <cellStyle name="Percent 33 3" xfId="4443"/>
    <cellStyle name="Percent 33 3 2" xfId="4444"/>
    <cellStyle name="Percent 33 3 2 2" xfId="5472"/>
    <cellStyle name="Percent 33 3 2 2 2" xfId="7097"/>
    <cellStyle name="Percent 33 3 2 2 2 2" xfId="10183"/>
    <cellStyle name="Percent 33 3 2 2 2 2 2" xfId="16376"/>
    <cellStyle name="Percent 33 3 2 2 2 2 2 2" xfId="36259"/>
    <cellStyle name="Percent 33 3 2 2 2 2 3" xfId="22528"/>
    <cellStyle name="Percent 33 3 2 2 2 2 3 2" xfId="42411"/>
    <cellStyle name="Percent 33 3 2 2 2 2 4" xfId="30106"/>
    <cellStyle name="Percent 33 3 2 2 2 3" xfId="13310"/>
    <cellStyle name="Percent 33 3 2 2 2 3 2" xfId="33193"/>
    <cellStyle name="Percent 33 3 2 2 2 4" xfId="19462"/>
    <cellStyle name="Percent 33 3 2 2 2 4 2" xfId="39345"/>
    <cellStyle name="Percent 33 3 2 2 2 5" xfId="27040"/>
    <cellStyle name="Percent 33 3 2 2 3" xfId="8648"/>
    <cellStyle name="Percent 33 3 2 2 3 2" xfId="14842"/>
    <cellStyle name="Percent 33 3 2 2 3 2 2" xfId="34725"/>
    <cellStyle name="Percent 33 3 2 2 3 3" xfId="20994"/>
    <cellStyle name="Percent 33 3 2 2 3 3 2" xfId="40877"/>
    <cellStyle name="Percent 33 3 2 2 3 4" xfId="28572"/>
    <cellStyle name="Percent 33 3 2 2 4" xfId="11776"/>
    <cellStyle name="Percent 33 3 2 2 4 2" xfId="31659"/>
    <cellStyle name="Percent 33 3 2 2 5" xfId="17928"/>
    <cellStyle name="Percent 33 3 2 2 5 2" xfId="37811"/>
    <cellStyle name="Percent 33 3 2 2 6" xfId="25506"/>
    <cellStyle name="Percent 33 3 2 3" xfId="6326"/>
    <cellStyle name="Percent 33 3 2 3 2" xfId="9414"/>
    <cellStyle name="Percent 33 3 2 3 2 2" xfId="15607"/>
    <cellStyle name="Percent 33 3 2 3 2 2 2" xfId="35490"/>
    <cellStyle name="Percent 33 3 2 3 2 3" xfId="21759"/>
    <cellStyle name="Percent 33 3 2 3 2 3 2" xfId="41642"/>
    <cellStyle name="Percent 33 3 2 3 2 4" xfId="29337"/>
    <cellStyle name="Percent 33 3 2 3 3" xfId="12541"/>
    <cellStyle name="Percent 33 3 2 3 3 2" xfId="32424"/>
    <cellStyle name="Percent 33 3 2 3 4" xfId="18693"/>
    <cellStyle name="Percent 33 3 2 3 4 2" xfId="38576"/>
    <cellStyle name="Percent 33 3 2 3 5" xfId="26271"/>
    <cellStyle name="Percent 33 3 2 4" xfId="7879"/>
    <cellStyle name="Percent 33 3 2 4 2" xfId="14073"/>
    <cellStyle name="Percent 33 3 2 4 2 2" xfId="33956"/>
    <cellStyle name="Percent 33 3 2 4 3" xfId="20225"/>
    <cellStyle name="Percent 33 3 2 4 3 2" xfId="40108"/>
    <cellStyle name="Percent 33 3 2 4 4" xfId="27803"/>
    <cellStyle name="Percent 33 3 2 5" xfId="11007"/>
    <cellStyle name="Percent 33 3 2 5 2" xfId="30890"/>
    <cellStyle name="Percent 33 3 2 6" xfId="17159"/>
    <cellStyle name="Percent 33 3 2 6 2" xfId="37042"/>
    <cellStyle name="Percent 33 3 2 7" xfId="24737"/>
    <cellStyle name="Percent 33 3 3" xfId="5471"/>
    <cellStyle name="Percent 33 3 3 2" xfId="7096"/>
    <cellStyle name="Percent 33 3 3 2 2" xfId="10182"/>
    <cellStyle name="Percent 33 3 3 2 2 2" xfId="16375"/>
    <cellStyle name="Percent 33 3 3 2 2 2 2" xfId="36258"/>
    <cellStyle name="Percent 33 3 3 2 2 3" xfId="22527"/>
    <cellStyle name="Percent 33 3 3 2 2 3 2" xfId="42410"/>
    <cellStyle name="Percent 33 3 3 2 2 4" xfId="30105"/>
    <cellStyle name="Percent 33 3 3 2 3" xfId="13309"/>
    <cellStyle name="Percent 33 3 3 2 3 2" xfId="33192"/>
    <cellStyle name="Percent 33 3 3 2 4" xfId="19461"/>
    <cellStyle name="Percent 33 3 3 2 4 2" xfId="39344"/>
    <cellStyle name="Percent 33 3 3 2 5" xfId="27039"/>
    <cellStyle name="Percent 33 3 3 3" xfId="8647"/>
    <cellStyle name="Percent 33 3 3 3 2" xfId="14841"/>
    <cellStyle name="Percent 33 3 3 3 2 2" xfId="34724"/>
    <cellStyle name="Percent 33 3 3 3 3" xfId="20993"/>
    <cellStyle name="Percent 33 3 3 3 3 2" xfId="40876"/>
    <cellStyle name="Percent 33 3 3 3 4" xfId="28571"/>
    <cellStyle name="Percent 33 3 3 4" xfId="11775"/>
    <cellStyle name="Percent 33 3 3 4 2" xfId="31658"/>
    <cellStyle name="Percent 33 3 3 5" xfId="17927"/>
    <cellStyle name="Percent 33 3 3 5 2" xfId="37810"/>
    <cellStyle name="Percent 33 3 3 6" xfId="25505"/>
    <cellStyle name="Percent 33 3 4" xfId="6325"/>
    <cellStyle name="Percent 33 3 4 2" xfId="9413"/>
    <cellStyle name="Percent 33 3 4 2 2" xfId="15606"/>
    <cellStyle name="Percent 33 3 4 2 2 2" xfId="35489"/>
    <cellStyle name="Percent 33 3 4 2 3" xfId="21758"/>
    <cellStyle name="Percent 33 3 4 2 3 2" xfId="41641"/>
    <cellStyle name="Percent 33 3 4 2 4" xfId="29336"/>
    <cellStyle name="Percent 33 3 4 3" xfId="12540"/>
    <cellStyle name="Percent 33 3 4 3 2" xfId="32423"/>
    <cellStyle name="Percent 33 3 4 4" xfId="18692"/>
    <cellStyle name="Percent 33 3 4 4 2" xfId="38575"/>
    <cellStyle name="Percent 33 3 4 5" xfId="26270"/>
    <cellStyle name="Percent 33 3 5" xfId="7878"/>
    <cellStyle name="Percent 33 3 5 2" xfId="14072"/>
    <cellStyle name="Percent 33 3 5 2 2" xfId="33955"/>
    <cellStyle name="Percent 33 3 5 3" xfId="20224"/>
    <cellStyle name="Percent 33 3 5 3 2" xfId="40107"/>
    <cellStyle name="Percent 33 3 5 4" xfId="27802"/>
    <cellStyle name="Percent 33 3 6" xfId="11006"/>
    <cellStyle name="Percent 33 3 6 2" xfId="30889"/>
    <cellStyle name="Percent 33 3 7" xfId="17158"/>
    <cellStyle name="Percent 33 3 7 2" xfId="37041"/>
    <cellStyle name="Percent 33 3 8" xfId="24736"/>
    <cellStyle name="Percent 33 4" xfId="4445"/>
    <cellStyle name="Percent 33 4 2" xfId="4446"/>
    <cellStyle name="Percent 33 4 2 2" xfId="5473"/>
    <cellStyle name="Percent 33 4 2 2 2" xfId="7098"/>
    <cellStyle name="Percent 33 4 2 2 2 2" xfId="10184"/>
    <cellStyle name="Percent 33 4 2 2 2 2 2" xfId="16377"/>
    <cellStyle name="Percent 33 4 2 2 2 2 2 2" xfId="36260"/>
    <cellStyle name="Percent 33 4 2 2 2 2 3" xfId="22529"/>
    <cellStyle name="Percent 33 4 2 2 2 2 3 2" xfId="42412"/>
    <cellStyle name="Percent 33 4 2 2 2 2 4" xfId="30107"/>
    <cellStyle name="Percent 33 4 2 2 2 3" xfId="13311"/>
    <cellStyle name="Percent 33 4 2 2 2 3 2" xfId="33194"/>
    <cellStyle name="Percent 33 4 2 2 2 4" xfId="19463"/>
    <cellStyle name="Percent 33 4 2 2 2 4 2" xfId="39346"/>
    <cellStyle name="Percent 33 4 2 2 2 5" xfId="27041"/>
    <cellStyle name="Percent 33 4 2 2 3" xfId="8649"/>
    <cellStyle name="Percent 33 4 2 2 3 2" xfId="14843"/>
    <cellStyle name="Percent 33 4 2 2 3 2 2" xfId="34726"/>
    <cellStyle name="Percent 33 4 2 2 3 3" xfId="20995"/>
    <cellStyle name="Percent 33 4 2 2 3 3 2" xfId="40878"/>
    <cellStyle name="Percent 33 4 2 2 3 4" xfId="28573"/>
    <cellStyle name="Percent 33 4 2 2 4" xfId="11777"/>
    <cellStyle name="Percent 33 4 2 2 4 2" xfId="31660"/>
    <cellStyle name="Percent 33 4 2 2 5" xfId="17929"/>
    <cellStyle name="Percent 33 4 2 2 5 2" xfId="37812"/>
    <cellStyle name="Percent 33 4 2 2 6" xfId="25507"/>
    <cellStyle name="Percent 33 4 2 3" xfId="6327"/>
    <cellStyle name="Percent 33 4 2 3 2" xfId="9415"/>
    <cellStyle name="Percent 33 4 2 3 2 2" xfId="15608"/>
    <cellStyle name="Percent 33 4 2 3 2 2 2" xfId="35491"/>
    <cellStyle name="Percent 33 4 2 3 2 3" xfId="21760"/>
    <cellStyle name="Percent 33 4 2 3 2 3 2" xfId="41643"/>
    <cellStyle name="Percent 33 4 2 3 2 4" xfId="29338"/>
    <cellStyle name="Percent 33 4 2 3 3" xfId="12542"/>
    <cellStyle name="Percent 33 4 2 3 3 2" xfId="32425"/>
    <cellStyle name="Percent 33 4 2 3 4" xfId="18694"/>
    <cellStyle name="Percent 33 4 2 3 4 2" xfId="38577"/>
    <cellStyle name="Percent 33 4 2 3 5" xfId="26272"/>
    <cellStyle name="Percent 33 4 2 4" xfId="7880"/>
    <cellStyle name="Percent 33 4 2 4 2" xfId="14074"/>
    <cellStyle name="Percent 33 4 2 4 2 2" xfId="33957"/>
    <cellStyle name="Percent 33 4 2 4 3" xfId="20226"/>
    <cellStyle name="Percent 33 4 2 4 3 2" xfId="40109"/>
    <cellStyle name="Percent 33 4 2 4 4" xfId="27804"/>
    <cellStyle name="Percent 33 4 2 5" xfId="11008"/>
    <cellStyle name="Percent 33 4 2 5 2" xfId="30891"/>
    <cellStyle name="Percent 33 4 2 6" xfId="17160"/>
    <cellStyle name="Percent 33 4 2 6 2" xfId="37043"/>
    <cellStyle name="Percent 33 4 2 7" xfId="24738"/>
    <cellStyle name="Percent 33 5" xfId="4447"/>
    <cellStyle name="Percent 33 5 2" xfId="5474"/>
    <cellStyle name="Percent 33 5 2 2" xfId="7099"/>
    <cellStyle name="Percent 33 5 2 2 2" xfId="10185"/>
    <cellStyle name="Percent 33 5 2 2 2 2" xfId="16378"/>
    <cellStyle name="Percent 33 5 2 2 2 2 2" xfId="36261"/>
    <cellStyle name="Percent 33 5 2 2 2 3" xfId="22530"/>
    <cellStyle name="Percent 33 5 2 2 2 3 2" xfId="42413"/>
    <cellStyle name="Percent 33 5 2 2 2 4" xfId="30108"/>
    <cellStyle name="Percent 33 5 2 2 3" xfId="13312"/>
    <cellStyle name="Percent 33 5 2 2 3 2" xfId="33195"/>
    <cellStyle name="Percent 33 5 2 2 4" xfId="19464"/>
    <cellStyle name="Percent 33 5 2 2 4 2" xfId="39347"/>
    <cellStyle name="Percent 33 5 2 2 5" xfId="27042"/>
    <cellStyle name="Percent 33 5 2 3" xfId="8650"/>
    <cellStyle name="Percent 33 5 2 3 2" xfId="14844"/>
    <cellStyle name="Percent 33 5 2 3 2 2" xfId="34727"/>
    <cellStyle name="Percent 33 5 2 3 3" xfId="20996"/>
    <cellStyle name="Percent 33 5 2 3 3 2" xfId="40879"/>
    <cellStyle name="Percent 33 5 2 3 4" xfId="28574"/>
    <cellStyle name="Percent 33 5 2 4" xfId="11778"/>
    <cellStyle name="Percent 33 5 2 4 2" xfId="31661"/>
    <cellStyle name="Percent 33 5 2 5" xfId="17930"/>
    <cellStyle name="Percent 33 5 2 5 2" xfId="37813"/>
    <cellStyle name="Percent 33 5 2 6" xfId="25508"/>
    <cellStyle name="Percent 33 5 3" xfId="6328"/>
    <cellStyle name="Percent 33 5 3 2" xfId="9416"/>
    <cellStyle name="Percent 33 5 3 2 2" xfId="15609"/>
    <cellStyle name="Percent 33 5 3 2 2 2" xfId="35492"/>
    <cellStyle name="Percent 33 5 3 2 3" xfId="21761"/>
    <cellStyle name="Percent 33 5 3 2 3 2" xfId="41644"/>
    <cellStyle name="Percent 33 5 3 2 4" xfId="29339"/>
    <cellStyle name="Percent 33 5 3 3" xfId="12543"/>
    <cellStyle name="Percent 33 5 3 3 2" xfId="32426"/>
    <cellStyle name="Percent 33 5 3 4" xfId="18695"/>
    <cellStyle name="Percent 33 5 3 4 2" xfId="38578"/>
    <cellStyle name="Percent 33 5 3 5" xfId="26273"/>
    <cellStyle name="Percent 33 5 4" xfId="7881"/>
    <cellStyle name="Percent 33 5 4 2" xfId="14075"/>
    <cellStyle name="Percent 33 5 4 2 2" xfId="33958"/>
    <cellStyle name="Percent 33 5 4 3" xfId="20227"/>
    <cellStyle name="Percent 33 5 4 3 2" xfId="40110"/>
    <cellStyle name="Percent 33 5 4 4" xfId="27805"/>
    <cellStyle name="Percent 33 5 5" xfId="11009"/>
    <cellStyle name="Percent 33 5 5 2" xfId="30892"/>
    <cellStyle name="Percent 33 5 6" xfId="17161"/>
    <cellStyle name="Percent 33 5 6 2" xfId="37044"/>
    <cellStyle name="Percent 33 5 7" xfId="24739"/>
    <cellStyle name="Percent 34" xfId="4448"/>
    <cellStyle name="Percent 34 2" xfId="4449"/>
    <cellStyle name="Percent 34 2 2" xfId="4450"/>
    <cellStyle name="Percent 34 2 2 2" xfId="5476"/>
    <cellStyle name="Percent 34 2 2 2 2" xfId="7101"/>
    <cellStyle name="Percent 34 2 2 2 2 2" xfId="10187"/>
    <cellStyle name="Percent 34 2 2 2 2 2 2" xfId="16380"/>
    <cellStyle name="Percent 34 2 2 2 2 2 2 2" xfId="36263"/>
    <cellStyle name="Percent 34 2 2 2 2 2 3" xfId="22532"/>
    <cellStyle name="Percent 34 2 2 2 2 2 3 2" xfId="42415"/>
    <cellStyle name="Percent 34 2 2 2 2 2 4" xfId="30110"/>
    <cellStyle name="Percent 34 2 2 2 2 3" xfId="13314"/>
    <cellStyle name="Percent 34 2 2 2 2 3 2" xfId="33197"/>
    <cellStyle name="Percent 34 2 2 2 2 4" xfId="19466"/>
    <cellStyle name="Percent 34 2 2 2 2 4 2" xfId="39349"/>
    <cellStyle name="Percent 34 2 2 2 2 5" xfId="27044"/>
    <cellStyle name="Percent 34 2 2 2 3" xfId="8652"/>
    <cellStyle name="Percent 34 2 2 2 3 2" xfId="14846"/>
    <cellStyle name="Percent 34 2 2 2 3 2 2" xfId="34729"/>
    <cellStyle name="Percent 34 2 2 2 3 3" xfId="20998"/>
    <cellStyle name="Percent 34 2 2 2 3 3 2" xfId="40881"/>
    <cellStyle name="Percent 34 2 2 2 3 4" xfId="28576"/>
    <cellStyle name="Percent 34 2 2 2 4" xfId="11780"/>
    <cellStyle name="Percent 34 2 2 2 4 2" xfId="31663"/>
    <cellStyle name="Percent 34 2 2 2 5" xfId="17932"/>
    <cellStyle name="Percent 34 2 2 2 5 2" xfId="37815"/>
    <cellStyle name="Percent 34 2 2 2 6" xfId="25510"/>
    <cellStyle name="Percent 34 2 2 3" xfId="6331"/>
    <cellStyle name="Percent 34 2 2 3 2" xfId="9418"/>
    <cellStyle name="Percent 34 2 2 3 2 2" xfId="15611"/>
    <cellStyle name="Percent 34 2 2 3 2 2 2" xfId="35494"/>
    <cellStyle name="Percent 34 2 2 3 2 3" xfId="21763"/>
    <cellStyle name="Percent 34 2 2 3 2 3 2" xfId="41646"/>
    <cellStyle name="Percent 34 2 2 3 2 4" xfId="29341"/>
    <cellStyle name="Percent 34 2 2 3 3" xfId="12545"/>
    <cellStyle name="Percent 34 2 2 3 3 2" xfId="32428"/>
    <cellStyle name="Percent 34 2 2 3 4" xfId="18697"/>
    <cellStyle name="Percent 34 2 2 3 4 2" xfId="38580"/>
    <cellStyle name="Percent 34 2 2 3 5" xfId="26275"/>
    <cellStyle name="Percent 34 2 2 4" xfId="7883"/>
    <cellStyle name="Percent 34 2 2 4 2" xfId="14077"/>
    <cellStyle name="Percent 34 2 2 4 2 2" xfId="33960"/>
    <cellStyle name="Percent 34 2 2 4 3" xfId="20229"/>
    <cellStyle name="Percent 34 2 2 4 3 2" xfId="40112"/>
    <cellStyle name="Percent 34 2 2 4 4" xfId="27807"/>
    <cellStyle name="Percent 34 2 2 5" xfId="11011"/>
    <cellStyle name="Percent 34 2 2 5 2" xfId="30894"/>
    <cellStyle name="Percent 34 2 2 6" xfId="17163"/>
    <cellStyle name="Percent 34 2 2 6 2" xfId="37046"/>
    <cellStyle name="Percent 34 2 2 7" xfId="24741"/>
    <cellStyle name="Percent 34 2 3" xfId="5475"/>
    <cellStyle name="Percent 34 2 3 2" xfId="7100"/>
    <cellStyle name="Percent 34 2 3 2 2" xfId="10186"/>
    <cellStyle name="Percent 34 2 3 2 2 2" xfId="16379"/>
    <cellStyle name="Percent 34 2 3 2 2 2 2" xfId="36262"/>
    <cellStyle name="Percent 34 2 3 2 2 3" xfId="22531"/>
    <cellStyle name="Percent 34 2 3 2 2 3 2" xfId="42414"/>
    <cellStyle name="Percent 34 2 3 2 2 4" xfId="30109"/>
    <cellStyle name="Percent 34 2 3 2 3" xfId="13313"/>
    <cellStyle name="Percent 34 2 3 2 3 2" xfId="33196"/>
    <cellStyle name="Percent 34 2 3 2 4" xfId="19465"/>
    <cellStyle name="Percent 34 2 3 2 4 2" xfId="39348"/>
    <cellStyle name="Percent 34 2 3 2 5" xfId="27043"/>
    <cellStyle name="Percent 34 2 3 3" xfId="8651"/>
    <cellStyle name="Percent 34 2 3 3 2" xfId="14845"/>
    <cellStyle name="Percent 34 2 3 3 2 2" xfId="34728"/>
    <cellStyle name="Percent 34 2 3 3 3" xfId="20997"/>
    <cellStyle name="Percent 34 2 3 3 3 2" xfId="40880"/>
    <cellStyle name="Percent 34 2 3 3 4" xfId="28575"/>
    <cellStyle name="Percent 34 2 3 4" xfId="11779"/>
    <cellStyle name="Percent 34 2 3 4 2" xfId="31662"/>
    <cellStyle name="Percent 34 2 3 5" xfId="17931"/>
    <cellStyle name="Percent 34 2 3 5 2" xfId="37814"/>
    <cellStyle name="Percent 34 2 3 6" xfId="25509"/>
    <cellStyle name="Percent 34 2 4" xfId="6330"/>
    <cellStyle name="Percent 34 2 4 2" xfId="9417"/>
    <cellStyle name="Percent 34 2 4 2 2" xfId="15610"/>
    <cellStyle name="Percent 34 2 4 2 2 2" xfId="35493"/>
    <cellStyle name="Percent 34 2 4 2 3" xfId="21762"/>
    <cellStyle name="Percent 34 2 4 2 3 2" xfId="41645"/>
    <cellStyle name="Percent 34 2 4 2 4" xfId="29340"/>
    <cellStyle name="Percent 34 2 4 3" xfId="12544"/>
    <cellStyle name="Percent 34 2 4 3 2" xfId="32427"/>
    <cellStyle name="Percent 34 2 4 4" xfId="18696"/>
    <cellStyle name="Percent 34 2 4 4 2" xfId="38579"/>
    <cellStyle name="Percent 34 2 4 5" xfId="26274"/>
    <cellStyle name="Percent 34 2 5" xfId="7882"/>
    <cellStyle name="Percent 34 2 5 2" xfId="14076"/>
    <cellStyle name="Percent 34 2 5 2 2" xfId="33959"/>
    <cellStyle name="Percent 34 2 5 3" xfId="20228"/>
    <cellStyle name="Percent 34 2 5 3 2" xfId="40111"/>
    <cellStyle name="Percent 34 2 5 4" xfId="27806"/>
    <cellStyle name="Percent 34 2 6" xfId="11010"/>
    <cellStyle name="Percent 34 2 6 2" xfId="30893"/>
    <cellStyle name="Percent 34 2 7" xfId="17162"/>
    <cellStyle name="Percent 34 2 7 2" xfId="37045"/>
    <cellStyle name="Percent 34 2 8" xfId="24740"/>
    <cellStyle name="Percent 34 3" xfId="4451"/>
    <cellStyle name="Percent 34 3 2" xfId="4452"/>
    <cellStyle name="Percent 34 3 2 2" xfId="5478"/>
    <cellStyle name="Percent 34 3 2 2 2" xfId="7103"/>
    <cellStyle name="Percent 34 3 2 2 2 2" xfId="10189"/>
    <cellStyle name="Percent 34 3 2 2 2 2 2" xfId="16382"/>
    <cellStyle name="Percent 34 3 2 2 2 2 2 2" xfId="36265"/>
    <cellStyle name="Percent 34 3 2 2 2 2 3" xfId="22534"/>
    <cellStyle name="Percent 34 3 2 2 2 2 3 2" xfId="42417"/>
    <cellStyle name="Percent 34 3 2 2 2 2 4" xfId="30112"/>
    <cellStyle name="Percent 34 3 2 2 2 3" xfId="13316"/>
    <cellStyle name="Percent 34 3 2 2 2 3 2" xfId="33199"/>
    <cellStyle name="Percent 34 3 2 2 2 4" xfId="19468"/>
    <cellStyle name="Percent 34 3 2 2 2 4 2" xfId="39351"/>
    <cellStyle name="Percent 34 3 2 2 2 5" xfId="27046"/>
    <cellStyle name="Percent 34 3 2 2 3" xfId="8654"/>
    <cellStyle name="Percent 34 3 2 2 3 2" xfId="14848"/>
    <cellStyle name="Percent 34 3 2 2 3 2 2" xfId="34731"/>
    <cellStyle name="Percent 34 3 2 2 3 3" xfId="21000"/>
    <cellStyle name="Percent 34 3 2 2 3 3 2" xfId="40883"/>
    <cellStyle name="Percent 34 3 2 2 3 4" xfId="28578"/>
    <cellStyle name="Percent 34 3 2 2 4" xfId="11782"/>
    <cellStyle name="Percent 34 3 2 2 4 2" xfId="31665"/>
    <cellStyle name="Percent 34 3 2 2 5" xfId="17934"/>
    <cellStyle name="Percent 34 3 2 2 5 2" xfId="37817"/>
    <cellStyle name="Percent 34 3 2 2 6" xfId="25512"/>
    <cellStyle name="Percent 34 3 2 3" xfId="6333"/>
    <cellStyle name="Percent 34 3 2 3 2" xfId="9420"/>
    <cellStyle name="Percent 34 3 2 3 2 2" xfId="15613"/>
    <cellStyle name="Percent 34 3 2 3 2 2 2" xfId="35496"/>
    <cellStyle name="Percent 34 3 2 3 2 3" xfId="21765"/>
    <cellStyle name="Percent 34 3 2 3 2 3 2" xfId="41648"/>
    <cellStyle name="Percent 34 3 2 3 2 4" xfId="29343"/>
    <cellStyle name="Percent 34 3 2 3 3" xfId="12547"/>
    <cellStyle name="Percent 34 3 2 3 3 2" xfId="32430"/>
    <cellStyle name="Percent 34 3 2 3 4" xfId="18699"/>
    <cellStyle name="Percent 34 3 2 3 4 2" xfId="38582"/>
    <cellStyle name="Percent 34 3 2 3 5" xfId="26277"/>
    <cellStyle name="Percent 34 3 2 4" xfId="7885"/>
    <cellStyle name="Percent 34 3 2 4 2" xfId="14079"/>
    <cellStyle name="Percent 34 3 2 4 2 2" xfId="33962"/>
    <cellStyle name="Percent 34 3 2 4 3" xfId="20231"/>
    <cellStyle name="Percent 34 3 2 4 3 2" xfId="40114"/>
    <cellStyle name="Percent 34 3 2 4 4" xfId="27809"/>
    <cellStyle name="Percent 34 3 2 5" xfId="11013"/>
    <cellStyle name="Percent 34 3 2 5 2" xfId="30896"/>
    <cellStyle name="Percent 34 3 2 6" xfId="17165"/>
    <cellStyle name="Percent 34 3 2 6 2" xfId="37048"/>
    <cellStyle name="Percent 34 3 2 7" xfId="24743"/>
    <cellStyle name="Percent 34 3 3" xfId="5477"/>
    <cellStyle name="Percent 34 3 3 2" xfId="7102"/>
    <cellStyle name="Percent 34 3 3 2 2" xfId="10188"/>
    <cellStyle name="Percent 34 3 3 2 2 2" xfId="16381"/>
    <cellStyle name="Percent 34 3 3 2 2 2 2" xfId="36264"/>
    <cellStyle name="Percent 34 3 3 2 2 3" xfId="22533"/>
    <cellStyle name="Percent 34 3 3 2 2 3 2" xfId="42416"/>
    <cellStyle name="Percent 34 3 3 2 2 4" xfId="30111"/>
    <cellStyle name="Percent 34 3 3 2 3" xfId="13315"/>
    <cellStyle name="Percent 34 3 3 2 3 2" xfId="33198"/>
    <cellStyle name="Percent 34 3 3 2 4" xfId="19467"/>
    <cellStyle name="Percent 34 3 3 2 4 2" xfId="39350"/>
    <cellStyle name="Percent 34 3 3 2 5" xfId="27045"/>
    <cellStyle name="Percent 34 3 3 3" xfId="8653"/>
    <cellStyle name="Percent 34 3 3 3 2" xfId="14847"/>
    <cellStyle name="Percent 34 3 3 3 2 2" xfId="34730"/>
    <cellStyle name="Percent 34 3 3 3 3" xfId="20999"/>
    <cellStyle name="Percent 34 3 3 3 3 2" xfId="40882"/>
    <cellStyle name="Percent 34 3 3 3 4" xfId="28577"/>
    <cellStyle name="Percent 34 3 3 4" xfId="11781"/>
    <cellStyle name="Percent 34 3 3 4 2" xfId="31664"/>
    <cellStyle name="Percent 34 3 3 5" xfId="17933"/>
    <cellStyle name="Percent 34 3 3 5 2" xfId="37816"/>
    <cellStyle name="Percent 34 3 3 6" xfId="25511"/>
    <cellStyle name="Percent 34 3 4" xfId="6332"/>
    <cellStyle name="Percent 34 3 4 2" xfId="9419"/>
    <cellStyle name="Percent 34 3 4 2 2" xfId="15612"/>
    <cellStyle name="Percent 34 3 4 2 2 2" xfId="35495"/>
    <cellStyle name="Percent 34 3 4 2 3" xfId="21764"/>
    <cellStyle name="Percent 34 3 4 2 3 2" xfId="41647"/>
    <cellStyle name="Percent 34 3 4 2 4" xfId="29342"/>
    <cellStyle name="Percent 34 3 4 3" xfId="12546"/>
    <cellStyle name="Percent 34 3 4 3 2" xfId="32429"/>
    <cellStyle name="Percent 34 3 4 4" xfId="18698"/>
    <cellStyle name="Percent 34 3 4 4 2" xfId="38581"/>
    <cellStyle name="Percent 34 3 4 5" xfId="26276"/>
    <cellStyle name="Percent 34 3 5" xfId="7884"/>
    <cellStyle name="Percent 34 3 5 2" xfId="14078"/>
    <cellStyle name="Percent 34 3 5 2 2" xfId="33961"/>
    <cellStyle name="Percent 34 3 5 3" xfId="20230"/>
    <cellStyle name="Percent 34 3 5 3 2" xfId="40113"/>
    <cellStyle name="Percent 34 3 5 4" xfId="27808"/>
    <cellStyle name="Percent 34 3 6" xfId="11012"/>
    <cellStyle name="Percent 34 3 6 2" xfId="30895"/>
    <cellStyle name="Percent 34 3 7" xfId="17164"/>
    <cellStyle name="Percent 34 3 7 2" xfId="37047"/>
    <cellStyle name="Percent 34 3 8" xfId="24742"/>
    <cellStyle name="Percent 34 4" xfId="4453"/>
    <cellStyle name="Percent 34 4 2" xfId="4454"/>
    <cellStyle name="Percent 34 4 2 2" xfId="5479"/>
    <cellStyle name="Percent 34 4 2 2 2" xfId="7104"/>
    <cellStyle name="Percent 34 4 2 2 2 2" xfId="10190"/>
    <cellStyle name="Percent 34 4 2 2 2 2 2" xfId="16383"/>
    <cellStyle name="Percent 34 4 2 2 2 2 2 2" xfId="36266"/>
    <cellStyle name="Percent 34 4 2 2 2 2 3" xfId="22535"/>
    <cellStyle name="Percent 34 4 2 2 2 2 3 2" xfId="42418"/>
    <cellStyle name="Percent 34 4 2 2 2 2 4" xfId="30113"/>
    <cellStyle name="Percent 34 4 2 2 2 3" xfId="13317"/>
    <cellStyle name="Percent 34 4 2 2 2 3 2" xfId="33200"/>
    <cellStyle name="Percent 34 4 2 2 2 4" xfId="19469"/>
    <cellStyle name="Percent 34 4 2 2 2 4 2" xfId="39352"/>
    <cellStyle name="Percent 34 4 2 2 2 5" xfId="27047"/>
    <cellStyle name="Percent 34 4 2 2 3" xfId="8655"/>
    <cellStyle name="Percent 34 4 2 2 3 2" xfId="14849"/>
    <cellStyle name="Percent 34 4 2 2 3 2 2" xfId="34732"/>
    <cellStyle name="Percent 34 4 2 2 3 3" xfId="21001"/>
    <cellStyle name="Percent 34 4 2 2 3 3 2" xfId="40884"/>
    <cellStyle name="Percent 34 4 2 2 3 4" xfId="28579"/>
    <cellStyle name="Percent 34 4 2 2 4" xfId="11783"/>
    <cellStyle name="Percent 34 4 2 2 4 2" xfId="31666"/>
    <cellStyle name="Percent 34 4 2 2 5" xfId="17935"/>
    <cellStyle name="Percent 34 4 2 2 5 2" xfId="37818"/>
    <cellStyle name="Percent 34 4 2 2 6" xfId="25513"/>
    <cellStyle name="Percent 34 4 2 3" xfId="6334"/>
    <cellStyle name="Percent 34 4 2 3 2" xfId="9421"/>
    <cellStyle name="Percent 34 4 2 3 2 2" xfId="15614"/>
    <cellStyle name="Percent 34 4 2 3 2 2 2" xfId="35497"/>
    <cellStyle name="Percent 34 4 2 3 2 3" xfId="21766"/>
    <cellStyle name="Percent 34 4 2 3 2 3 2" xfId="41649"/>
    <cellStyle name="Percent 34 4 2 3 2 4" xfId="29344"/>
    <cellStyle name="Percent 34 4 2 3 3" xfId="12548"/>
    <cellStyle name="Percent 34 4 2 3 3 2" xfId="32431"/>
    <cellStyle name="Percent 34 4 2 3 4" xfId="18700"/>
    <cellStyle name="Percent 34 4 2 3 4 2" xfId="38583"/>
    <cellStyle name="Percent 34 4 2 3 5" xfId="26278"/>
    <cellStyle name="Percent 34 4 2 4" xfId="7886"/>
    <cellStyle name="Percent 34 4 2 4 2" xfId="14080"/>
    <cellStyle name="Percent 34 4 2 4 2 2" xfId="33963"/>
    <cellStyle name="Percent 34 4 2 4 3" xfId="20232"/>
    <cellStyle name="Percent 34 4 2 4 3 2" xfId="40115"/>
    <cellStyle name="Percent 34 4 2 4 4" xfId="27810"/>
    <cellStyle name="Percent 34 4 2 5" xfId="11014"/>
    <cellStyle name="Percent 34 4 2 5 2" xfId="30897"/>
    <cellStyle name="Percent 34 4 2 6" xfId="17166"/>
    <cellStyle name="Percent 34 4 2 6 2" xfId="37049"/>
    <cellStyle name="Percent 34 4 2 7" xfId="24744"/>
    <cellStyle name="Percent 34 5" xfId="4455"/>
    <cellStyle name="Percent 34 5 2" xfId="5480"/>
    <cellStyle name="Percent 34 5 2 2" xfId="7105"/>
    <cellStyle name="Percent 34 5 2 2 2" xfId="10191"/>
    <cellStyle name="Percent 34 5 2 2 2 2" xfId="16384"/>
    <cellStyle name="Percent 34 5 2 2 2 2 2" xfId="36267"/>
    <cellStyle name="Percent 34 5 2 2 2 3" xfId="22536"/>
    <cellStyle name="Percent 34 5 2 2 2 3 2" xfId="42419"/>
    <cellStyle name="Percent 34 5 2 2 2 4" xfId="30114"/>
    <cellStyle name="Percent 34 5 2 2 3" xfId="13318"/>
    <cellStyle name="Percent 34 5 2 2 3 2" xfId="33201"/>
    <cellStyle name="Percent 34 5 2 2 4" xfId="19470"/>
    <cellStyle name="Percent 34 5 2 2 4 2" xfId="39353"/>
    <cellStyle name="Percent 34 5 2 2 5" xfId="27048"/>
    <cellStyle name="Percent 34 5 2 3" xfId="8656"/>
    <cellStyle name="Percent 34 5 2 3 2" xfId="14850"/>
    <cellStyle name="Percent 34 5 2 3 2 2" xfId="34733"/>
    <cellStyle name="Percent 34 5 2 3 3" xfId="21002"/>
    <cellStyle name="Percent 34 5 2 3 3 2" xfId="40885"/>
    <cellStyle name="Percent 34 5 2 3 4" xfId="28580"/>
    <cellStyle name="Percent 34 5 2 4" xfId="11784"/>
    <cellStyle name="Percent 34 5 2 4 2" xfId="31667"/>
    <cellStyle name="Percent 34 5 2 5" xfId="17936"/>
    <cellStyle name="Percent 34 5 2 5 2" xfId="37819"/>
    <cellStyle name="Percent 34 5 2 6" xfId="25514"/>
    <cellStyle name="Percent 34 5 3" xfId="6335"/>
    <cellStyle name="Percent 34 5 3 2" xfId="9422"/>
    <cellStyle name="Percent 34 5 3 2 2" xfId="15615"/>
    <cellStyle name="Percent 34 5 3 2 2 2" xfId="35498"/>
    <cellStyle name="Percent 34 5 3 2 3" xfId="21767"/>
    <cellStyle name="Percent 34 5 3 2 3 2" xfId="41650"/>
    <cellStyle name="Percent 34 5 3 2 4" xfId="29345"/>
    <cellStyle name="Percent 34 5 3 3" xfId="12549"/>
    <cellStyle name="Percent 34 5 3 3 2" xfId="32432"/>
    <cellStyle name="Percent 34 5 3 4" xfId="18701"/>
    <cellStyle name="Percent 34 5 3 4 2" xfId="38584"/>
    <cellStyle name="Percent 34 5 3 5" xfId="26279"/>
    <cellStyle name="Percent 34 5 4" xfId="7887"/>
    <cellStyle name="Percent 34 5 4 2" xfId="14081"/>
    <cellStyle name="Percent 34 5 4 2 2" xfId="33964"/>
    <cellStyle name="Percent 34 5 4 3" xfId="20233"/>
    <cellStyle name="Percent 34 5 4 3 2" xfId="40116"/>
    <cellStyle name="Percent 34 5 4 4" xfId="27811"/>
    <cellStyle name="Percent 34 5 5" xfId="11015"/>
    <cellStyle name="Percent 34 5 5 2" xfId="30898"/>
    <cellStyle name="Percent 34 5 6" xfId="17167"/>
    <cellStyle name="Percent 34 5 6 2" xfId="37050"/>
    <cellStyle name="Percent 34 5 7" xfId="24745"/>
    <cellStyle name="Percent 35" xfId="4456"/>
    <cellStyle name="Percent 35 2" xfId="4457"/>
    <cellStyle name="Percent 35 2 2" xfId="4458"/>
    <cellStyle name="Percent 35 2 2 2" xfId="5482"/>
    <cellStyle name="Percent 35 2 2 2 2" xfId="7107"/>
    <cellStyle name="Percent 35 2 2 2 2 2" xfId="10193"/>
    <cellStyle name="Percent 35 2 2 2 2 2 2" xfId="16386"/>
    <cellStyle name="Percent 35 2 2 2 2 2 2 2" xfId="36269"/>
    <cellStyle name="Percent 35 2 2 2 2 2 3" xfId="22538"/>
    <cellStyle name="Percent 35 2 2 2 2 2 3 2" xfId="42421"/>
    <cellStyle name="Percent 35 2 2 2 2 2 4" xfId="30116"/>
    <cellStyle name="Percent 35 2 2 2 2 3" xfId="13320"/>
    <cellStyle name="Percent 35 2 2 2 2 3 2" xfId="33203"/>
    <cellStyle name="Percent 35 2 2 2 2 4" xfId="19472"/>
    <cellStyle name="Percent 35 2 2 2 2 4 2" xfId="39355"/>
    <cellStyle name="Percent 35 2 2 2 2 5" xfId="27050"/>
    <cellStyle name="Percent 35 2 2 2 3" xfId="8658"/>
    <cellStyle name="Percent 35 2 2 2 3 2" xfId="14852"/>
    <cellStyle name="Percent 35 2 2 2 3 2 2" xfId="34735"/>
    <cellStyle name="Percent 35 2 2 2 3 3" xfId="21004"/>
    <cellStyle name="Percent 35 2 2 2 3 3 2" xfId="40887"/>
    <cellStyle name="Percent 35 2 2 2 3 4" xfId="28582"/>
    <cellStyle name="Percent 35 2 2 2 4" xfId="11786"/>
    <cellStyle name="Percent 35 2 2 2 4 2" xfId="31669"/>
    <cellStyle name="Percent 35 2 2 2 5" xfId="17938"/>
    <cellStyle name="Percent 35 2 2 2 5 2" xfId="37821"/>
    <cellStyle name="Percent 35 2 2 2 6" xfId="25516"/>
    <cellStyle name="Percent 35 2 2 3" xfId="6337"/>
    <cellStyle name="Percent 35 2 2 3 2" xfId="9424"/>
    <cellStyle name="Percent 35 2 2 3 2 2" xfId="15617"/>
    <cellStyle name="Percent 35 2 2 3 2 2 2" xfId="35500"/>
    <cellStyle name="Percent 35 2 2 3 2 3" xfId="21769"/>
    <cellStyle name="Percent 35 2 2 3 2 3 2" xfId="41652"/>
    <cellStyle name="Percent 35 2 2 3 2 4" xfId="29347"/>
    <cellStyle name="Percent 35 2 2 3 3" xfId="12551"/>
    <cellStyle name="Percent 35 2 2 3 3 2" xfId="32434"/>
    <cellStyle name="Percent 35 2 2 3 4" xfId="18703"/>
    <cellStyle name="Percent 35 2 2 3 4 2" xfId="38586"/>
    <cellStyle name="Percent 35 2 2 3 5" xfId="26281"/>
    <cellStyle name="Percent 35 2 2 4" xfId="7889"/>
    <cellStyle name="Percent 35 2 2 4 2" xfId="14083"/>
    <cellStyle name="Percent 35 2 2 4 2 2" xfId="33966"/>
    <cellStyle name="Percent 35 2 2 4 3" xfId="20235"/>
    <cellStyle name="Percent 35 2 2 4 3 2" xfId="40118"/>
    <cellStyle name="Percent 35 2 2 4 4" xfId="27813"/>
    <cellStyle name="Percent 35 2 2 5" xfId="11017"/>
    <cellStyle name="Percent 35 2 2 5 2" xfId="30900"/>
    <cellStyle name="Percent 35 2 2 6" xfId="17169"/>
    <cellStyle name="Percent 35 2 2 6 2" xfId="37052"/>
    <cellStyle name="Percent 35 2 2 7" xfId="24747"/>
    <cellStyle name="Percent 35 2 3" xfId="5481"/>
    <cellStyle name="Percent 35 2 3 2" xfId="7106"/>
    <cellStyle name="Percent 35 2 3 2 2" xfId="10192"/>
    <cellStyle name="Percent 35 2 3 2 2 2" xfId="16385"/>
    <cellStyle name="Percent 35 2 3 2 2 2 2" xfId="36268"/>
    <cellStyle name="Percent 35 2 3 2 2 3" xfId="22537"/>
    <cellStyle name="Percent 35 2 3 2 2 3 2" xfId="42420"/>
    <cellStyle name="Percent 35 2 3 2 2 4" xfId="30115"/>
    <cellStyle name="Percent 35 2 3 2 3" xfId="13319"/>
    <cellStyle name="Percent 35 2 3 2 3 2" xfId="33202"/>
    <cellStyle name="Percent 35 2 3 2 4" xfId="19471"/>
    <cellStyle name="Percent 35 2 3 2 4 2" xfId="39354"/>
    <cellStyle name="Percent 35 2 3 2 5" xfId="27049"/>
    <cellStyle name="Percent 35 2 3 3" xfId="8657"/>
    <cellStyle name="Percent 35 2 3 3 2" xfId="14851"/>
    <cellStyle name="Percent 35 2 3 3 2 2" xfId="34734"/>
    <cellStyle name="Percent 35 2 3 3 3" xfId="21003"/>
    <cellStyle name="Percent 35 2 3 3 3 2" xfId="40886"/>
    <cellStyle name="Percent 35 2 3 3 4" xfId="28581"/>
    <cellStyle name="Percent 35 2 3 4" xfId="11785"/>
    <cellStyle name="Percent 35 2 3 4 2" xfId="31668"/>
    <cellStyle name="Percent 35 2 3 5" xfId="17937"/>
    <cellStyle name="Percent 35 2 3 5 2" xfId="37820"/>
    <cellStyle name="Percent 35 2 3 6" xfId="25515"/>
    <cellStyle name="Percent 35 2 4" xfId="6336"/>
    <cellStyle name="Percent 35 2 4 2" xfId="9423"/>
    <cellStyle name="Percent 35 2 4 2 2" xfId="15616"/>
    <cellStyle name="Percent 35 2 4 2 2 2" xfId="35499"/>
    <cellStyle name="Percent 35 2 4 2 3" xfId="21768"/>
    <cellStyle name="Percent 35 2 4 2 3 2" xfId="41651"/>
    <cellStyle name="Percent 35 2 4 2 4" xfId="29346"/>
    <cellStyle name="Percent 35 2 4 3" xfId="12550"/>
    <cellStyle name="Percent 35 2 4 3 2" xfId="32433"/>
    <cellStyle name="Percent 35 2 4 4" xfId="18702"/>
    <cellStyle name="Percent 35 2 4 4 2" xfId="38585"/>
    <cellStyle name="Percent 35 2 4 5" xfId="26280"/>
    <cellStyle name="Percent 35 2 5" xfId="7888"/>
    <cellStyle name="Percent 35 2 5 2" xfId="14082"/>
    <cellStyle name="Percent 35 2 5 2 2" xfId="33965"/>
    <cellStyle name="Percent 35 2 5 3" xfId="20234"/>
    <cellStyle name="Percent 35 2 5 3 2" xfId="40117"/>
    <cellStyle name="Percent 35 2 5 4" xfId="27812"/>
    <cellStyle name="Percent 35 2 6" xfId="11016"/>
    <cellStyle name="Percent 35 2 6 2" xfId="30899"/>
    <cellStyle name="Percent 35 2 7" xfId="17168"/>
    <cellStyle name="Percent 35 2 7 2" xfId="37051"/>
    <cellStyle name="Percent 35 2 8" xfId="24746"/>
    <cellStyle name="Percent 35 3" xfId="4459"/>
    <cellStyle name="Percent 35 3 2" xfId="4460"/>
    <cellStyle name="Percent 35 3 2 2" xfId="5484"/>
    <cellStyle name="Percent 35 3 2 2 2" xfId="7109"/>
    <cellStyle name="Percent 35 3 2 2 2 2" xfId="10195"/>
    <cellStyle name="Percent 35 3 2 2 2 2 2" xfId="16388"/>
    <cellStyle name="Percent 35 3 2 2 2 2 2 2" xfId="36271"/>
    <cellStyle name="Percent 35 3 2 2 2 2 3" xfId="22540"/>
    <cellStyle name="Percent 35 3 2 2 2 2 3 2" xfId="42423"/>
    <cellStyle name="Percent 35 3 2 2 2 2 4" xfId="30118"/>
    <cellStyle name="Percent 35 3 2 2 2 3" xfId="13322"/>
    <cellStyle name="Percent 35 3 2 2 2 3 2" xfId="33205"/>
    <cellStyle name="Percent 35 3 2 2 2 4" xfId="19474"/>
    <cellStyle name="Percent 35 3 2 2 2 4 2" xfId="39357"/>
    <cellStyle name="Percent 35 3 2 2 2 5" xfId="27052"/>
    <cellStyle name="Percent 35 3 2 2 3" xfId="8660"/>
    <cellStyle name="Percent 35 3 2 2 3 2" xfId="14854"/>
    <cellStyle name="Percent 35 3 2 2 3 2 2" xfId="34737"/>
    <cellStyle name="Percent 35 3 2 2 3 3" xfId="21006"/>
    <cellStyle name="Percent 35 3 2 2 3 3 2" xfId="40889"/>
    <cellStyle name="Percent 35 3 2 2 3 4" xfId="28584"/>
    <cellStyle name="Percent 35 3 2 2 4" xfId="11788"/>
    <cellStyle name="Percent 35 3 2 2 4 2" xfId="31671"/>
    <cellStyle name="Percent 35 3 2 2 5" xfId="17940"/>
    <cellStyle name="Percent 35 3 2 2 5 2" xfId="37823"/>
    <cellStyle name="Percent 35 3 2 2 6" xfId="25518"/>
    <cellStyle name="Percent 35 3 2 3" xfId="6339"/>
    <cellStyle name="Percent 35 3 2 3 2" xfId="9426"/>
    <cellStyle name="Percent 35 3 2 3 2 2" xfId="15619"/>
    <cellStyle name="Percent 35 3 2 3 2 2 2" xfId="35502"/>
    <cellStyle name="Percent 35 3 2 3 2 3" xfId="21771"/>
    <cellStyle name="Percent 35 3 2 3 2 3 2" xfId="41654"/>
    <cellStyle name="Percent 35 3 2 3 2 4" xfId="29349"/>
    <cellStyle name="Percent 35 3 2 3 3" xfId="12553"/>
    <cellStyle name="Percent 35 3 2 3 3 2" xfId="32436"/>
    <cellStyle name="Percent 35 3 2 3 4" xfId="18705"/>
    <cellStyle name="Percent 35 3 2 3 4 2" xfId="38588"/>
    <cellStyle name="Percent 35 3 2 3 5" xfId="26283"/>
    <cellStyle name="Percent 35 3 2 4" xfId="7891"/>
    <cellStyle name="Percent 35 3 2 4 2" xfId="14085"/>
    <cellStyle name="Percent 35 3 2 4 2 2" xfId="33968"/>
    <cellStyle name="Percent 35 3 2 4 3" xfId="20237"/>
    <cellStyle name="Percent 35 3 2 4 3 2" xfId="40120"/>
    <cellStyle name="Percent 35 3 2 4 4" xfId="27815"/>
    <cellStyle name="Percent 35 3 2 5" xfId="11019"/>
    <cellStyle name="Percent 35 3 2 5 2" xfId="30902"/>
    <cellStyle name="Percent 35 3 2 6" xfId="17171"/>
    <cellStyle name="Percent 35 3 2 6 2" xfId="37054"/>
    <cellStyle name="Percent 35 3 2 7" xfId="24749"/>
    <cellStyle name="Percent 35 3 3" xfId="5483"/>
    <cellStyle name="Percent 35 3 3 2" xfId="7108"/>
    <cellStyle name="Percent 35 3 3 2 2" xfId="10194"/>
    <cellStyle name="Percent 35 3 3 2 2 2" xfId="16387"/>
    <cellStyle name="Percent 35 3 3 2 2 2 2" xfId="36270"/>
    <cellStyle name="Percent 35 3 3 2 2 3" xfId="22539"/>
    <cellStyle name="Percent 35 3 3 2 2 3 2" xfId="42422"/>
    <cellStyle name="Percent 35 3 3 2 2 4" xfId="30117"/>
    <cellStyle name="Percent 35 3 3 2 3" xfId="13321"/>
    <cellStyle name="Percent 35 3 3 2 3 2" xfId="33204"/>
    <cellStyle name="Percent 35 3 3 2 4" xfId="19473"/>
    <cellStyle name="Percent 35 3 3 2 4 2" xfId="39356"/>
    <cellStyle name="Percent 35 3 3 2 5" xfId="27051"/>
    <cellStyle name="Percent 35 3 3 3" xfId="8659"/>
    <cellStyle name="Percent 35 3 3 3 2" xfId="14853"/>
    <cellStyle name="Percent 35 3 3 3 2 2" xfId="34736"/>
    <cellStyle name="Percent 35 3 3 3 3" xfId="21005"/>
    <cellStyle name="Percent 35 3 3 3 3 2" xfId="40888"/>
    <cellStyle name="Percent 35 3 3 3 4" xfId="28583"/>
    <cellStyle name="Percent 35 3 3 4" xfId="11787"/>
    <cellStyle name="Percent 35 3 3 4 2" xfId="31670"/>
    <cellStyle name="Percent 35 3 3 5" xfId="17939"/>
    <cellStyle name="Percent 35 3 3 5 2" xfId="37822"/>
    <cellStyle name="Percent 35 3 3 6" xfId="25517"/>
    <cellStyle name="Percent 35 3 4" xfId="6338"/>
    <cellStyle name="Percent 35 3 4 2" xfId="9425"/>
    <cellStyle name="Percent 35 3 4 2 2" xfId="15618"/>
    <cellStyle name="Percent 35 3 4 2 2 2" xfId="35501"/>
    <cellStyle name="Percent 35 3 4 2 3" xfId="21770"/>
    <cellStyle name="Percent 35 3 4 2 3 2" xfId="41653"/>
    <cellStyle name="Percent 35 3 4 2 4" xfId="29348"/>
    <cellStyle name="Percent 35 3 4 3" xfId="12552"/>
    <cellStyle name="Percent 35 3 4 3 2" xfId="32435"/>
    <cellStyle name="Percent 35 3 4 4" xfId="18704"/>
    <cellStyle name="Percent 35 3 4 4 2" xfId="38587"/>
    <cellStyle name="Percent 35 3 4 5" xfId="26282"/>
    <cellStyle name="Percent 35 3 5" xfId="7890"/>
    <cellStyle name="Percent 35 3 5 2" xfId="14084"/>
    <cellStyle name="Percent 35 3 5 2 2" xfId="33967"/>
    <cellStyle name="Percent 35 3 5 3" xfId="20236"/>
    <cellStyle name="Percent 35 3 5 3 2" xfId="40119"/>
    <cellStyle name="Percent 35 3 5 4" xfId="27814"/>
    <cellStyle name="Percent 35 3 6" xfId="11018"/>
    <cellStyle name="Percent 35 3 6 2" xfId="30901"/>
    <cellStyle name="Percent 35 3 7" xfId="17170"/>
    <cellStyle name="Percent 35 3 7 2" xfId="37053"/>
    <cellStyle name="Percent 35 3 8" xfId="24748"/>
    <cellStyle name="Percent 35 4" xfId="4461"/>
    <cellStyle name="Percent 35 4 2" xfId="4462"/>
    <cellStyle name="Percent 35 4 2 2" xfId="5485"/>
    <cellStyle name="Percent 35 4 2 2 2" xfId="7110"/>
    <cellStyle name="Percent 35 4 2 2 2 2" xfId="10196"/>
    <cellStyle name="Percent 35 4 2 2 2 2 2" xfId="16389"/>
    <cellStyle name="Percent 35 4 2 2 2 2 2 2" xfId="36272"/>
    <cellStyle name="Percent 35 4 2 2 2 2 3" xfId="22541"/>
    <cellStyle name="Percent 35 4 2 2 2 2 3 2" xfId="42424"/>
    <cellStyle name="Percent 35 4 2 2 2 2 4" xfId="30119"/>
    <cellStyle name="Percent 35 4 2 2 2 3" xfId="13323"/>
    <cellStyle name="Percent 35 4 2 2 2 3 2" xfId="33206"/>
    <cellStyle name="Percent 35 4 2 2 2 4" xfId="19475"/>
    <cellStyle name="Percent 35 4 2 2 2 4 2" xfId="39358"/>
    <cellStyle name="Percent 35 4 2 2 2 5" xfId="27053"/>
    <cellStyle name="Percent 35 4 2 2 3" xfId="8661"/>
    <cellStyle name="Percent 35 4 2 2 3 2" xfId="14855"/>
    <cellStyle name="Percent 35 4 2 2 3 2 2" xfId="34738"/>
    <cellStyle name="Percent 35 4 2 2 3 3" xfId="21007"/>
    <cellStyle name="Percent 35 4 2 2 3 3 2" xfId="40890"/>
    <cellStyle name="Percent 35 4 2 2 3 4" xfId="28585"/>
    <cellStyle name="Percent 35 4 2 2 4" xfId="11789"/>
    <cellStyle name="Percent 35 4 2 2 4 2" xfId="31672"/>
    <cellStyle name="Percent 35 4 2 2 5" xfId="17941"/>
    <cellStyle name="Percent 35 4 2 2 5 2" xfId="37824"/>
    <cellStyle name="Percent 35 4 2 2 6" xfId="25519"/>
    <cellStyle name="Percent 35 4 2 3" xfId="6340"/>
    <cellStyle name="Percent 35 4 2 3 2" xfId="9427"/>
    <cellStyle name="Percent 35 4 2 3 2 2" xfId="15620"/>
    <cellStyle name="Percent 35 4 2 3 2 2 2" xfId="35503"/>
    <cellStyle name="Percent 35 4 2 3 2 3" xfId="21772"/>
    <cellStyle name="Percent 35 4 2 3 2 3 2" xfId="41655"/>
    <cellStyle name="Percent 35 4 2 3 2 4" xfId="29350"/>
    <cellStyle name="Percent 35 4 2 3 3" xfId="12554"/>
    <cellStyle name="Percent 35 4 2 3 3 2" xfId="32437"/>
    <cellStyle name="Percent 35 4 2 3 4" xfId="18706"/>
    <cellStyle name="Percent 35 4 2 3 4 2" xfId="38589"/>
    <cellStyle name="Percent 35 4 2 3 5" xfId="26284"/>
    <cellStyle name="Percent 35 4 2 4" xfId="7892"/>
    <cellStyle name="Percent 35 4 2 4 2" xfId="14086"/>
    <cellStyle name="Percent 35 4 2 4 2 2" xfId="33969"/>
    <cellStyle name="Percent 35 4 2 4 3" xfId="20238"/>
    <cellStyle name="Percent 35 4 2 4 3 2" xfId="40121"/>
    <cellStyle name="Percent 35 4 2 4 4" xfId="27816"/>
    <cellStyle name="Percent 35 4 2 5" xfId="11020"/>
    <cellStyle name="Percent 35 4 2 5 2" xfId="30903"/>
    <cellStyle name="Percent 35 4 2 6" xfId="17172"/>
    <cellStyle name="Percent 35 4 2 6 2" xfId="37055"/>
    <cellStyle name="Percent 35 4 2 7" xfId="24750"/>
    <cellStyle name="Percent 35 5" xfId="4463"/>
    <cellStyle name="Percent 35 5 2" xfId="5486"/>
    <cellStyle name="Percent 35 5 2 2" xfId="7111"/>
    <cellStyle name="Percent 35 5 2 2 2" xfId="10197"/>
    <cellStyle name="Percent 35 5 2 2 2 2" xfId="16390"/>
    <cellStyle name="Percent 35 5 2 2 2 2 2" xfId="36273"/>
    <cellStyle name="Percent 35 5 2 2 2 3" xfId="22542"/>
    <cellStyle name="Percent 35 5 2 2 2 3 2" xfId="42425"/>
    <cellStyle name="Percent 35 5 2 2 2 4" xfId="30120"/>
    <cellStyle name="Percent 35 5 2 2 3" xfId="13324"/>
    <cellStyle name="Percent 35 5 2 2 3 2" xfId="33207"/>
    <cellStyle name="Percent 35 5 2 2 4" xfId="19476"/>
    <cellStyle name="Percent 35 5 2 2 4 2" xfId="39359"/>
    <cellStyle name="Percent 35 5 2 2 5" xfId="27054"/>
    <cellStyle name="Percent 35 5 2 3" xfId="8662"/>
    <cellStyle name="Percent 35 5 2 3 2" xfId="14856"/>
    <cellStyle name="Percent 35 5 2 3 2 2" xfId="34739"/>
    <cellStyle name="Percent 35 5 2 3 3" xfId="21008"/>
    <cellStyle name="Percent 35 5 2 3 3 2" xfId="40891"/>
    <cellStyle name="Percent 35 5 2 3 4" xfId="28586"/>
    <cellStyle name="Percent 35 5 2 4" xfId="11790"/>
    <cellStyle name="Percent 35 5 2 4 2" xfId="31673"/>
    <cellStyle name="Percent 35 5 2 5" xfId="17942"/>
    <cellStyle name="Percent 35 5 2 5 2" xfId="37825"/>
    <cellStyle name="Percent 35 5 2 6" xfId="25520"/>
    <cellStyle name="Percent 35 5 3" xfId="6341"/>
    <cellStyle name="Percent 35 5 3 2" xfId="9428"/>
    <cellStyle name="Percent 35 5 3 2 2" xfId="15621"/>
    <cellStyle name="Percent 35 5 3 2 2 2" xfId="35504"/>
    <cellStyle name="Percent 35 5 3 2 3" xfId="21773"/>
    <cellStyle name="Percent 35 5 3 2 3 2" xfId="41656"/>
    <cellStyle name="Percent 35 5 3 2 4" xfId="29351"/>
    <cellStyle name="Percent 35 5 3 3" xfId="12555"/>
    <cellStyle name="Percent 35 5 3 3 2" xfId="32438"/>
    <cellStyle name="Percent 35 5 3 4" xfId="18707"/>
    <cellStyle name="Percent 35 5 3 4 2" xfId="38590"/>
    <cellStyle name="Percent 35 5 3 5" xfId="26285"/>
    <cellStyle name="Percent 35 5 4" xfId="7893"/>
    <cellStyle name="Percent 35 5 4 2" xfId="14087"/>
    <cellStyle name="Percent 35 5 4 2 2" xfId="33970"/>
    <cellStyle name="Percent 35 5 4 3" xfId="20239"/>
    <cellStyle name="Percent 35 5 4 3 2" xfId="40122"/>
    <cellStyle name="Percent 35 5 4 4" xfId="27817"/>
    <cellStyle name="Percent 35 5 5" xfId="11021"/>
    <cellStyle name="Percent 35 5 5 2" xfId="30904"/>
    <cellStyle name="Percent 35 5 6" xfId="17173"/>
    <cellStyle name="Percent 35 5 6 2" xfId="37056"/>
    <cellStyle name="Percent 35 5 7" xfId="24751"/>
    <cellStyle name="Percent 36" xfId="4464"/>
    <cellStyle name="Percent 37" xfId="4465"/>
    <cellStyle name="Percent 38" xfId="4466"/>
    <cellStyle name="Percent 39" xfId="4467"/>
    <cellStyle name="Percent 4" xfId="46"/>
    <cellStyle name="Percent 4 10" xfId="384"/>
    <cellStyle name="Percent 4 10 2" xfId="1262"/>
    <cellStyle name="Percent 4 11" xfId="400"/>
    <cellStyle name="Percent 4 12" xfId="412"/>
    <cellStyle name="Percent 4 13" xfId="424"/>
    <cellStyle name="Percent 4 14" xfId="388"/>
    <cellStyle name="Percent 4 15" xfId="463"/>
    <cellStyle name="Percent 4 16" xfId="465"/>
    <cellStyle name="Percent 4 17" xfId="483"/>
    <cellStyle name="Percent 4 18" xfId="477"/>
    <cellStyle name="Percent 4 19" xfId="506"/>
    <cellStyle name="Percent 4 2" xfId="254"/>
    <cellStyle name="Percent 4 2 2" xfId="4470"/>
    <cellStyle name="Percent 4 2 2 2" xfId="4471"/>
    <cellStyle name="Percent 4 2 2 3" xfId="4472"/>
    <cellStyle name="Percent 4 2 3" xfId="4469"/>
    <cellStyle name="Percent 4 2 4" xfId="23319"/>
    <cellStyle name="Percent 4 20" xfId="515"/>
    <cellStyle name="Percent 4 21" xfId="605"/>
    <cellStyle name="Percent 4 22" xfId="658"/>
    <cellStyle name="Percent 4 23" xfId="684"/>
    <cellStyle name="Percent 4 24" xfId="654"/>
    <cellStyle name="Percent 4 25" xfId="683"/>
    <cellStyle name="Percent 4 26" xfId="681"/>
    <cellStyle name="Percent 4 27" xfId="688"/>
    <cellStyle name="Percent 4 28" xfId="720"/>
    <cellStyle name="Percent 4 29" xfId="23318"/>
    <cellStyle name="Percent 4 3" xfId="272"/>
    <cellStyle name="Percent 4 3 2" xfId="4473"/>
    <cellStyle name="Percent 4 3 3" xfId="23320"/>
    <cellStyle name="Percent 4 4" xfId="278"/>
    <cellStyle name="Percent 4 4 2" xfId="4474"/>
    <cellStyle name="Percent 4 4 3" xfId="23321"/>
    <cellStyle name="Percent 4 5" xfId="281"/>
    <cellStyle name="Percent 4 5 2" xfId="4475"/>
    <cellStyle name="Percent 4 5 3" xfId="23322"/>
    <cellStyle name="Percent 4 6" xfId="290"/>
    <cellStyle name="Percent 4 6 2" xfId="4476"/>
    <cellStyle name="Percent 4 7" xfId="324"/>
    <cellStyle name="Percent 4 7 2" xfId="4698"/>
    <cellStyle name="Percent 4 8" xfId="354"/>
    <cellStyle name="Percent 4 8 2" xfId="4468"/>
    <cellStyle name="Percent 4 9" xfId="369"/>
    <cellStyle name="Percent 4 9 2" xfId="10238"/>
    <cellStyle name="Percent 40" xfId="4477"/>
    <cellStyle name="Percent 41" xfId="4478"/>
    <cellStyle name="Percent 42" xfId="4479"/>
    <cellStyle name="Percent 43" xfId="4480"/>
    <cellStyle name="Percent 44" xfId="4481"/>
    <cellStyle name="Percent 45" xfId="4482"/>
    <cellStyle name="Percent 46" xfId="4483"/>
    <cellStyle name="Percent 47" xfId="4484"/>
    <cellStyle name="Percent 48" xfId="4485"/>
    <cellStyle name="Percent 49" xfId="4486"/>
    <cellStyle name="Percent 5" xfId="47"/>
    <cellStyle name="Percent 5 10" xfId="423"/>
    <cellStyle name="Percent 5 10 2" xfId="919"/>
    <cellStyle name="Percent 5 10 2 2" xfId="23762"/>
    <cellStyle name="Percent 5 10 3" xfId="10280"/>
    <cellStyle name="Percent 5 10 3 2" xfId="30163"/>
    <cellStyle name="Percent 5 10 4" xfId="22882"/>
    <cellStyle name="Percent 5 10 4 2" xfId="42756"/>
    <cellStyle name="Percent 5 10 5" xfId="23459"/>
    <cellStyle name="Percent 5 11" xfId="434"/>
    <cellStyle name="Percent 5 11 2" xfId="922"/>
    <cellStyle name="Percent 5 11 2 2" xfId="23765"/>
    <cellStyle name="Percent 5 11 3" xfId="16432"/>
    <cellStyle name="Percent 5 11 3 2" xfId="36315"/>
    <cellStyle name="Percent 5 11 4" xfId="22885"/>
    <cellStyle name="Percent 5 11 4 2" xfId="42759"/>
    <cellStyle name="Percent 5 11 5" xfId="23462"/>
    <cellStyle name="Percent 5 12" xfId="442"/>
    <cellStyle name="Percent 5 12 2" xfId="925"/>
    <cellStyle name="Percent 5 12 2 2" xfId="23768"/>
    <cellStyle name="Percent 5 12 3" xfId="1281"/>
    <cellStyle name="Percent 5 12 3 2" xfId="24010"/>
    <cellStyle name="Percent 5 12 4" xfId="22888"/>
    <cellStyle name="Percent 5 12 4 2" xfId="42762"/>
    <cellStyle name="Percent 5 12 5" xfId="23465"/>
    <cellStyle name="Percent 5 13" xfId="445"/>
    <cellStyle name="Percent 5 13 2" xfId="928"/>
    <cellStyle name="Percent 5 13 2 2" xfId="23771"/>
    <cellStyle name="Percent 5 13 3" xfId="22791"/>
    <cellStyle name="Percent 5 13 3 2" xfId="42665"/>
    <cellStyle name="Percent 5 13 4" xfId="22891"/>
    <cellStyle name="Percent 5 13 4 2" xfId="42765"/>
    <cellStyle name="Percent 5 13 5" xfId="23468"/>
    <cellStyle name="Percent 5 14" xfId="448"/>
    <cellStyle name="Percent 5 14 2" xfId="931"/>
    <cellStyle name="Percent 5 14 2 2" xfId="23774"/>
    <cellStyle name="Percent 5 14 3" xfId="22708"/>
    <cellStyle name="Percent 5 14 3 2" xfId="42582"/>
    <cellStyle name="Percent 5 14 4" xfId="22894"/>
    <cellStyle name="Percent 5 14 4 2" xfId="42768"/>
    <cellStyle name="Percent 5 14 5" xfId="23471"/>
    <cellStyle name="Percent 5 15" xfId="513"/>
    <cellStyle name="Percent 5 15 2" xfId="947"/>
    <cellStyle name="Percent 5 15 2 2" xfId="23790"/>
    <cellStyle name="Percent 5 15 3" xfId="22651"/>
    <cellStyle name="Percent 5 15 3 2" xfId="42525"/>
    <cellStyle name="Percent 5 15 4" xfId="22910"/>
    <cellStyle name="Percent 5 15 4 2" xfId="42784"/>
    <cellStyle name="Percent 5 15 5" xfId="23487"/>
    <cellStyle name="Percent 5 16" xfId="543"/>
    <cellStyle name="Percent 5 16 2" xfId="963"/>
    <cellStyle name="Percent 5 16 2 2" xfId="23806"/>
    <cellStyle name="Percent 5 16 3" xfId="22684"/>
    <cellStyle name="Percent 5 16 3 2" xfId="42558"/>
    <cellStyle name="Percent 5 16 4" xfId="22926"/>
    <cellStyle name="Percent 5 16 4 2" xfId="42800"/>
    <cellStyle name="Percent 5 16 5" xfId="23503"/>
    <cellStyle name="Percent 5 17" xfId="570"/>
    <cellStyle name="Percent 5 17 2" xfId="979"/>
    <cellStyle name="Percent 5 17 2 2" xfId="23822"/>
    <cellStyle name="Percent 5 17 3" xfId="22670"/>
    <cellStyle name="Percent 5 17 3 2" xfId="42544"/>
    <cellStyle name="Percent 5 17 4" xfId="22942"/>
    <cellStyle name="Percent 5 17 4 2" xfId="42816"/>
    <cellStyle name="Percent 5 17 5" xfId="23519"/>
    <cellStyle name="Percent 5 18" xfId="596"/>
    <cellStyle name="Percent 5 18 2" xfId="995"/>
    <cellStyle name="Percent 5 18 2 2" xfId="23838"/>
    <cellStyle name="Percent 5 18 3" xfId="22607"/>
    <cellStyle name="Percent 5 18 3 2" xfId="42481"/>
    <cellStyle name="Percent 5 18 4" xfId="22958"/>
    <cellStyle name="Percent 5 18 4 2" xfId="42832"/>
    <cellStyle name="Percent 5 18 5" xfId="23535"/>
    <cellStyle name="Percent 5 19" xfId="622"/>
    <cellStyle name="Percent 5 19 2" xfId="1011"/>
    <cellStyle name="Percent 5 19 2 2" xfId="23854"/>
    <cellStyle name="Percent 5 19 3" xfId="22646"/>
    <cellStyle name="Percent 5 19 3 2" xfId="42520"/>
    <cellStyle name="Percent 5 19 4" xfId="22974"/>
    <cellStyle name="Percent 5 19 4 2" xfId="42848"/>
    <cellStyle name="Percent 5 19 5" xfId="23551"/>
    <cellStyle name="Percent 5 2" xfId="100"/>
    <cellStyle name="Percent 5 2 10" xfId="10286"/>
    <cellStyle name="Percent 5 2 10 2" xfId="30169"/>
    <cellStyle name="Percent 5 2 11" xfId="16438"/>
    <cellStyle name="Percent 5 2 11 2" xfId="36321"/>
    <cellStyle name="Percent 5 2 12" xfId="1296"/>
    <cellStyle name="Percent 5 2 12 2" xfId="24016"/>
    <cellStyle name="Percent 5 2 13" xfId="22858"/>
    <cellStyle name="Percent 5 2 13 2" xfId="42732"/>
    <cellStyle name="Percent 5 2 14" xfId="299"/>
    <cellStyle name="Percent 5 2 14 2" xfId="23435"/>
    <cellStyle name="Percent 5 2 15" xfId="23324"/>
    <cellStyle name="Percent 5 2 2" xfId="895"/>
    <cellStyle name="Percent 5 2 2 10" xfId="1315"/>
    <cellStyle name="Percent 5 2 2 10 2" xfId="24027"/>
    <cellStyle name="Percent 5 2 2 11" xfId="23738"/>
    <cellStyle name="Percent 5 2 2 2" xfId="4726"/>
    <cellStyle name="Percent 5 2 2 2 2" xfId="5502"/>
    <cellStyle name="Percent 5 2 2 2 2 2" xfId="7127"/>
    <cellStyle name="Percent 5 2 2 2 2 2 2" xfId="10213"/>
    <cellStyle name="Percent 5 2 2 2 2 2 2 2" xfId="16406"/>
    <cellStyle name="Percent 5 2 2 2 2 2 2 2 2" xfId="36289"/>
    <cellStyle name="Percent 5 2 2 2 2 2 2 3" xfId="22558"/>
    <cellStyle name="Percent 5 2 2 2 2 2 2 3 2" xfId="42441"/>
    <cellStyle name="Percent 5 2 2 2 2 2 2 4" xfId="30136"/>
    <cellStyle name="Percent 5 2 2 2 2 2 3" xfId="13340"/>
    <cellStyle name="Percent 5 2 2 2 2 2 3 2" xfId="33223"/>
    <cellStyle name="Percent 5 2 2 2 2 2 4" xfId="19492"/>
    <cellStyle name="Percent 5 2 2 2 2 2 4 2" xfId="39375"/>
    <cellStyle name="Percent 5 2 2 2 2 2 5" xfId="27070"/>
    <cellStyle name="Percent 5 2 2 2 2 3" xfId="8678"/>
    <cellStyle name="Percent 5 2 2 2 2 3 2" xfId="14872"/>
    <cellStyle name="Percent 5 2 2 2 2 3 2 2" xfId="34755"/>
    <cellStyle name="Percent 5 2 2 2 2 3 3" xfId="21024"/>
    <cellStyle name="Percent 5 2 2 2 2 3 3 2" xfId="40907"/>
    <cellStyle name="Percent 5 2 2 2 2 3 4" xfId="28602"/>
    <cellStyle name="Percent 5 2 2 2 2 4" xfId="11806"/>
    <cellStyle name="Percent 5 2 2 2 2 4 2" xfId="31689"/>
    <cellStyle name="Percent 5 2 2 2 2 5" xfId="17958"/>
    <cellStyle name="Percent 5 2 2 2 2 5 2" xfId="37841"/>
    <cellStyle name="Percent 5 2 2 2 2 6" xfId="25536"/>
    <cellStyle name="Percent 5 2 2 2 3" xfId="6358"/>
    <cellStyle name="Percent 5 2 2 2 3 2" xfId="9444"/>
    <cellStyle name="Percent 5 2 2 2 3 2 2" xfId="15637"/>
    <cellStyle name="Percent 5 2 2 2 3 2 2 2" xfId="35520"/>
    <cellStyle name="Percent 5 2 2 2 3 2 3" xfId="21789"/>
    <cellStyle name="Percent 5 2 2 2 3 2 3 2" xfId="41672"/>
    <cellStyle name="Percent 5 2 2 2 3 2 4" xfId="29367"/>
    <cellStyle name="Percent 5 2 2 2 3 3" xfId="12571"/>
    <cellStyle name="Percent 5 2 2 2 3 3 2" xfId="32454"/>
    <cellStyle name="Percent 5 2 2 2 3 4" xfId="18723"/>
    <cellStyle name="Percent 5 2 2 2 3 4 2" xfId="38606"/>
    <cellStyle name="Percent 5 2 2 2 3 5" xfId="26301"/>
    <cellStyle name="Percent 5 2 2 2 4" xfId="7909"/>
    <cellStyle name="Percent 5 2 2 2 4 2" xfId="14103"/>
    <cellStyle name="Percent 5 2 2 2 4 2 2" xfId="33986"/>
    <cellStyle name="Percent 5 2 2 2 4 3" xfId="20255"/>
    <cellStyle name="Percent 5 2 2 2 4 3 2" xfId="40138"/>
    <cellStyle name="Percent 5 2 2 2 4 4" xfId="27833"/>
    <cellStyle name="Percent 5 2 2 2 5" xfId="10252"/>
    <cellStyle name="Percent 5 2 2 2 5 2" xfId="16424"/>
    <cellStyle name="Percent 5 2 2 2 5 2 2" xfId="36307"/>
    <cellStyle name="Percent 5 2 2 2 5 3" xfId="22576"/>
    <cellStyle name="Percent 5 2 2 2 5 3 2" xfId="42459"/>
    <cellStyle name="Percent 5 2 2 2 5 4" xfId="30154"/>
    <cellStyle name="Percent 5 2 2 2 6" xfId="11037"/>
    <cellStyle name="Percent 5 2 2 2 6 2" xfId="30920"/>
    <cellStyle name="Percent 5 2 2 2 7" xfId="17189"/>
    <cellStyle name="Percent 5 2 2 2 7 2" xfId="37072"/>
    <cellStyle name="Percent 5 2 2 2 8" xfId="24767"/>
    <cellStyle name="Percent 5 2 2 3" xfId="4489"/>
    <cellStyle name="Percent 5 2 2 4" xfId="4762"/>
    <cellStyle name="Percent 5 2 2 4 2" xfId="6387"/>
    <cellStyle name="Percent 5 2 2 4 2 2" xfId="9473"/>
    <cellStyle name="Percent 5 2 2 4 2 2 2" xfId="15666"/>
    <cellStyle name="Percent 5 2 2 4 2 2 2 2" xfId="35549"/>
    <cellStyle name="Percent 5 2 2 4 2 2 3" xfId="21818"/>
    <cellStyle name="Percent 5 2 2 4 2 2 3 2" xfId="41701"/>
    <cellStyle name="Percent 5 2 2 4 2 2 4" xfId="29396"/>
    <cellStyle name="Percent 5 2 2 4 2 3" xfId="12600"/>
    <cellStyle name="Percent 5 2 2 4 2 3 2" xfId="32483"/>
    <cellStyle name="Percent 5 2 2 4 2 4" xfId="18752"/>
    <cellStyle name="Percent 5 2 2 4 2 4 2" xfId="38635"/>
    <cellStyle name="Percent 5 2 2 4 2 5" xfId="26330"/>
    <cellStyle name="Percent 5 2 2 4 3" xfId="7938"/>
    <cellStyle name="Percent 5 2 2 4 3 2" xfId="14132"/>
    <cellStyle name="Percent 5 2 2 4 3 2 2" xfId="34015"/>
    <cellStyle name="Percent 5 2 2 4 3 3" xfId="20284"/>
    <cellStyle name="Percent 5 2 2 4 3 3 2" xfId="40167"/>
    <cellStyle name="Percent 5 2 2 4 3 4" xfId="27862"/>
    <cellStyle name="Percent 5 2 2 4 4" xfId="11066"/>
    <cellStyle name="Percent 5 2 2 4 4 2" xfId="30949"/>
    <cellStyle name="Percent 5 2 2 4 5" xfId="17218"/>
    <cellStyle name="Percent 5 2 2 4 5 2" xfId="37101"/>
    <cellStyle name="Percent 5 2 2 4 6" xfId="24796"/>
    <cellStyle name="Percent 5 2 2 5" xfId="5601"/>
    <cellStyle name="Percent 5 2 2 5 2" xfId="8704"/>
    <cellStyle name="Percent 5 2 2 5 2 2" xfId="14897"/>
    <cellStyle name="Percent 5 2 2 5 2 2 2" xfId="34780"/>
    <cellStyle name="Percent 5 2 2 5 2 3" xfId="21049"/>
    <cellStyle name="Percent 5 2 2 5 2 3 2" xfId="40932"/>
    <cellStyle name="Percent 5 2 2 5 2 4" xfId="28627"/>
    <cellStyle name="Percent 5 2 2 5 3" xfId="11831"/>
    <cellStyle name="Percent 5 2 2 5 3 2" xfId="31714"/>
    <cellStyle name="Percent 5 2 2 5 4" xfId="17983"/>
    <cellStyle name="Percent 5 2 2 5 4 2" xfId="37866"/>
    <cellStyle name="Percent 5 2 2 5 5" xfId="25561"/>
    <cellStyle name="Percent 5 2 2 6" xfId="7169"/>
    <cellStyle name="Percent 5 2 2 6 2" xfId="13363"/>
    <cellStyle name="Percent 5 2 2 6 2 2" xfId="33246"/>
    <cellStyle name="Percent 5 2 2 6 3" xfId="19515"/>
    <cellStyle name="Percent 5 2 2 6 3 2" xfId="39398"/>
    <cellStyle name="Percent 5 2 2 6 4" xfId="27093"/>
    <cellStyle name="Percent 5 2 2 7" xfId="10241"/>
    <cellStyle name="Percent 5 2 2 7 2" xfId="16415"/>
    <cellStyle name="Percent 5 2 2 7 2 2" xfId="36298"/>
    <cellStyle name="Percent 5 2 2 7 3" xfId="22567"/>
    <cellStyle name="Percent 5 2 2 7 3 2" xfId="42450"/>
    <cellStyle name="Percent 5 2 2 7 4" xfId="30145"/>
    <cellStyle name="Percent 5 2 2 8" xfId="10297"/>
    <cellStyle name="Percent 5 2 2 8 2" xfId="30180"/>
    <cellStyle name="Percent 5 2 2 9" xfId="16449"/>
    <cellStyle name="Percent 5 2 2 9 2" xfId="36332"/>
    <cellStyle name="Percent 5 2 3" xfId="4490"/>
    <cellStyle name="Percent 5 2 3 2" xfId="10251"/>
    <cellStyle name="Percent 5 2 3 2 2" xfId="16423"/>
    <cellStyle name="Percent 5 2 3 2 2 2" xfId="36306"/>
    <cellStyle name="Percent 5 2 3 2 3" xfId="22575"/>
    <cellStyle name="Percent 5 2 3 2 3 2" xfId="42458"/>
    <cellStyle name="Percent 5 2 3 2 4" xfId="30153"/>
    <cellStyle name="Percent 5 2 4" xfId="4709"/>
    <cellStyle name="Percent 5 2 4 2" xfId="5493"/>
    <cellStyle name="Percent 5 2 4 2 2" xfId="7118"/>
    <cellStyle name="Percent 5 2 4 2 2 2" xfId="10204"/>
    <cellStyle name="Percent 5 2 4 2 2 2 2" xfId="16397"/>
    <cellStyle name="Percent 5 2 4 2 2 2 2 2" xfId="36280"/>
    <cellStyle name="Percent 5 2 4 2 2 2 3" xfId="22549"/>
    <cellStyle name="Percent 5 2 4 2 2 2 3 2" xfId="42432"/>
    <cellStyle name="Percent 5 2 4 2 2 2 4" xfId="30127"/>
    <cellStyle name="Percent 5 2 4 2 2 3" xfId="13331"/>
    <cellStyle name="Percent 5 2 4 2 2 3 2" xfId="33214"/>
    <cellStyle name="Percent 5 2 4 2 2 4" xfId="19483"/>
    <cellStyle name="Percent 5 2 4 2 2 4 2" xfId="39366"/>
    <cellStyle name="Percent 5 2 4 2 2 5" xfId="27061"/>
    <cellStyle name="Percent 5 2 4 2 3" xfId="8669"/>
    <cellStyle name="Percent 5 2 4 2 3 2" xfId="14863"/>
    <cellStyle name="Percent 5 2 4 2 3 2 2" xfId="34746"/>
    <cellStyle name="Percent 5 2 4 2 3 3" xfId="21015"/>
    <cellStyle name="Percent 5 2 4 2 3 3 2" xfId="40898"/>
    <cellStyle name="Percent 5 2 4 2 3 4" xfId="28593"/>
    <cellStyle name="Percent 5 2 4 2 4" xfId="11797"/>
    <cellStyle name="Percent 5 2 4 2 4 2" xfId="31680"/>
    <cellStyle name="Percent 5 2 4 2 5" xfId="17949"/>
    <cellStyle name="Percent 5 2 4 2 5 2" xfId="37832"/>
    <cellStyle name="Percent 5 2 4 2 6" xfId="25527"/>
    <cellStyle name="Percent 5 2 4 3" xfId="6349"/>
    <cellStyle name="Percent 5 2 4 3 2" xfId="9435"/>
    <cellStyle name="Percent 5 2 4 3 2 2" xfId="15628"/>
    <cellStyle name="Percent 5 2 4 3 2 2 2" xfId="35511"/>
    <cellStyle name="Percent 5 2 4 3 2 3" xfId="21780"/>
    <cellStyle name="Percent 5 2 4 3 2 3 2" xfId="41663"/>
    <cellStyle name="Percent 5 2 4 3 2 4" xfId="29358"/>
    <cellStyle name="Percent 5 2 4 3 3" xfId="12562"/>
    <cellStyle name="Percent 5 2 4 3 3 2" xfId="32445"/>
    <cellStyle name="Percent 5 2 4 3 4" xfId="18714"/>
    <cellStyle name="Percent 5 2 4 3 4 2" xfId="38597"/>
    <cellStyle name="Percent 5 2 4 3 5" xfId="26292"/>
    <cellStyle name="Percent 5 2 4 4" xfId="7900"/>
    <cellStyle name="Percent 5 2 4 4 2" xfId="14094"/>
    <cellStyle name="Percent 5 2 4 4 2 2" xfId="33977"/>
    <cellStyle name="Percent 5 2 4 4 3" xfId="20246"/>
    <cellStyle name="Percent 5 2 4 4 3 2" xfId="40129"/>
    <cellStyle name="Percent 5 2 4 4 4" xfId="27824"/>
    <cellStyle name="Percent 5 2 4 5" xfId="11028"/>
    <cellStyle name="Percent 5 2 4 5 2" xfId="30911"/>
    <cellStyle name="Percent 5 2 4 6" xfId="17180"/>
    <cellStyle name="Percent 5 2 4 6 2" xfId="37063"/>
    <cellStyle name="Percent 5 2 4 7" xfId="24758"/>
    <cellStyle name="Percent 5 2 5" xfId="4488"/>
    <cellStyle name="Percent 5 2 6" xfId="4751"/>
    <cellStyle name="Percent 5 2 6 2" xfId="6376"/>
    <cellStyle name="Percent 5 2 6 2 2" xfId="9462"/>
    <cellStyle name="Percent 5 2 6 2 2 2" xfId="15655"/>
    <cellStyle name="Percent 5 2 6 2 2 2 2" xfId="35538"/>
    <cellStyle name="Percent 5 2 6 2 2 3" xfId="21807"/>
    <cellStyle name="Percent 5 2 6 2 2 3 2" xfId="41690"/>
    <cellStyle name="Percent 5 2 6 2 2 4" xfId="29385"/>
    <cellStyle name="Percent 5 2 6 2 3" xfId="12589"/>
    <cellStyle name="Percent 5 2 6 2 3 2" xfId="32472"/>
    <cellStyle name="Percent 5 2 6 2 4" xfId="18741"/>
    <cellStyle name="Percent 5 2 6 2 4 2" xfId="38624"/>
    <cellStyle name="Percent 5 2 6 2 5" xfId="26319"/>
    <cellStyle name="Percent 5 2 6 3" xfId="7927"/>
    <cellStyle name="Percent 5 2 6 3 2" xfId="14121"/>
    <cellStyle name="Percent 5 2 6 3 2 2" xfId="34004"/>
    <cellStyle name="Percent 5 2 6 3 3" xfId="20273"/>
    <cellStyle name="Percent 5 2 6 3 3 2" xfId="40156"/>
    <cellStyle name="Percent 5 2 6 3 4" xfId="27851"/>
    <cellStyle name="Percent 5 2 6 4" xfId="11055"/>
    <cellStyle name="Percent 5 2 6 4 2" xfId="30938"/>
    <cellStyle name="Percent 5 2 6 5" xfId="17207"/>
    <cellStyle name="Percent 5 2 6 5 2" xfId="37090"/>
    <cellStyle name="Percent 5 2 6 6" xfId="24785"/>
    <cellStyle name="Percent 5 2 7" xfId="5589"/>
    <cellStyle name="Percent 5 2 7 2" xfId="8693"/>
    <cellStyle name="Percent 5 2 7 2 2" xfId="14886"/>
    <cellStyle name="Percent 5 2 7 2 2 2" xfId="34769"/>
    <cellStyle name="Percent 5 2 7 2 3" xfId="21038"/>
    <cellStyle name="Percent 5 2 7 2 3 2" xfId="40921"/>
    <cellStyle name="Percent 5 2 7 2 4" xfId="28616"/>
    <cellStyle name="Percent 5 2 7 3" xfId="11820"/>
    <cellStyle name="Percent 5 2 7 3 2" xfId="31703"/>
    <cellStyle name="Percent 5 2 7 4" xfId="17972"/>
    <cellStyle name="Percent 5 2 7 4 2" xfId="37855"/>
    <cellStyle name="Percent 5 2 7 5" xfId="25550"/>
    <cellStyle name="Percent 5 2 8" xfId="7158"/>
    <cellStyle name="Percent 5 2 8 2" xfId="13352"/>
    <cellStyle name="Percent 5 2 8 2 2" xfId="33235"/>
    <cellStyle name="Percent 5 2 8 3" xfId="19504"/>
    <cellStyle name="Percent 5 2 8 3 2" xfId="39387"/>
    <cellStyle name="Percent 5 2 8 4" xfId="27082"/>
    <cellStyle name="Percent 5 2 9" xfId="10240"/>
    <cellStyle name="Percent 5 2 9 2" xfId="16414"/>
    <cellStyle name="Percent 5 2 9 2 2" xfId="36297"/>
    <cellStyle name="Percent 5 2 9 3" xfId="22566"/>
    <cellStyle name="Percent 5 2 9 3 2" xfId="42449"/>
    <cellStyle name="Percent 5 2 9 4" xfId="30144"/>
    <cellStyle name="Percent 5 20" xfId="646"/>
    <cellStyle name="Percent 5 20 2" xfId="1027"/>
    <cellStyle name="Percent 5 20 2 2" xfId="23870"/>
    <cellStyle name="Percent 5 20 3" xfId="22727"/>
    <cellStyle name="Percent 5 20 3 2" xfId="42601"/>
    <cellStyle name="Percent 5 20 4" xfId="22990"/>
    <cellStyle name="Percent 5 20 4 2" xfId="42864"/>
    <cellStyle name="Percent 5 20 5" xfId="23567"/>
    <cellStyle name="Percent 5 21" xfId="672"/>
    <cellStyle name="Percent 5 21 2" xfId="1043"/>
    <cellStyle name="Percent 5 21 2 2" xfId="23886"/>
    <cellStyle name="Percent 5 21 3" xfId="22753"/>
    <cellStyle name="Percent 5 21 3 2" xfId="42627"/>
    <cellStyle name="Percent 5 21 4" xfId="23006"/>
    <cellStyle name="Percent 5 21 4 2" xfId="42880"/>
    <cellStyle name="Percent 5 21 5" xfId="23583"/>
    <cellStyle name="Percent 5 22" xfId="712"/>
    <cellStyle name="Percent 5 22 2" xfId="1059"/>
    <cellStyle name="Percent 5 22 2 2" xfId="23902"/>
    <cellStyle name="Percent 5 22 3" xfId="22644"/>
    <cellStyle name="Percent 5 22 3 2" xfId="42518"/>
    <cellStyle name="Percent 5 22 4" xfId="23022"/>
    <cellStyle name="Percent 5 22 4 2" xfId="42896"/>
    <cellStyle name="Percent 5 22 5" xfId="23599"/>
    <cellStyle name="Percent 5 23" xfId="740"/>
    <cellStyle name="Percent 5 23 2" xfId="1075"/>
    <cellStyle name="Percent 5 23 2 2" xfId="23918"/>
    <cellStyle name="Percent 5 23 3" xfId="22737"/>
    <cellStyle name="Percent 5 23 3 2" xfId="42611"/>
    <cellStyle name="Percent 5 23 4" xfId="23038"/>
    <cellStyle name="Percent 5 23 4 2" xfId="42912"/>
    <cellStyle name="Percent 5 23 5" xfId="23615"/>
    <cellStyle name="Percent 5 24" xfId="766"/>
    <cellStyle name="Percent 5 24 2" xfId="1091"/>
    <cellStyle name="Percent 5 24 2 2" xfId="23934"/>
    <cellStyle name="Percent 5 24 3" xfId="22705"/>
    <cellStyle name="Percent 5 24 3 2" xfId="42579"/>
    <cellStyle name="Percent 5 24 4" xfId="23054"/>
    <cellStyle name="Percent 5 24 4 2" xfId="42928"/>
    <cellStyle name="Percent 5 24 5" xfId="23631"/>
    <cellStyle name="Percent 5 25" xfId="791"/>
    <cellStyle name="Percent 5 25 2" xfId="1107"/>
    <cellStyle name="Percent 5 25 2 2" xfId="23950"/>
    <cellStyle name="Percent 5 25 3" xfId="22650"/>
    <cellStyle name="Percent 5 25 3 2" xfId="42524"/>
    <cellStyle name="Percent 5 25 4" xfId="23070"/>
    <cellStyle name="Percent 5 25 4 2" xfId="42944"/>
    <cellStyle name="Percent 5 25 5" xfId="23647"/>
    <cellStyle name="Percent 5 26" xfId="815"/>
    <cellStyle name="Percent 5 26 2" xfId="1123"/>
    <cellStyle name="Percent 5 26 2 2" xfId="23966"/>
    <cellStyle name="Percent 5 26 3" xfId="22789"/>
    <cellStyle name="Percent 5 26 3 2" xfId="42663"/>
    <cellStyle name="Percent 5 26 4" xfId="23086"/>
    <cellStyle name="Percent 5 26 4 2" xfId="42960"/>
    <cellStyle name="Percent 5 26 5" xfId="23663"/>
    <cellStyle name="Percent 5 27" xfId="831"/>
    <cellStyle name="Percent 5 27 2" xfId="1139"/>
    <cellStyle name="Percent 5 27 2 2" xfId="23982"/>
    <cellStyle name="Percent 5 27 3" xfId="22710"/>
    <cellStyle name="Percent 5 27 3 2" xfId="42584"/>
    <cellStyle name="Percent 5 27 4" xfId="23102"/>
    <cellStyle name="Percent 5 27 4 2" xfId="42976"/>
    <cellStyle name="Percent 5 27 5" xfId="23679"/>
    <cellStyle name="Percent 5 28" xfId="847"/>
    <cellStyle name="Percent 5 28 2" xfId="1155"/>
    <cellStyle name="Percent 5 28 2 2" xfId="23998"/>
    <cellStyle name="Percent 5 28 3" xfId="22697"/>
    <cellStyle name="Percent 5 28 3 2" xfId="42571"/>
    <cellStyle name="Percent 5 28 4" xfId="23118"/>
    <cellStyle name="Percent 5 28 4 2" xfId="42992"/>
    <cellStyle name="Percent 5 28 5" xfId="23695"/>
    <cellStyle name="Percent 5 29" xfId="206"/>
    <cellStyle name="Percent 5 3" xfId="322"/>
    <cellStyle name="Percent 5 3 10" xfId="1309"/>
    <cellStyle name="Percent 5 3 10 2" xfId="24021"/>
    <cellStyle name="Percent 5 3 11" xfId="22861"/>
    <cellStyle name="Percent 5 3 11 2" xfId="42735"/>
    <cellStyle name="Percent 5 3 12" xfId="23325"/>
    <cellStyle name="Percent 5 3 13" xfId="23438"/>
    <cellStyle name="Percent 5 3 2" xfId="898"/>
    <cellStyle name="Percent 5 3 2 2" xfId="5497"/>
    <cellStyle name="Percent 5 3 2 2 2" xfId="7122"/>
    <cellStyle name="Percent 5 3 2 2 2 2" xfId="10208"/>
    <cellStyle name="Percent 5 3 2 2 2 2 2" xfId="16401"/>
    <cellStyle name="Percent 5 3 2 2 2 2 2 2" xfId="36284"/>
    <cellStyle name="Percent 5 3 2 2 2 2 3" xfId="22553"/>
    <cellStyle name="Percent 5 3 2 2 2 2 3 2" xfId="42436"/>
    <cellStyle name="Percent 5 3 2 2 2 2 4" xfId="30131"/>
    <cellStyle name="Percent 5 3 2 2 2 3" xfId="13335"/>
    <cellStyle name="Percent 5 3 2 2 2 3 2" xfId="33218"/>
    <cellStyle name="Percent 5 3 2 2 2 4" xfId="19487"/>
    <cellStyle name="Percent 5 3 2 2 2 4 2" xfId="39370"/>
    <cellStyle name="Percent 5 3 2 2 2 5" xfId="27065"/>
    <cellStyle name="Percent 5 3 2 2 3" xfId="8673"/>
    <cellStyle name="Percent 5 3 2 2 3 2" xfId="14867"/>
    <cellStyle name="Percent 5 3 2 2 3 2 2" xfId="34750"/>
    <cellStyle name="Percent 5 3 2 2 3 3" xfId="21019"/>
    <cellStyle name="Percent 5 3 2 2 3 3 2" xfId="40902"/>
    <cellStyle name="Percent 5 3 2 2 3 4" xfId="28597"/>
    <cellStyle name="Percent 5 3 2 2 4" xfId="11801"/>
    <cellStyle name="Percent 5 3 2 2 4 2" xfId="31684"/>
    <cellStyle name="Percent 5 3 2 2 5" xfId="17953"/>
    <cellStyle name="Percent 5 3 2 2 5 2" xfId="37836"/>
    <cellStyle name="Percent 5 3 2 2 6" xfId="25531"/>
    <cellStyle name="Percent 5 3 2 3" xfId="6353"/>
    <cellStyle name="Percent 5 3 2 3 2" xfId="9439"/>
    <cellStyle name="Percent 5 3 2 3 2 2" xfId="15632"/>
    <cellStyle name="Percent 5 3 2 3 2 2 2" xfId="35515"/>
    <cellStyle name="Percent 5 3 2 3 2 3" xfId="21784"/>
    <cellStyle name="Percent 5 3 2 3 2 3 2" xfId="41667"/>
    <cellStyle name="Percent 5 3 2 3 2 4" xfId="29362"/>
    <cellStyle name="Percent 5 3 2 3 3" xfId="12566"/>
    <cellStyle name="Percent 5 3 2 3 3 2" xfId="32449"/>
    <cellStyle name="Percent 5 3 2 3 4" xfId="18718"/>
    <cellStyle name="Percent 5 3 2 3 4 2" xfId="38601"/>
    <cellStyle name="Percent 5 3 2 3 5" xfId="26296"/>
    <cellStyle name="Percent 5 3 2 4" xfId="7904"/>
    <cellStyle name="Percent 5 3 2 4 2" xfId="14098"/>
    <cellStyle name="Percent 5 3 2 4 2 2" xfId="33981"/>
    <cellStyle name="Percent 5 3 2 4 3" xfId="20250"/>
    <cellStyle name="Percent 5 3 2 4 3 2" xfId="40133"/>
    <cellStyle name="Percent 5 3 2 4 4" xfId="27828"/>
    <cellStyle name="Percent 5 3 2 5" xfId="11032"/>
    <cellStyle name="Percent 5 3 2 5 2" xfId="30915"/>
    <cellStyle name="Percent 5 3 2 6" xfId="17184"/>
    <cellStyle name="Percent 5 3 2 6 2" xfId="37067"/>
    <cellStyle name="Percent 5 3 2 7" xfId="4721"/>
    <cellStyle name="Percent 5 3 2 7 2" xfId="24762"/>
    <cellStyle name="Percent 5 3 2 8" xfId="23741"/>
    <cellStyle name="Percent 5 3 3" xfId="4491"/>
    <cellStyle name="Percent 5 3 4" xfId="4756"/>
    <cellStyle name="Percent 5 3 4 2" xfId="6381"/>
    <cellStyle name="Percent 5 3 4 2 2" xfId="9467"/>
    <cellStyle name="Percent 5 3 4 2 2 2" xfId="15660"/>
    <cellStyle name="Percent 5 3 4 2 2 2 2" xfId="35543"/>
    <cellStyle name="Percent 5 3 4 2 2 3" xfId="21812"/>
    <cellStyle name="Percent 5 3 4 2 2 3 2" xfId="41695"/>
    <cellStyle name="Percent 5 3 4 2 2 4" xfId="29390"/>
    <cellStyle name="Percent 5 3 4 2 3" xfId="12594"/>
    <cellStyle name="Percent 5 3 4 2 3 2" xfId="32477"/>
    <cellStyle name="Percent 5 3 4 2 4" xfId="18746"/>
    <cellStyle name="Percent 5 3 4 2 4 2" xfId="38629"/>
    <cellStyle name="Percent 5 3 4 2 5" xfId="26324"/>
    <cellStyle name="Percent 5 3 4 3" xfId="7932"/>
    <cellStyle name="Percent 5 3 4 3 2" xfId="14126"/>
    <cellStyle name="Percent 5 3 4 3 2 2" xfId="34009"/>
    <cellStyle name="Percent 5 3 4 3 3" xfId="20278"/>
    <cellStyle name="Percent 5 3 4 3 3 2" xfId="40161"/>
    <cellStyle name="Percent 5 3 4 3 4" xfId="27856"/>
    <cellStyle name="Percent 5 3 4 4" xfId="11060"/>
    <cellStyle name="Percent 5 3 4 4 2" xfId="30943"/>
    <cellStyle name="Percent 5 3 4 5" xfId="17212"/>
    <cellStyle name="Percent 5 3 4 5 2" xfId="37095"/>
    <cellStyle name="Percent 5 3 4 6" xfId="24790"/>
    <cellStyle name="Percent 5 3 5" xfId="5595"/>
    <cellStyle name="Percent 5 3 5 2" xfId="8698"/>
    <cellStyle name="Percent 5 3 5 2 2" xfId="14891"/>
    <cellStyle name="Percent 5 3 5 2 2 2" xfId="34774"/>
    <cellStyle name="Percent 5 3 5 2 3" xfId="21043"/>
    <cellStyle name="Percent 5 3 5 2 3 2" xfId="40926"/>
    <cellStyle name="Percent 5 3 5 2 4" xfId="28621"/>
    <cellStyle name="Percent 5 3 5 3" xfId="11825"/>
    <cellStyle name="Percent 5 3 5 3 2" xfId="31708"/>
    <cellStyle name="Percent 5 3 5 4" xfId="17977"/>
    <cellStyle name="Percent 5 3 5 4 2" xfId="37860"/>
    <cellStyle name="Percent 5 3 5 5" xfId="25555"/>
    <cellStyle name="Percent 5 3 6" xfId="7163"/>
    <cellStyle name="Percent 5 3 6 2" xfId="13357"/>
    <cellStyle name="Percent 5 3 6 2 2" xfId="33240"/>
    <cellStyle name="Percent 5 3 6 3" xfId="19509"/>
    <cellStyle name="Percent 5 3 6 3 2" xfId="39392"/>
    <cellStyle name="Percent 5 3 6 4" xfId="27087"/>
    <cellStyle name="Percent 5 3 7" xfId="10250"/>
    <cellStyle name="Percent 5 3 7 2" xfId="16422"/>
    <cellStyle name="Percent 5 3 7 2 2" xfId="36305"/>
    <cellStyle name="Percent 5 3 7 3" xfId="22574"/>
    <cellStyle name="Percent 5 3 7 3 2" xfId="42457"/>
    <cellStyle name="Percent 5 3 7 4" xfId="30152"/>
    <cellStyle name="Percent 5 3 8" xfId="10291"/>
    <cellStyle name="Percent 5 3 8 2" xfId="30174"/>
    <cellStyle name="Percent 5 3 9" xfId="16443"/>
    <cellStyle name="Percent 5 3 9 2" xfId="36326"/>
    <cellStyle name="Percent 5 30" xfId="23323"/>
    <cellStyle name="Percent 5 4" xfId="337"/>
    <cellStyle name="Percent 5 4 10" xfId="23441"/>
    <cellStyle name="Percent 5 4 2" xfId="901"/>
    <cellStyle name="Percent 5 4 2 2" xfId="7114"/>
    <cellStyle name="Percent 5 4 2 2 2" xfId="10200"/>
    <cellStyle name="Percent 5 4 2 2 2 2" xfId="16393"/>
    <cellStyle name="Percent 5 4 2 2 2 2 2" xfId="36276"/>
    <cellStyle name="Percent 5 4 2 2 2 3" xfId="22545"/>
    <cellStyle name="Percent 5 4 2 2 2 3 2" xfId="42428"/>
    <cellStyle name="Percent 5 4 2 2 2 4" xfId="30123"/>
    <cellStyle name="Percent 5 4 2 2 3" xfId="13327"/>
    <cellStyle name="Percent 5 4 2 2 3 2" xfId="33210"/>
    <cellStyle name="Percent 5 4 2 2 4" xfId="19479"/>
    <cellStyle name="Percent 5 4 2 2 4 2" xfId="39362"/>
    <cellStyle name="Percent 5 4 2 2 5" xfId="27057"/>
    <cellStyle name="Percent 5 4 2 3" xfId="8665"/>
    <cellStyle name="Percent 5 4 2 3 2" xfId="14859"/>
    <cellStyle name="Percent 5 4 2 3 2 2" xfId="34742"/>
    <cellStyle name="Percent 5 4 2 3 3" xfId="21011"/>
    <cellStyle name="Percent 5 4 2 3 3 2" xfId="40894"/>
    <cellStyle name="Percent 5 4 2 3 4" xfId="28589"/>
    <cellStyle name="Percent 5 4 2 4" xfId="11793"/>
    <cellStyle name="Percent 5 4 2 4 2" xfId="31676"/>
    <cellStyle name="Percent 5 4 2 5" xfId="17945"/>
    <cellStyle name="Percent 5 4 2 5 2" xfId="37828"/>
    <cellStyle name="Percent 5 4 2 6" xfId="5489"/>
    <cellStyle name="Percent 5 4 2 6 2" xfId="25523"/>
    <cellStyle name="Percent 5 4 2 7" xfId="23744"/>
    <cellStyle name="Percent 5 4 3" xfId="6345"/>
    <cellStyle name="Percent 5 4 3 2" xfId="9431"/>
    <cellStyle name="Percent 5 4 3 2 2" xfId="15624"/>
    <cellStyle name="Percent 5 4 3 2 2 2" xfId="35507"/>
    <cellStyle name="Percent 5 4 3 2 3" xfId="21776"/>
    <cellStyle name="Percent 5 4 3 2 3 2" xfId="41659"/>
    <cellStyle name="Percent 5 4 3 2 4" xfId="29354"/>
    <cellStyle name="Percent 5 4 3 3" xfId="12558"/>
    <cellStyle name="Percent 5 4 3 3 2" xfId="32441"/>
    <cellStyle name="Percent 5 4 3 4" xfId="18710"/>
    <cellStyle name="Percent 5 4 3 4 2" xfId="38593"/>
    <cellStyle name="Percent 5 4 3 5" xfId="26288"/>
    <cellStyle name="Percent 5 4 4" xfId="7896"/>
    <cellStyle name="Percent 5 4 4 2" xfId="14090"/>
    <cellStyle name="Percent 5 4 4 2 2" xfId="33973"/>
    <cellStyle name="Percent 5 4 4 3" xfId="20242"/>
    <cellStyle name="Percent 5 4 4 3 2" xfId="40125"/>
    <cellStyle name="Percent 5 4 4 4" xfId="27820"/>
    <cellStyle name="Percent 5 4 5" xfId="11024"/>
    <cellStyle name="Percent 5 4 5 2" xfId="30907"/>
    <cellStyle name="Percent 5 4 6" xfId="17176"/>
    <cellStyle name="Percent 5 4 6 2" xfId="37059"/>
    <cellStyle name="Percent 5 4 7" xfId="4701"/>
    <cellStyle name="Percent 5 4 7 2" xfId="24754"/>
    <cellStyle name="Percent 5 4 8" xfId="22864"/>
    <cellStyle name="Percent 5 4 8 2" xfId="42738"/>
    <cellStyle name="Percent 5 4 9" xfId="23326"/>
    <cellStyle name="Percent 5 5" xfId="351"/>
    <cellStyle name="Percent 5 5 2" xfId="904"/>
    <cellStyle name="Percent 5 5 2 2" xfId="23747"/>
    <cellStyle name="Percent 5 5 3" xfId="4487"/>
    <cellStyle name="Percent 5 5 4" xfId="22701"/>
    <cellStyle name="Percent 5 5 4 2" xfId="42575"/>
    <cellStyle name="Percent 5 5 5" xfId="22867"/>
    <cellStyle name="Percent 5 5 5 2" xfId="42741"/>
    <cellStyle name="Percent 5 5 6" xfId="23444"/>
    <cellStyle name="Percent 5 6" xfId="367"/>
    <cellStyle name="Percent 5 6 2" xfId="907"/>
    <cellStyle name="Percent 5 6 2 2" xfId="9456"/>
    <cellStyle name="Percent 5 6 2 2 2" xfId="15649"/>
    <cellStyle name="Percent 5 6 2 2 2 2" xfId="35532"/>
    <cellStyle name="Percent 5 6 2 2 3" xfId="21801"/>
    <cellStyle name="Percent 5 6 2 2 3 2" xfId="41684"/>
    <cellStyle name="Percent 5 6 2 2 4" xfId="29379"/>
    <cellStyle name="Percent 5 6 2 3" xfId="12583"/>
    <cellStyle name="Percent 5 6 2 3 2" xfId="32466"/>
    <cellStyle name="Percent 5 6 2 4" xfId="18735"/>
    <cellStyle name="Percent 5 6 2 4 2" xfId="38618"/>
    <cellStyle name="Percent 5 6 2 5" xfId="6370"/>
    <cellStyle name="Percent 5 6 2 5 2" xfId="26313"/>
    <cellStyle name="Percent 5 6 2 6" xfId="23750"/>
    <cellStyle name="Percent 5 6 3" xfId="7921"/>
    <cellStyle name="Percent 5 6 3 2" xfId="14115"/>
    <cellStyle name="Percent 5 6 3 2 2" xfId="33998"/>
    <cellStyle name="Percent 5 6 3 3" xfId="20267"/>
    <cellStyle name="Percent 5 6 3 3 2" xfId="40150"/>
    <cellStyle name="Percent 5 6 3 4" xfId="27845"/>
    <cellStyle name="Percent 5 6 4" xfId="11049"/>
    <cellStyle name="Percent 5 6 4 2" xfId="30932"/>
    <cellStyle name="Percent 5 6 5" xfId="17201"/>
    <cellStyle name="Percent 5 6 5 2" xfId="37084"/>
    <cellStyle name="Percent 5 6 6" xfId="4745"/>
    <cellStyle name="Percent 5 6 6 2" xfId="24779"/>
    <cellStyle name="Percent 5 6 7" xfId="22870"/>
    <cellStyle name="Percent 5 6 7 2" xfId="42744"/>
    <cellStyle name="Percent 5 6 8" xfId="23447"/>
    <cellStyle name="Percent 5 7" xfId="382"/>
    <cellStyle name="Percent 5 7 2" xfId="910"/>
    <cellStyle name="Percent 5 7 2 2" xfId="14880"/>
    <cellStyle name="Percent 5 7 2 2 2" xfId="34763"/>
    <cellStyle name="Percent 5 7 2 3" xfId="21032"/>
    <cellStyle name="Percent 5 7 2 3 2" xfId="40915"/>
    <cellStyle name="Percent 5 7 2 4" xfId="8687"/>
    <cellStyle name="Percent 5 7 2 4 2" xfId="28610"/>
    <cellStyle name="Percent 5 7 2 5" xfId="23753"/>
    <cellStyle name="Percent 5 7 3" xfId="11814"/>
    <cellStyle name="Percent 5 7 3 2" xfId="31697"/>
    <cellStyle name="Percent 5 7 4" xfId="17966"/>
    <cellStyle name="Percent 5 7 4 2" xfId="37849"/>
    <cellStyle name="Percent 5 7 5" xfId="5583"/>
    <cellStyle name="Percent 5 7 5 2" xfId="25544"/>
    <cellStyle name="Percent 5 7 6" xfId="22873"/>
    <cellStyle name="Percent 5 7 6 2" xfId="42747"/>
    <cellStyle name="Percent 5 7 7" xfId="23450"/>
    <cellStyle name="Percent 5 8" xfId="398"/>
    <cellStyle name="Percent 5 8 2" xfId="913"/>
    <cellStyle name="Percent 5 8 2 2" xfId="13346"/>
    <cellStyle name="Percent 5 8 2 2 2" xfId="33229"/>
    <cellStyle name="Percent 5 8 2 3" xfId="23756"/>
    <cellStyle name="Percent 5 8 3" xfId="19498"/>
    <cellStyle name="Percent 5 8 3 2" xfId="39381"/>
    <cellStyle name="Percent 5 8 4" xfId="7152"/>
    <cellStyle name="Percent 5 8 4 2" xfId="27076"/>
    <cellStyle name="Percent 5 8 5" xfId="22876"/>
    <cellStyle name="Percent 5 8 5 2" xfId="42750"/>
    <cellStyle name="Percent 5 8 6" xfId="23453"/>
    <cellStyle name="Percent 5 9" xfId="411"/>
    <cellStyle name="Percent 5 9 2" xfId="916"/>
    <cellStyle name="Percent 5 9 2 2" xfId="16413"/>
    <cellStyle name="Percent 5 9 2 2 2" xfId="36296"/>
    <cellStyle name="Percent 5 9 2 3" xfId="23759"/>
    <cellStyle name="Percent 5 9 3" xfId="22565"/>
    <cellStyle name="Percent 5 9 3 2" xfId="42448"/>
    <cellStyle name="Percent 5 9 4" xfId="10239"/>
    <cellStyle name="Percent 5 9 4 2" xfId="30143"/>
    <cellStyle name="Percent 5 9 5" xfId="22879"/>
    <cellStyle name="Percent 5 9 5 2" xfId="42753"/>
    <cellStyle name="Percent 5 9 6" xfId="23456"/>
    <cellStyle name="Percent 50" xfId="4492"/>
    <cellStyle name="Percent 51" xfId="4493"/>
    <cellStyle name="Percent 52" xfId="4494"/>
    <cellStyle name="Percent 53" xfId="4495"/>
    <cellStyle name="Percent 54" xfId="4496"/>
    <cellStyle name="Percent 55" xfId="4497"/>
    <cellStyle name="Percent 56" xfId="4498"/>
    <cellStyle name="Percent 57" xfId="4499"/>
    <cellStyle name="Percent 58" xfId="4500"/>
    <cellStyle name="Percent 59" xfId="4501"/>
    <cellStyle name="Percent 6" xfId="48"/>
    <cellStyle name="Percent 6 2" xfId="101"/>
    <cellStyle name="Percent 6 2 2" xfId="4504"/>
    <cellStyle name="Percent 6 2 3" xfId="4505"/>
    <cellStyle name="Percent 6 2 4" xfId="4503"/>
    <cellStyle name="Percent 6 3" xfId="4506"/>
    <cellStyle name="Percent 6 4" xfId="4704"/>
    <cellStyle name="Percent 6 5" xfId="4502"/>
    <cellStyle name="Percent 6 6" xfId="1288"/>
    <cellStyle name="Percent 6 7" xfId="23327"/>
    <cellStyle name="Percent 6 7 2" xfId="43037"/>
    <cellStyle name="Percent 60" xfId="4507"/>
    <cellStyle name="Percent 61" xfId="4508"/>
    <cellStyle name="Percent 62" xfId="4509"/>
    <cellStyle name="Percent 63" xfId="4510"/>
    <cellStyle name="Percent 64" xfId="4511"/>
    <cellStyle name="Percent 65" xfId="4512"/>
    <cellStyle name="Percent 66" xfId="4513"/>
    <cellStyle name="Percent 67" xfId="4514"/>
    <cellStyle name="Percent 68" xfId="4515"/>
    <cellStyle name="Percent 69" xfId="4516"/>
    <cellStyle name="Percent 7" xfId="49"/>
    <cellStyle name="Percent 7 2" xfId="82"/>
    <cellStyle name="Percent 7 2 2" xfId="4519"/>
    <cellStyle name="Percent 7 2 3" xfId="4520"/>
    <cellStyle name="Percent 7 2 4" xfId="4518"/>
    <cellStyle name="Percent 7 3" xfId="4521"/>
    <cellStyle name="Percent 7 4" xfId="4522"/>
    <cellStyle name="Percent 7 5" xfId="4517"/>
    <cellStyle name="Percent 7 6" xfId="23328"/>
    <cellStyle name="Percent 7 6 2" xfId="43038"/>
    <cellStyle name="Percent 70" xfId="4523"/>
    <cellStyle name="Percent 71" xfId="4524"/>
    <cellStyle name="Percent 72" xfId="4525"/>
    <cellStyle name="Percent 73" xfId="4526"/>
    <cellStyle name="Percent 74" xfId="4527"/>
    <cellStyle name="Percent 75" xfId="4528"/>
    <cellStyle name="Percent 76" xfId="4529"/>
    <cellStyle name="Percent 77" xfId="4530"/>
    <cellStyle name="Percent 78" xfId="4531"/>
    <cellStyle name="Percent 79" xfId="4532"/>
    <cellStyle name="Percent 8" xfId="50"/>
    <cellStyle name="Percent 8 2" xfId="4534"/>
    <cellStyle name="Percent 8 2 2" xfId="4535"/>
    <cellStyle name="Percent 8 2 3" xfId="4536"/>
    <cellStyle name="Percent 8 2 4" xfId="10253"/>
    <cellStyle name="Percent 8 2 4 2" xfId="16425"/>
    <cellStyle name="Percent 8 2 4 2 2" xfId="36308"/>
    <cellStyle name="Percent 8 2 4 3" xfId="22577"/>
    <cellStyle name="Percent 8 2 4 3 2" xfId="42460"/>
    <cellStyle name="Percent 8 2 4 4" xfId="30155"/>
    <cellStyle name="Percent 8 3" xfId="10242"/>
    <cellStyle name="Percent 8 3 2" xfId="16416"/>
    <cellStyle name="Percent 8 3 2 2" xfId="36299"/>
    <cellStyle name="Percent 8 3 3" xfId="22568"/>
    <cellStyle name="Percent 8 3 3 2" xfId="42451"/>
    <cellStyle name="Percent 8 3 4" xfId="30146"/>
    <cellStyle name="Percent 8 4" xfId="4533"/>
    <cellStyle name="Percent 80" xfId="4537"/>
    <cellStyle name="Percent 81" xfId="4538"/>
    <cellStyle name="Percent 82" xfId="4539"/>
    <cellStyle name="Percent 83" xfId="4540"/>
    <cellStyle name="Percent 84" xfId="4541"/>
    <cellStyle name="Percent 85" xfId="4542"/>
    <cellStyle name="Percent 86" xfId="4543"/>
    <cellStyle name="Percent 87" xfId="4544"/>
    <cellStyle name="Percent 88" xfId="4545"/>
    <cellStyle name="Percent 89" xfId="4546"/>
    <cellStyle name="Percent 9" xfId="52"/>
    <cellStyle name="Percent 9 2" xfId="103"/>
    <cellStyle name="Percent 9 2 2" xfId="146"/>
    <cellStyle name="Percent 9 2 2 2" xfId="4549"/>
    <cellStyle name="Percent 9 2 2 3" xfId="23389"/>
    <cellStyle name="Percent 9 2 3" xfId="4550"/>
    <cellStyle name="Percent 9 2 4" xfId="4548"/>
    <cellStyle name="Percent 9 2 5" xfId="23351"/>
    <cellStyle name="Percent 9 3" xfId="131"/>
    <cellStyle name="Percent 9 3 2" xfId="23376"/>
    <cellStyle name="Percent 9 4" xfId="116"/>
    <cellStyle name="Percent 9 4 2" xfId="23364"/>
    <cellStyle name="Percent 9 5" xfId="4547"/>
    <cellStyle name="Percent 9 6" xfId="23338"/>
    <cellStyle name="Percent 90" xfId="4551"/>
    <cellStyle name="Percent 91" xfId="4552"/>
    <cellStyle name="Percent 92" xfId="4553"/>
    <cellStyle name="Percent 93" xfId="4554"/>
    <cellStyle name="Percent 94" xfId="4555"/>
    <cellStyle name="Percent 95" xfId="4556"/>
    <cellStyle name="Percent 96" xfId="4557"/>
    <cellStyle name="Percent 97" xfId="4558"/>
    <cellStyle name="Percent 98" xfId="4559"/>
    <cellStyle name="Percent 99" xfId="4560"/>
    <cellStyle name="placeholder" xfId="4561"/>
    <cellStyle name="PS_Comma" xfId="63"/>
    <cellStyle name="PSChar" xfId="64"/>
    <cellStyle name="PSDate" xfId="65"/>
    <cellStyle name="PSDec" xfId="66"/>
    <cellStyle name="PSHeading" xfId="67"/>
    <cellStyle name="PSInt" xfId="68"/>
    <cellStyle name="PSSpacer" xfId="69"/>
    <cellStyle name="ReportTitlePrompt" xfId="1263"/>
    <cellStyle name="ReportTitleValue" xfId="1264"/>
    <cellStyle name="Row Lvl 1" xfId="4562"/>
    <cellStyle name="Row Lvl 2" xfId="4563"/>
    <cellStyle name="RowAcctAbovePrompt" xfId="1265"/>
    <cellStyle name="RowAcctSOBAbovePrompt" xfId="1266"/>
    <cellStyle name="RowAcctSOBValue" xfId="1267"/>
    <cellStyle name="RowAcctValue" xfId="1268"/>
    <cellStyle name="RowAttrAbovePrompt" xfId="1269"/>
    <cellStyle name="RowAttrValue" xfId="1270"/>
    <cellStyle name="RowColSetAbovePrompt" xfId="1271"/>
    <cellStyle name="RowColSetLeftPrompt" xfId="1272"/>
    <cellStyle name="RowColSetValue" xfId="1273"/>
    <cellStyle name="RowLeftPrompt" xfId="1274"/>
    <cellStyle name="SampleUsingFormatMask" xfId="1275"/>
    <cellStyle name="SampleWithNoFormatMask" xfId="1276"/>
    <cellStyle name="STYLE1" xfId="4564"/>
    <cellStyle name="STYLE1 2" xfId="4565"/>
    <cellStyle name="STYLE1 2 2" xfId="4566"/>
    <cellStyle name="STYLE1 2 3" xfId="4567"/>
    <cellStyle name="STYLE1 3" xfId="4568"/>
    <cellStyle name="STYLE1 4" xfId="4569"/>
    <cellStyle name="STYLE1 5" xfId="4570"/>
    <cellStyle name="STYLE2" xfId="4571"/>
    <cellStyle name="STYLE2 2" xfId="4572"/>
    <cellStyle name="STYLE2 2 2" xfId="4573"/>
    <cellStyle name="STYLE2 2 3" xfId="4574"/>
    <cellStyle name="STYLE2 3" xfId="4575"/>
    <cellStyle name="STYLE2 4" xfId="4576"/>
    <cellStyle name="STYLE3" xfId="4577"/>
    <cellStyle name="STYLE3 2" xfId="4578"/>
    <cellStyle name="STYLE3 2 2" xfId="4579"/>
    <cellStyle name="STYLE3 2 3" xfId="4580"/>
    <cellStyle name="STYLE3 3" xfId="4581"/>
    <cellStyle name="STYLE3 4" xfId="4582"/>
    <cellStyle name="STYLE3 5" xfId="4583"/>
    <cellStyle name="STYLE4" xfId="4584"/>
    <cellStyle name="STYLE4 2" xfId="4585"/>
    <cellStyle name="STYLE4 3" xfId="4586"/>
    <cellStyle name="STYLE5" xfId="4587"/>
    <cellStyle name="STYLE6" xfId="4588"/>
    <cellStyle name="STYLE7" xfId="4589"/>
    <cellStyle name="Title" xfId="152" builtinId="15" customBuiltin="1"/>
    <cellStyle name="Title 2" xfId="4590"/>
    <cellStyle name="Title 2 2" xfId="4591"/>
    <cellStyle name="Title 3" xfId="4592"/>
    <cellStyle name="Title 4" xfId="4593"/>
    <cellStyle name="Title 5" xfId="4594"/>
    <cellStyle name="Title 6" xfId="4595"/>
    <cellStyle name="Title Left" xfId="4596"/>
    <cellStyle name="Total" xfId="167" builtinId="25" customBuiltin="1"/>
    <cellStyle name="Total 2" xfId="4597"/>
    <cellStyle name="Total 3" xfId="4598"/>
    <cellStyle name="Total 4" xfId="4599"/>
    <cellStyle name="Total 5" xfId="4600"/>
    <cellStyle name="Total 5 2" xfId="5570"/>
    <cellStyle name="Total 5 2 2" xfId="7129"/>
    <cellStyle name="Total 5 3" xfId="5560"/>
    <cellStyle name="Total 5 3 2" xfId="6303"/>
    <cellStyle name="Total 5 4" xfId="5547"/>
    <cellStyle name="Total 5 4 2" xfId="7133"/>
    <cellStyle name="Total 5 5" xfId="5540"/>
    <cellStyle name="Total 5 5 2" xfId="6227"/>
    <cellStyle name="Total 5 6" xfId="5591"/>
    <cellStyle name="Total 6" xfId="4601"/>
    <cellStyle name="Total 6 2" xfId="5571"/>
    <cellStyle name="Total 6 2 2" xfId="6322"/>
    <cellStyle name="Total 6 3" xfId="5550"/>
    <cellStyle name="Total 6 3 2" xfId="7132"/>
    <cellStyle name="Total 6 4" xfId="5525"/>
    <cellStyle name="Total 6 4 2" xfId="6205"/>
    <cellStyle name="Total 6 5" xfId="5519"/>
    <cellStyle name="Total 6 5 2" xfId="6204"/>
    <cellStyle name="Total 6 6" xfId="5794"/>
    <cellStyle name="UploadThisRowValue" xfId="1277"/>
    <cellStyle name="Warning Text" xfId="165" builtinId="11" customBuiltin="1"/>
    <cellStyle name="Warning Text 2" xfId="4602"/>
    <cellStyle name="Warning Text 3" xfId="4603"/>
    <cellStyle name="Warning Text 4" xfId="4604"/>
    <cellStyle name="Warning Text 5" xfId="4605"/>
    <cellStyle name="warnings" xfId="4606"/>
    <cellStyle name="WM_STANDARD" xfId="70"/>
    <cellStyle name="WMI_Standard" xfId="71"/>
    <cellStyle name="XComma" xfId="4607"/>
    <cellStyle name="XComma 0.0" xfId="4608"/>
    <cellStyle name="XComma 0.00" xfId="4609"/>
    <cellStyle name="XComma 0.000" xfId="4610"/>
    <cellStyle name="XCurrency" xfId="4611"/>
    <cellStyle name="XCurrency 0.0" xfId="4612"/>
    <cellStyle name="XCurrency 0.00" xfId="4613"/>
    <cellStyle name="XCurrency 0.000" xfId="4614"/>
    <cellStyle name="xstyle" xfId="4615"/>
  </cellStyles>
  <dxfs count="37">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36"/>
      <tableStyleElement type="headerRow" dxfId="35"/>
    </tableStyle>
    <tableStyle name="Table Style 2" pivot="0" count="3">
      <tableStyleElement type="wholeTable" dxfId="34"/>
      <tableStyleElement type="headerRow" dxfId="33"/>
      <tableStyleElement type="totalRow" dxfId="32"/>
    </tableStyle>
  </tableStyles>
  <colors>
    <mruColors>
      <color rgb="FFB2B2B2"/>
      <color rgb="FFF7A02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customXml" Target="../customXml/item4.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a:t>
            </a:r>
            <a:r>
              <a:rPr lang="en-US" baseline="0"/>
              <a:t> and Intangible Plant (Electric)</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Intangible  </c:v>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3"/>
            <c:dispRSqr val="1"/>
            <c:dispEq val="1"/>
            <c:trendlineLbl>
              <c:layout>
                <c:manualLayout>
                  <c:x val="9.6811732992835353E-2"/>
                  <c:y val="0.1597664691206910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47814</c:v>
              </c:pt>
              <c:pt idx="3">
                <c:v>69349</c:v>
              </c:pt>
              <c:pt idx="4">
                <c:v>80337</c:v>
              </c:pt>
              <c:pt idx="5">
                <c:v>80878</c:v>
              </c:pt>
              <c:pt idx="6">
                <c:v>73799</c:v>
              </c:pt>
              <c:pt idx="7">
                <c:v>82378</c:v>
              </c:pt>
            </c:numLit>
          </c:yVal>
          <c:smooth val="0"/>
          <c:extLst>
            <c:ext xmlns:c16="http://schemas.microsoft.com/office/drawing/2014/chart" uri="{C3380CC4-5D6E-409C-BE32-E72D297353CC}">
              <c16:uniqueId val="{00000000-AFCE-41CF-ABEE-24ED9F05F16B}"/>
            </c:ext>
          </c:extLst>
        </c:ser>
        <c:ser>
          <c:idx val="1"/>
          <c:order val="1"/>
          <c:tx>
            <c:v>General  </c:v>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12250109361329833"/>
                  <c:y val="-1.8935185185185444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59574</c:v>
              </c:pt>
              <c:pt idx="3">
                <c:v>77177</c:v>
              </c:pt>
              <c:pt idx="4">
                <c:v>83524</c:v>
              </c:pt>
              <c:pt idx="5">
                <c:v>93233</c:v>
              </c:pt>
              <c:pt idx="6">
                <c:v>120777</c:v>
              </c:pt>
              <c:pt idx="7">
                <c:v>131147</c:v>
              </c:pt>
            </c:numLit>
          </c:yVal>
          <c:smooth val="0"/>
          <c:extLst>
            <c:ext xmlns:c16="http://schemas.microsoft.com/office/drawing/2014/chart" uri="{C3380CC4-5D6E-409C-BE32-E72D297353CC}">
              <c16:uniqueId val="{00000001-AFCE-41CF-ABEE-24ED9F05F16B}"/>
            </c:ext>
          </c:extLst>
        </c:ser>
        <c:dLbls>
          <c:showLegendKey val="0"/>
          <c:showVal val="0"/>
          <c:showCatName val="0"/>
          <c:showSerName val="0"/>
          <c:showPercent val="0"/>
          <c:showBubbleSize val="0"/>
        </c:dLbls>
        <c:axId val="198246120"/>
        <c:axId val="198709344"/>
      </c:scatterChart>
      <c:valAx>
        <c:axId val="1982461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709344"/>
        <c:crosses val="autoZero"/>
        <c:crossBetween val="midCat"/>
      </c:valAx>
      <c:valAx>
        <c:axId val="198709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2461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Production</a:t>
            </a:r>
            <a:r>
              <a:rPr lang="en-US" baseline="0"/>
              <a:t> and Distribution Plant (Electric)</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Production  </c:v>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1.1582020997375543E-2"/>
                  <c:y val="7.858814523184601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422256</c:v>
              </c:pt>
              <c:pt idx="3">
                <c:v>420349</c:v>
              </c:pt>
              <c:pt idx="4">
                <c:v>420594</c:v>
              </c:pt>
              <c:pt idx="5">
                <c:v>417278</c:v>
              </c:pt>
              <c:pt idx="6">
                <c:v>423716</c:v>
              </c:pt>
              <c:pt idx="7">
                <c:v>420570</c:v>
              </c:pt>
            </c:numLit>
          </c:yVal>
          <c:smooth val="0"/>
          <c:extLst>
            <c:ext xmlns:c16="http://schemas.microsoft.com/office/drawing/2014/chart" uri="{C3380CC4-5D6E-409C-BE32-E72D297353CC}">
              <c16:uniqueId val="{00000000-2CD0-414D-8E9E-4103BC04BBA6}"/>
            </c:ext>
          </c:extLst>
        </c:ser>
        <c:ser>
          <c:idx val="1"/>
          <c:order val="1"/>
          <c:tx>
            <c:v>Distribution  </c:v>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13361220472440946"/>
                  <c:y val="2.611840186643336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420874</c:v>
              </c:pt>
              <c:pt idx="3">
                <c:v>447550</c:v>
              </c:pt>
              <c:pt idx="4">
                <c:v>486981</c:v>
              </c:pt>
              <c:pt idx="5">
                <c:v>522324</c:v>
              </c:pt>
              <c:pt idx="6">
                <c:v>560439</c:v>
              </c:pt>
              <c:pt idx="7">
                <c:v>590073</c:v>
              </c:pt>
            </c:numLit>
          </c:yVal>
          <c:smooth val="0"/>
          <c:extLst>
            <c:ext xmlns:c16="http://schemas.microsoft.com/office/drawing/2014/chart" uri="{C3380CC4-5D6E-409C-BE32-E72D297353CC}">
              <c16:uniqueId val="{00000001-2CD0-414D-8E9E-4103BC04BBA6}"/>
            </c:ext>
          </c:extLst>
        </c:ser>
        <c:dLbls>
          <c:showLegendKey val="0"/>
          <c:showVal val="0"/>
          <c:showCatName val="0"/>
          <c:showSerName val="0"/>
          <c:showPercent val="0"/>
          <c:showBubbleSize val="0"/>
        </c:dLbls>
        <c:axId val="183540864"/>
        <c:axId val="199283832"/>
      </c:scatterChart>
      <c:valAx>
        <c:axId val="183540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83832"/>
        <c:crosses val="autoZero"/>
        <c:crossBetween val="midCat"/>
      </c:valAx>
      <c:valAx>
        <c:axId val="199283832"/>
        <c:scaling>
          <c:orientation val="minMax"/>
          <c:min val="3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5408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Transmission Plant (Electric)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Transmission  </c:v>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4.4723315835521617E-2"/>
                  <c:y val="-5.1436278798483524E-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200441</c:v>
              </c:pt>
              <c:pt idx="3">
                <c:v>206464</c:v>
              </c:pt>
              <c:pt idx="4">
                <c:v>216868</c:v>
              </c:pt>
              <c:pt idx="5">
                <c:v>226066</c:v>
              </c:pt>
              <c:pt idx="6">
                <c:v>237633</c:v>
              </c:pt>
              <c:pt idx="7">
                <c:v>248102</c:v>
              </c:pt>
            </c:numLit>
          </c:yVal>
          <c:smooth val="0"/>
          <c:extLst>
            <c:ext xmlns:c16="http://schemas.microsoft.com/office/drawing/2014/chart" uri="{C3380CC4-5D6E-409C-BE32-E72D297353CC}">
              <c16:uniqueId val="{00000000-C3FE-46B5-80A5-5F159F9EC27C}"/>
            </c:ext>
          </c:extLst>
        </c:ser>
        <c:dLbls>
          <c:showLegendKey val="0"/>
          <c:showVal val="0"/>
          <c:showCatName val="0"/>
          <c:showSerName val="0"/>
          <c:showPercent val="0"/>
          <c:showBubbleSize val="0"/>
        </c:dLbls>
        <c:axId val="201012248"/>
        <c:axId val="198008688"/>
      </c:scatterChart>
      <c:valAx>
        <c:axId val="201012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008688"/>
        <c:crosses val="autoZero"/>
        <c:crossBetween val="midCat"/>
      </c:valAx>
      <c:valAx>
        <c:axId val="198008688"/>
        <c:scaling>
          <c:orientation val="minMax"/>
          <c:min val="19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0122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Plant (Electric)</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'Plant Trends'!$B$16:$B$16</c:f>
              <c:strCache>
                <c:ptCount val="1"/>
                <c:pt idx="0">
                  <c:v>Intangible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Trends'!$C$16:$H$16</c:f>
              <c:numCache>
                <c:formatCode>General</c:formatCode>
                <c:ptCount val="6"/>
                <c:pt idx="0">
                  <c:v>47814</c:v>
                </c:pt>
                <c:pt idx="1">
                  <c:v>69349</c:v>
                </c:pt>
                <c:pt idx="2">
                  <c:v>80337</c:v>
                </c:pt>
                <c:pt idx="3">
                  <c:v>80878</c:v>
                </c:pt>
                <c:pt idx="4">
                  <c:v>73799</c:v>
                </c:pt>
                <c:pt idx="5">
                  <c:v>82378</c:v>
                </c:pt>
              </c:numCache>
            </c:numRef>
          </c:val>
          <c:smooth val="0"/>
          <c:extLst>
            <c:ext xmlns:c16="http://schemas.microsoft.com/office/drawing/2014/chart" uri="{C3380CC4-5D6E-409C-BE32-E72D297353CC}">
              <c16:uniqueId val="{00000000-43EB-488E-9DAC-7E70A72F369C}"/>
            </c:ext>
          </c:extLst>
        </c:ser>
        <c:ser>
          <c:idx val="1"/>
          <c:order val="1"/>
          <c:tx>
            <c:strRef>
              <c:f>'Plant Trends'!$B$17:$B$17</c:f>
              <c:strCache>
                <c:ptCount val="1"/>
                <c:pt idx="0">
                  <c:v>Production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Trends'!$C$17:$H$17</c:f>
              <c:numCache>
                <c:formatCode>General</c:formatCode>
                <c:ptCount val="6"/>
                <c:pt idx="0">
                  <c:v>422256</c:v>
                </c:pt>
                <c:pt idx="1">
                  <c:v>420349</c:v>
                </c:pt>
                <c:pt idx="2">
                  <c:v>420594</c:v>
                </c:pt>
                <c:pt idx="3">
                  <c:v>417278</c:v>
                </c:pt>
                <c:pt idx="4">
                  <c:v>423716</c:v>
                </c:pt>
                <c:pt idx="5">
                  <c:v>420570</c:v>
                </c:pt>
              </c:numCache>
            </c:numRef>
          </c:val>
          <c:smooth val="0"/>
          <c:extLst>
            <c:ext xmlns:c16="http://schemas.microsoft.com/office/drawing/2014/chart" uri="{C3380CC4-5D6E-409C-BE32-E72D297353CC}">
              <c16:uniqueId val="{00000001-43EB-488E-9DAC-7E70A72F369C}"/>
            </c:ext>
          </c:extLst>
        </c:ser>
        <c:ser>
          <c:idx val="2"/>
          <c:order val="2"/>
          <c:tx>
            <c:strRef>
              <c:f>'Plant Trends'!$B$18:$B$18</c:f>
              <c:strCache>
                <c:ptCount val="1"/>
                <c:pt idx="0">
                  <c:v>Transmission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Trends'!$C$18:$H$18</c:f>
              <c:numCache>
                <c:formatCode>General</c:formatCode>
                <c:ptCount val="6"/>
                <c:pt idx="0">
                  <c:v>200441</c:v>
                </c:pt>
                <c:pt idx="1">
                  <c:v>206464</c:v>
                </c:pt>
                <c:pt idx="2">
                  <c:v>216868</c:v>
                </c:pt>
                <c:pt idx="3">
                  <c:v>226066</c:v>
                </c:pt>
                <c:pt idx="4">
                  <c:v>237633</c:v>
                </c:pt>
                <c:pt idx="5">
                  <c:v>248102</c:v>
                </c:pt>
              </c:numCache>
            </c:numRef>
          </c:val>
          <c:smooth val="0"/>
          <c:extLst>
            <c:ext xmlns:c16="http://schemas.microsoft.com/office/drawing/2014/chart" uri="{C3380CC4-5D6E-409C-BE32-E72D297353CC}">
              <c16:uniqueId val="{00000002-43EB-488E-9DAC-7E70A72F369C}"/>
            </c:ext>
          </c:extLst>
        </c:ser>
        <c:ser>
          <c:idx val="3"/>
          <c:order val="3"/>
          <c:tx>
            <c:strRef>
              <c:f>'Plant Trends'!$B$19:$B$19</c:f>
              <c:strCache>
                <c:ptCount val="1"/>
                <c:pt idx="0">
                  <c:v>Distribution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Trends'!$C$19:$H$19</c:f>
              <c:numCache>
                <c:formatCode>General</c:formatCode>
                <c:ptCount val="6"/>
                <c:pt idx="0">
                  <c:v>420874</c:v>
                </c:pt>
                <c:pt idx="1">
                  <c:v>447550</c:v>
                </c:pt>
                <c:pt idx="2">
                  <c:v>486981</c:v>
                </c:pt>
                <c:pt idx="3">
                  <c:v>522324</c:v>
                </c:pt>
                <c:pt idx="4">
                  <c:v>560439</c:v>
                </c:pt>
                <c:pt idx="5">
                  <c:v>590073</c:v>
                </c:pt>
              </c:numCache>
            </c:numRef>
          </c:val>
          <c:smooth val="0"/>
          <c:extLst>
            <c:ext xmlns:c16="http://schemas.microsoft.com/office/drawing/2014/chart" uri="{C3380CC4-5D6E-409C-BE32-E72D297353CC}">
              <c16:uniqueId val="{00000003-43EB-488E-9DAC-7E70A72F369C}"/>
            </c:ext>
          </c:extLst>
        </c:ser>
        <c:ser>
          <c:idx val="4"/>
          <c:order val="4"/>
          <c:tx>
            <c:strRef>
              <c:f>'Plant Trends'!$B$20:$B$20</c:f>
              <c:strCache>
                <c:ptCount val="1"/>
                <c:pt idx="0">
                  <c:v>General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Trends'!$C$20:$H$20</c:f>
              <c:numCache>
                <c:formatCode>General</c:formatCode>
                <c:ptCount val="6"/>
                <c:pt idx="0">
                  <c:v>59574</c:v>
                </c:pt>
                <c:pt idx="1">
                  <c:v>77177</c:v>
                </c:pt>
                <c:pt idx="2">
                  <c:v>83524</c:v>
                </c:pt>
                <c:pt idx="3">
                  <c:v>93233</c:v>
                </c:pt>
                <c:pt idx="4">
                  <c:v>120777</c:v>
                </c:pt>
                <c:pt idx="5">
                  <c:v>131147</c:v>
                </c:pt>
              </c:numCache>
            </c:numRef>
          </c:val>
          <c:smooth val="0"/>
          <c:extLst>
            <c:ext xmlns:c16="http://schemas.microsoft.com/office/drawing/2014/chart" uri="{C3380CC4-5D6E-409C-BE32-E72D297353CC}">
              <c16:uniqueId val="{00000004-43EB-488E-9DAC-7E70A72F369C}"/>
            </c:ext>
          </c:extLst>
        </c:ser>
        <c:dLbls>
          <c:showLegendKey val="0"/>
          <c:showVal val="0"/>
          <c:showCatName val="0"/>
          <c:showSerName val="0"/>
          <c:showPercent val="0"/>
          <c:showBubbleSize val="0"/>
        </c:dLbls>
        <c:marker val="1"/>
        <c:smooth val="0"/>
        <c:axId val="201812352"/>
        <c:axId val="201845968"/>
      </c:lineChart>
      <c:catAx>
        <c:axId val="20181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845968"/>
        <c:crosses val="autoZero"/>
        <c:auto val="1"/>
        <c:lblAlgn val="ctr"/>
        <c:lblOffset val="100"/>
        <c:noMultiLvlLbl val="0"/>
      </c:catAx>
      <c:valAx>
        <c:axId val="20184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812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'4.01'!$A$14</c:f>
              <c:strCache>
                <c:ptCount val="1"/>
                <c:pt idx="0">
                  <c:v>Total Production &amp; Transmission O&amp;M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'4.01'!$B$9:$R$9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'4.01'!$B$14:$R$14</c:f>
              <c:numCache>
                <c:formatCode>_(* #,##0_);_(* \(#,##0\);_(* "-"??_);_(@_)</c:formatCode>
                <c:ptCount val="17"/>
                <c:pt idx="0">
                  <c:v>25124.740900000004</c:v>
                </c:pt>
                <c:pt idx="1">
                  <c:v>23131</c:v>
                </c:pt>
                <c:pt idx="2">
                  <c:v>27865</c:v>
                </c:pt>
                <c:pt idx="3">
                  <c:v>24407</c:v>
                </c:pt>
                <c:pt idx="4">
                  <c:v>29788</c:v>
                </c:pt>
                <c:pt idx="5">
                  <c:v>27299.878300000011</c:v>
                </c:pt>
                <c:pt idx="6">
                  <c:v>31282</c:v>
                </c:pt>
                <c:pt idx="7">
                  <c:v>32811</c:v>
                </c:pt>
                <c:pt idx="8">
                  <c:v>36647</c:v>
                </c:pt>
                <c:pt idx="9">
                  <c:v>41497.913499999995</c:v>
                </c:pt>
                <c:pt idx="10">
                  <c:v>39935.376800000056</c:v>
                </c:pt>
                <c:pt idx="11">
                  <c:v>48192.603600000031</c:v>
                </c:pt>
                <c:pt idx="12">
                  <c:v>52244.233699999982</c:v>
                </c:pt>
                <c:pt idx="13">
                  <c:v>51467</c:v>
                </c:pt>
                <c:pt idx="14">
                  <c:v>50833</c:v>
                </c:pt>
                <c:pt idx="15">
                  <c:v>50497</c:v>
                </c:pt>
                <c:pt idx="16">
                  <c:v>54917</c:v>
                </c:pt>
              </c:numCache>
            </c:numRef>
          </c:yVal>
          <c:smooth val="0"/>
          <c:extLst>
            <c:ext xmlns:c16="http://schemas.microsoft.com/office/drawing/2014/chart" uri="{C3380CC4-5D6E-409C-BE32-E72D297353CC}">
              <c16:uniqueId val="{00000000-E5EC-43BA-8A31-581D8D87B893}"/>
            </c:ext>
          </c:extLst>
        </c:ser>
        <c:ser>
          <c:idx val="1"/>
          <c:order val="1"/>
          <c:tx>
            <c:strRef>
              <c:f>'4.01'!$A$67</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'4.01'!$B$74:$R$74</c:f>
              <c:numCache>
                <c:formatCode>General</c:formatCode>
                <c:ptCount val="17"/>
                <c:pt idx="0">
                  <c:v>2011</c:v>
                </c:pt>
                <c:pt idx="1">
                  <c:v>2012</c:v>
                </c:pt>
                <c:pt idx="2">
                  <c:v>2013</c:v>
                </c:pt>
                <c:pt idx="3">
                  <c:v>2014</c:v>
                </c:pt>
                <c:pt idx="4">
                  <c:v>2015</c:v>
                </c:pt>
                <c:pt idx="5">
                  <c:v>2016</c:v>
                </c:pt>
                <c:pt idx="6">
                  <c:v>#N/A</c:v>
                </c:pt>
                <c:pt idx="7">
                  <c:v>#N/A</c:v>
                </c:pt>
                <c:pt idx="8">
                  <c:v>#N/A</c:v>
                </c:pt>
                <c:pt idx="9">
                  <c:v>#N/A</c:v>
                </c:pt>
                <c:pt idx="10">
                  <c:v>#N/A</c:v>
                </c:pt>
                <c:pt idx="11">
                  <c:v>#N/A</c:v>
                </c:pt>
                <c:pt idx="12">
                  <c:v>#N/A</c:v>
                </c:pt>
                <c:pt idx="13">
                  <c:v>#N/A</c:v>
                </c:pt>
                <c:pt idx="14">
                  <c:v>#N/A</c:v>
                </c:pt>
                <c:pt idx="15">
                  <c:v>#N/A</c:v>
                </c:pt>
                <c:pt idx="16">
                  <c:v>#N/A</c:v>
                </c:pt>
              </c:numCache>
            </c:numRef>
          </c:xVal>
          <c:yVal>
            <c:numRef>
              <c:f>'4.01'!$B$75:$R$75</c:f>
              <c:numCache>
                <c:formatCode>_(* #,##0_);_(* \(#,##0\);_(* "-"_);_(@_)</c:formatCode>
                <c:ptCount val="17"/>
                <c:pt idx="0">
                  <c:v>48192.603600000031</c:v>
                </c:pt>
                <c:pt idx="1">
                  <c:v>52244.233699999982</c:v>
                </c:pt>
                <c:pt idx="2">
                  <c:v>51467</c:v>
                </c:pt>
                <c:pt idx="3">
                  <c:v>50833</c:v>
                </c:pt>
                <c:pt idx="4">
                  <c:v>50497</c:v>
                </c:pt>
                <c:pt idx="5">
                  <c:v>54917</c:v>
                </c:pt>
                <c:pt idx="6">
                  <c:v>#N/A</c:v>
                </c:pt>
                <c:pt idx="7">
                  <c:v>#N/A</c:v>
                </c:pt>
                <c:pt idx="8">
                  <c:v>#N/A</c:v>
                </c:pt>
                <c:pt idx="9">
                  <c:v>#N/A</c:v>
                </c:pt>
                <c:pt idx="10">
                  <c:v>#N/A</c:v>
                </c:pt>
                <c:pt idx="11">
                  <c:v>#N/A</c:v>
                </c:pt>
                <c:pt idx="12">
                  <c:v>#N/A</c:v>
                </c:pt>
                <c:pt idx="13">
                  <c:v>#N/A</c:v>
                </c:pt>
                <c:pt idx="14">
                  <c:v>#N/A</c:v>
                </c:pt>
                <c:pt idx="15">
                  <c:v>#N/A</c:v>
                </c:pt>
                <c:pt idx="16">
                  <c:v>#N/A</c:v>
                </c:pt>
              </c:numCache>
            </c:numRef>
          </c:yVal>
          <c:smooth val="0"/>
          <c:extLst>
            <c:ext xmlns:c16="http://schemas.microsoft.com/office/drawing/2014/chart" uri="{C3380CC4-5D6E-409C-BE32-E72D297353CC}">
              <c16:uniqueId val="{00000001-E5EC-43BA-8A31-581D8D87B893}"/>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'4.02'!$A$14</c:f>
              <c:strCache>
                <c:ptCount val="1"/>
                <c:pt idx="0">
                  <c:v>Total Production &amp; Transmission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'4.02'!$B$9:$R$9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'4.02'!$B$14:$R$14</c:f>
              <c:numCache>
                <c:formatCode>_(* #,##0_);_(* \(#,##0\);_(* "-"??_);_(@_)</c:formatCode>
                <c:ptCount val="17"/>
                <c:pt idx="0">
                  <c:v>14850</c:v>
                </c:pt>
                <c:pt idx="1">
                  <c:v>15202</c:v>
                </c:pt>
                <c:pt idx="2">
                  <c:v>20157</c:v>
                </c:pt>
                <c:pt idx="3">
                  <c:v>20523</c:v>
                </c:pt>
                <c:pt idx="4">
                  <c:v>22312</c:v>
                </c:pt>
                <c:pt idx="5">
                  <c:v>22629</c:v>
                </c:pt>
                <c:pt idx="6">
                  <c:v>24577</c:v>
                </c:pt>
                <c:pt idx="7">
                  <c:v>24877</c:v>
                </c:pt>
                <c:pt idx="8">
                  <c:v>23076</c:v>
                </c:pt>
                <c:pt idx="9">
                  <c:v>23969</c:v>
                </c:pt>
                <c:pt idx="10">
                  <c:v>25008</c:v>
                </c:pt>
                <c:pt idx="11">
                  <c:v>25158</c:v>
                </c:pt>
                <c:pt idx="12">
                  <c:v>25872</c:v>
                </c:pt>
                <c:pt idx="13">
                  <c:v>23284</c:v>
                </c:pt>
                <c:pt idx="14">
                  <c:v>23715</c:v>
                </c:pt>
                <c:pt idx="15">
                  <c:v>24947</c:v>
                </c:pt>
                <c:pt idx="16">
                  <c:v>26677</c:v>
                </c:pt>
              </c:numCache>
            </c:numRef>
          </c:yVal>
          <c:smooth val="0"/>
          <c:extLst>
            <c:ext xmlns:c16="http://schemas.microsoft.com/office/drawing/2014/chart" uri="{C3380CC4-5D6E-409C-BE32-E72D297353CC}">
              <c16:uniqueId val="{00000000-DD22-4D5A-ADDF-6A848E863371}"/>
            </c:ext>
          </c:extLst>
        </c:ser>
        <c:ser>
          <c:idx val="1"/>
          <c:order val="1"/>
          <c:tx>
            <c:strRef>
              <c:f>'4.02'!$A$68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'4.02'!$B$75:$R$75</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#N/A</c:v>
                </c:pt>
                <c:pt idx="12">
                  <c:v>#N/A</c:v>
                </c:pt>
                <c:pt idx="13">
                  <c:v>#N/A</c:v>
                </c:pt>
                <c:pt idx="14">
                  <c:v>#N/A</c:v>
                </c:pt>
                <c:pt idx="15">
                  <c:v>#N/A</c:v>
                </c:pt>
                <c:pt idx="16">
                  <c:v>#N/A</c:v>
                </c:pt>
              </c:numCache>
            </c:numRef>
          </c:xVal>
          <c:yVal>
            <c:numRef>
              <c:f>'4.02'!$B$76:$R$76</c:f>
              <c:numCache>
                <c:formatCode>_(* #,##0_);_(* \(#,##0\);_(* "-"_);_(@_)</c:formatCode>
                <c:ptCount val="17"/>
                <c:pt idx="0">
                  <c:v>24577</c:v>
                </c:pt>
                <c:pt idx="1">
                  <c:v>24877</c:v>
                </c:pt>
                <c:pt idx="2">
                  <c:v>23076</c:v>
                </c:pt>
                <c:pt idx="3">
                  <c:v>23969</c:v>
                </c:pt>
                <c:pt idx="4">
                  <c:v>25008</c:v>
                </c:pt>
                <c:pt idx="5">
                  <c:v>25158</c:v>
                </c:pt>
                <c:pt idx="6">
                  <c:v>25872</c:v>
                </c:pt>
                <c:pt idx="7">
                  <c:v>23284</c:v>
                </c:pt>
                <c:pt idx="8">
                  <c:v>23715</c:v>
                </c:pt>
                <c:pt idx="9">
                  <c:v>24947</c:v>
                </c:pt>
                <c:pt idx="10">
                  <c:v>26677</c:v>
                </c:pt>
                <c:pt idx="11">
                  <c:v>#N/A</c:v>
                </c:pt>
                <c:pt idx="12">
                  <c:v>#N/A</c:v>
                </c:pt>
                <c:pt idx="13">
                  <c:v>#N/A</c:v>
                </c:pt>
                <c:pt idx="14">
                  <c:v>#N/A</c:v>
                </c:pt>
                <c:pt idx="15">
                  <c:v>#N/A</c:v>
                </c:pt>
                <c:pt idx="16">
                  <c:v>#N/A</c:v>
                </c:pt>
              </c:numCache>
            </c:numRef>
          </c:yVal>
          <c:smooth val="0"/>
          <c:extLst>
            <c:ext xmlns:c16="http://schemas.microsoft.com/office/drawing/2014/chart" uri="{C3380CC4-5D6E-409C-BE32-E72D297353CC}">
              <c16:uniqueId val="{00000001-DD22-4D5A-ADDF-6A848E863371}"/>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'4.03'!$A$13</c:f>
              <c:strCache>
                <c:ptCount val="1"/>
                <c:pt idx="0">
                  <c:v>Total Production &amp; Transmission Taxes Other Than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'4.03'!$B$9:$R$9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'4.03'!$B$13:$R$13</c:f>
              <c:numCache>
                <c:formatCode>_(* #,##0_);_(* \(#,##0\);_(* "-"??_);_(@_)</c:formatCode>
                <c:ptCount val="17"/>
                <c:pt idx="0">
                  <c:v>9346</c:v>
                </c:pt>
                <c:pt idx="1">
                  <c:v>5139</c:v>
                </c:pt>
                <c:pt idx="2">
                  <c:v>7164</c:v>
                </c:pt>
                <c:pt idx="3">
                  <c:v>6722</c:v>
                </c:pt>
                <c:pt idx="4">
                  <c:v>7283</c:v>
                </c:pt>
                <c:pt idx="5">
                  <c:v>9900</c:v>
                </c:pt>
                <c:pt idx="6">
                  <c:v>9115</c:v>
                </c:pt>
                <c:pt idx="7">
                  <c:v>8319</c:v>
                </c:pt>
                <c:pt idx="8">
                  <c:v>8146</c:v>
                </c:pt>
                <c:pt idx="9">
                  <c:v>9014</c:v>
                </c:pt>
                <c:pt idx="10">
                  <c:v>9955</c:v>
                </c:pt>
                <c:pt idx="11">
                  <c:v>10846</c:v>
                </c:pt>
                <c:pt idx="12">
                  <c:v>11456</c:v>
                </c:pt>
                <c:pt idx="13">
                  <c:v>12913</c:v>
                </c:pt>
                <c:pt idx="14">
                  <c:v>12828</c:v>
                </c:pt>
                <c:pt idx="15">
                  <c:v>14133</c:v>
                </c:pt>
                <c:pt idx="16">
                  <c:v>14654</c:v>
                </c:pt>
              </c:numCache>
            </c:numRef>
          </c:yVal>
          <c:smooth val="0"/>
          <c:extLst>
            <c:ext xmlns:c16="http://schemas.microsoft.com/office/drawing/2014/chart" uri="{C3380CC4-5D6E-409C-BE32-E72D297353CC}">
              <c16:uniqueId val="{00000000-3D64-4DB6-A327-10E81814E840}"/>
            </c:ext>
          </c:extLst>
        </c:ser>
        <c:ser>
          <c:idx val="1"/>
          <c:order val="1"/>
          <c:tx>
            <c:strRef>
              <c:f>'4.03'!$A$68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'4.03'!$B$75:$R$75</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#N/A</c:v>
                </c:pt>
                <c:pt idx="11">
                  <c:v>#N/A</c:v>
                </c:pt>
                <c:pt idx="12">
                  <c:v>#N/A</c:v>
                </c:pt>
                <c:pt idx="13">
                  <c:v>#N/A</c:v>
                </c:pt>
                <c:pt idx="14">
                  <c:v>#N/A</c:v>
                </c:pt>
                <c:pt idx="15">
                  <c:v>#N/A</c:v>
                </c:pt>
                <c:pt idx="16">
                  <c:v>#N/A</c:v>
                </c:pt>
              </c:numCache>
            </c:numRef>
          </c:xVal>
          <c:yVal>
            <c:numRef>
              <c:f>'4.03'!$B$76:$R$76</c:f>
              <c:numCache>
                <c:formatCode>_(* #,##0_);_(* \(#,##0\);_(* "-"_);_(@_)</c:formatCode>
                <c:ptCount val="17"/>
                <c:pt idx="0">
                  <c:v>8319</c:v>
                </c:pt>
                <c:pt idx="1">
                  <c:v>8146</c:v>
                </c:pt>
                <c:pt idx="2">
                  <c:v>9014</c:v>
                </c:pt>
                <c:pt idx="3">
                  <c:v>9955</c:v>
                </c:pt>
                <c:pt idx="4">
                  <c:v>10846</c:v>
                </c:pt>
                <c:pt idx="5">
                  <c:v>11456</c:v>
                </c:pt>
                <c:pt idx="6">
                  <c:v>12913</c:v>
                </c:pt>
                <c:pt idx="7">
                  <c:v>12828</c:v>
                </c:pt>
                <c:pt idx="8">
                  <c:v>14133</c:v>
                </c:pt>
                <c:pt idx="9">
                  <c:v>14654</c:v>
                </c:pt>
                <c:pt idx="10">
                  <c:v>#N/A</c:v>
                </c:pt>
                <c:pt idx="11">
                  <c:v>#N/A</c:v>
                </c:pt>
                <c:pt idx="12">
                  <c:v>#N/A</c:v>
                </c:pt>
                <c:pt idx="13">
                  <c:v>#N/A</c:v>
                </c:pt>
                <c:pt idx="14">
                  <c:v>#N/A</c:v>
                </c:pt>
                <c:pt idx="15">
                  <c:v>#N/A</c:v>
                </c:pt>
                <c:pt idx="16">
                  <c:v>#N/A</c:v>
                </c:pt>
              </c:numCache>
            </c:numRef>
          </c:yVal>
          <c:smooth val="0"/>
          <c:extLst>
            <c:ext xmlns:c16="http://schemas.microsoft.com/office/drawing/2014/chart" uri="{C3380CC4-5D6E-409C-BE32-E72D297353CC}">
              <c16:uniqueId val="{00000001-3D64-4DB6-A327-10E81814E840}"/>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'4.04'!$A$13</c:f>
              <c:strCache>
                <c:ptCount val="1"/>
                <c:pt idx="0">
                  <c:v>Total Distribution O&amp;M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'4.04'!$B$9:$R$9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'4.04'!$B$13:$R$13</c:f>
              <c:numCache>
                <c:formatCode>_(* #,##0_);_(* \(#,##0\);_(* "-"??_);_(@_)</c:formatCode>
                <c:ptCount val="17"/>
                <c:pt idx="0">
                  <c:v>9418</c:v>
                </c:pt>
                <c:pt idx="1">
                  <c:v>10560</c:v>
                </c:pt>
                <c:pt idx="2">
                  <c:v>9631</c:v>
                </c:pt>
                <c:pt idx="3">
                  <c:v>10171</c:v>
                </c:pt>
                <c:pt idx="4">
                  <c:v>12016</c:v>
                </c:pt>
                <c:pt idx="5">
                  <c:v>14263</c:v>
                </c:pt>
                <c:pt idx="6">
                  <c:v>15485</c:v>
                </c:pt>
                <c:pt idx="7">
                  <c:v>14563</c:v>
                </c:pt>
                <c:pt idx="8">
                  <c:v>17329</c:v>
                </c:pt>
                <c:pt idx="9">
                  <c:v>17267</c:v>
                </c:pt>
                <c:pt idx="10">
                  <c:v>18354</c:v>
                </c:pt>
                <c:pt idx="11">
                  <c:v>19081</c:v>
                </c:pt>
                <c:pt idx="12">
                  <c:v>21152</c:v>
                </c:pt>
                <c:pt idx="13">
                  <c:v>20878</c:v>
                </c:pt>
                <c:pt idx="14">
                  <c:v>21299</c:v>
                </c:pt>
                <c:pt idx="15">
                  <c:v>24056</c:v>
                </c:pt>
                <c:pt idx="16">
                  <c:v>21415</c:v>
                </c:pt>
              </c:numCache>
            </c:numRef>
          </c:yVal>
          <c:smooth val="0"/>
          <c:extLst>
            <c:ext xmlns:c16="http://schemas.microsoft.com/office/drawing/2014/chart" uri="{C3380CC4-5D6E-409C-BE32-E72D297353CC}">
              <c16:uniqueId val="{00000000-5F7F-4DF8-8EF7-F51B64218E7C}"/>
            </c:ext>
          </c:extLst>
        </c:ser>
        <c:ser>
          <c:idx val="1"/>
          <c:order val="1"/>
          <c:tx>
            <c:strRef>
              <c:f>'4.04'!$A$68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'4.04'!$B$75:$R$75</c:f>
              <c:numCache>
                <c:formatCode>General</c:formatCode>
                <c:ptCount val="17"/>
                <c:pt idx="0">
                  <c:v>2011</c:v>
                </c:pt>
                <c:pt idx="1">
                  <c:v>2012</c:v>
                </c:pt>
                <c:pt idx="2">
                  <c:v>2013</c:v>
                </c:pt>
                <c:pt idx="3">
                  <c:v>2014</c:v>
                </c:pt>
                <c:pt idx="4">
                  <c:v>2016</c:v>
                </c:pt>
                <c:pt idx="5">
                  <c:v>#N/A</c:v>
                </c:pt>
                <c:pt idx="6">
                  <c:v>#N/A</c:v>
                </c:pt>
                <c:pt idx="7">
                  <c:v>#N/A</c:v>
                </c:pt>
                <c:pt idx="8">
                  <c:v>#N/A</c:v>
                </c:pt>
                <c:pt idx="9">
                  <c:v>#N/A</c:v>
                </c:pt>
                <c:pt idx="10">
                  <c:v>#N/A</c:v>
                </c:pt>
                <c:pt idx="11">
                  <c:v>#N/A</c:v>
                </c:pt>
                <c:pt idx="12">
                  <c:v>#N/A</c:v>
                </c:pt>
                <c:pt idx="13">
                  <c:v>#N/A</c:v>
                </c:pt>
                <c:pt idx="14">
                  <c:v>#N/A</c:v>
                </c:pt>
                <c:pt idx="15">
                  <c:v>#N/A</c:v>
                </c:pt>
                <c:pt idx="16">
                  <c:v>#N/A</c:v>
                </c:pt>
              </c:numCache>
            </c:numRef>
          </c:xVal>
          <c:yVal>
            <c:numRef>
              <c:f>'4.04'!$B$76:$R$76</c:f>
              <c:numCache>
                <c:formatCode>_(* #,##0_);_(* \(#,##0\);_(* "-"_);_(@_)</c:formatCode>
                <c:ptCount val="17"/>
                <c:pt idx="0">
                  <c:v>19081</c:v>
                </c:pt>
                <c:pt idx="1">
                  <c:v>21152</c:v>
                </c:pt>
                <c:pt idx="2">
                  <c:v>20878</c:v>
                </c:pt>
                <c:pt idx="3">
                  <c:v>21299</c:v>
                </c:pt>
                <c:pt idx="4">
                  <c:v>21415</c:v>
                </c:pt>
                <c:pt idx="5">
                  <c:v>#N/A</c:v>
                </c:pt>
                <c:pt idx="6">
                  <c:v>#N/A</c:v>
                </c:pt>
                <c:pt idx="7">
                  <c:v>#N/A</c:v>
                </c:pt>
                <c:pt idx="8">
                  <c:v>#N/A</c:v>
                </c:pt>
                <c:pt idx="9">
                  <c:v>#N/A</c:v>
                </c:pt>
                <c:pt idx="10">
                  <c:v>#N/A</c:v>
                </c:pt>
                <c:pt idx="11">
                  <c:v>#N/A</c:v>
                </c:pt>
                <c:pt idx="12">
                  <c:v>#N/A</c:v>
                </c:pt>
                <c:pt idx="13">
                  <c:v>#N/A</c:v>
                </c:pt>
                <c:pt idx="14">
                  <c:v>#N/A</c:v>
                </c:pt>
                <c:pt idx="15">
                  <c:v>#N/A</c:v>
                </c:pt>
                <c:pt idx="16">
                  <c:v>#N/A</c:v>
                </c:pt>
              </c:numCache>
            </c:numRef>
          </c:yVal>
          <c:smooth val="0"/>
          <c:extLst>
            <c:ext xmlns:c16="http://schemas.microsoft.com/office/drawing/2014/chart" uri="{C3380CC4-5D6E-409C-BE32-E72D297353CC}">
              <c16:uniqueId val="{00000001-5F7F-4DF8-8EF7-F51B64218E7C}"/>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'4.05'!$A$13</c:f>
              <c:strCache>
                <c:ptCount val="1"/>
                <c:pt idx="0">
                  <c:v>Total Distribution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'4.05'!$B$9:$R$9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6">
                  <c:v>2015</c:v>
                </c:pt>
              </c:numCache>
            </c:numRef>
          </c:xVal>
          <c:yVal>
            <c:numRef>
              <c:f>'4.05'!$B$13:$R$13</c:f>
              <c:numCache>
                <c:formatCode>_(* #,##0_);_(* \(#,##0\);_(* "-"??_);_(@_)</c:formatCode>
                <c:ptCount val="17"/>
                <c:pt idx="0">
                  <c:v>9056</c:v>
                </c:pt>
                <c:pt idx="1">
                  <c:v>9178</c:v>
                </c:pt>
                <c:pt idx="2">
                  <c:v>9427</c:v>
                </c:pt>
                <c:pt idx="3">
                  <c:v>9752</c:v>
                </c:pt>
                <c:pt idx="4">
                  <c:v>10067</c:v>
                </c:pt>
                <c:pt idx="5">
                  <c:v>10399</c:v>
                </c:pt>
                <c:pt idx="6">
                  <c:v>10776</c:v>
                </c:pt>
                <c:pt idx="7">
                  <c:v>11333</c:v>
                </c:pt>
                <c:pt idx="8">
                  <c:v>15611</c:v>
                </c:pt>
                <c:pt idx="9">
                  <c:v>16809</c:v>
                </c:pt>
                <c:pt idx="10">
                  <c:v>17985</c:v>
                </c:pt>
                <c:pt idx="11">
                  <c:v>19240</c:v>
                </c:pt>
                <c:pt idx="12">
                  <c:v>20749</c:v>
                </c:pt>
                <c:pt idx="13">
                  <c:v>22303</c:v>
                </c:pt>
                <c:pt idx="14">
                  <c:v>23794</c:v>
                </c:pt>
                <c:pt idx="16">
                  <c:v>25379</c:v>
                </c:pt>
              </c:numCache>
            </c:numRef>
          </c:yVal>
          <c:smooth val="0"/>
          <c:extLst>
            <c:ext xmlns:c16="http://schemas.microsoft.com/office/drawing/2014/chart" uri="{C3380CC4-5D6E-409C-BE32-E72D297353CC}">
              <c16:uniqueId val="{00000000-F30D-4E67-8D1A-32DAE87CF51F}"/>
            </c:ext>
          </c:extLst>
        </c:ser>
        <c:ser>
          <c:idx val="1"/>
          <c:order val="1"/>
          <c:tx>
            <c:strRef>
              <c:f>'4.05'!$A$68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'4.05'!$B$75:$R$75</c:f>
              <c:numCache>
                <c:formatCode>General</c:formatCode>
                <c:ptCount val="17"/>
                <c:pt idx="0">
                  <c:v>2008</c:v>
                </c:pt>
                <c:pt idx="1">
                  <c:v>2009</c:v>
                </c:pt>
                <c:pt idx="2">
                  <c:v>2010</c:v>
                </c:pt>
                <c:pt idx="3">
                  <c:v>2011</c:v>
                </c:pt>
                <c:pt idx="4">
                  <c:v>2012</c:v>
                </c:pt>
                <c:pt idx="5">
                  <c:v>2013</c:v>
                </c:pt>
                <c:pt idx="6">
                  <c:v>2014</c:v>
                </c:pt>
                <c:pt idx="7">
                  <c:v>2015</c:v>
                </c:pt>
                <c:pt idx="8">
                  <c:v>#N/A</c:v>
                </c:pt>
                <c:pt idx="9">
                  <c:v>#N/A</c:v>
                </c:pt>
                <c:pt idx="10">
                  <c:v>#N/A</c:v>
                </c:pt>
                <c:pt idx="11">
                  <c:v>#N/A</c:v>
                </c:pt>
                <c:pt idx="12">
                  <c:v>#N/A</c:v>
                </c:pt>
                <c:pt idx="13">
                  <c:v>#N/A</c:v>
                </c:pt>
                <c:pt idx="14">
                  <c:v>#N/A</c:v>
                </c:pt>
                <c:pt idx="16">
                  <c:v>#N/A</c:v>
                </c:pt>
              </c:numCache>
            </c:numRef>
          </c:xVal>
          <c:yVal>
            <c:numRef>
              <c:f>'4.05'!$B$76:$R$76</c:f>
              <c:numCache>
                <c:formatCode>_(* #,##0_);_(* \(#,##0\);_(* "-"_);_(@_)</c:formatCode>
                <c:ptCount val="17"/>
                <c:pt idx="0">
                  <c:v>15611</c:v>
                </c:pt>
                <c:pt idx="1">
                  <c:v>16809</c:v>
                </c:pt>
                <c:pt idx="2">
                  <c:v>17985</c:v>
                </c:pt>
                <c:pt idx="3">
                  <c:v>19240</c:v>
                </c:pt>
                <c:pt idx="4">
                  <c:v>20749</c:v>
                </c:pt>
                <c:pt idx="5">
                  <c:v>22303</c:v>
                </c:pt>
                <c:pt idx="6">
                  <c:v>23794</c:v>
                </c:pt>
                <c:pt idx="7">
                  <c:v>25379</c:v>
                </c:pt>
                <c:pt idx="8">
                  <c:v>#N/A</c:v>
                </c:pt>
                <c:pt idx="9">
                  <c:v>#N/A</c:v>
                </c:pt>
                <c:pt idx="10">
                  <c:v>#N/A</c:v>
                </c:pt>
                <c:pt idx="11">
                  <c:v>#N/A</c:v>
                </c:pt>
                <c:pt idx="12">
                  <c:v>#N/A</c:v>
                </c:pt>
                <c:pt idx="13">
                  <c:v>#N/A</c:v>
                </c:pt>
                <c:pt idx="14">
                  <c:v>#N/A</c:v>
                </c:pt>
                <c:pt idx="16">
                  <c:v>#N/A</c:v>
                </c:pt>
              </c:numCache>
            </c:numRef>
          </c:yVal>
          <c:smooth val="0"/>
          <c:extLst>
            <c:ext xmlns:c16="http://schemas.microsoft.com/office/drawing/2014/chart" uri="{C3380CC4-5D6E-409C-BE32-E72D297353CC}">
              <c16:uniqueId val="{00000001-F30D-4E67-8D1A-32DAE87CF51F}"/>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'4.06'!$A$16</c:f>
              <c:strCache>
                <c:ptCount val="1"/>
                <c:pt idx="0">
                  <c:v>Total Distribution Taxes Other Than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'4.06'!$B$9:$R$9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6">
                  <c:v>2015</c:v>
                </c:pt>
              </c:numCache>
            </c:numRef>
          </c:xVal>
          <c:yVal>
            <c:numRef>
              <c:f>'4.06'!$B$16:$R$16</c:f>
              <c:numCache>
                <c:formatCode>_(* #,##0_);_(* \(#,##0\);_(* "-"??_);_(@_)</c:formatCode>
                <c:ptCount val="17"/>
                <c:pt idx="0">
                  <c:v>12226.044766581002</c:v>
                </c:pt>
                <c:pt idx="1">
                  <c:v>15314.293178080956</c:v>
                </c:pt>
                <c:pt idx="2">
                  <c:v>17054.468966139633</c:v>
                </c:pt>
                <c:pt idx="3">
                  <c:v>17294.439236134796</c:v>
                </c:pt>
                <c:pt idx="4">
                  <c:v>17417.67657666828</c:v>
                </c:pt>
                <c:pt idx="5">
                  <c:v>15100.242027012879</c:v>
                </c:pt>
                <c:pt idx="6">
                  <c:v>16456.588744634071</c:v>
                </c:pt>
                <c:pt idx="7">
                  <c:v>16112.193309601089</c:v>
                </c:pt>
                <c:pt idx="8">
                  <c:v>17072.167948905873</c:v>
                </c:pt>
                <c:pt idx="9">
                  <c:v>17615.424405821377</c:v>
                </c:pt>
                <c:pt idx="10">
                  <c:v>19494.477627473563</c:v>
                </c:pt>
                <c:pt idx="11">
                  <c:v>21833.513135797297</c:v>
                </c:pt>
                <c:pt idx="12">
                  <c:v>22352.624334624645</c:v>
                </c:pt>
                <c:pt idx="13">
                  <c:v>23809</c:v>
                </c:pt>
                <c:pt idx="14">
                  <c:v>25821</c:v>
                </c:pt>
                <c:pt idx="16">
                  <c:v>27448</c:v>
                </c:pt>
              </c:numCache>
            </c:numRef>
          </c:yVal>
          <c:smooth val="0"/>
          <c:extLst>
            <c:ext xmlns:c16="http://schemas.microsoft.com/office/drawing/2014/chart" uri="{C3380CC4-5D6E-409C-BE32-E72D297353CC}">
              <c16:uniqueId val="{00000000-9ABD-43CA-B7F4-20D073BCDC99}"/>
            </c:ext>
          </c:extLst>
        </c:ser>
        <c:ser>
          <c:idx val="1"/>
          <c:order val="1"/>
          <c:tx>
            <c:strRef>
              <c:f>'4.06'!$A$68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'4.06'!$B$75:$R$75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#N/A</c:v>
                </c:pt>
                <c:pt idx="12">
                  <c:v>#N/A</c:v>
                </c:pt>
                <c:pt idx="13">
                  <c:v>#N/A</c:v>
                </c:pt>
                <c:pt idx="14">
                  <c:v>#N/A</c:v>
                </c:pt>
                <c:pt idx="16">
                  <c:v>#N/A</c:v>
                </c:pt>
              </c:numCache>
            </c:numRef>
          </c:xVal>
          <c:yVal>
            <c:numRef>
              <c:f>'4.06'!$B$76:$R$76</c:f>
              <c:numCache>
                <c:formatCode>_(* #,##0_);_(* \(#,##0\);_(* "-"_);_(@_)</c:formatCode>
                <c:ptCount val="17"/>
                <c:pt idx="0">
                  <c:v>15100.242027012879</c:v>
                </c:pt>
                <c:pt idx="1">
                  <c:v>16456.588744634071</c:v>
                </c:pt>
                <c:pt idx="2">
                  <c:v>16112.193309601089</c:v>
                </c:pt>
                <c:pt idx="3">
                  <c:v>17072.167948905873</c:v>
                </c:pt>
                <c:pt idx="4">
                  <c:v>17615.424405821377</c:v>
                </c:pt>
                <c:pt idx="5">
                  <c:v>19494.477627473563</c:v>
                </c:pt>
                <c:pt idx="6">
                  <c:v>21833.513135797297</c:v>
                </c:pt>
                <c:pt idx="7">
                  <c:v>22352.624334624645</c:v>
                </c:pt>
                <c:pt idx="8">
                  <c:v>23809</c:v>
                </c:pt>
                <c:pt idx="9">
                  <c:v>25821</c:v>
                </c:pt>
                <c:pt idx="10">
                  <c:v>27448</c:v>
                </c:pt>
                <c:pt idx="11">
                  <c:v>#N/A</c:v>
                </c:pt>
                <c:pt idx="12">
                  <c:v>#N/A</c:v>
                </c:pt>
                <c:pt idx="13">
                  <c:v>#N/A</c:v>
                </c:pt>
                <c:pt idx="14">
                  <c:v>#N/A</c:v>
                </c:pt>
                <c:pt idx="16">
                  <c:v>#N/A</c:v>
                </c:pt>
              </c:numCache>
            </c:numRef>
          </c:yVal>
          <c:smooth val="0"/>
          <c:extLst>
            <c:ext xmlns:c16="http://schemas.microsoft.com/office/drawing/2014/chart" uri="{C3380CC4-5D6E-409C-BE32-E72D297353CC}">
              <c16:uniqueId val="{00000001-9ABD-43CA-B7F4-20D073BCDC99}"/>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'4.07'!$A$17</c:f>
              <c:strCache>
                <c:ptCount val="1"/>
                <c:pt idx="0">
                  <c:v>Total Customer Accounting and Sales</c:v>
                </c:pt>
              </c:strCache>
            </c:strRef>
          </c:tx>
          <c:spPr>
            <a:ln w="28575" cap="rnd">
              <a:noFill/>
              <a:round/>
            </a:ln>
            <a:effectLst/>
          </c:spPr>
          <c:marker>
            <c:symbol val="dash"/>
            <c:size val="11"/>
            <c:spPr>
              <a:solidFill>
                <a:schemeClr val="accent1"/>
              </a:solidFill>
              <a:ln w="9525">
                <a:solidFill>
                  <a:schemeClr val="accent1"/>
                </a:solidFill>
              </a:ln>
              <a:effectLst/>
            </c:spPr>
          </c:marker>
          <c:xVal>
            <c:numRef>
              <c:f>'4.07'!$B$9:$R$9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6">
                  <c:v>2015</c:v>
                </c:pt>
              </c:numCache>
            </c:numRef>
          </c:xVal>
          <c:yVal>
            <c:numRef>
              <c:f>'4.07'!$B$17:$R$17</c:f>
              <c:numCache>
                <c:formatCode>_(* #,##0_);_(* \(#,##0\);_(* "-"??_);_(@_)</c:formatCode>
                <c:ptCount val="17"/>
                <c:pt idx="0">
                  <c:v>6930.1242099474994</c:v>
                </c:pt>
                <c:pt idx="1">
                  <c:v>16170.74946140535</c:v>
                </c:pt>
                <c:pt idx="2">
                  <c:v>17633.995292478143</c:v>
                </c:pt>
                <c:pt idx="3">
                  <c:v>18021.442690696083</c:v>
                </c:pt>
                <c:pt idx="4">
                  <c:v>18089.850867260688</c:v>
                </c:pt>
                <c:pt idx="5">
                  <c:v>15430.626573133703</c:v>
                </c:pt>
                <c:pt idx="6">
                  <c:v>16980.827860956968</c:v>
                </c:pt>
                <c:pt idx="7">
                  <c:v>16833.072002931629</c:v>
                </c:pt>
                <c:pt idx="8">
                  <c:v>17948.320900429273</c:v>
                </c:pt>
                <c:pt idx="9">
                  <c:v>18808.438749869121</c:v>
                </c:pt>
                <c:pt idx="10">
                  <c:v>20144.869351900325</c:v>
                </c:pt>
                <c:pt idx="11">
                  <c:v>22392.636377342686</c:v>
                </c:pt>
                <c:pt idx="12">
                  <c:v>22665.034758664016</c:v>
                </c:pt>
                <c:pt idx="13">
                  <c:v>23814</c:v>
                </c:pt>
                <c:pt idx="14">
                  <c:v>25821</c:v>
                </c:pt>
                <c:pt idx="16">
                  <c:v>27448</c:v>
                </c:pt>
              </c:numCache>
            </c:numRef>
          </c:yVal>
          <c:smooth val="0"/>
          <c:extLst>
            <c:ext xmlns:c16="http://schemas.microsoft.com/office/drawing/2014/chart" uri="{C3380CC4-5D6E-409C-BE32-E72D297353CC}">
              <c16:uniqueId val="{00000000-D3C3-4364-84F7-1E3A53875E27}"/>
            </c:ext>
          </c:extLst>
        </c:ser>
        <c:ser>
          <c:idx val="1"/>
          <c:order val="1"/>
          <c:tx>
            <c:strRef>
              <c:f>'4.07'!$A$68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'4.07'!$B$75:$R$75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#N/A</c:v>
                </c:pt>
                <c:pt idx="12">
                  <c:v>#N/A</c:v>
                </c:pt>
                <c:pt idx="13">
                  <c:v>#N/A</c:v>
                </c:pt>
                <c:pt idx="14">
                  <c:v>#N/A</c:v>
                </c:pt>
                <c:pt idx="16">
                  <c:v>#N/A</c:v>
                </c:pt>
              </c:numCache>
            </c:numRef>
          </c:xVal>
          <c:yVal>
            <c:numRef>
              <c:f>'4.07'!$B$76:$R$76</c:f>
              <c:numCache>
                <c:formatCode>_(* #,##0_);_(* \(#,##0\);_(* "-"_);_(@_)</c:formatCode>
                <c:ptCount val="17"/>
                <c:pt idx="0">
                  <c:v>15430.626573133703</c:v>
                </c:pt>
                <c:pt idx="1">
                  <c:v>16980.827860956968</c:v>
                </c:pt>
                <c:pt idx="2">
                  <c:v>16833.072002931629</c:v>
                </c:pt>
                <c:pt idx="3">
                  <c:v>17948.320900429273</c:v>
                </c:pt>
                <c:pt idx="4">
                  <c:v>18808.438749869121</c:v>
                </c:pt>
                <c:pt idx="5">
                  <c:v>20144.869351900325</c:v>
                </c:pt>
                <c:pt idx="6">
                  <c:v>22392.636377342686</c:v>
                </c:pt>
                <c:pt idx="7">
                  <c:v>22665.034758664016</c:v>
                </c:pt>
                <c:pt idx="8">
                  <c:v>23814</c:v>
                </c:pt>
                <c:pt idx="9">
                  <c:v>25821</c:v>
                </c:pt>
                <c:pt idx="10">
                  <c:v>27448</c:v>
                </c:pt>
                <c:pt idx="11">
                  <c:v>#N/A</c:v>
                </c:pt>
                <c:pt idx="12">
                  <c:v>#N/A</c:v>
                </c:pt>
                <c:pt idx="13">
                  <c:v>#N/A</c:v>
                </c:pt>
                <c:pt idx="14">
                  <c:v>#N/A</c:v>
                </c:pt>
                <c:pt idx="16">
                  <c:v>#N/A</c:v>
                </c:pt>
              </c:numCache>
            </c:numRef>
          </c:yVal>
          <c:smooth val="0"/>
          <c:extLst>
            <c:ext xmlns:c16="http://schemas.microsoft.com/office/drawing/2014/chart" uri="{C3380CC4-5D6E-409C-BE32-E72D297353CC}">
              <c16:uniqueId val="{00000001-D3C3-4364-84F7-1E3A53875E27}"/>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'4.08'!$A$15</c:f>
              <c:strCache>
                <c:ptCount val="1"/>
                <c:pt idx="0">
                  <c:v>Total Customer Service and Information</c:v>
                </c:pt>
              </c:strCache>
            </c:strRef>
          </c:tx>
          <c:spPr>
            <a:ln w="28575" cap="rnd">
              <a:noFill/>
              <a:round/>
            </a:ln>
            <a:effectLst/>
          </c:spPr>
          <c:marker>
            <c:symbol val="dash"/>
            <c:size val="11"/>
            <c:spPr>
              <a:solidFill>
                <a:schemeClr val="accent1"/>
              </a:solidFill>
              <a:ln w="9525">
                <a:solidFill>
                  <a:schemeClr val="accent1"/>
                </a:solidFill>
              </a:ln>
              <a:effectLst/>
            </c:spPr>
          </c:marker>
          <c:xVal>
            <c:numRef>
              <c:f>'4.08'!$B$9:$R$9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'4.08'!$B$15:$R$15</c:f>
              <c:numCache>
                <c:formatCode>_(* #,##0_);_(* \(#,##0\);_(* "-"??_);_(@_)</c:formatCode>
                <c:ptCount val="17"/>
                <c:pt idx="0">
                  <c:v>2261</c:v>
                </c:pt>
                <c:pt idx="1">
                  <c:v>307</c:v>
                </c:pt>
                <c:pt idx="2">
                  <c:v>197</c:v>
                </c:pt>
                <c:pt idx="3">
                  <c:v>490</c:v>
                </c:pt>
                <c:pt idx="4">
                  <c:v>-6481</c:v>
                </c:pt>
                <c:pt idx="5">
                  <c:v>519</c:v>
                </c:pt>
                <c:pt idx="6">
                  <c:v>-5421</c:v>
                </c:pt>
                <c:pt idx="7">
                  <c:v>805</c:v>
                </c:pt>
                <c:pt idx="8">
                  <c:v>755</c:v>
                </c:pt>
                <c:pt idx="9">
                  <c:v>856</c:v>
                </c:pt>
                <c:pt idx="10">
                  <c:v>1349</c:v>
                </c:pt>
                <c:pt idx="11">
                  <c:v>1190</c:v>
                </c:pt>
                <c:pt idx="12">
                  <c:v>1581</c:v>
                </c:pt>
                <c:pt idx="13">
                  <c:v>1516</c:v>
                </c:pt>
                <c:pt idx="14">
                  <c:v>1383</c:v>
                </c:pt>
                <c:pt idx="15">
                  <c:v>1454</c:v>
                </c:pt>
                <c:pt idx="16">
                  <c:v>1406</c:v>
                </c:pt>
              </c:numCache>
            </c:numRef>
          </c:yVal>
          <c:smooth val="0"/>
          <c:extLst>
            <c:ext xmlns:c16="http://schemas.microsoft.com/office/drawing/2014/chart" uri="{C3380CC4-5D6E-409C-BE32-E72D297353CC}">
              <c16:uniqueId val="{00000000-9CA0-4FD5-A68C-627FA67475DE}"/>
            </c:ext>
          </c:extLst>
        </c:ser>
        <c:ser>
          <c:idx val="1"/>
          <c:order val="1"/>
          <c:tx>
            <c:strRef>
              <c:f>'4.08'!$A$68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'4.08'!$B$75:$R$75</c:f>
              <c:numCache>
                <c:formatCode>General</c:formatCode>
                <c:ptCount val="17"/>
                <c:pt idx="0">
                  <c:v>2012</c:v>
                </c:pt>
                <c:pt idx="1">
                  <c:v>2013</c:v>
                </c:pt>
                <c:pt idx="2">
                  <c:v>2014</c:v>
                </c:pt>
                <c:pt idx="3">
                  <c:v>2015</c:v>
                </c:pt>
                <c:pt idx="4">
                  <c:v>2016</c:v>
                </c:pt>
                <c:pt idx="5">
                  <c:v>#N/A</c:v>
                </c:pt>
                <c:pt idx="6">
                  <c:v>#N/A</c:v>
                </c:pt>
                <c:pt idx="7">
                  <c:v>#N/A</c:v>
                </c:pt>
                <c:pt idx="8">
                  <c:v>#N/A</c:v>
                </c:pt>
                <c:pt idx="9">
                  <c:v>#N/A</c:v>
                </c:pt>
                <c:pt idx="10">
                  <c:v>#N/A</c:v>
                </c:pt>
                <c:pt idx="11">
                  <c:v>#N/A</c:v>
                </c:pt>
                <c:pt idx="12">
                  <c:v>#N/A</c:v>
                </c:pt>
                <c:pt idx="13">
                  <c:v>#N/A</c:v>
                </c:pt>
                <c:pt idx="14">
                  <c:v>#N/A</c:v>
                </c:pt>
                <c:pt idx="15">
                  <c:v>#N/A</c:v>
                </c:pt>
                <c:pt idx="16">
                  <c:v>#N/A</c:v>
                </c:pt>
              </c:numCache>
            </c:numRef>
          </c:xVal>
          <c:yVal>
            <c:numRef>
              <c:f>'4.08'!$B$76:$R$76</c:f>
              <c:numCache>
                <c:formatCode>_(* #,##0_);_(* \(#,##0\);_(* "-"_);_(@_)</c:formatCode>
                <c:ptCount val="17"/>
                <c:pt idx="0">
                  <c:v>1581</c:v>
                </c:pt>
                <c:pt idx="1">
                  <c:v>1516</c:v>
                </c:pt>
                <c:pt idx="2">
                  <c:v>1383</c:v>
                </c:pt>
                <c:pt idx="3">
                  <c:v>1454</c:v>
                </c:pt>
                <c:pt idx="4">
                  <c:v>1406</c:v>
                </c:pt>
                <c:pt idx="5">
                  <c:v>#N/A</c:v>
                </c:pt>
                <c:pt idx="6">
                  <c:v>#N/A</c:v>
                </c:pt>
                <c:pt idx="7">
                  <c:v>#N/A</c:v>
                </c:pt>
                <c:pt idx="8">
                  <c:v>#N/A</c:v>
                </c:pt>
                <c:pt idx="9">
                  <c:v>#N/A</c:v>
                </c:pt>
                <c:pt idx="10">
                  <c:v>#N/A</c:v>
                </c:pt>
                <c:pt idx="11">
                  <c:v>#N/A</c:v>
                </c:pt>
                <c:pt idx="12">
                  <c:v>#N/A</c:v>
                </c:pt>
                <c:pt idx="13">
                  <c:v>#N/A</c:v>
                </c:pt>
                <c:pt idx="14">
                  <c:v>#N/A</c:v>
                </c:pt>
                <c:pt idx="15">
                  <c:v>#N/A</c:v>
                </c:pt>
                <c:pt idx="16">
                  <c:v>#N/A</c:v>
                </c:pt>
              </c:numCache>
            </c:numRef>
          </c:yVal>
          <c:smooth val="0"/>
          <c:extLst>
            <c:ext xmlns:c16="http://schemas.microsoft.com/office/drawing/2014/chart" uri="{C3380CC4-5D6E-409C-BE32-E72D297353CC}">
              <c16:uniqueId val="{00000001-9CA0-4FD5-A68C-627FA67475DE}"/>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'4.09'!$A$15</c:f>
              <c:strCache>
                <c:ptCount val="1"/>
                <c:pt idx="0">
                  <c:v>Total Administrative &amp; General Operations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'4.09'!$B$9:$R$9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'4.09'!$B$15:$R$15</c:f>
              <c:numCache>
                <c:formatCode>_(* #,##0_);_(* \(#,##0\);_(* "-"??_);_(@_)</c:formatCode>
                <c:ptCount val="17"/>
                <c:pt idx="0">
                  <c:v>30377.705749451958</c:v>
                </c:pt>
                <c:pt idx="1">
                  <c:v>25094.322730740456</c:v>
                </c:pt>
                <c:pt idx="2">
                  <c:v>30307.039006530296</c:v>
                </c:pt>
                <c:pt idx="3">
                  <c:v>30153.438641135934</c:v>
                </c:pt>
                <c:pt idx="4">
                  <c:v>31927.866788464788</c:v>
                </c:pt>
                <c:pt idx="5">
                  <c:v>33148.821379960209</c:v>
                </c:pt>
                <c:pt idx="6">
                  <c:v>33155.758349911004</c:v>
                </c:pt>
                <c:pt idx="7">
                  <c:v>35841.727986598256</c:v>
                </c:pt>
                <c:pt idx="8">
                  <c:v>35964.167312323312</c:v>
                </c:pt>
                <c:pt idx="9">
                  <c:v>38429.851429169721</c:v>
                </c:pt>
                <c:pt idx="10">
                  <c:v>44634.277248455663</c:v>
                </c:pt>
                <c:pt idx="11">
                  <c:v>44746.811417862002</c:v>
                </c:pt>
                <c:pt idx="12">
                  <c:v>49315.431388964505</c:v>
                </c:pt>
                <c:pt idx="13">
                  <c:v>43310</c:v>
                </c:pt>
                <c:pt idx="14">
                  <c:v>46210</c:v>
                </c:pt>
                <c:pt idx="15">
                  <c:v>49942</c:v>
                </c:pt>
                <c:pt idx="16">
                  <c:v>48989</c:v>
                </c:pt>
              </c:numCache>
            </c:numRef>
          </c:yVal>
          <c:smooth val="0"/>
          <c:extLst>
            <c:ext xmlns:c16="http://schemas.microsoft.com/office/drawing/2014/chart" uri="{C3380CC4-5D6E-409C-BE32-E72D297353CC}">
              <c16:uniqueId val="{00000000-4D8A-45CD-854F-C99F071E8224}"/>
            </c:ext>
          </c:extLst>
        </c:ser>
        <c:ser>
          <c:idx val="1"/>
          <c:order val="1"/>
          <c:tx>
            <c:strRef>
              <c:f>'4.09'!$A$68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'4.09'!$B$75:$R$75</c:f>
              <c:numCache>
                <c:formatCode>General</c:formatCode>
                <c:ptCount val="17"/>
                <c:pt idx="0">
                  <c:v>2010</c:v>
                </c:pt>
                <c:pt idx="1">
                  <c:v>2011</c:v>
                </c:pt>
                <c:pt idx="2">
                  <c:v>2012</c:v>
                </c:pt>
                <c:pt idx="3">
                  <c:v>2013</c:v>
                </c:pt>
                <c:pt idx="4">
                  <c:v>2014</c:v>
                </c:pt>
                <c:pt idx="5">
                  <c:v>2015</c:v>
                </c:pt>
                <c:pt idx="6">
                  <c:v>2016</c:v>
                </c:pt>
                <c:pt idx="7">
                  <c:v>#N/A</c:v>
                </c:pt>
                <c:pt idx="8">
                  <c:v>#N/A</c:v>
                </c:pt>
                <c:pt idx="9">
                  <c:v>#N/A</c:v>
                </c:pt>
                <c:pt idx="10">
                  <c:v>#N/A</c:v>
                </c:pt>
                <c:pt idx="11">
                  <c:v>#N/A</c:v>
                </c:pt>
                <c:pt idx="12">
                  <c:v>#N/A</c:v>
                </c:pt>
                <c:pt idx="13">
                  <c:v>#N/A</c:v>
                </c:pt>
                <c:pt idx="14">
                  <c:v>#N/A</c:v>
                </c:pt>
                <c:pt idx="15">
                  <c:v>#N/A</c:v>
                </c:pt>
                <c:pt idx="16">
                  <c:v>#N/A</c:v>
                </c:pt>
              </c:numCache>
            </c:numRef>
          </c:xVal>
          <c:yVal>
            <c:numRef>
              <c:f>'4.09'!$B$76:$R$76</c:f>
              <c:numCache>
                <c:formatCode>_(* #,##0_);_(* \(#,##0\);_(* "-"_);_(@_)</c:formatCode>
                <c:ptCount val="17"/>
                <c:pt idx="0">
                  <c:v>44634.277248455663</c:v>
                </c:pt>
                <c:pt idx="1">
                  <c:v>44746.811417862002</c:v>
                </c:pt>
                <c:pt idx="2">
                  <c:v>49315.431388964505</c:v>
                </c:pt>
                <c:pt idx="3">
                  <c:v>43310</c:v>
                </c:pt>
                <c:pt idx="4">
                  <c:v>46210</c:v>
                </c:pt>
                <c:pt idx="5">
                  <c:v>49942</c:v>
                </c:pt>
                <c:pt idx="6">
                  <c:v>48989</c:v>
                </c:pt>
                <c:pt idx="7">
                  <c:v>#N/A</c:v>
                </c:pt>
                <c:pt idx="8">
                  <c:v>#N/A</c:v>
                </c:pt>
                <c:pt idx="9">
                  <c:v>#N/A</c:v>
                </c:pt>
                <c:pt idx="10">
                  <c:v>#N/A</c:v>
                </c:pt>
                <c:pt idx="11">
                  <c:v>#N/A</c:v>
                </c:pt>
                <c:pt idx="12">
                  <c:v>#N/A</c:v>
                </c:pt>
                <c:pt idx="13">
                  <c:v>#N/A</c:v>
                </c:pt>
                <c:pt idx="14">
                  <c:v>#N/A</c:v>
                </c:pt>
                <c:pt idx="15">
                  <c:v>#N/A</c:v>
                </c:pt>
                <c:pt idx="16">
                  <c:v>#N/A</c:v>
                </c:pt>
              </c:numCache>
            </c:numRef>
          </c:yVal>
          <c:smooth val="0"/>
          <c:extLst>
            <c:ext xmlns:c16="http://schemas.microsoft.com/office/drawing/2014/chart" uri="{C3380CC4-5D6E-409C-BE32-E72D297353CC}">
              <c16:uniqueId val="{00000001-4D8A-45CD-854F-C99F071E8224}"/>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'4.10'!$A$16</c:f>
              <c:strCache>
                <c:ptCount val="1"/>
                <c:pt idx="0">
                  <c:v>Total Administrative &amp; General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'4.10'!$B$9:$R$9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'4.10'!$B$16:$R$16</c:f>
              <c:numCache>
                <c:formatCode>_(* #,##0_);_(* \(#,##0\);_(* "-"??_);_(@_)</c:formatCode>
                <c:ptCount val="17"/>
                <c:pt idx="0">
                  <c:v>3990.7739644448829</c:v>
                </c:pt>
                <c:pt idx="1">
                  <c:v>4403.3508845754677</c:v>
                </c:pt>
                <c:pt idx="2">
                  <c:v>6593.2731107736772</c:v>
                </c:pt>
                <c:pt idx="3">
                  <c:v>6646.134592520224</c:v>
                </c:pt>
                <c:pt idx="4">
                  <c:v>6057.8396567265827</c:v>
                </c:pt>
                <c:pt idx="5">
                  <c:v>6523.1627054758665</c:v>
                </c:pt>
                <c:pt idx="6">
                  <c:v>6445.2213380797821</c:v>
                </c:pt>
                <c:pt idx="7">
                  <c:v>6725.0391582033299</c:v>
                </c:pt>
                <c:pt idx="8">
                  <c:v>7161.6790911946391</c:v>
                </c:pt>
                <c:pt idx="9">
                  <c:v>7648.4648727881895</c:v>
                </c:pt>
                <c:pt idx="10">
                  <c:v>9236.202177782432</c:v>
                </c:pt>
                <c:pt idx="11">
                  <c:v>10863.905978431578</c:v>
                </c:pt>
                <c:pt idx="12">
                  <c:v>12481.598471364256</c:v>
                </c:pt>
                <c:pt idx="13">
                  <c:v>14721</c:v>
                </c:pt>
                <c:pt idx="14">
                  <c:v>16947</c:v>
                </c:pt>
                <c:pt idx="15">
                  <c:v>21503</c:v>
                </c:pt>
                <c:pt idx="16">
                  <c:v>23877</c:v>
                </c:pt>
              </c:numCache>
            </c:numRef>
          </c:yVal>
          <c:smooth val="0"/>
          <c:extLst>
            <c:ext xmlns:c16="http://schemas.microsoft.com/office/drawing/2014/chart" uri="{C3380CC4-5D6E-409C-BE32-E72D297353CC}">
              <c16:uniqueId val="{00000000-7246-421E-A91C-BED589B5035D}"/>
            </c:ext>
          </c:extLst>
        </c:ser>
        <c:ser>
          <c:idx val="1"/>
          <c:order val="1"/>
          <c:tx>
            <c:strRef>
              <c:f>'4.10'!$A$68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'4.10'!$B$75:$R$75</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#N/A</c:v>
                </c:pt>
                <c:pt idx="11">
                  <c:v>#N/A</c:v>
                </c:pt>
                <c:pt idx="12">
                  <c:v>#N/A</c:v>
                </c:pt>
                <c:pt idx="13">
                  <c:v>#N/A</c:v>
                </c:pt>
                <c:pt idx="14">
                  <c:v>#N/A</c:v>
                </c:pt>
                <c:pt idx="15">
                  <c:v>#N/A</c:v>
                </c:pt>
                <c:pt idx="16">
                  <c:v>#N/A</c:v>
                </c:pt>
              </c:numCache>
            </c:numRef>
          </c:xVal>
          <c:yVal>
            <c:numRef>
              <c:f>'4.10'!$B$76:$R$76</c:f>
              <c:numCache>
                <c:formatCode>_(* #,##0_);_(* \(#,##0\);_(* "-"_);_(@_)</c:formatCode>
                <c:ptCount val="17"/>
                <c:pt idx="0">
                  <c:v>6725.0391582033299</c:v>
                </c:pt>
                <c:pt idx="1">
                  <c:v>7161.6790911946391</c:v>
                </c:pt>
                <c:pt idx="2">
                  <c:v>7648.4648727881895</c:v>
                </c:pt>
                <c:pt idx="3">
                  <c:v>9236.202177782432</c:v>
                </c:pt>
                <c:pt idx="4">
                  <c:v>10863.905978431578</c:v>
                </c:pt>
                <c:pt idx="5">
                  <c:v>12481.598471364256</c:v>
                </c:pt>
                <c:pt idx="6">
                  <c:v>14721</c:v>
                </c:pt>
                <c:pt idx="7">
                  <c:v>16947</c:v>
                </c:pt>
                <c:pt idx="8">
                  <c:v>21503</c:v>
                </c:pt>
                <c:pt idx="9">
                  <c:v>23877</c:v>
                </c:pt>
                <c:pt idx="10">
                  <c:v>#N/A</c:v>
                </c:pt>
                <c:pt idx="11">
                  <c:v>#N/A</c:v>
                </c:pt>
                <c:pt idx="12">
                  <c:v>#N/A</c:v>
                </c:pt>
                <c:pt idx="13">
                  <c:v>#N/A</c:v>
                </c:pt>
                <c:pt idx="14">
                  <c:v>#N/A</c:v>
                </c:pt>
                <c:pt idx="15">
                  <c:v>#N/A</c:v>
                </c:pt>
                <c:pt idx="16">
                  <c:v>#N/A</c:v>
                </c:pt>
              </c:numCache>
            </c:numRef>
          </c:yVal>
          <c:smooth val="0"/>
          <c:extLst>
            <c:ext xmlns:c16="http://schemas.microsoft.com/office/drawing/2014/chart" uri="{C3380CC4-5D6E-409C-BE32-E72D297353CC}">
              <c16:uniqueId val="{00000001-7246-421E-A91C-BED589B5035D}"/>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'4.11'!$A$15</c:f>
              <c:strCache>
                <c:ptCount val="1"/>
                <c:pt idx="0">
                  <c:v>Total Intangible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'4.11'!$B$9:$R$9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'4.11'!$B$15:$R$15</c:f>
              <c:numCache>
                <c:formatCode>_(* #,##0_);_(* \(#,##0\);_(* "-"??_);_(@_)</c:formatCode>
                <c:ptCount val="17"/>
                <c:pt idx="0">
                  <c:v>10848.364112580679</c:v>
                </c:pt>
                <c:pt idx="1">
                  <c:v>11839.302859357751</c:v>
                </c:pt>
                <c:pt idx="2">
                  <c:v>16189.014911449021</c:v>
                </c:pt>
                <c:pt idx="3">
                  <c:v>16203.58209752103</c:v>
                </c:pt>
                <c:pt idx="4">
                  <c:v>15977.37352343784</c:v>
                </c:pt>
                <c:pt idx="5">
                  <c:v>16730.065758198161</c:v>
                </c:pt>
                <c:pt idx="6">
                  <c:v>17346.743545117202</c:v>
                </c:pt>
                <c:pt idx="7">
                  <c:v>14283</c:v>
                </c:pt>
                <c:pt idx="8">
                  <c:v>16069</c:v>
                </c:pt>
                <c:pt idx="9">
                  <c:v>47814</c:v>
                </c:pt>
                <c:pt idx="10">
                  <c:v>69349</c:v>
                </c:pt>
                <c:pt idx="11">
                  <c:v>80337</c:v>
                </c:pt>
                <c:pt idx="12">
                  <c:v>80878</c:v>
                </c:pt>
                <c:pt idx="13">
                  <c:v>73799</c:v>
                </c:pt>
                <c:pt idx="14">
                  <c:v>82378</c:v>
                </c:pt>
                <c:pt idx="15">
                  <c:v>94214.603999999992</c:v>
                </c:pt>
                <c:pt idx="16">
                  <c:v>99330.603999999992</c:v>
                </c:pt>
              </c:numCache>
            </c:numRef>
          </c:yVal>
          <c:smooth val="0"/>
          <c:extLst>
            <c:ext xmlns:c16="http://schemas.microsoft.com/office/drawing/2014/chart" uri="{C3380CC4-5D6E-409C-BE32-E72D297353CC}">
              <c16:uniqueId val="{00000000-0673-4FEC-91D5-B9FF7CA33124}"/>
            </c:ext>
          </c:extLst>
        </c:ser>
        <c:ser>
          <c:idx val="1"/>
          <c:order val="1"/>
          <c:tx>
            <c:strRef>
              <c:f>'4.11'!$A$68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'4.11'!$B$75:$R$75</c:f>
              <c:numCache>
                <c:formatCode>General</c:formatCode>
                <c:ptCount val="17"/>
                <c:pt idx="0">
                  <c:v>2011</c:v>
                </c:pt>
                <c:pt idx="1">
                  <c:v>2012</c:v>
                </c:pt>
                <c:pt idx="2">
                  <c:v>2013</c:v>
                </c:pt>
                <c:pt idx="3">
                  <c:v>2014</c:v>
                </c:pt>
                <c:pt idx="4">
                  <c:v>2015</c:v>
                </c:pt>
                <c:pt idx="5">
                  <c:v>2016</c:v>
                </c:pt>
                <c:pt idx="6">
                  <c:v>#N/A</c:v>
                </c:pt>
                <c:pt idx="7">
                  <c:v>#N/A</c:v>
                </c:pt>
                <c:pt idx="8">
                  <c:v>#N/A</c:v>
                </c:pt>
                <c:pt idx="9">
                  <c:v>#N/A</c:v>
                </c:pt>
                <c:pt idx="10">
                  <c:v>#N/A</c:v>
                </c:pt>
                <c:pt idx="11">
                  <c:v>#N/A</c:v>
                </c:pt>
                <c:pt idx="12">
                  <c:v>#N/A</c:v>
                </c:pt>
                <c:pt idx="13">
                  <c:v>#N/A</c:v>
                </c:pt>
                <c:pt idx="14">
                  <c:v>#N/A</c:v>
                </c:pt>
                <c:pt idx="15">
                  <c:v>#N/A</c:v>
                </c:pt>
                <c:pt idx="16">
                  <c:v>#N/A</c:v>
                </c:pt>
              </c:numCache>
            </c:numRef>
          </c:xVal>
          <c:yVal>
            <c:numRef>
              <c:f>'4.11'!$B$76:$R$76</c:f>
              <c:numCache>
                <c:formatCode>_(* #,##0_);_(* \(#,##0\);_(* "-"_);_(@_)</c:formatCode>
                <c:ptCount val="17"/>
                <c:pt idx="0">
                  <c:v>80337</c:v>
                </c:pt>
                <c:pt idx="1">
                  <c:v>80878</c:v>
                </c:pt>
                <c:pt idx="2">
                  <c:v>73799</c:v>
                </c:pt>
                <c:pt idx="3">
                  <c:v>82378</c:v>
                </c:pt>
                <c:pt idx="4">
                  <c:v>94214.603999999992</c:v>
                </c:pt>
                <c:pt idx="5">
                  <c:v>99330.603999999992</c:v>
                </c:pt>
                <c:pt idx="6">
                  <c:v>#N/A</c:v>
                </c:pt>
                <c:pt idx="7">
                  <c:v>#N/A</c:v>
                </c:pt>
                <c:pt idx="8">
                  <c:v>#N/A</c:v>
                </c:pt>
                <c:pt idx="9">
                  <c:v>#N/A</c:v>
                </c:pt>
                <c:pt idx="10">
                  <c:v>#N/A</c:v>
                </c:pt>
                <c:pt idx="11">
                  <c:v>#N/A</c:v>
                </c:pt>
                <c:pt idx="12">
                  <c:v>#N/A</c:v>
                </c:pt>
                <c:pt idx="13">
                  <c:v>#N/A</c:v>
                </c:pt>
                <c:pt idx="14">
                  <c:v>#N/A</c:v>
                </c:pt>
                <c:pt idx="15">
                  <c:v>#N/A</c:v>
                </c:pt>
                <c:pt idx="16">
                  <c:v>#N/A</c:v>
                </c:pt>
              </c:numCache>
            </c:numRef>
          </c:yVal>
          <c:smooth val="0"/>
          <c:extLst>
            <c:ext xmlns:c16="http://schemas.microsoft.com/office/drawing/2014/chart" uri="{C3380CC4-5D6E-409C-BE32-E72D297353CC}">
              <c16:uniqueId val="{00000001-0673-4FEC-91D5-B9FF7CA33124}"/>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'4.12'!$A$15</c:f>
              <c:strCache>
                <c:ptCount val="1"/>
                <c:pt idx="0">
                  <c:v>Total Production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'4.12'!$B$9:$R$9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'4.12'!$B$15:$R$15</c:f>
              <c:numCache>
                <c:formatCode>_(* #,##0_);_(* \(#,##0\);_(* "-"??_);_(@_)</c:formatCode>
                <c:ptCount val="17"/>
                <c:pt idx="0">
                  <c:v>300002.03411696979</c:v>
                </c:pt>
                <c:pt idx="1">
                  <c:v>296725.79164632049</c:v>
                </c:pt>
                <c:pt idx="2">
                  <c:v>373429.99537532276</c:v>
                </c:pt>
                <c:pt idx="3">
                  <c:v>370887.20223937742</c:v>
                </c:pt>
                <c:pt idx="4">
                  <c:v>402141.5548985668</c:v>
                </c:pt>
                <c:pt idx="5">
                  <c:v>407420.68781148642</c:v>
                </c:pt>
                <c:pt idx="6">
                  <c:v>427867.17484851996</c:v>
                </c:pt>
                <c:pt idx="7">
                  <c:v>414838</c:v>
                </c:pt>
                <c:pt idx="8">
                  <c:v>413910</c:v>
                </c:pt>
                <c:pt idx="9">
                  <c:v>422256</c:v>
                </c:pt>
                <c:pt idx="10">
                  <c:v>420349</c:v>
                </c:pt>
                <c:pt idx="11">
                  <c:v>420594</c:v>
                </c:pt>
                <c:pt idx="12">
                  <c:v>417278</c:v>
                </c:pt>
                <c:pt idx="13">
                  <c:v>423716</c:v>
                </c:pt>
                <c:pt idx="14">
                  <c:v>420570</c:v>
                </c:pt>
                <c:pt idx="15">
                  <c:v>436542</c:v>
                </c:pt>
                <c:pt idx="16">
                  <c:v>481208</c:v>
                </c:pt>
              </c:numCache>
            </c:numRef>
          </c:yVal>
          <c:smooth val="0"/>
          <c:extLst>
            <c:ext xmlns:c16="http://schemas.microsoft.com/office/drawing/2014/chart" uri="{C3380CC4-5D6E-409C-BE32-E72D297353CC}">
              <c16:uniqueId val="{00000000-DA7E-4E16-AE0C-9C09FF5E2122}"/>
            </c:ext>
          </c:extLst>
        </c:ser>
        <c:ser>
          <c:idx val="1"/>
          <c:order val="1"/>
          <c:tx>
            <c:strRef>
              <c:f>'4.12'!$A$66</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'4.12'!$B$73:$R$73</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#N/A</c:v>
                </c:pt>
                <c:pt idx="12">
                  <c:v>#N/A</c:v>
                </c:pt>
                <c:pt idx="13">
                  <c:v>#N/A</c:v>
                </c:pt>
                <c:pt idx="14">
                  <c:v>#N/A</c:v>
                </c:pt>
                <c:pt idx="15">
                  <c:v>#N/A</c:v>
                </c:pt>
                <c:pt idx="16">
                  <c:v>#N/A</c:v>
                </c:pt>
              </c:numCache>
            </c:numRef>
          </c:xVal>
          <c:yVal>
            <c:numRef>
              <c:f>'4.12'!$B$74:$R$74</c:f>
              <c:numCache>
                <c:formatCode>_(* #,##0_);_(* \(#,##0\);_(* "-"_);_(@_)</c:formatCode>
                <c:ptCount val="17"/>
                <c:pt idx="0">
                  <c:v>427867.17484851996</c:v>
                </c:pt>
                <c:pt idx="1">
                  <c:v>414838</c:v>
                </c:pt>
                <c:pt idx="2">
                  <c:v>413910</c:v>
                </c:pt>
                <c:pt idx="3">
                  <c:v>422256</c:v>
                </c:pt>
                <c:pt idx="4">
                  <c:v>420349</c:v>
                </c:pt>
                <c:pt idx="5">
                  <c:v>420594</c:v>
                </c:pt>
                <c:pt idx="6">
                  <c:v>417278</c:v>
                </c:pt>
                <c:pt idx="7">
                  <c:v>423716</c:v>
                </c:pt>
                <c:pt idx="8">
                  <c:v>420570</c:v>
                </c:pt>
                <c:pt idx="9">
                  <c:v>436542</c:v>
                </c:pt>
                <c:pt idx="10">
                  <c:v>481208</c:v>
                </c:pt>
                <c:pt idx="11">
                  <c:v>#N/A</c:v>
                </c:pt>
                <c:pt idx="12">
                  <c:v>#N/A</c:v>
                </c:pt>
                <c:pt idx="13">
                  <c:v>#N/A</c:v>
                </c:pt>
                <c:pt idx="14">
                  <c:v>#N/A</c:v>
                </c:pt>
                <c:pt idx="15">
                  <c:v>#N/A</c:v>
                </c:pt>
                <c:pt idx="16">
                  <c:v>#N/A</c:v>
                </c:pt>
              </c:numCache>
            </c:numRef>
          </c:yVal>
          <c:smooth val="0"/>
          <c:extLst>
            <c:ext xmlns:c16="http://schemas.microsoft.com/office/drawing/2014/chart" uri="{C3380CC4-5D6E-409C-BE32-E72D297353CC}">
              <c16:uniqueId val="{00000001-DA7E-4E16-AE0C-9C09FF5E2122}"/>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'4.13'!$A$15</c:f>
              <c:strCache>
                <c:ptCount val="1"/>
                <c:pt idx="0">
                  <c:v>Total Transmission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'4.13'!$B$9:$R$9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'4.13'!$B$15:$R$15</c:f>
              <c:numCache>
                <c:formatCode>_(* #,##0_);_(* \(#,##0\);_(* "-"??_);_(@_)</c:formatCode>
                <c:ptCount val="17"/>
                <c:pt idx="0">
                  <c:v>120881.01813010278</c:v>
                </c:pt>
                <c:pt idx="1">
                  <c:v>127618.30095172589</c:v>
                </c:pt>
                <c:pt idx="2">
                  <c:v>119523.76029579694</c:v>
                </c:pt>
                <c:pt idx="3">
                  <c:v>124594.74614436062</c:v>
                </c:pt>
                <c:pt idx="4">
                  <c:v>136920.33397427737</c:v>
                </c:pt>
                <c:pt idx="5">
                  <c:v>143359.39068262442</c:v>
                </c:pt>
                <c:pt idx="6">
                  <c:v>157670.36669662385</c:v>
                </c:pt>
                <c:pt idx="7">
                  <c:v>169392</c:v>
                </c:pt>
                <c:pt idx="8">
                  <c:v>194276</c:v>
                </c:pt>
                <c:pt idx="9">
                  <c:v>200441</c:v>
                </c:pt>
                <c:pt idx="10">
                  <c:v>206464</c:v>
                </c:pt>
                <c:pt idx="11">
                  <c:v>216868</c:v>
                </c:pt>
                <c:pt idx="12">
                  <c:v>226066</c:v>
                </c:pt>
                <c:pt idx="13">
                  <c:v>237633</c:v>
                </c:pt>
                <c:pt idx="14">
                  <c:v>248102</c:v>
                </c:pt>
                <c:pt idx="15">
                  <c:v>271764</c:v>
                </c:pt>
                <c:pt idx="16">
                  <c:v>294989</c:v>
                </c:pt>
              </c:numCache>
            </c:numRef>
          </c:yVal>
          <c:smooth val="0"/>
          <c:extLst>
            <c:ext xmlns:c16="http://schemas.microsoft.com/office/drawing/2014/chart" uri="{C3380CC4-5D6E-409C-BE32-E72D297353CC}">
              <c16:uniqueId val="{00000000-F58E-4DE9-8DA3-85E5744D5F07}"/>
            </c:ext>
          </c:extLst>
        </c:ser>
        <c:ser>
          <c:idx val="1"/>
          <c:order val="1"/>
          <c:tx>
            <c:strRef>
              <c:f>'4.13'!$A$67</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'4.13'!$B$74:$R$74</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#N/A</c:v>
                </c:pt>
                <c:pt idx="11">
                  <c:v>#N/A</c:v>
                </c:pt>
                <c:pt idx="12">
                  <c:v>#N/A</c:v>
                </c:pt>
                <c:pt idx="13">
                  <c:v>#N/A</c:v>
                </c:pt>
                <c:pt idx="14">
                  <c:v>#N/A</c:v>
                </c:pt>
                <c:pt idx="15">
                  <c:v>#N/A</c:v>
                </c:pt>
                <c:pt idx="16">
                  <c:v>#N/A</c:v>
                </c:pt>
              </c:numCache>
            </c:numRef>
          </c:xVal>
          <c:yVal>
            <c:numRef>
              <c:f>'4.13'!$B$75:$R$75</c:f>
              <c:numCache>
                <c:formatCode>_(* #,##0_);_(* \(#,##0\);_(* "-"_);_(@_)</c:formatCode>
                <c:ptCount val="17"/>
                <c:pt idx="0">
                  <c:v>169392</c:v>
                </c:pt>
                <c:pt idx="1">
                  <c:v>194276</c:v>
                </c:pt>
                <c:pt idx="2">
                  <c:v>200441</c:v>
                </c:pt>
                <c:pt idx="3">
                  <c:v>206464</c:v>
                </c:pt>
                <c:pt idx="4">
                  <c:v>216868</c:v>
                </c:pt>
                <c:pt idx="5">
                  <c:v>226066</c:v>
                </c:pt>
                <c:pt idx="6">
                  <c:v>237633</c:v>
                </c:pt>
                <c:pt idx="7">
                  <c:v>248102</c:v>
                </c:pt>
                <c:pt idx="8">
                  <c:v>271764</c:v>
                </c:pt>
                <c:pt idx="9">
                  <c:v>294989</c:v>
                </c:pt>
                <c:pt idx="10">
                  <c:v>#N/A</c:v>
                </c:pt>
                <c:pt idx="11">
                  <c:v>#N/A</c:v>
                </c:pt>
                <c:pt idx="12">
                  <c:v>#N/A</c:v>
                </c:pt>
                <c:pt idx="13">
                  <c:v>#N/A</c:v>
                </c:pt>
                <c:pt idx="14">
                  <c:v>#N/A</c:v>
                </c:pt>
                <c:pt idx="15">
                  <c:v>#N/A</c:v>
                </c:pt>
                <c:pt idx="16">
                  <c:v>#N/A</c:v>
                </c:pt>
              </c:numCache>
            </c:numRef>
          </c:yVal>
          <c:smooth val="0"/>
          <c:extLst>
            <c:ext xmlns:c16="http://schemas.microsoft.com/office/drawing/2014/chart" uri="{C3380CC4-5D6E-409C-BE32-E72D297353CC}">
              <c16:uniqueId val="{00000001-F58E-4DE9-8DA3-85E5744D5F07}"/>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'4.14'!$A$15</c:f>
              <c:strCache>
                <c:ptCount val="1"/>
                <c:pt idx="0">
                  <c:v>Total Distribution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'4.14'!$B$9:$R$9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'4.14'!$B$15:$R$15</c:f>
              <c:numCache>
                <c:formatCode>_(* #,##0_);_(* \(#,##0\);_(* "-"??_);_(@_)</c:formatCode>
                <c:ptCount val="17"/>
                <c:pt idx="0">
                  <c:v>289547.90709224844</c:v>
                </c:pt>
                <c:pt idx="1">
                  <c:v>301831.83337481739</c:v>
                </c:pt>
                <c:pt idx="2">
                  <c:v>309272.10281451698</c:v>
                </c:pt>
                <c:pt idx="3">
                  <c:v>313359.91060920717</c:v>
                </c:pt>
                <c:pt idx="4">
                  <c:v>321748.05149085989</c:v>
                </c:pt>
                <c:pt idx="5">
                  <c:v>334397.99061004317</c:v>
                </c:pt>
                <c:pt idx="6">
                  <c:v>346574.06762402935</c:v>
                </c:pt>
                <c:pt idx="7">
                  <c:v>366724</c:v>
                </c:pt>
                <c:pt idx="8">
                  <c:v>389222</c:v>
                </c:pt>
                <c:pt idx="9">
                  <c:v>420874</c:v>
                </c:pt>
                <c:pt idx="10">
                  <c:v>447550</c:v>
                </c:pt>
                <c:pt idx="11">
                  <c:v>486981</c:v>
                </c:pt>
                <c:pt idx="12">
                  <c:v>522324</c:v>
                </c:pt>
                <c:pt idx="13">
                  <c:v>560439</c:v>
                </c:pt>
                <c:pt idx="14">
                  <c:v>590073</c:v>
                </c:pt>
                <c:pt idx="15">
                  <c:v>621477</c:v>
                </c:pt>
                <c:pt idx="16">
                  <c:v>675072</c:v>
                </c:pt>
              </c:numCache>
            </c:numRef>
          </c:yVal>
          <c:smooth val="0"/>
          <c:extLst>
            <c:ext xmlns:c16="http://schemas.microsoft.com/office/drawing/2014/chart" uri="{C3380CC4-5D6E-409C-BE32-E72D297353CC}">
              <c16:uniqueId val="{00000000-9268-4B37-9D62-5BA491866651}"/>
            </c:ext>
          </c:extLst>
        </c:ser>
        <c:ser>
          <c:idx val="1"/>
          <c:order val="1"/>
          <c:tx>
            <c:strRef>
              <c:f>'4.14'!$A$68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'4.14'!$B$75:$R$75</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#N/A</c:v>
                </c:pt>
                <c:pt idx="11">
                  <c:v>#N/A</c:v>
                </c:pt>
                <c:pt idx="12">
                  <c:v>#N/A</c:v>
                </c:pt>
                <c:pt idx="13">
                  <c:v>#N/A</c:v>
                </c:pt>
                <c:pt idx="14">
                  <c:v>#N/A</c:v>
                </c:pt>
                <c:pt idx="15">
                  <c:v>#N/A</c:v>
                </c:pt>
                <c:pt idx="16">
                  <c:v>#N/A</c:v>
                </c:pt>
              </c:numCache>
            </c:numRef>
          </c:xVal>
          <c:yVal>
            <c:numRef>
              <c:f>'4.14'!$B$76:$R$76</c:f>
              <c:numCache>
                <c:formatCode>_(* #,##0_);_(* \(#,##0\);_(* "-"_);_(@_)</c:formatCode>
                <c:ptCount val="17"/>
                <c:pt idx="0">
                  <c:v>366724</c:v>
                </c:pt>
                <c:pt idx="1">
                  <c:v>389222</c:v>
                </c:pt>
                <c:pt idx="2">
                  <c:v>420874</c:v>
                </c:pt>
                <c:pt idx="3">
                  <c:v>447550</c:v>
                </c:pt>
                <c:pt idx="4">
                  <c:v>486981</c:v>
                </c:pt>
                <c:pt idx="5">
                  <c:v>522324</c:v>
                </c:pt>
                <c:pt idx="6">
                  <c:v>560439</c:v>
                </c:pt>
                <c:pt idx="7">
                  <c:v>590073</c:v>
                </c:pt>
                <c:pt idx="8">
                  <c:v>621477</c:v>
                </c:pt>
                <c:pt idx="9">
                  <c:v>675072</c:v>
                </c:pt>
                <c:pt idx="10">
                  <c:v>#N/A</c:v>
                </c:pt>
                <c:pt idx="11">
                  <c:v>#N/A</c:v>
                </c:pt>
                <c:pt idx="12">
                  <c:v>#N/A</c:v>
                </c:pt>
                <c:pt idx="13">
                  <c:v>#N/A</c:v>
                </c:pt>
                <c:pt idx="14">
                  <c:v>#N/A</c:v>
                </c:pt>
                <c:pt idx="15">
                  <c:v>#N/A</c:v>
                </c:pt>
                <c:pt idx="16">
                  <c:v>#N/A</c:v>
                </c:pt>
              </c:numCache>
            </c:numRef>
          </c:yVal>
          <c:smooth val="0"/>
          <c:extLst>
            <c:ext xmlns:c16="http://schemas.microsoft.com/office/drawing/2014/chart" uri="{C3380CC4-5D6E-409C-BE32-E72D297353CC}">
              <c16:uniqueId val="{00000001-9268-4B37-9D62-5BA491866651}"/>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'4.15'!$A$15</c:f>
              <c:strCache>
                <c:ptCount val="1"/>
                <c:pt idx="0">
                  <c:v>Total General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'4.15'!$B$9:$R$9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'4.15'!$B$15:$R$15</c:f>
              <c:numCache>
                <c:formatCode>_(* #,##0_);_(* \(#,##0\);_(* "-"??_);_(@_)</c:formatCode>
                <c:ptCount val="17"/>
                <c:pt idx="0">
                  <c:v>33644.676548098352</c:v>
                </c:pt>
                <c:pt idx="1">
                  <c:v>33803.771167778497</c:v>
                </c:pt>
                <c:pt idx="2">
                  <c:v>32454.126602914268</c:v>
                </c:pt>
                <c:pt idx="3">
                  <c:v>30960.558909533789</c:v>
                </c:pt>
                <c:pt idx="4">
                  <c:v>31928.686112858086</c:v>
                </c:pt>
                <c:pt idx="5">
                  <c:v>32149.865137647801</c:v>
                </c:pt>
                <c:pt idx="6">
                  <c:v>44748.647285709674</c:v>
                </c:pt>
                <c:pt idx="7">
                  <c:v>44631</c:v>
                </c:pt>
                <c:pt idx="8">
                  <c:v>51272</c:v>
                </c:pt>
                <c:pt idx="9">
                  <c:v>59574</c:v>
                </c:pt>
                <c:pt idx="10">
                  <c:v>77177</c:v>
                </c:pt>
                <c:pt idx="11">
                  <c:v>83524</c:v>
                </c:pt>
                <c:pt idx="12">
                  <c:v>93233</c:v>
                </c:pt>
                <c:pt idx="13">
                  <c:v>120777</c:v>
                </c:pt>
                <c:pt idx="14">
                  <c:v>131147</c:v>
                </c:pt>
                <c:pt idx="15">
                  <c:v>139676</c:v>
                </c:pt>
                <c:pt idx="16">
                  <c:v>153173</c:v>
                </c:pt>
              </c:numCache>
            </c:numRef>
          </c:yVal>
          <c:smooth val="0"/>
          <c:extLst>
            <c:ext xmlns:c16="http://schemas.microsoft.com/office/drawing/2014/chart" uri="{C3380CC4-5D6E-409C-BE32-E72D297353CC}">
              <c16:uniqueId val="{00000000-AB02-4117-89E9-6C2E879ABBBC}"/>
            </c:ext>
          </c:extLst>
        </c:ser>
        <c:ser>
          <c:idx val="1"/>
          <c:order val="1"/>
          <c:tx>
            <c:strRef>
              <c:f>'4.15'!$A$68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'4.15'!$B$75:$R$75</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#N/A</c:v>
                </c:pt>
                <c:pt idx="11">
                  <c:v>#N/A</c:v>
                </c:pt>
                <c:pt idx="12">
                  <c:v>#N/A</c:v>
                </c:pt>
                <c:pt idx="13">
                  <c:v>#N/A</c:v>
                </c:pt>
                <c:pt idx="14">
                  <c:v>#N/A</c:v>
                </c:pt>
                <c:pt idx="15">
                  <c:v>#N/A</c:v>
                </c:pt>
                <c:pt idx="16">
                  <c:v>#N/A</c:v>
                </c:pt>
              </c:numCache>
            </c:numRef>
          </c:xVal>
          <c:yVal>
            <c:numRef>
              <c:f>'4.15'!$B$76:$R$76</c:f>
              <c:numCache>
                <c:formatCode>_(* #,##0_);_(* \(#,##0\);_(* "-"_);_(@_)</c:formatCode>
                <c:ptCount val="17"/>
                <c:pt idx="0">
                  <c:v>44631</c:v>
                </c:pt>
                <c:pt idx="1">
                  <c:v>51272</c:v>
                </c:pt>
                <c:pt idx="2">
                  <c:v>59574</c:v>
                </c:pt>
                <c:pt idx="3">
                  <c:v>77177</c:v>
                </c:pt>
                <c:pt idx="4">
                  <c:v>83524</c:v>
                </c:pt>
                <c:pt idx="5">
                  <c:v>93233</c:v>
                </c:pt>
                <c:pt idx="6">
                  <c:v>120777</c:v>
                </c:pt>
                <c:pt idx="7">
                  <c:v>131147</c:v>
                </c:pt>
                <c:pt idx="8">
                  <c:v>139676</c:v>
                </c:pt>
                <c:pt idx="9">
                  <c:v>153173</c:v>
                </c:pt>
                <c:pt idx="10">
                  <c:v>#N/A</c:v>
                </c:pt>
                <c:pt idx="11">
                  <c:v>#N/A</c:v>
                </c:pt>
                <c:pt idx="12">
                  <c:v>#N/A</c:v>
                </c:pt>
                <c:pt idx="13">
                  <c:v>#N/A</c:v>
                </c:pt>
                <c:pt idx="14">
                  <c:v>#N/A</c:v>
                </c:pt>
                <c:pt idx="15">
                  <c:v>#N/A</c:v>
                </c:pt>
                <c:pt idx="16">
                  <c:v>#N/A</c:v>
                </c:pt>
              </c:numCache>
            </c:numRef>
          </c:yVal>
          <c:smooth val="0"/>
          <c:extLst>
            <c:ext xmlns:c16="http://schemas.microsoft.com/office/drawing/2014/chart" uri="{C3380CC4-5D6E-409C-BE32-E72D297353CC}">
              <c16:uniqueId val="{00000001-AB02-4117-89E9-6C2E879ABBBC}"/>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'4.16'!$A$14</c:f>
              <c:strCache>
                <c:ptCount val="1"/>
                <c:pt idx="0">
                  <c:v>Total Accumulated Deferred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'4.16'!$B$9:$R$9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'4.16'!$B$14:$R$14</c:f>
              <c:numCache>
                <c:formatCode>_(* #,##0_);_(* \(#,##0\);_(* "-"??_);_(@_)</c:formatCode>
                <c:ptCount val="17"/>
                <c:pt idx="0">
                  <c:v>105775</c:v>
                </c:pt>
                <c:pt idx="1">
                  <c:v>109541</c:v>
                </c:pt>
                <c:pt idx="2">
                  <c:v>111367</c:v>
                </c:pt>
                <c:pt idx="3">
                  <c:v>135404</c:v>
                </c:pt>
                <c:pt idx="4">
                  <c:v>150960</c:v>
                </c:pt>
                <c:pt idx="5">
                  <c:v>134967</c:v>
                </c:pt>
                <c:pt idx="6">
                  <c:v>138495</c:v>
                </c:pt>
                <c:pt idx="7">
                  <c:v>139033</c:v>
                </c:pt>
                <c:pt idx="8">
                  <c:v>147502</c:v>
                </c:pt>
                <c:pt idx="9">
                  <c:v>163716</c:v>
                </c:pt>
                <c:pt idx="10">
                  <c:v>184825</c:v>
                </c:pt>
                <c:pt idx="11">
                  <c:v>201163</c:v>
                </c:pt>
                <c:pt idx="12">
                  <c:v>208209</c:v>
                </c:pt>
                <c:pt idx="13">
                  <c:v>221354</c:v>
                </c:pt>
                <c:pt idx="14">
                  <c:v>257766</c:v>
                </c:pt>
                <c:pt idx="15">
                  <c:v>317860</c:v>
                </c:pt>
                <c:pt idx="16">
                  <c:v>353900</c:v>
                </c:pt>
              </c:numCache>
            </c:numRef>
          </c:yVal>
          <c:smooth val="0"/>
          <c:extLst>
            <c:ext xmlns:c16="http://schemas.microsoft.com/office/drawing/2014/chart" uri="{C3380CC4-5D6E-409C-BE32-E72D297353CC}">
              <c16:uniqueId val="{00000000-3143-4D79-B6BE-6F68AA79D65F}"/>
            </c:ext>
          </c:extLst>
        </c:ser>
        <c:ser>
          <c:idx val="1"/>
          <c:order val="1"/>
          <c:tx>
            <c:strRef>
              <c:f>'4.16'!$A$68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'4.16'!$B$75:$R$75</c:f>
              <c:numCache>
                <c:formatCode>General</c:formatCode>
                <c:ptCount val="17"/>
                <c:pt idx="0">
                  <c:v>2013</c:v>
                </c:pt>
                <c:pt idx="1">
                  <c:v>2014</c:v>
                </c:pt>
                <c:pt idx="2">
                  <c:v>2015</c:v>
                </c:pt>
                <c:pt idx="3">
                  <c:v>2016</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xVal>
          <c:yVal>
            <c:numRef>
              <c:f>'4.16'!$B$76:$R$76</c:f>
              <c:numCache>
                <c:formatCode>_(* #,##0_);_(* \(#,##0\);_(* "-"_);_(@_)</c:formatCode>
                <c:ptCount val="17"/>
                <c:pt idx="0">
                  <c:v>221354</c:v>
                </c:pt>
                <c:pt idx="1">
                  <c:v>257766</c:v>
                </c:pt>
                <c:pt idx="2">
                  <c:v>317860</c:v>
                </c:pt>
                <c:pt idx="3">
                  <c:v>353900</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yVal>
          <c:smooth val="0"/>
          <c:extLst>
            <c:ext xmlns:c16="http://schemas.microsoft.com/office/drawing/2014/chart" uri="{C3380CC4-5D6E-409C-BE32-E72D297353CC}">
              <c16:uniqueId val="{00000001-3143-4D79-B6BE-6F68AA79D65F}"/>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0</xdr:col>
      <xdr:colOff>38100</xdr:colOff>
      <xdr:row>98</xdr:row>
      <xdr:rowOff>72390</xdr:rowOff>
    </xdr:from>
    <xdr:to>
      <xdr:col>8</xdr:col>
      <xdr:colOff>563880</xdr:colOff>
      <xdr:row>117</xdr:row>
      <xdr:rowOff>121920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49</xdr:row>
      <xdr:rowOff>57150</xdr:rowOff>
    </xdr:from>
    <xdr:to>
      <xdr:col>8</xdr:col>
      <xdr:colOff>563880</xdr:colOff>
      <xdr:row>68</xdr:row>
      <xdr:rowOff>15240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53340</xdr:colOff>
      <xdr:row>78</xdr:row>
      <xdr:rowOff>64770</xdr:rowOff>
    </xdr:from>
    <xdr:to>
      <xdr:col>8</xdr:col>
      <xdr:colOff>563880</xdr:colOff>
      <xdr:row>97</xdr:row>
      <xdr:rowOff>114300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21</xdr:row>
      <xdr:rowOff>34290</xdr:rowOff>
    </xdr:from>
    <xdr:to>
      <xdr:col>8</xdr:col>
      <xdr:colOff>563880</xdr:colOff>
      <xdr:row>48</xdr:row>
      <xdr:rowOff>91440</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130396</xdr:rowOff>
    </xdr:from>
    <xdr:to>
      <xdr:col>17</xdr:col>
      <xdr:colOff>713254</xdr:colOff>
      <xdr:row>59</xdr:row>
      <xdr:rowOff>109104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18</xdr:col>
      <xdr:colOff>1119</xdr:colOff>
      <xdr:row>25</xdr:row>
      <xdr:rowOff>86591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965863" y="2637634"/>
          <a:ext cx="10392029" cy="177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 most recent five years (2011 through 2016), production and transmission O&amp;M has remained relatively flat.  The recent trend appears to be similar to the trend that was experienced over the period 2000 through 2005, in which little to no growth in production and transmission O&amp;M was experienced.   Between 2010 and 2011, there was an unexplained increase in production and transmission O&amp;M expense.  The Company has not explained the cause of this increase, and therefore, it is not known whether a similar increase should be expected in future periods.  Because the cause of the increase in production and transmission O&amp;M between 2010 and 2011 is not known and appears to be related to a one-time event, I viewed it to be less appropriate to include that increase in the historical trend calculation.  In addition, the recent flat trend in this category of expense is an indication that the Company has been able to control this expense and should be able to control it in future periods.  Finally, low inflationary pressure is another reason why it is probably a better assumption to assume that this category of cost will remain relative stable into the future.  Thus, my model calculates the trend using the most recent five-year period, in which production and transmission O&amp;M expenses have increased slightly. </a:t>
          </a:r>
          <a:endParaRPr lang="en-US" sz="12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130396</xdr:rowOff>
    </xdr:from>
    <xdr:to>
      <xdr:col>17</xdr:col>
      <xdr:colOff>713254</xdr:colOff>
      <xdr:row>59</xdr:row>
      <xdr:rowOff>109104</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18</xdr:col>
      <xdr:colOff>1119</xdr:colOff>
      <xdr:row>23</xdr:row>
      <xdr:rowOff>11206</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977986" y="2693918"/>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Production and transmission depreciation expense have been markedly flat over the period 2006 to the present.  Accordingly, my model uses the  escalation period of 2006 through 2016.</a:t>
          </a:r>
          <a:endParaRPr lang="en-US" sz="12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23</xdr:row>
      <xdr:rowOff>130396</xdr:rowOff>
    </xdr:from>
    <xdr:to>
      <xdr:col>17</xdr:col>
      <xdr:colOff>713254</xdr:colOff>
      <xdr:row>58</xdr:row>
      <xdr:rowOff>109104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16</xdr:row>
      <xdr:rowOff>74543</xdr:rowOff>
    </xdr:from>
    <xdr:to>
      <xdr:col>18</xdr:col>
      <xdr:colOff>1119</xdr:colOff>
      <xdr:row>22</xdr:row>
      <xdr:rowOff>11206</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3977986" y="25319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Production and transmission tax expense other than income taxes have increased fairly consistently in the recent period 2007 through 2016.  Because the amount of net production plant has remained relatively flat for nearly ten years, however, it is not necessarily clear why the taxes other than income taxes on production plant have been increasing at such a high rate.  The trend is most likely caused by increasing property tax rates over the period, as well as increasing balances associated with transmission plant.  There may be other taxes, such as generation taxes at Colstrip power station, that are influencing this trend, as well.  Notwithstanding, my model uses the Company’s escalation period of 2007 through 2016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23</xdr:row>
      <xdr:rowOff>130396</xdr:rowOff>
    </xdr:from>
    <xdr:to>
      <xdr:col>17</xdr:col>
      <xdr:colOff>713254</xdr:colOff>
      <xdr:row>58</xdr:row>
      <xdr:rowOff>109104</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16</xdr:row>
      <xdr:rowOff>74543</xdr:rowOff>
    </xdr:from>
    <xdr:to>
      <xdr:col>18</xdr:col>
      <xdr:colOff>1119</xdr:colOff>
      <xdr:row>22</xdr:row>
      <xdr:rowOff>11206</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3977986" y="25319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distribution O&amp;M category of cost has experienced fairly steady growth over the past fifteen years.  In the most recent five years (2012 through 2016), this trend appears to have leveled off, as this category of cost has experienced a rate of growth that is less than that experienced in the prior period.  The slowing rate of growth in this category of cost may be related to the relatively low inflationary pressures on commodity prices experienced recently.  Thus, the long term historical trend may not be the best predictor of this category of cost into the future.  Notwithstanding, while the case could be made to use an escalation period of 2012 through 2015, my model uses the Company’s escalation period of 2007 through 2016 for this category of cost.   In addition, this category of cost experienced an increase in 2015, followed by a corresponding</a:t>
          </a:r>
          <a:r>
            <a:rPr lang="en-US" sz="1200" baseline="0">
              <a:solidFill>
                <a:schemeClr val="dk1"/>
              </a:solidFill>
              <a:effectLst/>
              <a:latin typeface="+mn-lt"/>
              <a:ea typeface="+mn-ea"/>
              <a:cs typeface="+mn-cs"/>
            </a:rPr>
            <a:t> reduction in 2016.  Accordingly, I have excluded 2015 from my trend calculation. </a:t>
          </a:r>
          <a:endParaRPr lang="en-US" sz="12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130396</xdr:rowOff>
    </xdr:from>
    <xdr:to>
      <xdr:col>17</xdr:col>
      <xdr:colOff>713254</xdr:colOff>
      <xdr:row>58</xdr:row>
      <xdr:rowOff>109104</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16</xdr:row>
      <xdr:rowOff>74543</xdr:rowOff>
    </xdr:from>
    <xdr:to>
      <xdr:col>18</xdr:col>
      <xdr:colOff>1119</xdr:colOff>
      <xdr:row>22</xdr:row>
      <xdr:rowOff>11206</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3977986" y="25319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 period 2000 through 2007, the distribution depreciation expense category of cost was markedly flat, experiencing only minor increases.  Beginning in 2008, however, the flat trend changed, and the category of cost began increasing at an increased rate.  Accordingly, my analysis uses an escalation period of 2008 through 2016 for this category of cost.  Inclusion of the 2007 data point, per the Company’s escalation period, would have resulted in a lower r-squared value, thus making it less preferable to use that data point in the escalation factor calculation. </a:t>
          </a:r>
          <a:endParaRPr lang="en-US" sz="12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24</xdr:row>
      <xdr:rowOff>130396</xdr:rowOff>
    </xdr:from>
    <xdr:to>
      <xdr:col>17</xdr:col>
      <xdr:colOff>713254</xdr:colOff>
      <xdr:row>59</xdr:row>
      <xdr:rowOff>109104</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19</xdr:row>
      <xdr:rowOff>57226</xdr:rowOff>
    </xdr:from>
    <xdr:to>
      <xdr:col>18</xdr:col>
      <xdr:colOff>1119</xdr:colOff>
      <xdr:row>24</xdr:row>
      <xdr:rowOff>63161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3965863" y="3295726"/>
          <a:ext cx="10392029" cy="12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Distribution taxes other than income taxes showed a somewhat more complicated historical pattern than some other categories of cost.  Over the period 2000 through 2005, the category of cost increased and then decreased.  Beginning in 2005, however, the category of cost began to increase again.  While this category of cost experienced a slight reduction in 2007, the current trend appears to have largely originated in 2005, and accordingly, my model uses the period 2005 through 2017 to calculate the escalation rate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26</xdr:row>
      <xdr:rowOff>78440</xdr:rowOff>
    </xdr:from>
    <xdr:to>
      <xdr:col>17</xdr:col>
      <xdr:colOff>713254</xdr:colOff>
      <xdr:row>60</xdr:row>
      <xdr:rowOff>143741</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20</xdr:row>
      <xdr:rowOff>109178</xdr:rowOff>
    </xdr:from>
    <xdr:to>
      <xdr:col>18</xdr:col>
      <xdr:colOff>1119</xdr:colOff>
      <xdr:row>25</xdr:row>
      <xdr:rowOff>115115</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965863" y="3503542"/>
          <a:ext cx="10392029" cy="121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 period 2001 through 2004, the customer accounting and sales category of cost experienced little to no growth.  Beginning in 2005, the category of cost began to increase, developing what appears to be the current trend in this category of cost.  Accordingly, my model uses the period 2005 through 2016 as the trend period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130396</xdr:rowOff>
    </xdr:from>
    <xdr:to>
      <xdr:col>17</xdr:col>
      <xdr:colOff>713254</xdr:colOff>
      <xdr:row>60</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18</xdr:col>
      <xdr:colOff>1119</xdr:colOff>
      <xdr:row>24</xdr:row>
      <xdr:rowOff>11206</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trend related to the customer service and information expense category of cost is less clear compared to other categories of cost.  For example, this category of cost increased dramatically between 2009 and 2010.  Yet, in 2011, it declined, only to increase again in 2012.  From 2012 to the present, however, this category of cost has been relatively flat, declining slightly.  It is probably most appropriate to assume that this category of cost will decline slightly in the test period, based on the use of a 2012 to 2016 trend period.  Notwithstanding, my model assumes zero growth in this category of cost, due to the erratic historical pattern. </a:t>
          </a:r>
          <a:endParaRPr lang="en-US" sz="1200">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130396</xdr:rowOff>
    </xdr:from>
    <xdr:to>
      <xdr:col>17</xdr:col>
      <xdr:colOff>713254</xdr:colOff>
      <xdr:row>60</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18</xdr:col>
      <xdr:colOff>1119</xdr:colOff>
      <xdr:row>24</xdr:row>
      <xdr:rowOff>11206</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3977986" y="28558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Administrative and general operations expense increased at a fairly steady rate over the period 2000 through 2010.  From 2010 through 2016, the rate of growth appears to have leveled-off slightly, showing a slower growth trend over that period. This may be an indication that the Company has the ability to control this category of expense and that the longer term trend is not an indication of the uncontrollable costs increases in the future period.  In addition, this category of cost appears to have experienced a one-time increase in between 2009 and 2010, which does not appear to be most appropriately included in the trend calculations.  Accordingly, my model relies on the period 2010 to 2016 as the trend period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43805</xdr:rowOff>
    </xdr:from>
    <xdr:to>
      <xdr:col>17</xdr:col>
      <xdr:colOff>713254</xdr:colOff>
      <xdr:row>60</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17318</xdr:colOff>
      <xdr:row>19</xdr:row>
      <xdr:rowOff>57226</xdr:rowOff>
    </xdr:from>
    <xdr:to>
      <xdr:col>17</xdr:col>
      <xdr:colOff>728483</xdr:colOff>
      <xdr:row>24</xdr:row>
      <xdr:rowOff>63161</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3948545" y="3295726"/>
          <a:ext cx="10392029" cy="12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As with general plant, the category of cost related to administrative and general depreciation expense has escalated dramatically in recent years.  As discussed in testimony</a:t>
          </a:r>
          <a:r>
            <a:rPr lang="en-US" sz="1200" baseline="0">
              <a:solidFill>
                <a:schemeClr val="dk1"/>
              </a:solidFill>
              <a:effectLst/>
              <a:latin typeface="+mn-lt"/>
              <a:ea typeface="+mn-ea"/>
              <a:cs typeface="+mn-cs"/>
            </a:rPr>
            <a:t> in the Company's 2016 GRC,</a:t>
          </a:r>
          <a:r>
            <a:rPr lang="en-US" sz="1200">
              <a:solidFill>
                <a:schemeClr val="dk1"/>
              </a:solidFill>
              <a:effectLst/>
              <a:latin typeface="+mn-lt"/>
              <a:ea typeface="+mn-ea"/>
              <a:cs typeface="+mn-cs"/>
            </a:rPr>
            <a:t> however, this is not a category of cost that one typically considers in relation to the Company’s claims of attrition, as it is often more discretionary than other categories of cost.  Thus, I remain concerned with the degree of escalation in administrative and general depreciation expenses.  Notwithstanding these concerns, my model uses the Company’s escalation period of 2007 to 2016 for this category of cost.  In my view, however, the Commission would be justified in eliminating the escalation assumption for this category of cost, similar to its treatment of distribution plant in the 2015 GRC. </a:t>
          </a:r>
          <a:endParaRPr lang="en-US" sz="1200">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25</xdr:row>
      <xdr:rowOff>95760</xdr:rowOff>
    </xdr:from>
    <xdr:to>
      <xdr:col>17</xdr:col>
      <xdr:colOff>713254</xdr:colOff>
      <xdr:row>61</xdr:row>
      <xdr:rowOff>5195</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18</xdr:row>
      <xdr:rowOff>57226</xdr:rowOff>
    </xdr:from>
    <xdr:to>
      <xdr:col>17</xdr:col>
      <xdr:colOff>711165</xdr:colOff>
      <xdr:row>23</xdr:row>
      <xdr:rowOff>63162</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3931227" y="3243771"/>
          <a:ext cx="10392029" cy="121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 period 2000 through 2008, the net intangible plant balances remained markedly flat.   Between 2008 and 2011, however, the net intangible plant values increased dramatically.  Subsequently, between 2011 and 2016, the plant values returned to their historical flat trend.  It is not clear what drove the increases in net intangible plant that occurred between 2008 and 2011.  It is also not clear whether similarly large increases will occur in the future, as the Company has just completed Project Compass.  Accordingly, my model uses the most recent flat trend that has occured over the period 2011 through 2016. </a:t>
          </a:r>
          <a:endParaRPr lang="en-US" sz="1200">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25</xdr:row>
      <xdr:rowOff>95760</xdr:rowOff>
    </xdr:from>
    <xdr:to>
      <xdr:col>17</xdr:col>
      <xdr:colOff>713254</xdr:colOff>
      <xdr:row>60</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744681</xdr:colOff>
      <xdr:row>18</xdr:row>
      <xdr:rowOff>39907</xdr:rowOff>
    </xdr:from>
    <xdr:to>
      <xdr:col>17</xdr:col>
      <xdr:colOff>711164</xdr:colOff>
      <xdr:row>23</xdr:row>
      <xdr:rowOff>45843</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3931226" y="3122543"/>
          <a:ext cx="10392029" cy="121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Net production plant has remained relatively flat over the past ten years.  Accordingly, my model uses the Company’s escalation period of 2007 to 2016 for this category of cost. </a:t>
          </a:r>
        </a:p>
        <a:p>
          <a:endParaRPr lang="en-US" sz="1200">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25</xdr:row>
      <xdr:rowOff>95760</xdr:rowOff>
    </xdr:from>
    <xdr:to>
      <xdr:col>17</xdr:col>
      <xdr:colOff>713254</xdr:colOff>
      <xdr:row>60</xdr:row>
      <xdr:rowOff>5195</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17318</xdr:colOff>
      <xdr:row>18</xdr:row>
      <xdr:rowOff>39908</xdr:rowOff>
    </xdr:from>
    <xdr:to>
      <xdr:col>17</xdr:col>
      <xdr:colOff>728483</xdr:colOff>
      <xdr:row>23</xdr:row>
      <xdr:rowOff>45844</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3948545" y="3122544"/>
          <a:ext cx="10392029" cy="121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Net transmission plant has grown relatively steadily over the past ten years.  Accordingly, my model uses the  escalation period of 2007 to 2016 for this category of cost.</a:t>
          </a:r>
          <a:endParaRPr lang="en-US" sz="1200">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26</xdr:row>
      <xdr:rowOff>95760</xdr:rowOff>
    </xdr:from>
    <xdr:to>
      <xdr:col>17</xdr:col>
      <xdr:colOff>713254</xdr:colOff>
      <xdr:row>61</xdr:row>
      <xdr:rowOff>5196</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39909</xdr:rowOff>
    </xdr:from>
    <xdr:to>
      <xdr:col>18</xdr:col>
      <xdr:colOff>1119</xdr:colOff>
      <xdr:row>27</xdr:row>
      <xdr:rowOff>134836</xdr:rowOff>
    </xdr:to>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3965863" y="3122545"/>
          <a:ext cx="10392029" cy="2017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history of net distribution plant shows two distinct trends.  The first trend occurred between 2000 and 2006 and showed relatively modest growth in net plant values.  The second trend begins in 2007 and extends until 2015.  During the second trend period, distribution plant has increased at a greater rate.  In the 2015 GRC, the Commission questioned whether the growth in distribution plant was beyond the control of the Company.  While Ms. Rosentrater provided testimony on distribution plant investments (</a:t>
          </a:r>
          <a:r>
            <a:rPr lang="en-US" sz="1200" u="sng">
              <a:solidFill>
                <a:schemeClr val="dk1"/>
              </a:solidFill>
              <a:effectLst/>
              <a:latin typeface="+mn-lt"/>
              <a:ea typeface="+mn-ea"/>
              <a:cs typeface="+mn-cs"/>
            </a:rPr>
            <a:t>See</a:t>
          </a:r>
          <a:r>
            <a:rPr lang="en-US" sz="1200">
              <a:solidFill>
                <a:schemeClr val="dk1"/>
              </a:solidFill>
              <a:effectLst/>
              <a:latin typeface="+mn-lt"/>
              <a:ea typeface="+mn-ea"/>
              <a:cs typeface="+mn-cs"/>
            </a:rPr>
            <a:t> Exh. No. HLR-1T at 31:11-43:19), I still do not have a clear understanding of why distribution plant is increasing at such a great rate.  In addition, her descriptions certainly did not give me the impression that the Company is working hard to prioritize and control its investment in this category of cost.  Given the low inflationary environment, I would expect the growth in this category of plant to show some signs of slowing.  In addition, it would be helpful to understand how the Company’s investment in distribution plant compares to other similar utilities.  To my knowledge, similarly sized utilities such as PacifiCorp have not been making attrition claims on the basis of distribution investment, yet distribution plant appears to be a key driver of the Company’s claims.  Notwithstanding these concerns, my model uses the Company’s escalation period of 2007 to 2016 for this category of cost.  In my view, however, the Commission would be justified in eliminating escalation for this category of cost, similar to its treatment in the 2015 GRC.</a:t>
          </a:r>
          <a:endParaRPr lang="en-US" sz="1200">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23</xdr:row>
      <xdr:rowOff>130396</xdr:rowOff>
    </xdr:from>
    <xdr:to>
      <xdr:col>17</xdr:col>
      <xdr:colOff>713254</xdr:colOff>
      <xdr:row>58</xdr:row>
      <xdr:rowOff>109104</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34635</xdr:colOff>
      <xdr:row>18</xdr:row>
      <xdr:rowOff>57225</xdr:rowOff>
    </xdr:from>
    <xdr:to>
      <xdr:col>18</xdr:col>
      <xdr:colOff>1118</xdr:colOff>
      <xdr:row>23</xdr:row>
      <xdr:rowOff>63160</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3965862" y="3191816"/>
          <a:ext cx="10392029" cy="12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As noted in Response Testimony, the trend related to general net plant is somewhat concerning.  This is a category of cost which I typically consider to be more under the control of the Company than other categories of costs, as the Company often has the ability to defer these sorts of investments to the extent that it is experiencing attrition.  In this case, however, it is not necessarily clear why general net plant is growing at such a high rate.  Notwithstanding these concerns, my model uses the Company’s escalation period of 2007 to 2016 for this category of cost.  In my view, however, the Commission would be justified in eliminating escalation for this category of cost, similar to its treatment of distribution plant in the 2015 GRC.</a:t>
          </a:r>
          <a:endParaRPr lang="en-US" sz="1200">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23</xdr:row>
      <xdr:rowOff>130396</xdr:rowOff>
    </xdr:from>
    <xdr:to>
      <xdr:col>17</xdr:col>
      <xdr:colOff>713254</xdr:colOff>
      <xdr:row>58</xdr:row>
      <xdr:rowOff>109104</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17317</xdr:colOff>
      <xdr:row>17</xdr:row>
      <xdr:rowOff>39906</xdr:rowOff>
    </xdr:from>
    <xdr:to>
      <xdr:col>17</xdr:col>
      <xdr:colOff>728482</xdr:colOff>
      <xdr:row>22</xdr:row>
      <xdr:rowOff>132433</xdr:rowOff>
    </xdr:to>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3948544" y="2966679"/>
          <a:ext cx="10392029" cy="130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Because of the availability of bonus depreciation and accelerated depreciation for tax purposes, my expectation was that deferred income tax balances would grow at a rate in excess of the rate of growth applicable to net plant.  Upon review of the data, it appears that the rate of growth in this category of cost over the long-term has largely aligned with other categories of plant.  In the short-term, however, the growth in this category of cost appears to have accelerated, potentially in relation to the Company’s increased levels of investments over the period.  Accordingly, my model uses the past three years, 2013 through 2016, to establish the escalation rate for this category of cost.  Use of this period produces a higher r-squared value than any other period that I evaluated in the historic data. </a:t>
          </a:r>
          <a:endParaRPr lang="en-US" sz="12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2012%20WA%20Electric%20CBR%20Model%20%20(revised%20FI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E-170485-UG-170486_Exh.%20BGM-3_Mullins%20(ICNU-NWIGU)(10.27.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rk/30_ava/3046-8%20-%20UE-160228%202016%20GRC/reb/Staff/Staff%20Exhibits%208-17-16%20-%20CONF/Hancock%20Exh%20CSH-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rk/30_ava/3046-9%20-%202018%20GRC/dir/_wps/D.%20UE__Andrews%20WPs%20(AVA-May17)/Exh%20EMA-4%20K-Factor%20WA%20Electric%20Mode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rk/30_ava/3046-9%20-%202018%20GRC/dir/_wps/D.%20UE__Andrews%20WPs%20(AVA-May17)/Model%20Adjustments/PF%20Power%20Supply%20and%20Transmission%20-%20Various%20Adjs/Power%20Supply/Power%20Supply%20WA%20Adj%20Workboo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rk/30_ava/3046-8%20-%20UE-160228%202016%20GRC/disc/BR1/Attachment%20Bench%20Request%201/Exhibit%20No.%20BGM-13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3 1"/>
      <sheetName val="Exh. No. BGM-3 2"/>
      <sheetName val="Exh. No. BGM-3 3"/>
      <sheetName val="Exh. No. BGM-3 4"/>
      <sheetName val="Acerno_Cache_XXXXX"/>
      <sheetName val="Workpapers-&gt;"/>
      <sheetName val="ADJ SUMMARY"/>
      <sheetName val="LEAD SHEETS-DO NOT ENTER"/>
      <sheetName val="ROO INPUT"/>
      <sheetName val="DEBT CALC"/>
      <sheetName val="COMPARISON"/>
      <sheetName val="PROPOSED RATES-2018-NOT USED"/>
      <sheetName val="RETAIL REVENUE CREDIT-not used"/>
      <sheetName val="PROPOSED RATES-2019-not used"/>
    </sheetNames>
    <sheetDataSet>
      <sheetData sheetId="0">
        <row r="10">
          <cell r="AJ10">
            <v>5.1948000000000001E-2</v>
          </cell>
        </row>
      </sheetData>
      <sheetData sheetId="1">
        <row r="10">
          <cell r="M10">
            <v>5.1948000000000001E-2</v>
          </cell>
        </row>
      </sheetData>
      <sheetData sheetId="2">
        <row r="12">
          <cell r="E12">
            <v>6.5779999999999996E-3</v>
          </cell>
        </row>
        <row r="16">
          <cell r="E16">
            <v>3.8478999999999999E-2</v>
          </cell>
        </row>
      </sheetData>
      <sheetData sheetId="3">
        <row r="14">
          <cell r="AC14">
            <v>492413</v>
          </cell>
          <cell r="AK14">
            <v>-1225</v>
          </cell>
        </row>
        <row r="15">
          <cell r="AC15">
            <v>946</v>
          </cell>
        </row>
        <row r="16">
          <cell r="AC16">
            <v>57325</v>
          </cell>
        </row>
        <row r="18">
          <cell r="AC18">
            <v>17116</v>
          </cell>
          <cell r="AK18">
            <v>-3887</v>
          </cell>
        </row>
        <row r="23">
          <cell r="AC23">
            <v>134600</v>
          </cell>
          <cell r="AL23">
            <v>-248</v>
          </cell>
        </row>
        <row r="24">
          <cell r="AC24">
            <v>77131</v>
          </cell>
        </row>
        <row r="25">
          <cell r="AC25">
            <v>26677</v>
          </cell>
        </row>
        <row r="26">
          <cell r="AC26">
            <v>4705</v>
          </cell>
          <cell r="AL26">
            <v>-1393</v>
          </cell>
        </row>
        <row r="27">
          <cell r="AC27">
            <v>14990</v>
          </cell>
        </row>
        <row r="31">
          <cell r="AC31">
            <v>21418</v>
          </cell>
        </row>
        <row r="32">
          <cell r="AC32">
            <v>27819</v>
          </cell>
        </row>
        <row r="34">
          <cell r="AC34">
            <v>26951</v>
          </cell>
        </row>
        <row r="37">
          <cell r="AC37">
            <v>13021</v>
          </cell>
        </row>
        <row r="38">
          <cell r="AC38">
            <v>1406</v>
          </cell>
        </row>
        <row r="42">
          <cell r="AC42">
            <v>48989</v>
          </cell>
        </row>
        <row r="43">
          <cell r="AC43">
            <v>23877</v>
          </cell>
        </row>
        <row r="51">
          <cell r="AC51">
            <v>-27872.649999999994</v>
          </cell>
        </row>
        <row r="52">
          <cell r="AC52">
            <v>20.635999999999999</v>
          </cell>
        </row>
        <row r="53">
          <cell r="AC53">
            <v>67191</v>
          </cell>
        </row>
        <row r="54">
          <cell r="AC54">
            <v>-326</v>
          </cell>
        </row>
        <row r="60">
          <cell r="AC60">
            <v>156057</v>
          </cell>
        </row>
        <row r="61">
          <cell r="AC61">
            <v>832833</v>
          </cell>
        </row>
        <row r="62">
          <cell r="AC62">
            <v>430613</v>
          </cell>
        </row>
        <row r="63">
          <cell r="AC63">
            <v>970455</v>
          </cell>
        </row>
        <row r="64">
          <cell r="AC64">
            <v>233266</v>
          </cell>
        </row>
        <row r="67">
          <cell r="AC67">
            <v>-30914</v>
          </cell>
        </row>
        <row r="68">
          <cell r="AC68">
            <v>-351625</v>
          </cell>
        </row>
        <row r="69">
          <cell r="AC69">
            <v>-135624</v>
          </cell>
        </row>
        <row r="70">
          <cell r="AC70">
            <v>-295383</v>
          </cell>
        </row>
        <row r="71">
          <cell r="AC71">
            <v>-80093</v>
          </cell>
        </row>
        <row r="75">
          <cell r="AC75">
            <v>-353901</v>
          </cell>
        </row>
        <row r="77">
          <cell r="AC77">
            <v>4568</v>
          </cell>
          <cell r="AL77">
            <v>-5346</v>
          </cell>
        </row>
        <row r="78">
          <cell r="AC78">
            <v>62474</v>
          </cell>
        </row>
      </sheetData>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 Trends"/>
      <sheetName val="Summary"/>
      <sheetName val="ROR"/>
      <sheetName val="Attrition 12.2015 to 2018"/>
      <sheetName val="Cost Trends"/>
      <sheetName val="Net Plant"/>
      <sheetName val="UTC - IntangPlant"/>
      <sheetName val="UTC - ProdPlant"/>
      <sheetName val="UTC - TransmxPlant"/>
      <sheetName val="UTC - DistrPlant"/>
      <sheetName val="UTC - GeneralPlant"/>
      <sheetName val="UTC - IntangAccumDeprAmort"/>
      <sheetName val="UTC - ProducAccumDeprAmort"/>
      <sheetName val="UTC - TransmxAccumDeprAmort"/>
      <sheetName val="UTC - DistrAccumDeprAmort"/>
      <sheetName val="UTC - GeneralAccumDeprAmort"/>
      <sheetName val="Dep-Amort"/>
      <sheetName val="Adj Taxes"/>
      <sheetName val="Adj Operating Exp-2007-2015"/>
      <sheetName val="Weighted Revenue Growth"/>
      <sheetName val="Other Revenue"/>
      <sheetName val="UTC - DeferredTaxes"/>
      <sheetName val="09.2015 Rev Model"/>
      <sheetName val="2017-18 Forecast Billing Determ"/>
      <sheetName val="12.2015 CB Power Supply"/>
      <sheetName val="456 Revenue"/>
      <sheetName val="incremental load expense"/>
      <sheetName val="CS2-Colstrip 2016 Incrmntl Exp"/>
      <sheetName val="UTC - Gomez PF PS "/>
      <sheetName val="PF Power Supply 09.2015 load"/>
      <sheetName val="PF Power Supply 2018 load"/>
      <sheetName val="Reg Amorts"/>
      <sheetName val="DSM"/>
      <sheetName val="ResX"/>
      <sheetName val="CBR Hist"/>
      <sheetName val="PS Consolidated"/>
      <sheetName val="Other Rev"/>
      <sheetName val="Sheet1"/>
    </sheetNames>
    <sheetDataSet>
      <sheetData sheetId="0"/>
      <sheetData sheetId="1"/>
      <sheetData sheetId="2"/>
      <sheetData sheetId="3">
        <row r="7">
          <cell r="E7">
            <v>497229</v>
          </cell>
        </row>
        <row r="18">
          <cell r="I18">
            <v>0</v>
          </cell>
        </row>
        <row r="25">
          <cell r="I25">
            <v>0</v>
          </cell>
        </row>
        <row r="32">
          <cell r="E32">
            <v>0</v>
          </cell>
        </row>
        <row r="36">
          <cell r="I36">
            <v>0</v>
          </cell>
        </row>
        <row r="50">
          <cell r="F50">
            <v>40184</v>
          </cell>
        </row>
        <row r="51">
          <cell r="F51">
            <v>0</v>
          </cell>
          <cell r="I51">
            <v>0</v>
          </cell>
        </row>
        <row r="52">
          <cell r="I52">
            <v>0</v>
          </cell>
        </row>
        <row r="53">
          <cell r="I53">
            <v>0</v>
          </cell>
        </row>
        <row r="59">
          <cell r="I59">
            <v>0</v>
          </cell>
        </row>
        <row r="60">
          <cell r="I60">
            <v>0</v>
          </cell>
        </row>
        <row r="61">
          <cell r="I61">
            <v>0</v>
          </cell>
        </row>
        <row r="62">
          <cell r="I62">
            <v>0</v>
          </cell>
        </row>
        <row r="63">
          <cell r="I63">
            <v>0</v>
          </cell>
        </row>
        <row r="66">
          <cell r="I66">
            <v>0</v>
          </cell>
        </row>
        <row r="67">
          <cell r="I67">
            <v>0</v>
          </cell>
        </row>
        <row r="68">
          <cell r="I68">
            <v>0</v>
          </cell>
        </row>
        <row r="69">
          <cell r="I69">
            <v>0</v>
          </cell>
        </row>
        <row r="70">
          <cell r="I70">
            <v>0</v>
          </cell>
        </row>
        <row r="75">
          <cell r="I75">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4">
          <cell r="U24">
            <v>24947</v>
          </cell>
        </row>
        <row r="25">
          <cell r="U25">
            <v>5974</v>
          </cell>
        </row>
        <row r="58">
          <cell r="U58">
            <v>144970</v>
          </cell>
        </row>
        <row r="59">
          <cell r="U59">
            <v>779441</v>
          </cell>
        </row>
        <row r="60">
          <cell r="U60">
            <v>401700</v>
          </cell>
        </row>
        <row r="61">
          <cell r="U61">
            <v>895055</v>
          </cell>
        </row>
        <row r="62">
          <cell r="U62">
            <v>212726</v>
          </cell>
        </row>
        <row r="65">
          <cell r="U65">
            <v>24943</v>
          </cell>
        </row>
        <row r="66">
          <cell r="U66">
            <v>342899</v>
          </cell>
        </row>
        <row r="67">
          <cell r="U67">
            <v>129936</v>
          </cell>
        </row>
        <row r="68">
          <cell r="U68">
            <v>273578</v>
          </cell>
        </row>
        <row r="69">
          <cell r="U69">
            <v>73050</v>
          </cell>
        </row>
        <row r="73">
          <cell r="U73">
            <v>-317860</v>
          </cell>
        </row>
        <row r="75">
          <cell r="U75">
            <v>7458</v>
          </cell>
        </row>
        <row r="76">
          <cell r="U76">
            <v>59722</v>
          </cell>
        </row>
      </sheetData>
      <sheetData sheetId="35"/>
      <sheetData sheetId="36"/>
      <sheetData sheetId="3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SUMMARY"/>
      <sheetName val="CF "/>
      <sheetName val="Acerno_Cache_XXXXX"/>
      <sheetName val="ADJ DETAIL-INPUT-Restate"/>
      <sheetName val="2007-2016 Data"/>
      <sheetName val="ADJ DETAIL-INPUT-PF"/>
      <sheetName val="CBR Hist"/>
      <sheetName val="Reg Amorts"/>
      <sheetName val="ROO INPUT"/>
      <sheetName val="DEBT CALC"/>
      <sheetName val="ADJ SUMMARY"/>
      <sheetName val="PROPOSED RATES-2018-NOT USED"/>
      <sheetName val="Table"/>
    </sheetNames>
    <sheetDataSet>
      <sheetData sheetId="0" refreshError="1"/>
      <sheetData sheetId="1" refreshError="1"/>
      <sheetData sheetId="2" refreshError="1"/>
      <sheetData sheetId="3">
        <row r="67">
          <cell r="AJ67">
            <v>-1.0260431165975364E-2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F Power Supply Adjustments"/>
      <sheetName val="PCRA Update"/>
      <sheetName val="2016 Actual"/>
    </sheetNames>
    <sheetDataSet>
      <sheetData sheetId="0">
        <row r="13">
          <cell r="F13">
            <v>78098</v>
          </cell>
          <cell r="O13">
            <v>57325</v>
          </cell>
        </row>
        <row r="16">
          <cell r="F16">
            <v>11379</v>
          </cell>
          <cell r="O16">
            <v>10225</v>
          </cell>
        </row>
        <row r="19">
          <cell r="F19">
            <v>55794</v>
          </cell>
        </row>
        <row r="24">
          <cell r="F24">
            <v>18997</v>
          </cell>
          <cell r="O24">
            <v>18845</v>
          </cell>
        </row>
        <row r="26">
          <cell r="F26">
            <v>50744</v>
          </cell>
          <cell r="O26">
            <v>50016</v>
          </cell>
        </row>
        <row r="28">
          <cell r="F28">
            <v>96773</v>
          </cell>
          <cell r="O28">
            <v>77131</v>
          </cell>
        </row>
        <row r="32">
          <cell r="F32">
            <v>43758</v>
          </cell>
          <cell r="O32">
            <v>446</v>
          </cell>
        </row>
        <row r="33">
          <cell r="F33">
            <v>437</v>
          </cell>
          <cell r="O33">
            <v>-1425</v>
          </cell>
        </row>
        <row r="34">
          <cell r="F34">
            <v>11339</v>
          </cell>
          <cell r="O34">
            <v>11154</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13R"/>
      <sheetName val="Exh. No. BGM-13R -2"/>
      <sheetName val="Exh. No. BGM-13R -3"/>
      <sheetName val="Exh. No. BGM-13R -4"/>
      <sheetName val="Exh. No. BGM-13R -5"/>
      <sheetName val="DEBT CALC"/>
      <sheetName val="LEAD SHEETS-DO NOT ENTER"/>
      <sheetName val="ADJ SUMMARY"/>
      <sheetName val="ROO INPUT"/>
      <sheetName val="COMPARISON"/>
    </sheetNames>
    <sheetDataSet>
      <sheetData sheetId="0">
        <row r="25">
          <cell r="W25">
            <v>330.47300000000001</v>
          </cell>
        </row>
        <row r="48">
          <cell r="R48">
            <v>1383129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30"/>
  <sheetViews>
    <sheetView view="pageBreakPreview" topLeftCell="A15" zoomScale="60" zoomScaleNormal="100" workbookViewId="0">
      <selection activeCell="H36" sqref="H36"/>
    </sheetView>
  </sheetViews>
  <sheetFormatPr defaultColWidth="8.85546875" defaultRowHeight="12.75"/>
  <cols>
    <col min="1" max="1" width="8.85546875" style="272"/>
    <col min="2" max="2" width="12.28515625" style="272" customWidth="1"/>
    <col min="3" max="16384" width="8.85546875" style="272"/>
  </cols>
  <sheetData>
    <row r="1" spans="1:8" hidden="1">
      <c r="C1" s="356">
        <v>2009</v>
      </c>
      <c r="D1" s="356">
        <v>2010</v>
      </c>
      <c r="E1" s="356">
        <v>2011</v>
      </c>
      <c r="F1" s="356">
        <v>2012</v>
      </c>
      <c r="G1" s="356">
        <v>2013</v>
      </c>
      <c r="H1" s="356">
        <v>2014</v>
      </c>
    </row>
    <row r="2" spans="1:8" hidden="1">
      <c r="A2" s="272" t="s">
        <v>40</v>
      </c>
    </row>
    <row r="3" spans="1:8" hidden="1">
      <c r="B3" s="272" t="s">
        <v>39</v>
      </c>
      <c r="C3" s="272">
        <v>57116</v>
      </c>
      <c r="D3" s="272">
        <v>81955</v>
      </c>
      <c r="E3" s="272">
        <v>84081</v>
      </c>
      <c r="F3" s="272">
        <v>85247</v>
      </c>
      <c r="G3" s="272">
        <v>91466</v>
      </c>
      <c r="H3" s="272">
        <v>102620</v>
      </c>
    </row>
    <row r="4" spans="1:8" hidden="1">
      <c r="B4" s="272" t="s">
        <v>38</v>
      </c>
      <c r="C4" s="272">
        <v>677646</v>
      </c>
      <c r="D4" s="272">
        <v>692689</v>
      </c>
      <c r="E4" s="272">
        <v>706894</v>
      </c>
      <c r="F4" s="272">
        <v>717448</v>
      </c>
      <c r="G4" s="272">
        <v>738315</v>
      </c>
      <c r="H4" s="272">
        <v>746101</v>
      </c>
    </row>
    <row r="5" spans="1:8" hidden="1">
      <c r="B5" s="272" t="s">
        <v>37</v>
      </c>
      <c r="C5" s="272">
        <v>301090</v>
      </c>
      <c r="D5" s="272">
        <v>312505</v>
      </c>
      <c r="E5" s="272">
        <v>328012</v>
      </c>
      <c r="F5" s="272">
        <v>342382</v>
      </c>
      <c r="G5" s="272">
        <v>359941</v>
      </c>
      <c r="H5" s="272">
        <v>371971</v>
      </c>
    </row>
    <row r="6" spans="1:8" hidden="1">
      <c r="B6" s="272" t="s">
        <v>36</v>
      </c>
      <c r="C6" s="272">
        <v>602201</v>
      </c>
      <c r="D6" s="272">
        <v>642143</v>
      </c>
      <c r="E6" s="272">
        <v>696082</v>
      </c>
      <c r="F6" s="272">
        <v>743732</v>
      </c>
      <c r="G6" s="272">
        <v>796640</v>
      </c>
      <c r="H6" s="272">
        <v>842795</v>
      </c>
    </row>
    <row r="7" spans="1:8" hidden="1">
      <c r="B7" s="357" t="s">
        <v>35</v>
      </c>
      <c r="C7" s="357">
        <v>98727</v>
      </c>
      <c r="D7" s="357">
        <v>120996</v>
      </c>
      <c r="E7" s="357">
        <v>140218</v>
      </c>
      <c r="F7" s="357">
        <v>155104</v>
      </c>
      <c r="G7" s="357">
        <v>179134</v>
      </c>
      <c r="H7" s="357">
        <v>196867</v>
      </c>
    </row>
    <row r="8" spans="1:8" hidden="1">
      <c r="A8" s="272" t="s">
        <v>406</v>
      </c>
    </row>
    <row r="9" spans="1:8" hidden="1">
      <c r="B9" s="272" t="s">
        <v>39</v>
      </c>
      <c r="C9" s="272">
        <v>9302</v>
      </c>
      <c r="D9" s="272">
        <v>12606</v>
      </c>
      <c r="E9" s="272">
        <v>3744</v>
      </c>
      <c r="F9" s="272">
        <v>4369</v>
      </c>
      <c r="G9" s="272">
        <v>17667</v>
      </c>
      <c r="H9" s="272">
        <v>20242</v>
      </c>
    </row>
    <row r="10" spans="1:8" hidden="1">
      <c r="B10" s="272" t="s">
        <v>38</v>
      </c>
      <c r="C10" s="272">
        <v>255390</v>
      </c>
      <c r="D10" s="272">
        <v>272340</v>
      </c>
      <c r="E10" s="272">
        <v>286300</v>
      </c>
      <c r="F10" s="272">
        <v>300170</v>
      </c>
      <c r="G10" s="272">
        <v>314599</v>
      </c>
      <c r="H10" s="272">
        <v>325531</v>
      </c>
    </row>
    <row r="11" spans="1:8" hidden="1">
      <c r="B11" s="272" t="s">
        <v>37</v>
      </c>
      <c r="C11" s="272">
        <v>100649</v>
      </c>
      <c r="D11" s="272">
        <v>106041</v>
      </c>
      <c r="E11" s="272">
        <v>111144</v>
      </c>
      <c r="F11" s="272">
        <v>116316</v>
      </c>
      <c r="G11" s="272">
        <v>122308</v>
      </c>
      <c r="H11" s="272">
        <v>123869</v>
      </c>
    </row>
    <row r="12" spans="1:8" hidden="1">
      <c r="B12" s="272" t="s">
        <v>36</v>
      </c>
      <c r="C12" s="272">
        <v>181327</v>
      </c>
      <c r="D12" s="272">
        <v>194593</v>
      </c>
      <c r="E12" s="272">
        <v>209101</v>
      </c>
      <c r="F12" s="272">
        <v>221408</v>
      </c>
      <c r="G12" s="272">
        <v>236201</v>
      </c>
      <c r="H12" s="272">
        <v>252722</v>
      </c>
    </row>
    <row r="13" spans="1:8" hidden="1">
      <c r="B13" s="357" t="s">
        <v>35</v>
      </c>
      <c r="C13" s="357">
        <v>39153</v>
      </c>
      <c r="D13" s="357">
        <v>43819</v>
      </c>
      <c r="E13" s="357">
        <v>56694</v>
      </c>
      <c r="F13" s="357">
        <v>61871</v>
      </c>
      <c r="G13" s="357">
        <v>58357</v>
      </c>
      <c r="H13" s="357">
        <v>65720</v>
      </c>
    </row>
    <row r="14" spans="1:8" hidden="1"/>
    <row r="15" spans="1:8">
      <c r="A15" s="272" t="s">
        <v>407</v>
      </c>
      <c r="C15" s="356">
        <v>2009</v>
      </c>
      <c r="D15" s="356">
        <v>2010</v>
      </c>
      <c r="E15" s="356">
        <v>2011</v>
      </c>
      <c r="F15" s="356">
        <v>2012</v>
      </c>
      <c r="G15" s="356">
        <v>2013</v>
      </c>
      <c r="H15" s="356">
        <v>2014</v>
      </c>
    </row>
    <row r="16" spans="1:8">
      <c r="B16" s="272" t="s">
        <v>39</v>
      </c>
      <c r="C16" s="272">
        <f t="shared" ref="C16:H20" si="0">C3-C9</f>
        <v>47814</v>
      </c>
      <c r="D16" s="272">
        <f t="shared" si="0"/>
        <v>69349</v>
      </c>
      <c r="E16" s="272">
        <f t="shared" si="0"/>
        <v>80337</v>
      </c>
      <c r="F16" s="272">
        <f t="shared" si="0"/>
        <v>80878</v>
      </c>
      <c r="G16" s="272">
        <f t="shared" si="0"/>
        <v>73799</v>
      </c>
      <c r="H16" s="272">
        <f t="shared" si="0"/>
        <v>82378</v>
      </c>
    </row>
    <row r="17" spans="2:8">
      <c r="B17" s="272" t="s">
        <v>38</v>
      </c>
      <c r="C17" s="272">
        <f t="shared" si="0"/>
        <v>422256</v>
      </c>
      <c r="D17" s="272">
        <f t="shared" si="0"/>
        <v>420349</v>
      </c>
      <c r="E17" s="272">
        <f t="shared" si="0"/>
        <v>420594</v>
      </c>
      <c r="F17" s="272">
        <f t="shared" si="0"/>
        <v>417278</v>
      </c>
      <c r="G17" s="272">
        <f t="shared" si="0"/>
        <v>423716</v>
      </c>
      <c r="H17" s="272">
        <f t="shared" si="0"/>
        <v>420570</v>
      </c>
    </row>
    <row r="18" spans="2:8">
      <c r="B18" s="272" t="s">
        <v>37</v>
      </c>
      <c r="C18" s="272">
        <f t="shared" si="0"/>
        <v>200441</v>
      </c>
      <c r="D18" s="272">
        <f t="shared" si="0"/>
        <v>206464</v>
      </c>
      <c r="E18" s="272">
        <f t="shared" si="0"/>
        <v>216868</v>
      </c>
      <c r="F18" s="272">
        <f t="shared" si="0"/>
        <v>226066</v>
      </c>
      <c r="G18" s="272">
        <f t="shared" si="0"/>
        <v>237633</v>
      </c>
      <c r="H18" s="272">
        <f t="shared" si="0"/>
        <v>248102</v>
      </c>
    </row>
    <row r="19" spans="2:8">
      <c r="B19" s="272" t="s">
        <v>36</v>
      </c>
      <c r="C19" s="272">
        <f t="shared" si="0"/>
        <v>420874</v>
      </c>
      <c r="D19" s="272">
        <f t="shared" si="0"/>
        <v>447550</v>
      </c>
      <c r="E19" s="272">
        <f t="shared" si="0"/>
        <v>486981</v>
      </c>
      <c r="F19" s="272">
        <f t="shared" si="0"/>
        <v>522324</v>
      </c>
      <c r="G19" s="272">
        <f t="shared" si="0"/>
        <v>560439</v>
      </c>
      <c r="H19" s="272">
        <f t="shared" si="0"/>
        <v>590073</v>
      </c>
    </row>
    <row r="20" spans="2:8">
      <c r="B20" s="272" t="s">
        <v>35</v>
      </c>
      <c r="C20" s="357">
        <f t="shared" si="0"/>
        <v>59574</v>
      </c>
      <c r="D20" s="357">
        <f t="shared" si="0"/>
        <v>77177</v>
      </c>
      <c r="E20" s="357">
        <f t="shared" si="0"/>
        <v>83524</v>
      </c>
      <c r="F20" s="357">
        <f t="shared" si="0"/>
        <v>93233</v>
      </c>
      <c r="G20" s="357">
        <f t="shared" si="0"/>
        <v>120777</v>
      </c>
      <c r="H20" s="357">
        <f t="shared" si="0"/>
        <v>131147</v>
      </c>
    </row>
    <row r="23" spans="2:8" hidden="1">
      <c r="C23" s="356">
        <v>2009</v>
      </c>
      <c r="D23" s="356">
        <v>2010</v>
      </c>
      <c r="E23" s="356">
        <v>2011</v>
      </c>
      <c r="F23" s="356">
        <v>2012</v>
      </c>
      <c r="G23" s="356">
        <v>2013</v>
      </c>
      <c r="H23" s="356">
        <v>2014</v>
      </c>
    </row>
    <row r="24" spans="2:8" hidden="1">
      <c r="B24" s="272" t="s">
        <v>39</v>
      </c>
      <c r="C24" s="272">
        <v>47814</v>
      </c>
      <c r="D24" s="272">
        <v>69349</v>
      </c>
      <c r="E24" s="272">
        <v>80337</v>
      </c>
      <c r="F24" s="272">
        <v>80878</v>
      </c>
      <c r="G24" s="272">
        <v>73799</v>
      </c>
      <c r="H24" s="272">
        <v>82378</v>
      </c>
    </row>
    <row r="25" spans="2:8" hidden="1">
      <c r="B25" s="272" t="s">
        <v>35</v>
      </c>
      <c r="C25" s="272">
        <v>59574</v>
      </c>
      <c r="D25" s="272">
        <v>77177</v>
      </c>
      <c r="E25" s="272">
        <v>83524</v>
      </c>
      <c r="F25" s="272">
        <v>93233</v>
      </c>
      <c r="G25" s="272">
        <v>120777</v>
      </c>
      <c r="H25" s="272">
        <v>131147</v>
      </c>
    </row>
    <row r="26" spans="2:8" hidden="1">
      <c r="C26" s="356">
        <v>2009</v>
      </c>
      <c r="D26" s="356">
        <v>2010</v>
      </c>
      <c r="E26" s="356">
        <v>2011</v>
      </c>
      <c r="F26" s="356">
        <v>2012</v>
      </c>
      <c r="G26" s="356">
        <v>2013</v>
      </c>
      <c r="H26" s="356">
        <v>2014</v>
      </c>
    </row>
    <row r="27" spans="2:8" hidden="1">
      <c r="B27" s="272" t="s">
        <v>38</v>
      </c>
      <c r="C27" s="272">
        <v>422256</v>
      </c>
      <c r="D27" s="272">
        <v>420349</v>
      </c>
      <c r="E27" s="272">
        <v>420594</v>
      </c>
      <c r="F27" s="272">
        <v>417278</v>
      </c>
      <c r="G27" s="272">
        <v>423716</v>
      </c>
      <c r="H27" s="272">
        <v>420570</v>
      </c>
    </row>
    <row r="28" spans="2:8" hidden="1">
      <c r="B28" s="272" t="s">
        <v>36</v>
      </c>
      <c r="C28" s="272">
        <v>420874</v>
      </c>
      <c r="D28" s="272">
        <v>447550</v>
      </c>
      <c r="E28" s="272">
        <v>486981</v>
      </c>
      <c r="F28" s="272">
        <v>522324</v>
      </c>
      <c r="G28" s="272">
        <v>560439</v>
      </c>
      <c r="H28" s="272">
        <v>590073</v>
      </c>
    </row>
    <row r="29" spans="2:8" hidden="1">
      <c r="C29" s="356">
        <v>2009</v>
      </c>
      <c r="D29" s="356">
        <v>2010</v>
      </c>
      <c r="E29" s="356">
        <v>2011</v>
      </c>
      <c r="F29" s="356">
        <v>2012</v>
      </c>
      <c r="G29" s="356">
        <v>2013</v>
      </c>
      <c r="H29" s="356">
        <v>2014</v>
      </c>
    </row>
    <row r="30" spans="2:8" hidden="1">
      <c r="B30" s="272" t="s">
        <v>37</v>
      </c>
      <c r="C30" s="272">
        <v>200441</v>
      </c>
      <c r="D30" s="272">
        <v>206464</v>
      </c>
      <c r="E30" s="272">
        <v>216868</v>
      </c>
      <c r="F30" s="272">
        <v>226066</v>
      </c>
      <c r="G30" s="272">
        <v>237633</v>
      </c>
      <c r="H30" s="272">
        <v>248102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186"/>
  <sheetViews>
    <sheetView showGridLines="0" tabSelected="1" topLeftCell="A2" zoomScaleNormal="100" zoomScaleSheetLayoutView="85" workbookViewId="0">
      <selection activeCell="A2" sqref="A2:H2"/>
    </sheetView>
  </sheetViews>
  <sheetFormatPr defaultRowHeight="12.75"/>
  <cols>
    <col min="1" max="1" width="5.140625" customWidth="1"/>
    <col min="2" max="2" width="1.7109375" customWidth="1"/>
    <col min="3" max="3" width="38.42578125" customWidth="1"/>
    <col min="4" max="4" width="1.7109375" customWidth="1"/>
    <col min="5" max="5" width="0.140625" hidden="1" customWidth="1"/>
    <col min="6" max="8" width="19.28515625" customWidth="1"/>
    <col min="9" max="9" width="6" style="231" customWidth="1"/>
    <col min="10" max="10" width="10.28515625" style="231" bestFit="1" customWidth="1"/>
    <col min="11" max="11" width="9.28515625" bestFit="1" customWidth="1"/>
  </cols>
  <sheetData>
    <row r="1" spans="1:25" s="233" customFormat="1" ht="15.75" hidden="1">
      <c r="A1" s="732"/>
      <c r="B1" s="732"/>
      <c r="C1" s="732"/>
      <c r="D1" s="732"/>
      <c r="E1" s="732"/>
      <c r="F1" s="732"/>
      <c r="G1" s="732"/>
      <c r="H1" s="732"/>
      <c r="I1" s="374"/>
      <c r="J1" s="380"/>
    </row>
    <row r="2" spans="1:25" s="233" customFormat="1" ht="15.75">
      <c r="A2" s="733" t="s">
        <v>511</v>
      </c>
      <c r="B2" s="733"/>
      <c r="C2" s="733"/>
      <c r="D2" s="733"/>
      <c r="E2" s="733"/>
      <c r="F2" s="733"/>
      <c r="G2" s="733"/>
      <c r="H2" s="733"/>
      <c r="I2" s="374"/>
      <c r="J2" s="380"/>
    </row>
    <row r="3" spans="1:25" s="233" customFormat="1" ht="15.75">
      <c r="A3" s="662" t="s">
        <v>545</v>
      </c>
      <c r="B3" s="662"/>
      <c r="C3" s="662"/>
      <c r="D3" s="662"/>
      <c r="E3" s="662"/>
      <c r="F3" s="662"/>
      <c r="G3" s="662"/>
      <c r="H3" s="662"/>
      <c r="I3" s="374"/>
      <c r="J3" s="380"/>
    </row>
    <row r="4" spans="1:25" s="233" customFormat="1" ht="15.75">
      <c r="A4" s="662" t="s">
        <v>533</v>
      </c>
      <c r="B4" s="662"/>
      <c r="C4" s="662"/>
      <c r="D4" s="662"/>
      <c r="E4" s="662"/>
      <c r="F4" s="662"/>
      <c r="G4" s="662"/>
      <c r="H4" s="662"/>
      <c r="I4" s="374"/>
      <c r="J4" s="380"/>
    </row>
    <row r="5" spans="1:25" s="233" customFormat="1" ht="15.75">
      <c r="A5" s="662" t="s">
        <v>296</v>
      </c>
      <c r="B5" s="662"/>
      <c r="C5" s="662"/>
      <c r="D5" s="662"/>
      <c r="E5" s="662"/>
      <c r="F5" s="662"/>
      <c r="G5" s="662"/>
      <c r="H5" s="662"/>
      <c r="I5" s="374"/>
      <c r="J5" s="380"/>
    </row>
    <row r="6" spans="1:25">
      <c r="A6" s="232"/>
      <c r="B6" s="232"/>
      <c r="C6" s="232"/>
      <c r="D6" s="232"/>
      <c r="E6" s="232"/>
      <c r="F6" s="232"/>
      <c r="G6" s="232"/>
      <c r="H6" s="232"/>
    </row>
    <row r="7" spans="1:25">
      <c r="A7" s="217"/>
      <c r="B7" s="217"/>
      <c r="C7" s="217"/>
      <c r="D7" s="217"/>
      <c r="E7" s="217"/>
      <c r="F7" s="232" t="s">
        <v>297</v>
      </c>
      <c r="G7" s="232" t="s">
        <v>298</v>
      </c>
      <c r="H7" s="232" t="s">
        <v>299</v>
      </c>
      <c r="I7" s="375"/>
    </row>
    <row r="8" spans="1:25" ht="13.15" customHeight="1">
      <c r="A8" s="734" t="s">
        <v>305</v>
      </c>
      <c r="B8" s="187"/>
      <c r="C8" s="740" t="s">
        <v>233</v>
      </c>
      <c r="D8" s="639"/>
      <c r="E8" s="188"/>
      <c r="F8" s="734" t="s">
        <v>510</v>
      </c>
      <c r="G8" s="734" t="s">
        <v>77</v>
      </c>
      <c r="H8" s="734" t="s">
        <v>509</v>
      </c>
      <c r="I8" s="738"/>
    </row>
    <row r="9" spans="1:25">
      <c r="A9" s="735"/>
      <c r="B9" s="187"/>
      <c r="C9" s="735"/>
      <c r="D9" s="639"/>
      <c r="E9" s="191"/>
      <c r="F9" s="735"/>
      <c r="G9" s="735"/>
      <c r="H9" s="737"/>
      <c r="I9" s="739"/>
    </row>
    <row r="10" spans="1:25">
      <c r="A10" s="187"/>
      <c r="B10" s="187"/>
      <c r="C10" s="187"/>
      <c r="D10" s="639"/>
      <c r="E10" s="187"/>
      <c r="F10" s="187"/>
      <c r="G10" s="187"/>
      <c r="H10" s="187"/>
      <c r="I10" s="376"/>
    </row>
    <row r="11" spans="1:25">
      <c r="A11" s="193">
        <v>1</v>
      </c>
      <c r="B11" s="187"/>
      <c r="C11" s="187" t="s">
        <v>525</v>
      </c>
      <c r="D11" s="639"/>
      <c r="E11" s="187"/>
      <c r="F11" s="657">
        <f ca="1">'3.01) Attrition 2016 to 2018'!Y81</f>
        <v>1397320.4998981643</v>
      </c>
      <c r="G11" s="226">
        <f>'3.01) Attrition 2016 to 2018'!Y91</f>
        <v>1.0102604311659753</v>
      </c>
      <c r="H11" s="657">
        <f ca="1">F11/G11</f>
        <v>1383129</v>
      </c>
      <c r="I11" s="376"/>
    </row>
    <row r="12" spans="1:25">
      <c r="A12" s="193"/>
      <c r="B12" s="187"/>
      <c r="C12" s="187"/>
      <c r="D12" s="187"/>
      <c r="E12" s="187"/>
      <c r="F12" s="218"/>
      <c r="G12" s="218"/>
      <c r="H12" s="218"/>
      <c r="I12" s="376"/>
    </row>
    <row r="13" spans="1:25">
      <c r="A13" s="193">
        <v>2</v>
      </c>
      <c r="B13" s="187"/>
      <c r="C13" s="187" t="s">
        <v>119</v>
      </c>
      <c r="D13" s="187"/>
      <c r="E13" s="187"/>
      <c r="F13" s="223"/>
      <c r="G13" s="219"/>
      <c r="H13" s="382">
        <f>'2) ROR'!F15</f>
        <v>7.0800000000000002E-2</v>
      </c>
      <c r="I13" s="376"/>
    </row>
    <row r="14" spans="1:25">
      <c r="A14" s="193"/>
      <c r="B14" s="187"/>
      <c r="C14" s="187"/>
      <c r="D14" s="187"/>
      <c r="E14" s="187"/>
      <c r="F14" s="219"/>
      <c r="G14" s="219"/>
      <c r="H14" s="219"/>
      <c r="I14" s="376"/>
    </row>
    <row r="15" spans="1:25">
      <c r="A15" s="193">
        <v>3</v>
      </c>
      <c r="B15" s="187"/>
      <c r="C15" s="228" t="s">
        <v>295</v>
      </c>
      <c r="D15" s="228"/>
      <c r="E15" s="228"/>
      <c r="F15" s="366"/>
      <c r="G15" s="220"/>
      <c r="H15" s="657">
        <f ca="1">ROUND(H11*H13,0)</f>
        <v>97926</v>
      </c>
      <c r="I15" s="368"/>
      <c r="Y15">
        <v>27986</v>
      </c>
    </row>
    <row r="16" spans="1:25">
      <c r="A16" s="193"/>
      <c r="B16" s="187"/>
      <c r="C16" s="187"/>
      <c r="D16" s="187"/>
      <c r="E16" s="187"/>
      <c r="F16" s="218"/>
      <c r="G16" s="218"/>
      <c r="H16" s="218"/>
      <c r="I16" s="368"/>
      <c r="Y16">
        <v>4831</v>
      </c>
    </row>
    <row r="17" spans="1:20">
      <c r="A17" s="193">
        <v>4</v>
      </c>
      <c r="B17" s="187"/>
      <c r="C17" s="187" t="s">
        <v>529</v>
      </c>
      <c r="D17" s="187"/>
      <c r="E17" s="187"/>
      <c r="F17" s="658">
        <f ca="1">'3.01) Attrition 2016 to 2018'!Y57</f>
        <v>104229.2082790792</v>
      </c>
      <c r="G17" s="227">
        <f>G11</f>
        <v>1.0102604311659753</v>
      </c>
      <c r="H17" s="658">
        <f ca="1">F17/G17</f>
        <v>103170.63309980853</v>
      </c>
      <c r="I17" s="368"/>
    </row>
    <row r="18" spans="1:20" s="272" customFormat="1">
      <c r="A18" s="193"/>
      <c r="B18" s="187"/>
      <c r="C18" s="187"/>
      <c r="D18" s="187"/>
      <c r="E18" s="187"/>
      <c r="F18" s="220"/>
      <c r="G18" s="227"/>
      <c r="H18" s="220"/>
      <c r="I18" s="368"/>
      <c r="J18" s="231"/>
    </row>
    <row r="19" spans="1:20" s="272" customFormat="1">
      <c r="A19" s="193">
        <v>5</v>
      </c>
      <c r="B19" s="187"/>
      <c r="C19" s="228" t="s">
        <v>530</v>
      </c>
      <c r="D19" s="231"/>
      <c r="E19" s="231"/>
      <c r="F19" s="231"/>
      <c r="G19" s="231"/>
      <c r="H19" s="383">
        <f ca="1">H17/H11</f>
        <v>7.4592198630647269E-2</v>
      </c>
      <c r="I19" s="368"/>
      <c r="J19" s="231"/>
    </row>
    <row r="20" spans="1:20">
      <c r="A20" s="193"/>
      <c r="B20" s="187"/>
      <c r="C20" s="187"/>
      <c r="D20" s="187"/>
      <c r="E20" s="187"/>
      <c r="F20" s="187"/>
      <c r="G20" s="187"/>
      <c r="H20" s="187"/>
      <c r="I20" s="368"/>
    </row>
    <row r="21" spans="1:20">
      <c r="A21" s="193">
        <v>6</v>
      </c>
      <c r="B21" s="187"/>
      <c r="C21" s="187" t="s">
        <v>526</v>
      </c>
      <c r="D21" s="187"/>
      <c r="E21" s="187"/>
      <c r="F21" s="218"/>
      <c r="G21" s="218"/>
      <c r="H21" s="657">
        <f ca="1">H15-H17</f>
        <v>-5244.6330998085323</v>
      </c>
      <c r="I21" s="377"/>
    </row>
    <row r="22" spans="1:20">
      <c r="A22" s="193"/>
      <c r="B22" s="187"/>
      <c r="C22" s="187"/>
      <c r="D22" s="187"/>
      <c r="E22" s="187"/>
      <c r="F22" s="187"/>
      <c r="G22" s="187"/>
      <c r="H22" s="187"/>
      <c r="I22" s="368"/>
      <c r="T22" s="95"/>
    </row>
    <row r="23" spans="1:20">
      <c r="A23" s="193">
        <v>7</v>
      </c>
      <c r="B23" s="187"/>
      <c r="C23" s="187" t="s">
        <v>412</v>
      </c>
      <c r="D23" s="228"/>
      <c r="E23" s="187"/>
      <c r="F23" s="221"/>
      <c r="G23" s="187"/>
      <c r="H23" s="221">
        <f>'2) ROR'!N24</f>
        <v>0.61941299999999999</v>
      </c>
      <c r="I23" s="368"/>
    </row>
    <row r="24" spans="1:20">
      <c r="A24" s="193"/>
      <c r="B24" s="187"/>
      <c r="C24" s="187"/>
      <c r="D24" s="228"/>
      <c r="E24" s="187"/>
      <c r="F24" s="228"/>
      <c r="G24" s="187"/>
      <c r="H24" s="187"/>
      <c r="I24" s="378"/>
      <c r="K24" s="274"/>
      <c r="L24" s="275"/>
      <c r="M24" s="231"/>
    </row>
    <row r="25" spans="1:20">
      <c r="A25" s="193">
        <v>8</v>
      </c>
      <c r="B25" s="187"/>
      <c r="C25" s="228" t="s">
        <v>527</v>
      </c>
      <c r="D25" s="228"/>
      <c r="E25" s="361"/>
      <c r="F25" s="95"/>
      <c r="G25" s="430"/>
      <c r="H25" s="660">
        <f ca="1">ROUND(H21/H23,0)</f>
        <v>-8467</v>
      </c>
      <c r="L25" s="276"/>
      <c r="M25" s="231"/>
    </row>
    <row r="26" spans="1:20">
      <c r="A26" s="193"/>
      <c r="B26" s="187"/>
      <c r="C26" s="228"/>
      <c r="D26" s="228"/>
      <c r="E26" s="187"/>
      <c r="F26" s="229"/>
      <c r="G26" s="431"/>
      <c r="H26" s="229"/>
      <c r="I26" s="379"/>
      <c r="K26" s="231"/>
      <c r="L26" s="231"/>
      <c r="M26" s="231"/>
    </row>
    <row r="27" spans="1:20">
      <c r="A27" s="193">
        <v>9</v>
      </c>
      <c r="B27" s="222"/>
      <c r="C27" s="228" t="s">
        <v>531</v>
      </c>
      <c r="D27" s="228"/>
      <c r="E27" s="187"/>
      <c r="F27" s="220"/>
      <c r="G27" s="220"/>
      <c r="H27" s="657">
        <f>'3.01) Attrition 2016 to 2018'!Q9+'3.01) Attrition 2016 to 2018'!Q10</f>
        <v>497183.50703143614</v>
      </c>
      <c r="I27" s="381"/>
      <c r="K27" s="231"/>
      <c r="L27" s="231"/>
      <c r="M27" s="231"/>
    </row>
    <row r="28" spans="1:20">
      <c r="A28" s="224"/>
      <c r="B28" s="222"/>
      <c r="C28" s="228"/>
      <c r="D28" s="228"/>
      <c r="E28" s="187"/>
      <c r="F28" s="228"/>
      <c r="G28" s="228"/>
      <c r="H28" s="187"/>
      <c r="I28" s="368"/>
      <c r="K28" s="231"/>
      <c r="L28" s="231"/>
      <c r="M28" s="231"/>
    </row>
    <row r="29" spans="1:20" s="272" customFormat="1">
      <c r="A29" s="193">
        <v>10</v>
      </c>
      <c r="C29" s="228" t="s">
        <v>528</v>
      </c>
      <c r="D29" s="231"/>
      <c r="E29" s="357"/>
      <c r="F29" s="231"/>
      <c r="G29" s="231"/>
      <c r="H29" s="659">
        <f ca="1">H27+H25</f>
        <v>488716.50703143614</v>
      </c>
      <c r="I29" s="377"/>
      <c r="J29" s="231"/>
    </row>
    <row r="30" spans="1:20">
      <c r="A30" s="272"/>
      <c r="B30" s="224"/>
      <c r="C30" s="225"/>
      <c r="D30" s="225"/>
      <c r="E30" s="224"/>
      <c r="F30" s="225"/>
      <c r="G30" s="225"/>
      <c r="H30" s="224"/>
      <c r="I30" s="368"/>
      <c r="K30" s="231"/>
      <c r="L30" s="231"/>
      <c r="M30" s="231"/>
    </row>
    <row r="31" spans="1:20" s="272" customFormat="1">
      <c r="A31" s="193">
        <v>11</v>
      </c>
      <c r="C31" s="365" t="s">
        <v>532</v>
      </c>
      <c r="D31" s="228"/>
      <c r="E31" s="187"/>
      <c r="F31" s="230"/>
      <c r="G31" s="223"/>
      <c r="H31" s="661">
        <f ca="1">H25/H27</f>
        <v>-1.7029929352553212E-2</v>
      </c>
      <c r="I31" s="377"/>
      <c r="J31" s="231"/>
      <c r="K31" s="231"/>
      <c r="L31" s="231"/>
      <c r="M31" s="231"/>
    </row>
    <row r="32" spans="1:20">
      <c r="A32" s="193"/>
      <c r="C32" s="231"/>
      <c r="D32" s="231"/>
      <c r="F32" s="231"/>
      <c r="I32" s="377"/>
    </row>
    <row r="33" spans="1:9" s="363" customFormat="1">
      <c r="A33" s="367"/>
      <c r="C33" s="365"/>
      <c r="H33" s="366"/>
      <c r="I33" s="368"/>
    </row>
    <row r="34" spans="1:9" s="363" customFormat="1">
      <c r="A34" s="367"/>
      <c r="C34" s="365"/>
      <c r="H34" s="366"/>
      <c r="I34" s="368"/>
    </row>
    <row r="35" spans="1:9" s="363" customFormat="1">
      <c r="A35" s="367"/>
      <c r="C35" s="369"/>
      <c r="H35" s="370"/>
      <c r="I35" s="368"/>
    </row>
    <row r="36" spans="1:9" s="363" customFormat="1" ht="6" customHeight="1">
      <c r="B36" s="371"/>
      <c r="C36" s="736"/>
      <c r="D36" s="736"/>
      <c r="E36" s="736"/>
      <c r="F36" s="736"/>
      <c r="G36" s="736"/>
      <c r="H36" s="736"/>
      <c r="I36" s="736"/>
    </row>
    <row r="45" spans="1:9">
      <c r="A45" s="185"/>
      <c r="B45" s="185"/>
      <c r="C45" s="185"/>
      <c r="D45" s="185"/>
      <c r="E45" s="185"/>
      <c r="F45" s="185"/>
      <c r="G45" s="185"/>
      <c r="H45" s="185"/>
    </row>
    <row r="50" spans="20:20">
      <c r="T50" s="272"/>
    </row>
    <row r="96" spans="20:20">
      <c r="T96" s="355"/>
    </row>
    <row r="106" spans="20:20">
      <c r="T106" s="355"/>
    </row>
    <row r="152" spans="20:20">
      <c r="T152" s="355"/>
    </row>
    <row r="166" spans="20:20">
      <c r="T166" s="355"/>
    </row>
    <row r="186" spans="13:20">
      <c r="M186" s="355"/>
      <c r="N186" s="355"/>
      <c r="O186" s="355"/>
      <c r="P186" s="355"/>
      <c r="Q186" s="355"/>
      <c r="R186" s="355"/>
      <c r="S186" s="355"/>
      <c r="T186" s="355"/>
    </row>
  </sheetData>
  <mergeCells count="9">
    <mergeCell ref="A1:H1"/>
    <mergeCell ref="A2:H2"/>
    <mergeCell ref="A8:A9"/>
    <mergeCell ref="C36:I36"/>
    <mergeCell ref="H8:H9"/>
    <mergeCell ref="I8:I9"/>
    <mergeCell ref="F8:F9"/>
    <mergeCell ref="G8:G9"/>
    <mergeCell ref="C8:C9"/>
  </mergeCells>
  <printOptions horizontalCentered="1"/>
  <pageMargins left="0.7" right="0.7" top="0.75" bottom="0.75" header="0.3" footer="0.3"/>
  <pageSetup fitToWidth="0" fitToHeight="0" orientation="landscape"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Y190"/>
  <sheetViews>
    <sheetView showGridLines="0" topLeftCell="A2" zoomScaleNormal="100" zoomScaleSheetLayoutView="85" workbookViewId="0">
      <selection activeCell="A2" sqref="A2:H2"/>
    </sheetView>
  </sheetViews>
  <sheetFormatPr defaultRowHeight="12.75"/>
  <cols>
    <col min="1" max="1" width="5.140625" style="272" customWidth="1"/>
    <col min="2" max="2" width="1.7109375" style="272" customWidth="1"/>
    <col min="3" max="3" width="38.42578125" style="272" customWidth="1"/>
    <col min="4" max="4" width="1.7109375" style="272" customWidth="1"/>
    <col min="5" max="5" width="0.140625" style="272" hidden="1" customWidth="1"/>
    <col min="6" max="8" width="19.28515625" style="272" customWidth="1"/>
    <col min="9" max="9" width="6" style="231" customWidth="1"/>
    <col min="10" max="10" width="10.28515625" style="231" customWidth="1"/>
    <col min="11" max="11" width="9.28515625" style="272" customWidth="1"/>
    <col min="12" max="16384" width="9.140625" style="272"/>
  </cols>
  <sheetData>
    <row r="1" spans="1:25" s="233" customFormat="1" ht="15.75" hidden="1">
      <c r="A1" s="732"/>
      <c r="B1" s="732"/>
      <c r="C1" s="732"/>
      <c r="D1" s="732"/>
      <c r="E1" s="732"/>
      <c r="F1" s="732"/>
      <c r="G1" s="732"/>
      <c r="H1" s="732"/>
      <c r="I1" s="374"/>
      <c r="J1" s="380"/>
    </row>
    <row r="2" spans="1:25" s="233" customFormat="1" ht="15.75">
      <c r="A2" s="733" t="s">
        <v>511</v>
      </c>
      <c r="B2" s="733"/>
      <c r="C2" s="733"/>
      <c r="D2" s="733"/>
      <c r="E2" s="733"/>
      <c r="F2" s="733"/>
      <c r="G2" s="733"/>
      <c r="H2" s="733"/>
      <c r="I2" s="374"/>
      <c r="J2" s="380"/>
    </row>
    <row r="3" spans="1:25" s="233" customFormat="1" ht="15.75">
      <c r="A3" s="662" t="s">
        <v>546</v>
      </c>
      <c r="B3" s="662"/>
      <c r="C3" s="662"/>
      <c r="D3" s="662"/>
      <c r="E3" s="662"/>
      <c r="F3" s="662"/>
      <c r="G3" s="662"/>
      <c r="H3" s="662"/>
      <c r="I3" s="374"/>
      <c r="J3" s="380"/>
    </row>
    <row r="4" spans="1:25" s="233" customFormat="1" ht="15.75">
      <c r="A4" s="662" t="s">
        <v>533</v>
      </c>
      <c r="B4" s="662"/>
      <c r="C4" s="662"/>
      <c r="D4" s="662"/>
      <c r="E4" s="662"/>
      <c r="F4" s="662"/>
      <c r="G4" s="662"/>
      <c r="H4" s="662"/>
      <c r="I4" s="374"/>
      <c r="J4" s="380"/>
    </row>
    <row r="5" spans="1:25" s="233" customFormat="1" ht="15.75">
      <c r="A5" s="662" t="s">
        <v>296</v>
      </c>
      <c r="B5" s="662"/>
      <c r="C5" s="662"/>
      <c r="D5" s="662"/>
      <c r="E5" s="662"/>
      <c r="F5" s="662"/>
      <c r="G5" s="662"/>
      <c r="H5" s="662"/>
      <c r="I5" s="374"/>
      <c r="J5" s="380"/>
    </row>
    <row r="6" spans="1:25">
      <c r="A6" s="639"/>
      <c r="B6" s="639"/>
      <c r="C6" s="639"/>
      <c r="D6" s="639"/>
      <c r="E6" s="639"/>
      <c r="F6" s="639"/>
      <c r="G6" s="639"/>
      <c r="H6" s="639"/>
    </row>
    <row r="7" spans="1:25">
      <c r="A7" s="639"/>
      <c r="B7" s="639"/>
      <c r="C7" s="639"/>
      <c r="D7" s="639"/>
      <c r="E7" s="639"/>
      <c r="F7" s="639" t="s">
        <v>297</v>
      </c>
      <c r="G7" s="639" t="s">
        <v>298</v>
      </c>
      <c r="H7" s="639" t="s">
        <v>299</v>
      </c>
      <c r="I7" s="375"/>
    </row>
    <row r="8" spans="1:25" ht="13.15" customHeight="1">
      <c r="A8" s="734" t="s">
        <v>305</v>
      </c>
      <c r="B8" s="187"/>
      <c r="C8" s="740" t="s">
        <v>233</v>
      </c>
      <c r="D8" s="639"/>
      <c r="E8" s="639"/>
      <c r="F8" s="734" t="s">
        <v>510</v>
      </c>
      <c r="G8" s="734" t="s">
        <v>77</v>
      </c>
      <c r="H8" s="734" t="s">
        <v>509</v>
      </c>
      <c r="I8" s="738"/>
    </row>
    <row r="9" spans="1:25">
      <c r="A9" s="735"/>
      <c r="B9" s="187"/>
      <c r="C9" s="735"/>
      <c r="D9" s="639"/>
      <c r="E9" s="526"/>
      <c r="F9" s="735"/>
      <c r="G9" s="735"/>
      <c r="H9" s="737"/>
      <c r="I9" s="739"/>
    </row>
    <row r="10" spans="1:25">
      <c r="A10" s="187"/>
      <c r="B10" s="187"/>
      <c r="C10" s="187"/>
      <c r="D10" s="639"/>
      <c r="E10" s="187"/>
      <c r="F10" s="187"/>
      <c r="G10" s="187"/>
      <c r="H10" s="187"/>
      <c r="I10" s="376"/>
    </row>
    <row r="11" spans="1:25">
      <c r="A11" s="193">
        <v>1</v>
      </c>
      <c r="B11" s="187"/>
      <c r="C11" s="187" t="s">
        <v>552</v>
      </c>
      <c r="D11" s="639"/>
      <c r="E11" s="187"/>
      <c r="F11" s="657">
        <f ca="1">'3.02) Attrition 2016 to 2019'!Y81</f>
        <v>1397320.4998981643</v>
      </c>
      <c r="G11" s="226">
        <f>'3.02) Attrition 2016 to 2019'!Y91</f>
        <v>1.0146640496921451</v>
      </c>
      <c r="H11" s="657">
        <f ca="1">F11/G11</f>
        <v>1377126.2521049399</v>
      </c>
      <c r="I11" s="376"/>
    </row>
    <row r="12" spans="1:25">
      <c r="A12" s="193"/>
      <c r="B12" s="187"/>
      <c r="C12" s="187"/>
      <c r="D12" s="187"/>
      <c r="E12" s="187"/>
      <c r="F12" s="218"/>
      <c r="G12" s="218"/>
      <c r="H12" s="218"/>
      <c r="I12" s="376"/>
    </row>
    <row r="13" spans="1:25">
      <c r="A13" s="193">
        <v>2</v>
      </c>
      <c r="B13" s="187"/>
      <c r="C13" s="187" t="s">
        <v>119</v>
      </c>
      <c r="D13" s="187"/>
      <c r="E13" s="187"/>
      <c r="F13" s="223"/>
      <c r="G13" s="219"/>
      <c r="H13" s="382">
        <f>'2) ROR'!F15</f>
        <v>7.0800000000000002E-2</v>
      </c>
      <c r="I13" s="376"/>
    </row>
    <row r="14" spans="1:25">
      <c r="A14" s="193"/>
      <c r="B14" s="187"/>
      <c r="C14" s="187"/>
      <c r="D14" s="187"/>
      <c r="E14" s="187"/>
      <c r="F14" s="219"/>
      <c r="G14" s="219"/>
      <c r="H14" s="219"/>
      <c r="I14" s="376"/>
    </row>
    <row r="15" spans="1:25">
      <c r="A15" s="193">
        <v>3</v>
      </c>
      <c r="B15" s="187"/>
      <c r="C15" s="228" t="s">
        <v>295</v>
      </c>
      <c r="D15" s="228"/>
      <c r="E15" s="228"/>
      <c r="F15" s="366"/>
      <c r="G15" s="220"/>
      <c r="H15" s="657">
        <f ca="1">ROUND(H11*H13,0)</f>
        <v>97501</v>
      </c>
      <c r="I15" s="368"/>
      <c r="Y15" s="272">
        <v>27986</v>
      </c>
    </row>
    <row r="16" spans="1:25">
      <c r="A16" s="193"/>
      <c r="B16" s="187"/>
      <c r="C16" s="187"/>
      <c r="D16" s="187"/>
      <c r="E16" s="187"/>
      <c r="F16" s="218"/>
      <c r="G16" s="218"/>
      <c r="H16" s="218"/>
      <c r="I16" s="368"/>
      <c r="Y16" s="272">
        <v>4831</v>
      </c>
    </row>
    <row r="17" spans="1:20">
      <c r="A17" s="193">
        <v>4</v>
      </c>
      <c r="B17" s="187"/>
      <c r="C17" s="187" t="s">
        <v>553</v>
      </c>
      <c r="D17" s="187"/>
      <c r="E17" s="187"/>
      <c r="F17" s="658">
        <f ca="1">'3.02) Attrition 2016 to 2019'!Y57</f>
        <v>104172.32217138796</v>
      </c>
      <c r="G17" s="227">
        <f>G11</f>
        <v>1.0146640496921451</v>
      </c>
      <c r="H17" s="658">
        <f ca="1">F17/G17</f>
        <v>102666.81095382698</v>
      </c>
      <c r="I17" s="368"/>
    </row>
    <row r="18" spans="1:20">
      <c r="A18" s="193"/>
      <c r="B18" s="187"/>
      <c r="C18" s="187"/>
      <c r="D18" s="187"/>
      <c r="E18" s="187"/>
      <c r="F18" s="220"/>
      <c r="G18" s="227"/>
      <c r="H18" s="220"/>
      <c r="I18" s="368"/>
    </row>
    <row r="19" spans="1:20">
      <c r="A19" s="193">
        <v>5</v>
      </c>
      <c r="B19" s="187"/>
      <c r="C19" s="228" t="s">
        <v>554</v>
      </c>
      <c r="D19" s="231"/>
      <c r="E19" s="231"/>
      <c r="F19" s="231"/>
      <c r="G19" s="231"/>
      <c r="H19" s="383">
        <f ca="1">H17/H11</f>
        <v>7.4551487778916847E-2</v>
      </c>
      <c r="I19" s="368"/>
    </row>
    <row r="20" spans="1:20">
      <c r="A20" s="193"/>
      <c r="B20" s="187"/>
      <c r="C20" s="187"/>
      <c r="D20" s="187"/>
      <c r="E20" s="187"/>
      <c r="F20" s="187"/>
      <c r="G20" s="187"/>
      <c r="H20" s="187"/>
      <c r="I20" s="368"/>
    </row>
    <row r="21" spans="1:20">
      <c r="A21" s="193">
        <v>6</v>
      </c>
      <c r="B21" s="187"/>
      <c r="C21" s="187" t="s">
        <v>555</v>
      </c>
      <c r="D21" s="187"/>
      <c r="E21" s="187"/>
      <c r="F21" s="218"/>
      <c r="G21" s="218"/>
      <c r="H21" s="657">
        <f ca="1">H15-H17</f>
        <v>-5165.8109538269782</v>
      </c>
      <c r="I21" s="377"/>
    </row>
    <row r="22" spans="1:20">
      <c r="A22" s="193"/>
      <c r="B22" s="187"/>
      <c r="C22" s="187"/>
      <c r="D22" s="187"/>
      <c r="E22" s="187"/>
      <c r="F22" s="187"/>
      <c r="G22" s="187"/>
      <c r="H22" s="187"/>
      <c r="I22" s="368"/>
      <c r="T22" s="95"/>
    </row>
    <row r="23" spans="1:20">
      <c r="A23" s="193">
        <v>7</v>
      </c>
      <c r="B23" s="187"/>
      <c r="C23" s="187" t="s">
        <v>412</v>
      </c>
      <c r="D23" s="228"/>
      <c r="E23" s="187"/>
      <c r="F23" s="221"/>
      <c r="G23" s="187"/>
      <c r="H23" s="221">
        <f>'2) ROR'!N24</f>
        <v>0.61941299999999999</v>
      </c>
      <c r="I23" s="368"/>
    </row>
    <row r="24" spans="1:20">
      <c r="A24" s="193"/>
      <c r="B24" s="187"/>
      <c r="C24" s="187"/>
      <c r="D24" s="228"/>
      <c r="E24" s="187"/>
      <c r="F24" s="228"/>
      <c r="G24" s="187"/>
      <c r="H24" s="187"/>
      <c r="I24" s="378"/>
      <c r="K24" s="274"/>
      <c r="L24" s="275"/>
      <c r="M24" s="231"/>
    </row>
    <row r="25" spans="1:20">
      <c r="A25" s="193">
        <v>8</v>
      </c>
      <c r="B25" s="187"/>
      <c r="C25" s="228" t="s">
        <v>564</v>
      </c>
      <c r="D25" s="228"/>
      <c r="E25" s="361"/>
      <c r="F25" s="229"/>
      <c r="G25" s="730"/>
      <c r="H25" s="657">
        <f ca="1">ROUND(H21/H23,0)</f>
        <v>-8340</v>
      </c>
      <c r="L25" s="276"/>
      <c r="M25" s="231"/>
    </row>
    <row r="26" spans="1:20">
      <c r="A26" s="193"/>
      <c r="B26" s="187"/>
      <c r="C26" s="228"/>
      <c r="D26" s="228"/>
      <c r="E26" s="187"/>
      <c r="F26" s="229"/>
      <c r="G26" s="366"/>
      <c r="H26" s="229"/>
      <c r="I26" s="379"/>
      <c r="K26" s="231"/>
      <c r="L26" s="231"/>
      <c r="M26" s="231"/>
    </row>
    <row r="27" spans="1:20">
      <c r="A27" s="193">
        <v>10</v>
      </c>
      <c r="B27" s="222"/>
      <c r="C27" s="228" t="s">
        <v>562</v>
      </c>
      <c r="D27" s="228"/>
      <c r="E27" s="187"/>
      <c r="F27" s="658">
        <f ca="1">-'1.01) 2018 Summary'!H25</f>
        <v>8467</v>
      </c>
      <c r="G27" s="731">
        <f>1+'3.01) Attrition 2016 to 2018'!N9/'3.01) Attrition 2016 to 2018'!N6</f>
        <v>1.0044036185261698</v>
      </c>
      <c r="H27" s="657">
        <f ca="1">+F27*G27</f>
        <v>8504.2854380610788</v>
      </c>
      <c r="I27" s="381"/>
      <c r="K27" s="231"/>
      <c r="L27" s="231"/>
      <c r="M27" s="231"/>
    </row>
    <row r="28" spans="1:20">
      <c r="A28" s="193"/>
      <c r="B28" s="222"/>
      <c r="C28" s="228"/>
      <c r="D28" s="228"/>
      <c r="E28" s="187"/>
      <c r="F28" s="220"/>
      <c r="G28" s="220"/>
      <c r="H28" s="657"/>
      <c r="I28" s="381"/>
      <c r="K28" s="231"/>
      <c r="L28" s="231"/>
      <c r="M28" s="231"/>
    </row>
    <row r="29" spans="1:20">
      <c r="A29" s="193">
        <v>11</v>
      </c>
      <c r="B29" s="222"/>
      <c r="C29" s="228" t="s">
        <v>563</v>
      </c>
      <c r="D29" s="228"/>
      <c r="E29" s="187"/>
      <c r="F29" s="220"/>
      <c r="G29" s="220"/>
      <c r="H29" s="660">
        <f ca="1">+H25+H27</f>
        <v>164.28543806107882</v>
      </c>
      <c r="I29" s="381"/>
      <c r="K29" s="231"/>
      <c r="L29" s="231"/>
      <c r="M29" s="231"/>
    </row>
    <row r="30" spans="1:20">
      <c r="A30" s="193"/>
      <c r="B30" s="222"/>
      <c r="C30" s="228"/>
      <c r="D30" s="228"/>
      <c r="E30" s="187"/>
      <c r="F30" s="220"/>
      <c r="G30" s="220"/>
      <c r="H30" s="657"/>
      <c r="I30" s="381"/>
      <c r="K30" s="231"/>
      <c r="L30" s="231"/>
      <c r="M30" s="231"/>
    </row>
    <row r="31" spans="1:20">
      <c r="A31" s="193">
        <v>12</v>
      </c>
      <c r="B31" s="222"/>
      <c r="C31" s="228" t="s">
        <v>565</v>
      </c>
      <c r="D31" s="228"/>
      <c r="E31" s="187"/>
      <c r="F31" s="220"/>
      <c r="G31" s="220"/>
      <c r="H31" s="657">
        <f>'3.02) Attrition 2016 to 2019'!Q9+'3.02) Attrition 2016 to 2019'!Q10</f>
        <v>499350.67743119411</v>
      </c>
      <c r="I31" s="381"/>
      <c r="K31" s="231"/>
      <c r="L31" s="231"/>
      <c r="M31" s="231"/>
    </row>
    <row r="32" spans="1:20">
      <c r="A32" s="224"/>
      <c r="B32" s="222"/>
      <c r="C32" s="228"/>
      <c r="D32" s="228"/>
      <c r="E32" s="187"/>
      <c r="F32" s="228"/>
      <c r="G32" s="228"/>
      <c r="H32" s="187"/>
      <c r="I32" s="368"/>
      <c r="K32" s="231"/>
      <c r="L32" s="231"/>
      <c r="M32" s="231"/>
    </row>
    <row r="33" spans="1:13">
      <c r="A33" s="193">
        <v>10</v>
      </c>
      <c r="C33" s="228" t="s">
        <v>556</v>
      </c>
      <c r="D33" s="231"/>
      <c r="E33" s="357"/>
      <c r="F33" s="231"/>
      <c r="G33" s="231"/>
      <c r="H33" s="659">
        <f ca="1">H31+H29</f>
        <v>499514.96286925516</v>
      </c>
      <c r="I33" s="377"/>
    </row>
    <row r="34" spans="1:13">
      <c r="B34" s="224"/>
      <c r="C34" s="225"/>
      <c r="D34" s="225"/>
      <c r="E34" s="224"/>
      <c r="F34" s="225"/>
      <c r="G34" s="225"/>
      <c r="H34" s="224"/>
      <c r="I34" s="368"/>
      <c r="K34" s="231"/>
      <c r="L34" s="231"/>
      <c r="M34" s="231"/>
    </row>
    <row r="35" spans="1:13">
      <c r="A35" s="193">
        <v>11</v>
      </c>
      <c r="C35" s="365" t="s">
        <v>571</v>
      </c>
      <c r="D35" s="228"/>
      <c r="E35" s="187"/>
      <c r="F35" s="230"/>
      <c r="G35" s="223"/>
      <c r="H35" s="661">
        <f ca="1">H29/H31</f>
        <v>3.28998127941292E-4</v>
      </c>
      <c r="I35" s="377"/>
      <c r="K35" s="231"/>
      <c r="L35" s="231"/>
      <c r="M35" s="231"/>
    </row>
    <row r="36" spans="1:13">
      <c r="A36" s="193"/>
      <c r="C36" s="231"/>
      <c r="D36" s="231"/>
      <c r="F36" s="231"/>
      <c r="I36" s="377"/>
    </row>
    <row r="37" spans="1:13" s="363" customFormat="1">
      <c r="A37" s="720"/>
      <c r="C37" s="365"/>
      <c r="H37" s="366"/>
      <c r="I37" s="368"/>
    </row>
    <row r="38" spans="1:13" s="363" customFormat="1">
      <c r="A38" s="720"/>
      <c r="C38" s="365"/>
      <c r="H38" s="366"/>
      <c r="I38" s="368"/>
    </row>
    <row r="39" spans="1:13" s="363" customFormat="1">
      <c r="A39" s="720"/>
      <c r="C39" s="369"/>
      <c r="H39" s="370"/>
      <c r="I39" s="368"/>
    </row>
    <row r="40" spans="1:13" s="363" customFormat="1" ht="6" customHeight="1">
      <c r="B40" s="371"/>
      <c r="C40" s="736"/>
      <c r="D40" s="736"/>
      <c r="E40" s="736"/>
      <c r="F40" s="736"/>
      <c r="G40" s="736"/>
      <c r="H40" s="736"/>
      <c r="I40" s="736"/>
    </row>
    <row r="49" spans="1:8">
      <c r="A49" s="185"/>
      <c r="B49" s="185"/>
      <c r="C49" s="185"/>
      <c r="D49" s="185"/>
      <c r="E49" s="185"/>
      <c r="F49" s="185"/>
      <c r="G49" s="185"/>
      <c r="H49" s="185"/>
    </row>
    <row r="100" spans="20:20">
      <c r="T100" s="355"/>
    </row>
    <row r="110" spans="20:20">
      <c r="T110" s="355"/>
    </row>
    <row r="156" spans="20:20">
      <c r="T156" s="355"/>
    </row>
    <row r="170" spans="20:20">
      <c r="T170" s="355"/>
    </row>
    <row r="190" spans="13:20">
      <c r="M190" s="355"/>
      <c r="N190" s="355"/>
      <c r="O190" s="355"/>
      <c r="P190" s="355"/>
      <c r="Q190" s="355"/>
      <c r="R190" s="355"/>
      <c r="S190" s="355"/>
      <c r="T190" s="355"/>
    </row>
  </sheetData>
  <mergeCells count="9">
    <mergeCell ref="I8:I9"/>
    <mergeCell ref="C40:I40"/>
    <mergeCell ref="A1:H1"/>
    <mergeCell ref="A2:H2"/>
    <mergeCell ref="A8:A9"/>
    <mergeCell ref="C8:C9"/>
    <mergeCell ref="F8:F9"/>
    <mergeCell ref="G8:G9"/>
    <mergeCell ref="H8:H9"/>
  </mergeCells>
  <printOptions horizontalCentered="1"/>
  <pageMargins left="0.7" right="0.7" top="0.75" bottom="0.75" header="0.3" footer="0.3"/>
  <pageSetup fitToWidth="0" fitToHeight="0" orientation="landscape"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Y191"/>
  <sheetViews>
    <sheetView showGridLines="0" topLeftCell="A2" zoomScaleNormal="100" zoomScaleSheetLayoutView="85" workbookViewId="0">
      <selection activeCell="A2" sqref="A2:H2"/>
    </sheetView>
  </sheetViews>
  <sheetFormatPr defaultRowHeight="12.75"/>
  <cols>
    <col min="1" max="1" width="5.140625" style="272" customWidth="1"/>
    <col min="2" max="2" width="1.7109375" style="272" customWidth="1"/>
    <col min="3" max="3" width="38.42578125" style="272" customWidth="1"/>
    <col min="4" max="4" width="1.7109375" style="272" customWidth="1"/>
    <col min="5" max="5" width="0.140625" style="272" hidden="1" customWidth="1"/>
    <col min="6" max="8" width="19.28515625" style="272" customWidth="1"/>
    <col min="9" max="9" width="6" style="231" customWidth="1"/>
    <col min="10" max="10" width="10.28515625" style="231" customWidth="1"/>
    <col min="11" max="11" width="9.28515625" style="272" customWidth="1"/>
    <col min="12" max="16384" width="9.140625" style="272"/>
  </cols>
  <sheetData>
    <row r="1" spans="1:25" s="233" customFormat="1" ht="15.75" hidden="1">
      <c r="A1" s="732"/>
      <c r="B1" s="732"/>
      <c r="C1" s="732"/>
      <c r="D1" s="732"/>
      <c r="E1" s="732"/>
      <c r="F1" s="732"/>
      <c r="G1" s="732"/>
      <c r="H1" s="732"/>
      <c r="I1" s="374"/>
      <c r="J1" s="380"/>
    </row>
    <row r="2" spans="1:25" s="233" customFormat="1" ht="15.75">
      <c r="A2" s="733" t="s">
        <v>511</v>
      </c>
      <c r="B2" s="733"/>
      <c r="C2" s="733"/>
      <c r="D2" s="733"/>
      <c r="E2" s="733"/>
      <c r="F2" s="733"/>
      <c r="G2" s="733"/>
      <c r="H2" s="733"/>
      <c r="I2" s="374"/>
      <c r="J2" s="380"/>
    </row>
    <row r="3" spans="1:25" s="233" customFormat="1" ht="15.75">
      <c r="A3" s="662" t="s">
        <v>547</v>
      </c>
      <c r="B3" s="662"/>
      <c r="C3" s="662"/>
      <c r="D3" s="662"/>
      <c r="E3" s="662"/>
      <c r="F3" s="662"/>
      <c r="G3" s="662"/>
      <c r="H3" s="662"/>
      <c r="I3" s="374"/>
      <c r="J3" s="380"/>
    </row>
    <row r="4" spans="1:25" s="233" customFormat="1" ht="15.75">
      <c r="A4" s="662" t="s">
        <v>533</v>
      </c>
      <c r="B4" s="662"/>
      <c r="C4" s="662"/>
      <c r="D4" s="662"/>
      <c r="E4" s="662"/>
      <c r="F4" s="662"/>
      <c r="G4" s="662"/>
      <c r="H4" s="662"/>
      <c r="I4" s="374"/>
      <c r="J4" s="380"/>
    </row>
    <row r="5" spans="1:25" s="233" customFormat="1" ht="15.75">
      <c r="A5" s="662" t="s">
        <v>296</v>
      </c>
      <c r="B5" s="662"/>
      <c r="C5" s="662"/>
      <c r="D5" s="662"/>
      <c r="E5" s="662"/>
      <c r="F5" s="662"/>
      <c r="G5" s="662"/>
      <c r="H5" s="662"/>
      <c r="I5" s="374"/>
      <c r="J5" s="380"/>
    </row>
    <row r="6" spans="1:25">
      <c r="A6" s="639"/>
      <c r="B6" s="639"/>
      <c r="C6" s="639"/>
      <c r="D6" s="639"/>
      <c r="E6" s="639"/>
      <c r="F6" s="639"/>
      <c r="G6" s="639"/>
      <c r="H6" s="639"/>
    </row>
    <row r="7" spans="1:25">
      <c r="A7" s="639"/>
      <c r="B7" s="639"/>
      <c r="C7" s="639"/>
      <c r="D7" s="639"/>
      <c r="E7" s="639"/>
      <c r="F7" s="639" t="s">
        <v>297</v>
      </c>
      <c r="G7" s="639" t="s">
        <v>298</v>
      </c>
      <c r="H7" s="639" t="s">
        <v>299</v>
      </c>
      <c r="I7" s="375"/>
    </row>
    <row r="8" spans="1:25" ht="13.15" customHeight="1">
      <c r="A8" s="734" t="s">
        <v>305</v>
      </c>
      <c r="B8" s="187"/>
      <c r="C8" s="740" t="s">
        <v>233</v>
      </c>
      <c r="D8" s="639"/>
      <c r="E8" s="639"/>
      <c r="F8" s="734" t="s">
        <v>510</v>
      </c>
      <c r="G8" s="734" t="s">
        <v>77</v>
      </c>
      <c r="H8" s="734" t="s">
        <v>509</v>
      </c>
      <c r="I8" s="738"/>
    </row>
    <row r="9" spans="1:25">
      <c r="A9" s="735"/>
      <c r="B9" s="187"/>
      <c r="C9" s="735"/>
      <c r="D9" s="639"/>
      <c r="E9" s="526"/>
      <c r="F9" s="735"/>
      <c r="G9" s="735"/>
      <c r="H9" s="737"/>
      <c r="I9" s="739"/>
    </row>
    <row r="10" spans="1:25">
      <c r="A10" s="187"/>
      <c r="B10" s="187"/>
      <c r="C10" s="187"/>
      <c r="D10" s="639"/>
      <c r="E10" s="187"/>
      <c r="F10" s="187"/>
      <c r="G10" s="187"/>
      <c r="H10" s="187"/>
      <c r="I10" s="376"/>
    </row>
    <row r="11" spans="1:25">
      <c r="A11" s="193">
        <v>1</v>
      </c>
      <c r="B11" s="187"/>
      <c r="C11" s="187" t="s">
        <v>561</v>
      </c>
      <c r="D11" s="639"/>
      <c r="E11" s="187"/>
      <c r="F11" s="657">
        <f ca="1">'3.03) Attrition 2016 to 2020'!Y81</f>
        <v>1397320.4998981643</v>
      </c>
      <c r="G11" s="226">
        <f>'3.03) Attrition 2016 to 2020'!Y91</f>
        <v>1.0190676682183146</v>
      </c>
      <c r="H11" s="657">
        <f ca="1">F11/G11</f>
        <v>1371175.3826329976</v>
      </c>
      <c r="I11" s="376"/>
    </row>
    <row r="12" spans="1:25">
      <c r="A12" s="193"/>
      <c r="B12" s="187"/>
      <c r="C12" s="187"/>
      <c r="D12" s="187"/>
      <c r="E12" s="187"/>
      <c r="F12" s="218"/>
      <c r="G12" s="218"/>
      <c r="H12" s="218"/>
      <c r="I12" s="376"/>
    </row>
    <row r="13" spans="1:25">
      <c r="A13" s="193">
        <v>2</v>
      </c>
      <c r="B13" s="187"/>
      <c r="C13" s="187" t="s">
        <v>119</v>
      </c>
      <c r="D13" s="187"/>
      <c r="E13" s="187"/>
      <c r="F13" s="223"/>
      <c r="G13" s="219"/>
      <c r="H13" s="382">
        <f>'2) ROR'!F15</f>
        <v>7.0800000000000002E-2</v>
      </c>
      <c r="I13" s="376"/>
    </row>
    <row r="14" spans="1:25">
      <c r="A14" s="193"/>
      <c r="B14" s="187"/>
      <c r="C14" s="187"/>
      <c r="D14" s="187"/>
      <c r="E14" s="187"/>
      <c r="F14" s="219"/>
      <c r="G14" s="219"/>
      <c r="H14" s="219"/>
      <c r="I14" s="376"/>
    </row>
    <row r="15" spans="1:25">
      <c r="A15" s="193">
        <v>3</v>
      </c>
      <c r="B15" s="187"/>
      <c r="C15" s="228" t="s">
        <v>295</v>
      </c>
      <c r="D15" s="228"/>
      <c r="E15" s="228"/>
      <c r="F15" s="366"/>
      <c r="G15" s="220"/>
      <c r="H15" s="657">
        <f ca="1">ROUND(H11*H13,0)</f>
        <v>97079</v>
      </c>
      <c r="I15" s="368"/>
      <c r="Y15" s="272">
        <v>27986</v>
      </c>
    </row>
    <row r="16" spans="1:25">
      <c r="A16" s="193"/>
      <c r="B16" s="187"/>
      <c r="C16" s="187"/>
      <c r="D16" s="187"/>
      <c r="E16" s="187"/>
      <c r="F16" s="218"/>
      <c r="G16" s="218"/>
      <c r="H16" s="218"/>
      <c r="I16" s="368"/>
      <c r="Y16" s="272">
        <v>4831</v>
      </c>
    </row>
    <row r="17" spans="1:20">
      <c r="A17" s="193">
        <v>4</v>
      </c>
      <c r="B17" s="187"/>
      <c r="C17" s="187" t="s">
        <v>557</v>
      </c>
      <c r="D17" s="187"/>
      <c r="E17" s="187"/>
      <c r="F17" s="658">
        <f ca="1">'3.03) Attrition 2016 to 2020'!Y57</f>
        <v>104115.43606369663</v>
      </c>
      <c r="G17" s="227">
        <f>G11</f>
        <v>1.0190676682183146</v>
      </c>
      <c r="H17" s="658">
        <f ca="1">F17/G17</f>
        <v>102167.34306341667</v>
      </c>
      <c r="I17" s="368"/>
    </row>
    <row r="18" spans="1:20">
      <c r="A18" s="193"/>
      <c r="B18" s="187"/>
      <c r="C18" s="187"/>
      <c r="D18" s="187"/>
      <c r="E18" s="187"/>
      <c r="F18" s="220"/>
      <c r="G18" s="227"/>
      <c r="H18" s="220"/>
      <c r="I18" s="368"/>
    </row>
    <row r="19" spans="1:20">
      <c r="A19" s="193">
        <v>5</v>
      </c>
      <c r="B19" s="187"/>
      <c r="C19" s="228" t="s">
        <v>558</v>
      </c>
      <c r="D19" s="231"/>
      <c r="E19" s="231"/>
      <c r="F19" s="231"/>
      <c r="G19" s="231"/>
      <c r="H19" s="383">
        <f ca="1">H17/H11</f>
        <v>7.4510776927186356E-2</v>
      </c>
      <c r="I19" s="368"/>
    </row>
    <row r="20" spans="1:20">
      <c r="A20" s="193"/>
      <c r="B20" s="187"/>
      <c r="C20" s="187"/>
      <c r="D20" s="187"/>
      <c r="E20" s="187"/>
      <c r="F20" s="187"/>
      <c r="G20" s="187"/>
      <c r="H20" s="187"/>
      <c r="I20" s="368"/>
    </row>
    <row r="21" spans="1:20">
      <c r="A21" s="193">
        <v>6</v>
      </c>
      <c r="B21" s="187"/>
      <c r="C21" s="187" t="s">
        <v>559</v>
      </c>
      <c r="D21" s="187"/>
      <c r="E21" s="187"/>
      <c r="F21" s="218"/>
      <c r="G21" s="218"/>
      <c r="H21" s="657">
        <f ca="1">H15-H17</f>
        <v>-5088.3430634166725</v>
      </c>
      <c r="I21" s="377"/>
    </row>
    <row r="22" spans="1:20">
      <c r="A22" s="193"/>
      <c r="B22" s="187"/>
      <c r="C22" s="187"/>
      <c r="D22" s="187"/>
      <c r="E22" s="187"/>
      <c r="F22" s="187"/>
      <c r="G22" s="187"/>
      <c r="H22" s="187"/>
      <c r="I22" s="368"/>
      <c r="T22" s="95"/>
    </row>
    <row r="23" spans="1:20">
      <c r="A23" s="193">
        <v>7</v>
      </c>
      <c r="B23" s="187"/>
      <c r="C23" s="187" t="s">
        <v>412</v>
      </c>
      <c r="D23" s="228"/>
      <c r="E23" s="187"/>
      <c r="F23" s="221"/>
      <c r="G23" s="187"/>
      <c r="H23" s="221">
        <f>'2) ROR'!N24</f>
        <v>0.61941299999999999</v>
      </c>
      <c r="I23" s="368"/>
    </row>
    <row r="24" spans="1:20">
      <c r="A24" s="193"/>
      <c r="B24" s="187"/>
      <c r="C24" s="187"/>
      <c r="D24" s="228"/>
      <c r="E24" s="187"/>
      <c r="F24" s="228"/>
      <c r="G24" s="187"/>
      <c r="H24" s="187"/>
      <c r="I24" s="378"/>
      <c r="K24" s="274"/>
      <c r="L24" s="275"/>
      <c r="M24" s="231"/>
    </row>
    <row r="25" spans="1:20">
      <c r="A25" s="193">
        <v>8</v>
      </c>
      <c r="B25" s="187"/>
      <c r="C25" s="228" t="s">
        <v>566</v>
      </c>
      <c r="D25" s="228"/>
      <c r="E25" s="361"/>
      <c r="F25" s="229"/>
      <c r="G25" s="730"/>
      <c r="H25" s="657">
        <f ca="1">ROUND(H21/H23,0)</f>
        <v>-8215</v>
      </c>
      <c r="L25" s="276"/>
      <c r="M25" s="231"/>
    </row>
    <row r="26" spans="1:20">
      <c r="A26" s="193"/>
      <c r="B26" s="187"/>
      <c r="C26" s="228"/>
      <c r="D26" s="228"/>
      <c r="E26" s="187"/>
      <c r="F26" s="229"/>
      <c r="G26" s="366"/>
      <c r="H26" s="229"/>
      <c r="I26" s="379"/>
      <c r="K26" s="231"/>
      <c r="L26" s="231"/>
      <c r="M26" s="231"/>
    </row>
    <row r="27" spans="1:20">
      <c r="A27" s="193">
        <v>10</v>
      </c>
      <c r="B27" s="222"/>
      <c r="C27" s="228" t="s">
        <v>562</v>
      </c>
      <c r="D27" s="228"/>
      <c r="E27" s="187"/>
      <c r="F27" s="658">
        <f ca="1">-'1.01) 2018 Summary'!H25</f>
        <v>8467</v>
      </c>
      <c r="G27" s="731">
        <f>+(G29-1)*2+1</f>
        <v>1.0088072370523395</v>
      </c>
      <c r="H27" s="657">
        <f ca="1">+F27*G27</f>
        <v>8541.5708761221595</v>
      </c>
      <c r="I27" s="381"/>
      <c r="K27" s="231"/>
      <c r="L27" s="231"/>
      <c r="M27" s="231"/>
    </row>
    <row r="28" spans="1:20">
      <c r="A28" s="193"/>
      <c r="B28" s="222"/>
      <c r="C28" s="228"/>
      <c r="D28" s="228"/>
      <c r="E28" s="187"/>
      <c r="F28" s="220"/>
      <c r="G28" s="220"/>
      <c r="H28" s="657"/>
      <c r="I28" s="381"/>
      <c r="K28" s="231"/>
      <c r="L28" s="231"/>
      <c r="M28" s="231"/>
    </row>
    <row r="29" spans="1:20">
      <c r="A29" s="193">
        <v>11</v>
      </c>
      <c r="B29" s="222"/>
      <c r="C29" s="228" t="s">
        <v>567</v>
      </c>
      <c r="D29" s="228"/>
      <c r="E29" s="187"/>
      <c r="F29" s="658">
        <f ca="1">-'1.02) 2019 Summary'!H29</f>
        <v>-164.28543806107882</v>
      </c>
      <c r="G29" s="731">
        <f>+'1.02) 2019 Summary'!G27</f>
        <v>1.0044036185261698</v>
      </c>
      <c r="H29" s="657">
        <f ca="1">+F29*G29</f>
        <v>-165.00888845970451</v>
      </c>
      <c r="I29" s="381"/>
      <c r="K29" s="231"/>
      <c r="L29" s="231"/>
      <c r="M29" s="231"/>
    </row>
    <row r="30" spans="1:20">
      <c r="A30" s="193"/>
      <c r="B30" s="222"/>
      <c r="C30" s="228"/>
      <c r="D30" s="228"/>
      <c r="E30" s="187"/>
      <c r="F30" s="220"/>
      <c r="G30" s="220"/>
      <c r="H30" s="657"/>
      <c r="I30" s="381"/>
      <c r="K30" s="231"/>
      <c r="L30" s="231"/>
      <c r="M30" s="231"/>
    </row>
    <row r="31" spans="1:20">
      <c r="A31" s="193">
        <v>12</v>
      </c>
      <c r="B31" s="222"/>
      <c r="C31" s="228" t="s">
        <v>568</v>
      </c>
      <c r="D31" s="228"/>
      <c r="E31" s="187"/>
      <c r="F31" s="220"/>
      <c r="G31" s="220"/>
      <c r="H31" s="660">
        <f ca="1">+H25+H27+H29</f>
        <v>161.56198766245495</v>
      </c>
      <c r="I31" s="381"/>
      <c r="K31" s="231"/>
      <c r="L31" s="231"/>
      <c r="M31" s="231"/>
    </row>
    <row r="32" spans="1:20">
      <c r="A32" s="193"/>
      <c r="B32" s="222"/>
      <c r="C32" s="228"/>
      <c r="D32" s="228"/>
      <c r="E32" s="187"/>
      <c r="F32" s="220"/>
      <c r="G32" s="220"/>
      <c r="H32" s="657"/>
      <c r="I32" s="381"/>
      <c r="K32" s="231"/>
      <c r="L32" s="231"/>
      <c r="M32" s="231"/>
    </row>
    <row r="33" spans="1:13">
      <c r="A33" s="193">
        <v>13</v>
      </c>
      <c r="B33" s="222"/>
      <c r="C33" s="228" t="s">
        <v>569</v>
      </c>
      <c r="D33" s="228"/>
      <c r="E33" s="187"/>
      <c r="F33" s="220"/>
      <c r="G33" s="220"/>
      <c r="H33" s="657">
        <f ca="1">'3.03) Attrition 2016 to 2020'!Q9+'3.03) Attrition 2016 to 2020'!Q10-H27-H29</f>
        <v>493141.28584328963</v>
      </c>
      <c r="I33" s="381"/>
      <c r="K33" s="231"/>
      <c r="L33" s="231"/>
      <c r="M33" s="231"/>
    </row>
    <row r="34" spans="1:13">
      <c r="A34" s="224"/>
      <c r="B34" s="222"/>
      <c r="C34" s="228"/>
      <c r="D34" s="228"/>
      <c r="E34" s="187"/>
      <c r="F34" s="228"/>
      <c r="G34" s="228"/>
      <c r="H34" s="187"/>
      <c r="I34" s="368"/>
      <c r="K34" s="231"/>
      <c r="L34" s="231"/>
      <c r="M34" s="231"/>
    </row>
    <row r="35" spans="1:13">
      <c r="A35" s="193">
        <v>14</v>
      </c>
      <c r="C35" s="228" t="s">
        <v>560</v>
      </c>
      <c r="D35" s="231"/>
      <c r="E35" s="357"/>
      <c r="F35" s="231"/>
      <c r="G35" s="231"/>
      <c r="H35" s="659">
        <f ca="1">H33+H31</f>
        <v>493302.84783095209</v>
      </c>
      <c r="I35" s="377"/>
    </row>
    <row r="36" spans="1:13">
      <c r="B36" s="224"/>
      <c r="C36" s="225"/>
      <c r="D36" s="225"/>
      <c r="E36" s="224"/>
      <c r="F36" s="225"/>
      <c r="G36" s="225"/>
      <c r="H36" s="224"/>
      <c r="I36" s="368"/>
      <c r="K36" s="231"/>
      <c r="L36" s="231"/>
      <c r="M36" s="231"/>
    </row>
    <row r="37" spans="1:13">
      <c r="A37" s="193">
        <v>15</v>
      </c>
      <c r="C37" s="365" t="s">
        <v>570</v>
      </c>
      <c r="D37" s="228"/>
      <c r="E37" s="187"/>
      <c r="F37" s="230"/>
      <c r="G37" s="223"/>
      <c r="H37" s="661">
        <f ca="1">H31/H33</f>
        <v>3.2761805247390321E-4</v>
      </c>
      <c r="I37" s="377"/>
      <c r="K37" s="231"/>
      <c r="L37" s="231"/>
      <c r="M37" s="231"/>
    </row>
    <row r="38" spans="1:13">
      <c r="A38" s="193"/>
      <c r="C38" s="231"/>
      <c r="D38" s="231"/>
      <c r="F38" s="231"/>
      <c r="I38" s="377"/>
    </row>
    <row r="39" spans="1:13" s="363" customFormat="1">
      <c r="A39" s="720"/>
      <c r="C39" s="365"/>
      <c r="H39" s="366"/>
      <c r="I39" s="368"/>
    </row>
    <row r="40" spans="1:13" s="363" customFormat="1">
      <c r="A40" s="720"/>
      <c r="C40" s="369"/>
      <c r="H40" s="370"/>
      <c r="I40" s="368"/>
    </row>
    <row r="41" spans="1:13" s="363" customFormat="1" ht="6" customHeight="1">
      <c r="B41" s="371"/>
      <c r="C41" s="736"/>
      <c r="D41" s="736"/>
      <c r="E41" s="736"/>
      <c r="F41" s="736"/>
      <c r="G41" s="736"/>
      <c r="H41" s="736"/>
      <c r="I41" s="736"/>
    </row>
    <row r="50" spans="1:8">
      <c r="A50" s="185"/>
      <c r="B50" s="185"/>
      <c r="C50" s="185"/>
      <c r="D50" s="185"/>
      <c r="E50" s="185"/>
      <c r="F50" s="185"/>
      <c r="G50" s="185"/>
      <c r="H50" s="185"/>
    </row>
    <row r="101" spans="20:20">
      <c r="T101" s="355"/>
    </row>
    <row r="111" spans="20:20">
      <c r="T111" s="355"/>
    </row>
    <row r="157" spans="20:20">
      <c r="T157" s="355"/>
    </row>
    <row r="171" spans="20:20">
      <c r="T171" s="355"/>
    </row>
    <row r="191" spans="13:20">
      <c r="M191" s="355"/>
      <c r="N191" s="355"/>
      <c r="O191" s="355"/>
      <c r="P191" s="355"/>
      <c r="Q191" s="355"/>
      <c r="R191" s="355"/>
      <c r="S191" s="355"/>
      <c r="T191" s="355"/>
    </row>
  </sheetData>
  <mergeCells count="9">
    <mergeCell ref="I8:I9"/>
    <mergeCell ref="C41:I41"/>
    <mergeCell ref="A1:H1"/>
    <mergeCell ref="A2:H2"/>
    <mergeCell ref="A8:A9"/>
    <mergeCell ref="C8:C9"/>
    <mergeCell ref="F8:F9"/>
    <mergeCell ref="G8:G9"/>
    <mergeCell ref="H8:H9"/>
  </mergeCells>
  <printOptions horizontalCentered="1"/>
  <pageMargins left="0.7" right="0.7" top="0.75" bottom="0.75" header="0.3" footer="0.3"/>
  <pageSetup fitToWidth="0" fitToHeight="0" orientation="landscape"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184"/>
  <sheetViews>
    <sheetView showGridLines="0" zoomScaleNormal="100" zoomScaleSheetLayoutView="115" workbookViewId="0"/>
  </sheetViews>
  <sheetFormatPr defaultColWidth="9.140625" defaultRowHeight="15"/>
  <cols>
    <col min="1" max="1" width="3.5703125" style="77" customWidth="1"/>
    <col min="2" max="2" width="13.140625" style="77" customWidth="1"/>
    <col min="3" max="3" width="3.5703125" style="77" customWidth="1"/>
    <col min="4" max="5" width="9.28515625" style="77" bestFit="1" customWidth="1"/>
    <col min="6" max="6" width="11" style="77" customWidth="1"/>
    <col min="7" max="9" width="1.85546875" style="77" customWidth="1"/>
    <col min="10" max="10" width="9.28515625" style="77" bestFit="1" customWidth="1"/>
    <col min="11" max="11" width="2.85546875" style="77" customWidth="1"/>
    <col min="12" max="12" width="29.140625" style="77" customWidth="1"/>
    <col min="13" max="13" width="4.42578125" style="77" customWidth="1"/>
    <col min="14" max="14" width="11.85546875" style="77" bestFit="1" customWidth="1"/>
    <col min="15" max="16384" width="9.140625" style="77"/>
  </cols>
  <sheetData>
    <row r="1" spans="1:14">
      <c r="A1" s="543"/>
      <c r="B1" s="543"/>
      <c r="C1" s="543"/>
      <c r="D1" s="543"/>
      <c r="E1" s="543"/>
      <c r="F1" s="543"/>
      <c r="G1" s="543"/>
      <c r="H1" s="543"/>
      <c r="I1" s="543"/>
      <c r="J1" s="536"/>
      <c r="K1" s="536"/>
      <c r="L1" s="536"/>
      <c r="M1" s="536"/>
      <c r="N1" s="537"/>
    </row>
    <row r="2" spans="1:14">
      <c r="A2" s="665" t="s">
        <v>496</v>
      </c>
      <c r="B2" s="663"/>
      <c r="C2" s="663"/>
      <c r="D2" s="663"/>
      <c r="E2" s="663"/>
      <c r="F2" s="663"/>
      <c r="G2" s="663"/>
      <c r="H2" s="547"/>
      <c r="I2" s="547"/>
      <c r="J2" s="741" t="s">
        <v>74</v>
      </c>
      <c r="K2" s="741"/>
      <c r="L2" s="741"/>
      <c r="M2" s="741"/>
      <c r="N2" s="741"/>
    </row>
    <row r="3" spans="1:14">
      <c r="A3" s="664" t="s">
        <v>113</v>
      </c>
      <c r="B3" s="664"/>
      <c r="C3" s="664"/>
      <c r="D3" s="664"/>
      <c r="E3" s="664"/>
      <c r="F3" s="664"/>
      <c r="G3" s="664"/>
      <c r="H3" s="85"/>
      <c r="I3" s="85"/>
      <c r="J3" s="742" t="s">
        <v>113</v>
      </c>
      <c r="K3" s="742"/>
      <c r="L3" s="742"/>
      <c r="M3" s="742"/>
      <c r="N3" s="742"/>
    </row>
    <row r="4" spans="1:14" ht="15.75">
      <c r="A4" s="747" t="s">
        <v>534</v>
      </c>
      <c r="B4" s="747"/>
      <c r="C4" s="747"/>
      <c r="D4" s="747"/>
      <c r="E4" s="747"/>
      <c r="F4" s="747"/>
      <c r="G4" s="747"/>
      <c r="H4" s="547"/>
      <c r="I4" s="547"/>
      <c r="J4" s="743" t="s">
        <v>534</v>
      </c>
      <c r="K4" s="744"/>
      <c r="L4" s="743"/>
      <c r="M4" s="743"/>
      <c r="N4" s="743"/>
    </row>
    <row r="5" spans="1:14">
      <c r="H5" s="547"/>
      <c r="I5" s="547"/>
      <c r="J5" s="228"/>
      <c r="K5" s="228"/>
      <c r="L5" s="228"/>
      <c r="M5" s="228"/>
      <c r="N5" s="538"/>
    </row>
    <row r="6" spans="1:14">
      <c r="A6" s="670" t="s">
        <v>512</v>
      </c>
      <c r="B6" s="671"/>
      <c r="C6" s="671"/>
      <c r="D6" s="671"/>
      <c r="E6" s="671"/>
      <c r="F6" s="671"/>
      <c r="G6" s="672"/>
      <c r="H6" s="85"/>
      <c r="I6" s="85"/>
      <c r="J6" s="526" t="s">
        <v>232</v>
      </c>
      <c r="K6" s="526"/>
      <c r="L6" s="526"/>
      <c r="M6" s="526"/>
      <c r="N6" s="189"/>
    </row>
    <row r="7" spans="1:14">
      <c r="A7" s="544"/>
      <c r="B7" s="84"/>
      <c r="C7" s="84"/>
      <c r="D7" s="85"/>
      <c r="E7" s="86"/>
      <c r="F7" s="85"/>
      <c r="G7" s="673"/>
      <c r="H7" s="84"/>
      <c r="I7" s="84"/>
      <c r="J7" s="190" t="s">
        <v>69</v>
      </c>
      <c r="K7" s="526"/>
      <c r="L7" s="190" t="s">
        <v>233</v>
      </c>
      <c r="M7" s="526"/>
      <c r="N7" s="192" t="s">
        <v>234</v>
      </c>
    </row>
    <row r="8" spans="1:14">
      <c r="A8" s="544"/>
      <c r="B8" s="87"/>
      <c r="C8" s="85"/>
      <c r="D8" s="85" t="s">
        <v>76</v>
      </c>
      <c r="E8" s="85"/>
      <c r="F8" s="85" t="s">
        <v>114</v>
      </c>
      <c r="G8" s="673"/>
      <c r="H8" s="84"/>
      <c r="I8" s="84"/>
      <c r="J8" s="228"/>
      <c r="K8" s="228"/>
      <c r="L8" s="228"/>
      <c r="M8" s="228"/>
      <c r="N8" s="538"/>
    </row>
    <row r="9" spans="1:14">
      <c r="A9" s="544"/>
      <c r="B9" s="674" t="s">
        <v>115</v>
      </c>
      <c r="C9" s="85"/>
      <c r="D9" s="674" t="s">
        <v>116</v>
      </c>
      <c r="E9" s="674" t="s">
        <v>117</v>
      </c>
      <c r="F9" s="674" t="s">
        <v>117</v>
      </c>
      <c r="G9" s="673"/>
      <c r="H9" s="84"/>
      <c r="I9" s="84"/>
      <c r="J9" s="548">
        <v>1</v>
      </c>
      <c r="K9" s="228"/>
      <c r="L9" s="539" t="s">
        <v>235</v>
      </c>
      <c r="M9" s="228"/>
      <c r="N9" s="195">
        <v>1</v>
      </c>
    </row>
    <row r="10" spans="1:14">
      <c r="A10" s="544"/>
      <c r="B10" s="84"/>
      <c r="C10" s="84"/>
      <c r="D10" s="84"/>
      <c r="E10" s="86"/>
      <c r="F10" s="84"/>
      <c r="G10" s="675"/>
      <c r="H10" s="87"/>
      <c r="I10" s="87"/>
      <c r="J10" s="548"/>
      <c r="K10" s="228"/>
      <c r="L10" s="228"/>
      <c r="M10" s="228"/>
      <c r="N10" s="195"/>
    </row>
    <row r="11" spans="1:14">
      <c r="A11" s="544"/>
      <c r="B11" s="87" t="s">
        <v>118</v>
      </c>
      <c r="C11" s="88"/>
      <c r="D11" s="89">
        <f>100%-D13</f>
        <v>0.51600000000000001</v>
      </c>
      <c r="E11" s="89">
        <f>+'[6]Exh. No. BGM-3 1'!$AJ$10</f>
        <v>5.1948000000000001E-2</v>
      </c>
      <c r="F11" s="89">
        <f>ROUND(D11*E11,4)</f>
        <v>2.6800000000000001E-2</v>
      </c>
      <c r="G11" s="676"/>
      <c r="H11" s="532"/>
      <c r="I11" s="532"/>
      <c r="J11" s="548"/>
      <c r="K11" s="228"/>
      <c r="L11" s="540" t="s">
        <v>236</v>
      </c>
      <c r="M11" s="541"/>
      <c r="N11" s="195"/>
    </row>
    <row r="12" spans="1:14">
      <c r="A12" s="544"/>
      <c r="B12" s="87"/>
      <c r="C12" s="91"/>
      <c r="D12" s="89"/>
      <c r="E12" s="89"/>
      <c r="F12" s="89"/>
      <c r="G12" s="677"/>
      <c r="H12" s="533"/>
      <c r="I12" s="533"/>
      <c r="J12" s="548">
        <v>2</v>
      </c>
      <c r="K12" s="228"/>
      <c r="L12" s="541" t="s">
        <v>237</v>
      </c>
      <c r="M12" s="541"/>
      <c r="N12" s="541">
        <f>+'[6]Exh. No. BGM-3 3'!$E$12</f>
        <v>6.5779999999999996E-3</v>
      </c>
    </row>
    <row r="13" spans="1:14">
      <c r="A13" s="544"/>
      <c r="B13" s="87" t="s">
        <v>70</v>
      </c>
      <c r="C13" s="91"/>
      <c r="D13" s="89">
        <v>0.48399999999999999</v>
      </c>
      <c r="E13" s="531">
        <v>9.0999999999999998E-2</v>
      </c>
      <c r="F13" s="89">
        <f>ROUND(D13*E13,4)</f>
        <v>4.3999999999999997E-2</v>
      </c>
      <c r="G13" s="675"/>
      <c r="H13" s="87"/>
      <c r="I13" s="87"/>
      <c r="J13" s="548"/>
      <c r="K13" s="228"/>
      <c r="L13" s="541"/>
      <c r="M13" s="541"/>
      <c r="N13" s="541"/>
    </row>
    <row r="14" spans="1:14">
      <c r="A14" s="544"/>
      <c r="B14" s="87"/>
      <c r="C14" s="91"/>
      <c r="D14" s="92"/>
      <c r="E14" s="92"/>
      <c r="F14" s="89"/>
      <c r="G14" s="673"/>
      <c r="H14" s="84"/>
      <c r="I14" s="84"/>
      <c r="J14" s="548">
        <v>3</v>
      </c>
      <c r="K14" s="228"/>
      <c r="L14" s="541" t="s">
        <v>238</v>
      </c>
      <c r="M14" s="541"/>
      <c r="N14" s="541">
        <v>2E-3</v>
      </c>
    </row>
    <row r="15" spans="1:14" ht="15.75" thickBot="1">
      <c r="A15" s="544"/>
      <c r="B15" s="87" t="s">
        <v>6</v>
      </c>
      <c r="C15" s="88"/>
      <c r="D15" s="94">
        <f>SUM(D11:D13)</f>
        <v>1</v>
      </c>
      <c r="E15" s="93"/>
      <c r="F15" s="94">
        <f>SUM(F11:F13)</f>
        <v>7.0800000000000002E-2</v>
      </c>
      <c r="G15" s="673"/>
      <c r="H15" s="84"/>
      <c r="I15" s="84"/>
      <c r="J15" s="548"/>
      <c r="K15" s="228"/>
      <c r="L15" s="541"/>
      <c r="M15" s="541"/>
      <c r="N15" s="541"/>
    </row>
    <row r="16" spans="1:14" ht="15.75" thickTop="1">
      <c r="A16" s="678"/>
      <c r="B16" s="679"/>
      <c r="C16" s="680"/>
      <c r="D16" s="681"/>
      <c r="E16" s="682"/>
      <c r="F16" s="681"/>
      <c r="G16" s="683"/>
      <c r="H16" s="84"/>
      <c r="I16" s="84"/>
      <c r="J16" s="548">
        <v>4</v>
      </c>
      <c r="K16" s="228"/>
      <c r="L16" s="541" t="s">
        <v>239</v>
      </c>
      <c r="M16" s="541"/>
      <c r="N16" s="541">
        <f>+'[6]Exh. No. BGM-3 3'!$E$16</f>
        <v>3.8478999999999999E-2</v>
      </c>
    </row>
    <row r="17" spans="1:23">
      <c r="A17" s="469"/>
      <c r="B17" s="87"/>
      <c r="C17" s="91"/>
      <c r="D17" s="89"/>
      <c r="E17" s="90"/>
      <c r="F17" s="89"/>
      <c r="G17" s="84"/>
      <c r="H17" s="84"/>
      <c r="I17" s="84"/>
      <c r="J17" s="548"/>
      <c r="K17" s="228"/>
      <c r="L17" s="541"/>
      <c r="M17" s="541"/>
      <c r="N17" s="541"/>
    </row>
    <row r="18" spans="1:23">
      <c r="A18" s="84"/>
      <c r="B18" s="87"/>
      <c r="C18" s="91"/>
      <c r="D18" s="89"/>
      <c r="E18" s="90"/>
      <c r="F18" s="89"/>
      <c r="G18" s="84"/>
      <c r="H18" s="84"/>
      <c r="I18" s="84"/>
      <c r="J18" s="548">
        <v>5</v>
      </c>
      <c r="K18" s="228"/>
      <c r="L18" s="541" t="s">
        <v>240</v>
      </c>
      <c r="M18" s="541"/>
      <c r="N18" s="194">
        <f>SUM(N12:N16)</f>
        <v>4.7057000000000002E-2</v>
      </c>
    </row>
    <row r="19" spans="1:23">
      <c r="A19" s="543"/>
      <c r="B19" s="543"/>
      <c r="C19" s="714" t="s">
        <v>573</v>
      </c>
      <c r="D19" s="713">
        <v>1</v>
      </c>
      <c r="E19" s="543"/>
      <c r="F19" s="543"/>
      <c r="G19" s="543"/>
      <c r="H19" s="543"/>
      <c r="I19" s="543"/>
      <c r="J19" s="548"/>
      <c r="K19" s="228"/>
      <c r="L19" s="541"/>
      <c r="M19" s="541"/>
      <c r="N19" s="195"/>
    </row>
    <row r="20" spans="1:23">
      <c r="A20" s="543"/>
      <c r="B20" s="543"/>
      <c r="C20" s="723" t="s">
        <v>541</v>
      </c>
      <c r="D20" s="713">
        <v>0</v>
      </c>
      <c r="E20" s="543"/>
      <c r="F20" s="543"/>
      <c r="G20" s="543"/>
      <c r="H20" s="543"/>
      <c r="I20" s="543"/>
      <c r="J20" s="548">
        <v>6</v>
      </c>
      <c r="K20" s="228"/>
      <c r="L20" s="541" t="s">
        <v>241</v>
      </c>
      <c r="M20" s="541"/>
      <c r="N20" s="195">
        <f>N9-N18</f>
        <v>0.95294299999999998</v>
      </c>
    </row>
    <row r="21" spans="1:23">
      <c r="A21" s="543"/>
      <c r="B21" s="543"/>
      <c r="C21" s="723" t="s">
        <v>572</v>
      </c>
      <c r="D21" s="713">
        <v>0</v>
      </c>
      <c r="E21" s="543"/>
      <c r="F21" s="543"/>
      <c r="G21" s="543"/>
      <c r="H21" s="543"/>
      <c r="I21" s="543"/>
      <c r="J21" s="228"/>
      <c r="K21" s="228"/>
      <c r="L21" s="541"/>
      <c r="M21" s="541"/>
      <c r="N21" s="195"/>
      <c r="W21" s="249"/>
    </row>
    <row r="22" spans="1:23">
      <c r="A22" s="543"/>
      <c r="B22" s="543"/>
      <c r="C22" s="543"/>
      <c r="D22" s="543"/>
      <c r="E22" s="543"/>
      <c r="F22" s="543"/>
      <c r="G22" s="543"/>
      <c r="H22" s="543"/>
      <c r="I22" s="543"/>
      <c r="J22" s="548">
        <v>7</v>
      </c>
      <c r="K22" s="228"/>
      <c r="L22" s="541" t="s">
        <v>242</v>
      </c>
      <c r="M22" s="542"/>
      <c r="N22" s="196">
        <f>ROUND(N20*0.35,6)</f>
        <v>0.33352999999999999</v>
      </c>
    </row>
    <row r="23" spans="1:23">
      <c r="A23" s="543"/>
      <c r="B23" s="543"/>
      <c r="C23" s="543"/>
      <c r="D23" s="543"/>
      <c r="E23" s="543"/>
      <c r="F23" s="543"/>
      <c r="G23" s="543"/>
      <c r="H23" s="543"/>
      <c r="I23" s="543"/>
      <c r="J23" s="228"/>
      <c r="K23" s="228"/>
      <c r="L23" s="541"/>
      <c r="M23" s="541"/>
      <c r="N23" s="195"/>
    </row>
    <row r="24" spans="1:23" ht="15.75" thickBot="1">
      <c r="A24" s="543"/>
      <c r="B24" s="543"/>
      <c r="C24" s="543"/>
      <c r="D24" s="543"/>
      <c r="E24" s="543"/>
      <c r="F24" s="543"/>
      <c r="G24" s="543"/>
      <c r="H24" s="543"/>
      <c r="I24" s="543"/>
      <c r="J24" s="548">
        <v>8</v>
      </c>
      <c r="K24" s="228"/>
      <c r="L24" s="540" t="s">
        <v>243</v>
      </c>
      <c r="M24" s="541"/>
      <c r="N24" s="335">
        <f>ROUND(N20-N22,6)</f>
        <v>0.61941299999999999</v>
      </c>
      <c r="O24" s="249"/>
    </row>
    <row r="25" spans="1:23" ht="15.75" thickTop="1">
      <c r="A25" s="543"/>
      <c r="B25" s="543"/>
      <c r="C25" s="545"/>
      <c r="D25" s="545"/>
      <c r="E25" s="543"/>
      <c r="F25" s="543"/>
      <c r="G25" s="543"/>
      <c r="H25" s="543"/>
      <c r="I25" s="543"/>
      <c r="J25" s="543"/>
      <c r="K25" s="543"/>
      <c r="L25" s="543"/>
      <c r="M25" s="543"/>
      <c r="N25" s="543"/>
    </row>
    <row r="26" spans="1:23">
      <c r="A26" s="543"/>
      <c r="B26" s="543"/>
      <c r="C26" s="546"/>
      <c r="D26" s="546"/>
      <c r="E26" s="543"/>
      <c r="F26" s="543"/>
      <c r="G26" s="543"/>
      <c r="H26" s="543"/>
      <c r="I26" s="543"/>
      <c r="J26" s="543"/>
      <c r="K26" s="543"/>
      <c r="L26" s="543"/>
      <c r="M26" s="543"/>
      <c r="N26" s="543"/>
    </row>
    <row r="28" spans="1:23">
      <c r="A28" s="746" t="s">
        <v>78</v>
      </c>
      <c r="B28" s="746"/>
      <c r="C28" s="746"/>
      <c r="D28" s="746"/>
      <c r="E28" s="746"/>
      <c r="F28" s="746"/>
      <c r="G28" s="746"/>
      <c r="H28" s="528"/>
      <c r="I28" s="528"/>
    </row>
    <row r="29" spans="1:23">
      <c r="A29" s="748" t="s">
        <v>425</v>
      </c>
      <c r="B29" s="748"/>
      <c r="C29" s="748"/>
      <c r="D29" s="748"/>
      <c r="E29" s="748"/>
      <c r="F29" s="748"/>
      <c r="G29" s="748"/>
      <c r="H29" s="525"/>
      <c r="I29" s="525"/>
    </row>
    <row r="30" spans="1:23">
      <c r="A30" s="746" t="s">
        <v>113</v>
      </c>
      <c r="B30" s="746"/>
      <c r="C30" s="746"/>
      <c r="D30" s="746"/>
      <c r="E30" s="746"/>
      <c r="F30" s="746"/>
      <c r="G30" s="746"/>
      <c r="H30" s="528"/>
      <c r="I30" s="528"/>
    </row>
    <row r="31" spans="1:23" ht="15.75" thickBot="1">
      <c r="A31" s="746"/>
      <c r="B31" s="746"/>
      <c r="C31" s="746"/>
      <c r="D31" s="746"/>
      <c r="E31" s="746"/>
      <c r="F31" s="746"/>
      <c r="G31" s="746"/>
      <c r="H31" s="528"/>
      <c r="I31" s="528"/>
    </row>
    <row r="32" spans="1:23">
      <c r="A32" s="389" t="s">
        <v>294</v>
      </c>
      <c r="B32" s="390"/>
      <c r="C32" s="390"/>
      <c r="D32" s="390"/>
      <c r="E32" s="390"/>
      <c r="F32" s="390"/>
      <c r="G32" s="391"/>
      <c r="H32" s="394"/>
      <c r="I32" s="394"/>
    </row>
    <row r="33" spans="1:14">
      <c r="A33" s="392"/>
      <c r="B33" s="393"/>
      <c r="C33" s="393"/>
      <c r="D33" s="394"/>
      <c r="E33" s="395"/>
      <c r="F33" s="394"/>
      <c r="G33" s="396"/>
      <c r="H33" s="393"/>
      <c r="I33" s="393"/>
    </row>
    <row r="34" spans="1:14">
      <c r="A34" s="392"/>
      <c r="B34" s="397"/>
      <c r="C34" s="394"/>
      <c r="D34" s="394" t="s">
        <v>76</v>
      </c>
      <c r="E34" s="394"/>
      <c r="F34" s="394" t="s">
        <v>114</v>
      </c>
      <c r="G34" s="396"/>
      <c r="H34" s="393"/>
      <c r="I34" s="393"/>
    </row>
    <row r="35" spans="1:14">
      <c r="A35" s="392"/>
      <c r="B35" s="398" t="s">
        <v>115</v>
      </c>
      <c r="C35" s="394"/>
      <c r="D35" s="398" t="s">
        <v>116</v>
      </c>
      <c r="E35" s="398" t="s">
        <v>117</v>
      </c>
      <c r="F35" s="398" t="s">
        <v>117</v>
      </c>
      <c r="G35" s="396"/>
      <c r="H35" s="393"/>
      <c r="I35" s="393"/>
    </row>
    <row r="36" spans="1:14">
      <c r="A36" s="392"/>
      <c r="B36" s="393"/>
      <c r="C36" s="393"/>
      <c r="D36" s="393"/>
      <c r="E36" s="395"/>
      <c r="F36" s="393"/>
      <c r="G36" s="399"/>
      <c r="H36" s="397"/>
      <c r="I36" s="397"/>
    </row>
    <row r="37" spans="1:14">
      <c r="A37" s="392"/>
      <c r="B37" s="397" t="s">
        <v>118</v>
      </c>
      <c r="C37" s="400"/>
      <c r="D37" s="401">
        <f>100%-D39</f>
        <v>0.51629999999999998</v>
      </c>
      <c r="E37" s="402">
        <v>5.3199999999999997E-2</v>
      </c>
      <c r="F37" s="403">
        <f>ROUND(D37*E37,5)</f>
        <v>2.7470000000000001E-2</v>
      </c>
      <c r="G37" s="404"/>
      <c r="H37" s="534"/>
      <c r="I37" s="534"/>
    </row>
    <row r="38" spans="1:14">
      <c r="A38" s="392"/>
      <c r="B38" s="397"/>
      <c r="C38" s="405"/>
      <c r="D38" s="401"/>
      <c r="E38" s="402"/>
      <c r="F38" s="401"/>
      <c r="G38" s="406"/>
      <c r="H38" s="535"/>
      <c r="I38" s="535"/>
    </row>
    <row r="39" spans="1:14">
      <c r="A39" s="392"/>
      <c r="B39" s="397" t="s">
        <v>70</v>
      </c>
      <c r="C39" s="405"/>
      <c r="D39" s="407">
        <v>0.48370000000000002</v>
      </c>
      <c r="E39" s="402">
        <v>9.8000000000000004E-2</v>
      </c>
      <c r="F39" s="401">
        <f>ROUND(D39*E39,4)</f>
        <v>4.7399999999999998E-2</v>
      </c>
      <c r="G39" s="399"/>
      <c r="H39" s="397"/>
      <c r="I39" s="397"/>
    </row>
    <row r="40" spans="1:14">
      <c r="A40" s="392"/>
      <c r="B40" s="397"/>
      <c r="C40" s="405"/>
      <c r="D40" s="403"/>
      <c r="E40" s="408"/>
      <c r="F40" s="401"/>
      <c r="G40" s="396"/>
      <c r="H40" s="393"/>
      <c r="I40" s="393"/>
    </row>
    <row r="41" spans="1:14" ht="15.75" thickBot="1">
      <c r="A41" s="392"/>
      <c r="B41" s="397" t="s">
        <v>6</v>
      </c>
      <c r="C41" s="400"/>
      <c r="D41" s="409">
        <f>SUM(D37:D39)</f>
        <v>1</v>
      </c>
      <c r="E41" s="408"/>
      <c r="F41" s="409">
        <f>SUM(F37:F39)</f>
        <v>7.4869999999999992E-2</v>
      </c>
      <c r="G41" s="396"/>
      <c r="H41" s="393"/>
      <c r="I41" s="393"/>
    </row>
    <row r="42" spans="1:14" ht="16.5" thickTop="1" thickBot="1">
      <c r="A42" s="410"/>
      <c r="B42" s="411"/>
      <c r="C42" s="412"/>
      <c r="D42" s="413"/>
      <c r="E42" s="414"/>
      <c r="F42" s="413"/>
      <c r="G42" s="415"/>
      <c r="H42" s="393"/>
      <c r="I42" s="393"/>
      <c r="J42" s="185"/>
      <c r="K42" s="185"/>
      <c r="L42" s="185"/>
      <c r="M42" s="185"/>
      <c r="N42" s="186"/>
    </row>
    <row r="43" spans="1:14">
      <c r="A43" s="249"/>
      <c r="B43" s="249"/>
      <c r="C43" s="249"/>
      <c r="D43" s="249"/>
      <c r="E43" s="249"/>
      <c r="F43" s="249"/>
    </row>
    <row r="44" spans="1:14">
      <c r="A44" s="745"/>
      <c r="B44" s="745"/>
      <c r="C44" s="745"/>
      <c r="D44" s="745"/>
      <c r="E44" s="745"/>
      <c r="F44" s="745"/>
      <c r="G44" s="745"/>
      <c r="H44" s="527"/>
      <c r="I44" s="527"/>
    </row>
    <row r="94" spans="23:23">
      <c r="W94" s="354"/>
    </row>
    <row r="104" spans="23:23">
      <c r="W104" s="354"/>
    </row>
    <row r="150" spans="23:23">
      <c r="W150" s="354" t="s">
        <v>405</v>
      </c>
    </row>
    <row r="164" spans="23:23">
      <c r="W164" s="354" t="s">
        <v>405</v>
      </c>
    </row>
    <row r="184" spans="16:23">
      <c r="P184" s="354"/>
      <c r="Q184" s="354"/>
      <c r="R184" s="354"/>
      <c r="S184" s="354"/>
      <c r="T184" s="354"/>
      <c r="U184" s="354"/>
      <c r="V184" s="354"/>
      <c r="W184" s="354" t="s">
        <v>405</v>
      </c>
    </row>
  </sheetData>
  <mergeCells count="9">
    <mergeCell ref="J2:N2"/>
    <mergeCell ref="J3:N3"/>
    <mergeCell ref="J4:N4"/>
    <mergeCell ref="A44:G44"/>
    <mergeCell ref="A30:G30"/>
    <mergeCell ref="A31:G31"/>
    <mergeCell ref="A4:G4"/>
    <mergeCell ref="A28:G28"/>
    <mergeCell ref="A29:G29"/>
  </mergeCells>
  <phoneticPr fontId="45" type="noConversion"/>
  <printOptions horizontalCentered="1"/>
  <pageMargins left="0.7" right="0.7" top="0.75" bottom="0.75" header="0.3" footer="0.3"/>
  <pageSetup fitToWidth="2" fitToHeight="2" orientation="landscape"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63"/>
  <sheetViews>
    <sheetView showGridLines="0" zoomScale="85" zoomScaleNormal="85" zoomScaleSheetLayoutView="85" workbookViewId="0"/>
  </sheetViews>
  <sheetFormatPr defaultColWidth="12.42578125" defaultRowHeight="11.1" customHeight="1"/>
  <cols>
    <col min="1" max="1" width="7.42578125" style="637" customWidth="1"/>
    <col min="2" max="2" width="1.5703125" style="39" customWidth="1"/>
    <col min="3" max="3" width="33.7109375" style="101" customWidth="1"/>
    <col min="4" max="4" width="1.5703125" style="36" customWidth="1"/>
    <col min="5" max="5" width="11.85546875" style="99" customWidth="1"/>
    <col min="6" max="6" width="11.85546875" style="76" customWidth="1"/>
    <col min="7" max="7" width="11.85546875" style="103" customWidth="1"/>
    <col min="8" max="9" width="13.42578125" style="103" hidden="1" customWidth="1"/>
    <col min="10" max="10" width="11.85546875" style="103" hidden="1" customWidth="1"/>
    <col min="11" max="11" width="11.85546875" style="103" customWidth="1"/>
    <col min="12" max="12" width="11.85546875" style="104" customWidth="1"/>
    <col min="13" max="13" width="1.5703125" style="104" customWidth="1"/>
    <col min="14" max="14" width="7.42578125" style="102" customWidth="1"/>
    <col min="15" max="15" width="1.5703125" style="102" customWidth="1"/>
    <col min="16" max="16" width="11.85546875" style="102" customWidth="1"/>
    <col min="17" max="17" width="11.85546875" style="101" customWidth="1"/>
    <col min="18" max="18" width="1.5703125" style="101" customWidth="1"/>
    <col min="19" max="19" width="11.85546875" style="39" customWidth="1"/>
    <col min="20" max="20" width="11.85546875" style="101" customWidth="1"/>
    <col min="21" max="21" width="1.5703125" style="101" customWidth="1"/>
    <col min="22" max="22" width="9.5703125" style="101" hidden="1" customWidth="1"/>
    <col min="23" max="23" width="10.85546875" style="101" hidden="1" customWidth="1"/>
    <col min="24" max="24" width="1.5703125" style="101" hidden="1" customWidth="1"/>
    <col min="25" max="25" width="11.85546875" style="101" customWidth="1"/>
    <col min="26" max="16384" width="12.42578125" style="39"/>
  </cols>
  <sheetData>
    <row r="1" spans="1:27" s="38" customFormat="1" ht="18.75">
      <c r="A1" s="666" t="s">
        <v>75</v>
      </c>
      <c r="B1" s="669" t="s">
        <v>535</v>
      </c>
      <c r="C1" s="667"/>
      <c r="D1" s="667"/>
      <c r="E1" s="667"/>
      <c r="F1" s="667"/>
      <c r="G1" s="667"/>
      <c r="H1" s="667"/>
      <c r="I1" s="667"/>
      <c r="J1" s="667"/>
      <c r="K1" s="667"/>
      <c r="L1" s="667"/>
      <c r="M1" s="667"/>
      <c r="N1" s="667"/>
      <c r="O1" s="667"/>
      <c r="P1" s="667"/>
      <c r="Q1" s="667"/>
      <c r="R1" s="667"/>
      <c r="S1" s="667"/>
      <c r="T1" s="667"/>
      <c r="U1" s="667"/>
      <c r="V1" s="667"/>
      <c r="W1" s="667"/>
      <c r="X1" s="667"/>
      <c r="Y1" s="667"/>
    </row>
    <row r="2" spans="1:27" s="445" customFormat="1" ht="15">
      <c r="B2" s="449"/>
      <c r="C2" s="597"/>
      <c r="D2" s="598"/>
      <c r="E2" s="599"/>
      <c r="F2" s="599"/>
      <c r="G2" s="599"/>
      <c r="H2" s="599"/>
      <c r="I2" s="599"/>
      <c r="J2" s="599"/>
      <c r="K2" s="599"/>
      <c r="L2" s="599"/>
      <c r="M2" s="549"/>
      <c r="N2" s="449"/>
      <c r="O2" s="449"/>
      <c r="P2" s="597"/>
      <c r="Q2" s="600"/>
      <c r="R2" s="600"/>
      <c r="S2" s="449"/>
      <c r="T2" s="449"/>
      <c r="U2" s="449"/>
      <c r="V2" s="449"/>
      <c r="W2" s="601"/>
      <c r="X2" s="601"/>
      <c r="Y2" s="449"/>
    </row>
    <row r="3" spans="1:27" s="617" customFormat="1" ht="15">
      <c r="B3" s="618"/>
      <c r="C3" s="619" t="s">
        <v>304</v>
      </c>
      <c r="D3" s="598"/>
      <c r="E3" s="620" t="s">
        <v>497</v>
      </c>
      <c r="F3" s="621"/>
      <c r="G3" s="621"/>
      <c r="H3" s="621"/>
      <c r="I3" s="621"/>
      <c r="J3" s="621"/>
      <c r="K3" s="621"/>
      <c r="L3" s="602"/>
      <c r="M3" s="622"/>
      <c r="N3" s="600"/>
      <c r="O3" s="600"/>
      <c r="P3" s="620" t="s">
        <v>499</v>
      </c>
      <c r="Q3" s="602"/>
      <c r="R3" s="600"/>
      <c r="S3" s="620" t="s">
        <v>498</v>
      </c>
      <c r="T3" s="602"/>
      <c r="U3" s="623"/>
      <c r="V3" s="620" t="s">
        <v>500</v>
      </c>
      <c r="W3" s="624"/>
      <c r="X3" s="625"/>
      <c r="Y3" s="626" t="s">
        <v>501</v>
      </c>
    </row>
    <row r="4" spans="1:27" s="617" customFormat="1" ht="41.25" customHeight="1">
      <c r="B4" s="600"/>
      <c r="C4" s="724"/>
      <c r="D4" s="598"/>
      <c r="E4" s="758" t="s">
        <v>539</v>
      </c>
      <c r="F4" s="761" t="s">
        <v>536</v>
      </c>
      <c r="G4" s="764" t="s">
        <v>429</v>
      </c>
      <c r="H4" s="621"/>
      <c r="I4" s="621"/>
      <c r="J4" s="725"/>
      <c r="K4" s="761" t="s">
        <v>320</v>
      </c>
      <c r="L4" s="767" t="s">
        <v>538</v>
      </c>
      <c r="M4" s="622"/>
      <c r="N4" s="559" t="s">
        <v>524</v>
      </c>
      <c r="O4" s="600"/>
      <c r="P4" s="770" t="s">
        <v>432</v>
      </c>
      <c r="Q4" s="749" t="s">
        <v>433</v>
      </c>
      <c r="R4" s="600"/>
      <c r="S4" s="752" t="s">
        <v>537</v>
      </c>
      <c r="T4" s="749" t="s">
        <v>506</v>
      </c>
      <c r="U4" s="623"/>
      <c r="V4" s="725"/>
      <c r="W4" s="726"/>
      <c r="X4" s="625"/>
      <c r="Y4" s="755" t="s">
        <v>543</v>
      </c>
    </row>
    <row r="5" spans="1:27" s="617" customFormat="1" ht="18" customHeight="1">
      <c r="A5" s="603" t="s">
        <v>2</v>
      </c>
      <c r="B5" s="600"/>
      <c r="C5" s="724"/>
      <c r="D5" s="598"/>
      <c r="E5" s="759"/>
      <c r="F5" s="762"/>
      <c r="G5" s="765"/>
      <c r="H5" s="621"/>
      <c r="I5" s="621"/>
      <c r="J5" s="725"/>
      <c r="K5" s="762"/>
      <c r="L5" s="768"/>
      <c r="M5" s="622"/>
      <c r="N5" s="727" t="s">
        <v>544</v>
      </c>
      <c r="O5" s="600"/>
      <c r="P5" s="771"/>
      <c r="Q5" s="750"/>
      <c r="R5" s="600"/>
      <c r="S5" s="753"/>
      <c r="T5" s="750"/>
      <c r="U5" s="623"/>
      <c r="V5" s="725"/>
      <c r="W5" s="726"/>
      <c r="X5" s="625"/>
      <c r="Y5" s="756"/>
    </row>
    <row r="6" spans="1:27" s="432" customFormat="1" ht="16.5" customHeight="1">
      <c r="A6" s="603" t="s">
        <v>542</v>
      </c>
      <c r="B6" s="445"/>
      <c r="C6" s="596" t="s">
        <v>233</v>
      </c>
      <c r="D6" s="593"/>
      <c r="E6" s="760"/>
      <c r="F6" s="763"/>
      <c r="G6" s="766"/>
      <c r="H6" s="729" t="s">
        <v>431</v>
      </c>
      <c r="I6" s="560" t="s">
        <v>426</v>
      </c>
      <c r="J6" s="686" t="s">
        <v>521</v>
      </c>
      <c r="K6" s="763"/>
      <c r="L6" s="769"/>
      <c r="M6" s="594"/>
      <c r="N6" s="728">
        <v>2.33</v>
      </c>
      <c r="O6" s="595"/>
      <c r="P6" s="772"/>
      <c r="Q6" s="751"/>
      <c r="R6" s="551"/>
      <c r="S6" s="754"/>
      <c r="T6" s="751"/>
      <c r="U6" s="551"/>
      <c r="V6" s="448" t="s">
        <v>434</v>
      </c>
      <c r="W6" s="448" t="s">
        <v>435</v>
      </c>
      <c r="X6" s="448"/>
      <c r="Y6" s="757"/>
    </row>
    <row r="7" spans="1:27" s="433" customFormat="1" ht="15">
      <c r="D7" s="434"/>
      <c r="E7" s="450" t="s">
        <v>80</v>
      </c>
      <c r="F7" s="604" t="s">
        <v>81</v>
      </c>
      <c r="G7" s="604" t="s">
        <v>122</v>
      </c>
      <c r="H7" s="604" t="s">
        <v>82</v>
      </c>
      <c r="I7" s="449" t="s">
        <v>520</v>
      </c>
      <c r="J7" s="449" t="s">
        <v>123</v>
      </c>
      <c r="K7" s="449" t="s">
        <v>124</v>
      </c>
      <c r="L7" s="605" t="s">
        <v>125</v>
      </c>
      <c r="M7" s="438"/>
      <c r="N7" s="605" t="s">
        <v>126</v>
      </c>
      <c r="O7" s="439"/>
      <c r="P7" s="605" t="s">
        <v>127</v>
      </c>
      <c r="Q7" s="605" t="s">
        <v>128</v>
      </c>
      <c r="R7" s="434"/>
      <c r="S7" s="605" t="s">
        <v>225</v>
      </c>
      <c r="T7" s="605" t="s">
        <v>413</v>
      </c>
      <c r="U7" s="605"/>
      <c r="V7" s="605" t="s">
        <v>414</v>
      </c>
      <c r="W7" s="605" t="s">
        <v>430</v>
      </c>
      <c r="X7" s="605"/>
      <c r="Y7" s="605" t="s">
        <v>436</v>
      </c>
    </row>
    <row r="8" spans="1:27" s="433" customFormat="1" ht="15.75" customHeight="1">
      <c r="B8" s="432" t="s">
        <v>0</v>
      </c>
      <c r="D8" s="434"/>
      <c r="E8" s="435"/>
      <c r="F8" s="436"/>
      <c r="G8" s="436"/>
      <c r="H8" s="436"/>
      <c r="I8" s="436"/>
      <c r="J8" s="436"/>
      <c r="K8" s="436"/>
      <c r="L8" s="468"/>
      <c r="M8" s="438"/>
      <c r="N8" s="432"/>
      <c r="O8" s="439"/>
      <c r="P8" s="432"/>
      <c r="R8" s="434"/>
      <c r="U8" s="434"/>
    </row>
    <row r="9" spans="1:27" s="433" customFormat="1" ht="15.75" customHeight="1">
      <c r="A9" s="638">
        <f t="shared" ref="A9:A14" ca="1" si="0">+MAX(OFFSET(A$1,0,0,ROW(A9)-ROW(A$1)))+1</f>
        <v>1</v>
      </c>
      <c r="B9" s="432" t="s">
        <v>65</v>
      </c>
      <c r="C9" s="432"/>
      <c r="D9" s="434"/>
      <c r="E9" s="573">
        <f>+'[6]Exh. No. BGM-3 4'!$AC$14</f>
        <v>492413</v>
      </c>
      <c r="F9" s="573"/>
      <c r="G9" s="573"/>
      <c r="H9" s="573"/>
      <c r="I9" s="573"/>
      <c r="J9" s="573">
        <f>+'[7]Attrition 12.2015 to 2018'!$I7</f>
        <v>0</v>
      </c>
      <c r="K9" s="573">
        <f>+'[6]Exh. No. BGM-3 4'!$AK$14</f>
        <v>-1225</v>
      </c>
      <c r="L9" s="573">
        <f>SUM(E9:K9)</f>
        <v>491188</v>
      </c>
      <c r="M9" s="438"/>
      <c r="N9" s="509">
        <f>-'[8]ADJ DETAIL-INPUT-Restate'!$AJ$67*'2) ROR'!D19/2.33*N6</f>
        <v>1.0260431165975364E-2</v>
      </c>
      <c r="O9" s="439"/>
      <c r="P9" s="573">
        <f>+L9*N9</f>
        <v>5039.8006635531074</v>
      </c>
      <c r="Q9" s="574">
        <f>L9+P9</f>
        <v>496227.80066355312</v>
      </c>
      <c r="R9" s="573"/>
      <c r="S9" s="573"/>
      <c r="T9" s="607"/>
      <c r="U9" s="573"/>
      <c r="V9" s="573"/>
      <c r="W9" s="573"/>
      <c r="X9" s="573"/>
      <c r="Y9" s="562">
        <f>Q9+S9+T9+W9+V9</f>
        <v>496227.80066355312</v>
      </c>
      <c r="AA9" s="608"/>
    </row>
    <row r="10" spans="1:27" s="433" customFormat="1" ht="15.75" customHeight="1">
      <c r="A10" s="638">
        <f t="shared" ca="1" si="0"/>
        <v>2</v>
      </c>
      <c r="B10" s="432" t="s">
        <v>64</v>
      </c>
      <c r="C10" s="432"/>
      <c r="D10" s="434"/>
      <c r="E10" s="561">
        <f>+'[6]Exh. No. BGM-3 4'!$AC$15</f>
        <v>946</v>
      </c>
      <c r="F10" s="561"/>
      <c r="G10" s="561"/>
      <c r="H10" s="561"/>
      <c r="I10" s="561"/>
      <c r="J10" s="561">
        <f>+'[7]Attrition 12.2015 to 2018'!$I8</f>
        <v>0</v>
      </c>
      <c r="K10" s="561">
        <v>0</v>
      </c>
      <c r="L10" s="570">
        <f>SUM(E10:K10)</f>
        <v>946</v>
      </c>
      <c r="M10" s="438"/>
      <c r="N10" s="509">
        <f>N9</f>
        <v>1.0260431165975364E-2</v>
      </c>
      <c r="O10" s="439"/>
      <c r="P10" s="561">
        <f>+L10*N10</f>
        <v>9.7063678830126943</v>
      </c>
      <c r="Q10" s="562">
        <f>L10+P10</f>
        <v>955.70636788301272</v>
      </c>
      <c r="R10" s="561"/>
      <c r="S10" s="562"/>
      <c r="T10" s="584"/>
      <c r="U10" s="561"/>
      <c r="V10" s="561"/>
      <c r="W10" s="561"/>
      <c r="X10" s="561"/>
      <c r="Y10" s="562">
        <f>Q10+S10+T10+W10+V10</f>
        <v>955.70636788301272</v>
      </c>
    </row>
    <row r="11" spans="1:27" s="433" customFormat="1" ht="15.75" customHeight="1">
      <c r="A11" s="638">
        <f t="shared" ca="1" si="0"/>
        <v>3</v>
      </c>
      <c r="B11" s="432" t="s">
        <v>63</v>
      </c>
      <c r="C11" s="432"/>
      <c r="D11" s="434"/>
      <c r="E11" s="561">
        <f>+'[6]Exh. No. BGM-3 4'!$AC$16</f>
        <v>57325</v>
      </c>
      <c r="F11" s="564">
        <f>-'[9]PF Power Supply Adjustments'!$F$13</f>
        <v>-78098</v>
      </c>
      <c r="G11" s="561"/>
      <c r="H11" s="561"/>
      <c r="I11" s="561"/>
      <c r="J11" s="561">
        <f>+'[7]Attrition 12.2015 to 2018'!$I9</f>
        <v>0</v>
      </c>
      <c r="K11" s="561">
        <v>0</v>
      </c>
      <c r="L11" s="570">
        <f>SUM(E11:K11)</f>
        <v>-20773</v>
      </c>
      <c r="M11" s="438"/>
      <c r="N11" s="441"/>
      <c r="O11" s="439"/>
      <c r="P11" s="563"/>
      <c r="Q11" s="564"/>
      <c r="R11" s="561"/>
      <c r="S11" s="564">
        <f>+'[9]PF Power Supply Adjustments'!$O$13</f>
        <v>57325</v>
      </c>
      <c r="T11" s="564">
        <v>0</v>
      </c>
      <c r="U11" s="561"/>
      <c r="V11" s="561"/>
      <c r="W11" s="564"/>
      <c r="X11" s="564"/>
      <c r="Y11" s="564">
        <f>Q11+S11+T11+W11+V11</f>
        <v>57325</v>
      </c>
    </row>
    <row r="12" spans="1:27" s="433" customFormat="1" ht="15.75" customHeight="1">
      <c r="A12" s="638">
        <f t="shared" ca="1" si="0"/>
        <v>4</v>
      </c>
      <c r="B12" s="432" t="s">
        <v>110</v>
      </c>
      <c r="C12" s="432"/>
      <c r="D12" s="434"/>
      <c r="E12" s="566">
        <f>SUM(E9:E11)</f>
        <v>550684</v>
      </c>
      <c r="F12" s="570">
        <f>F11+F10+F9</f>
        <v>-78098</v>
      </c>
      <c r="G12" s="565"/>
      <c r="H12" s="565"/>
      <c r="I12" s="565"/>
      <c r="J12" s="566">
        <f>SUM(J9:J11)</f>
        <v>0</v>
      </c>
      <c r="K12" s="565">
        <f>K11+K10+K9</f>
        <v>-1225</v>
      </c>
      <c r="L12" s="565">
        <f>L11+L10+L9</f>
        <v>471361</v>
      </c>
      <c r="M12" s="438"/>
      <c r="N12" s="439"/>
      <c r="O12" s="439"/>
      <c r="P12" s="565">
        <f>P11+P10+P9</f>
        <v>5049.5070314361201</v>
      </c>
      <c r="Q12" s="565">
        <f>Q11+Q10+Q9</f>
        <v>497183.50703143614</v>
      </c>
      <c r="R12" s="561"/>
      <c r="S12" s="562">
        <f>S9+S10+S11</f>
        <v>57325</v>
      </c>
      <c r="T12" s="562">
        <f>T9+T10+T11</f>
        <v>0</v>
      </c>
      <c r="U12" s="561"/>
      <c r="V12" s="566">
        <f>V9+V10+V11</f>
        <v>0</v>
      </c>
      <c r="W12" s="562"/>
      <c r="X12" s="562"/>
      <c r="Y12" s="562">
        <f>Y9+Y10+Y11</f>
        <v>554508.50703143608</v>
      </c>
    </row>
    <row r="13" spans="1:27" s="433" customFormat="1" ht="15.75" customHeight="1">
      <c r="A13" s="638">
        <f t="shared" ca="1" si="0"/>
        <v>5</v>
      </c>
      <c r="B13" s="432" t="s">
        <v>61</v>
      </c>
      <c r="C13" s="432"/>
      <c r="D13" s="434"/>
      <c r="E13" s="561">
        <f>+'[6]Exh. No. BGM-3 4'!$AC$18</f>
        <v>17116</v>
      </c>
      <c r="F13" s="564">
        <f>-'[9]PF Power Supply Adjustments'!$F$16-'[9]PF Power Supply Adjustments'!$F$19</f>
        <v>-67173</v>
      </c>
      <c r="G13" s="561"/>
      <c r="H13" s="561"/>
      <c r="I13" s="561"/>
      <c r="J13" s="561">
        <f>+'[7]Attrition 12.2015 to 2018'!$I11</f>
        <v>0</v>
      </c>
      <c r="K13" s="573">
        <f>+'[6]Exh. No. BGM-3 4'!$AK$18</f>
        <v>-3887</v>
      </c>
      <c r="L13" s="570">
        <f>SUM(E13:K13)</f>
        <v>-53944</v>
      </c>
      <c r="M13" s="438"/>
      <c r="N13" s="441">
        <v>0</v>
      </c>
      <c r="O13" s="439"/>
      <c r="P13" s="561">
        <f>+L13*N13</f>
        <v>0</v>
      </c>
      <c r="Q13" s="562">
        <f>L13+P13</f>
        <v>-53944</v>
      </c>
      <c r="R13" s="561"/>
      <c r="S13" s="564">
        <f>+'[9]PF Power Supply Adjustments'!$O$16</f>
        <v>10225</v>
      </c>
      <c r="T13" s="561">
        <v>0</v>
      </c>
      <c r="U13" s="561"/>
      <c r="V13" s="561"/>
      <c r="W13" s="564"/>
      <c r="X13" s="564"/>
      <c r="Y13" s="564">
        <f>L13+S13+T13+V13+W13</f>
        <v>-43719</v>
      </c>
    </row>
    <row r="14" spans="1:27" s="433" customFormat="1" ht="15">
      <c r="A14" s="638">
        <f t="shared" ca="1" si="0"/>
        <v>6</v>
      </c>
      <c r="B14" s="432" t="s">
        <v>60</v>
      </c>
      <c r="C14" s="432"/>
      <c r="D14" s="442"/>
      <c r="E14" s="566">
        <f>E12+E13</f>
        <v>567800</v>
      </c>
      <c r="F14" s="561">
        <f>F13+F12</f>
        <v>-145271</v>
      </c>
      <c r="G14" s="566">
        <f>G13+G12</f>
        <v>0</v>
      </c>
      <c r="H14" s="566">
        <f>H13+H12</f>
        <v>0</v>
      </c>
      <c r="I14" s="566">
        <f>I13+I12</f>
        <v>0</v>
      </c>
      <c r="J14" s="566">
        <f>J12+J13</f>
        <v>0</v>
      </c>
      <c r="K14" s="566">
        <f>K13+K12</f>
        <v>-5112</v>
      </c>
      <c r="L14" s="565">
        <f>L12+L13</f>
        <v>417417</v>
      </c>
      <c r="M14" s="438"/>
      <c r="N14" s="439"/>
      <c r="O14" s="439"/>
      <c r="P14" s="565">
        <f>P12+P13</f>
        <v>5049.5070314361201</v>
      </c>
      <c r="Q14" s="565">
        <f>Q12+Q13</f>
        <v>443239.50703143614</v>
      </c>
      <c r="R14" s="561"/>
      <c r="S14" s="561">
        <f>S13+S12</f>
        <v>67550</v>
      </c>
      <c r="T14" s="566">
        <f>T13+T12</f>
        <v>0</v>
      </c>
      <c r="U14" s="561"/>
      <c r="V14" s="566">
        <f>V13+V12</f>
        <v>0</v>
      </c>
      <c r="W14" s="561"/>
      <c r="X14" s="561"/>
      <c r="Y14" s="561">
        <f>Y13+Y12</f>
        <v>510789.50703143608</v>
      </c>
    </row>
    <row r="15" spans="1:27" s="433" customFormat="1" ht="15">
      <c r="A15" s="609"/>
      <c r="B15" s="432"/>
      <c r="C15" s="432"/>
      <c r="D15" s="442"/>
      <c r="E15" s="561"/>
      <c r="F15" s="561"/>
      <c r="G15" s="561"/>
      <c r="H15" s="561"/>
      <c r="I15" s="561"/>
      <c r="J15" s="561"/>
      <c r="K15" s="561"/>
      <c r="L15" s="570"/>
      <c r="M15" s="438"/>
      <c r="N15" s="439"/>
      <c r="O15" s="439"/>
      <c r="P15" s="568"/>
      <c r="Q15" s="562"/>
      <c r="R15" s="561"/>
      <c r="S15" s="561"/>
      <c r="T15" s="561"/>
      <c r="U15" s="561"/>
      <c r="V15" s="561"/>
      <c r="W15" s="561"/>
      <c r="X15" s="561"/>
      <c r="Y15" s="562"/>
    </row>
    <row r="16" spans="1:27" s="433" customFormat="1" ht="15.75" customHeight="1">
      <c r="A16" s="638">
        <f t="shared" ref="A16:A23" ca="1" si="1">+MAX(OFFSET(A$1,0,0,ROW(A16)-ROW(A$1)))+1</f>
        <v>7</v>
      </c>
      <c r="B16" s="432" t="s">
        <v>59</v>
      </c>
      <c r="C16" s="432"/>
      <c r="D16" s="442"/>
      <c r="E16" s="561"/>
      <c r="F16" s="561"/>
      <c r="G16" s="561"/>
      <c r="H16" s="561"/>
      <c r="I16" s="561"/>
      <c r="J16" s="561"/>
      <c r="K16" s="561"/>
      <c r="L16" s="570"/>
      <c r="M16" s="438"/>
      <c r="N16" s="439"/>
      <c r="O16" s="439"/>
      <c r="P16" s="568"/>
      <c r="Q16" s="562"/>
      <c r="R16" s="561"/>
      <c r="S16" s="561"/>
      <c r="T16" s="561"/>
      <c r="U16" s="561"/>
      <c r="V16" s="561"/>
      <c r="W16" s="561"/>
      <c r="X16" s="561"/>
      <c r="Y16" s="562"/>
    </row>
    <row r="17" spans="1:25" s="433" customFormat="1" ht="15.75" customHeight="1">
      <c r="A17" s="638">
        <f t="shared" ca="1" si="1"/>
        <v>8</v>
      </c>
      <c r="B17" s="432" t="s">
        <v>58</v>
      </c>
      <c r="C17" s="432"/>
      <c r="D17" s="442"/>
      <c r="E17" s="561"/>
      <c r="F17" s="561"/>
      <c r="G17" s="561"/>
      <c r="H17" s="561"/>
      <c r="I17" s="561"/>
      <c r="J17" s="561"/>
      <c r="K17" s="561"/>
      <c r="L17" s="570"/>
      <c r="M17" s="438"/>
      <c r="N17" s="439"/>
      <c r="O17" s="439"/>
      <c r="P17" s="569"/>
      <c r="Q17" s="562"/>
      <c r="R17" s="561"/>
      <c r="S17" s="561"/>
      <c r="T17" s="561"/>
      <c r="U17" s="561"/>
      <c r="V17" s="561"/>
      <c r="W17" s="561"/>
      <c r="X17" s="561"/>
      <c r="Y17" s="562"/>
    </row>
    <row r="18" spans="1:25" s="433" customFormat="1" ht="15.75" customHeight="1">
      <c r="A18" s="638">
        <f t="shared" ca="1" si="1"/>
        <v>9</v>
      </c>
      <c r="B18" s="432"/>
      <c r="C18" s="432" t="s">
        <v>519</v>
      </c>
      <c r="D18" s="442"/>
      <c r="E18" s="561">
        <f>+'[6]Exh. No. BGM-3 4'!$AC$23</f>
        <v>134600</v>
      </c>
      <c r="F18" s="561">
        <f>-'[9]PF Power Supply Adjustments'!$F$24-'[9]PF Power Supply Adjustments'!$F$26-'[9]PF Power Supply Adjustments'!$F$32-'[9]PF Power Supply Adjustments'!$F$33-'[9]PF Power Supply Adjustments'!$F$34</f>
        <v>-125275</v>
      </c>
      <c r="G18" s="561">
        <f>+'[6]Exh. No. BGM-3 4'!$AL$23</f>
        <v>-248</v>
      </c>
      <c r="H18" s="561"/>
      <c r="I18" s="561"/>
      <c r="J18" s="561">
        <f>+'[7]Attrition 12.2015 to 2018'!$I16</f>
        <v>0</v>
      </c>
      <c r="K18" s="561">
        <v>0</v>
      </c>
      <c r="L18" s="570">
        <f>SUM(E18:K18)</f>
        <v>9077</v>
      </c>
      <c r="M18" s="438"/>
      <c r="N18" s="509">
        <f ca="1">+'4.01'!$B$22*$N$6*'2) ROR'!D21</f>
        <v>0</v>
      </c>
      <c r="O18" s="444"/>
      <c r="P18" s="570">
        <f ca="1">N18*L18</f>
        <v>0</v>
      </c>
      <c r="Q18" s="562">
        <f ca="1">P18+L18</f>
        <v>9077</v>
      </c>
      <c r="R18" s="561"/>
      <c r="S18" s="561">
        <f>+'[9]PF Power Supply Adjustments'!$O$24+'[9]PF Power Supply Adjustments'!$O$26+'[9]PF Power Supply Adjustments'!$O$32+'[9]PF Power Supply Adjustments'!$O$33+'[9]PF Power Supply Adjustments'!$O$34</f>
        <v>79036</v>
      </c>
      <c r="T18" s="561">
        <v>0</v>
      </c>
      <c r="U18" s="561"/>
      <c r="V18" s="561"/>
      <c r="W18" s="561"/>
      <c r="X18" s="561"/>
      <c r="Y18" s="562">
        <f ca="1">Q18+S18+T18+W18+V18</f>
        <v>88113</v>
      </c>
    </row>
    <row r="19" spans="1:25" s="433" customFormat="1" ht="15.75" customHeight="1">
      <c r="A19" s="638">
        <f t="shared" ca="1" si="1"/>
        <v>10</v>
      </c>
      <c r="B19" s="432"/>
      <c r="C19" s="432" t="s">
        <v>57</v>
      </c>
      <c r="D19" s="442"/>
      <c r="E19" s="561">
        <f>+'[6]Exh. No. BGM-3 4'!$AC$24</f>
        <v>77131</v>
      </c>
      <c r="F19" s="561">
        <f>-'[9]PF Power Supply Adjustments'!$F$28</f>
        <v>-96773</v>
      </c>
      <c r="G19" s="561"/>
      <c r="H19" s="561"/>
      <c r="I19" s="561"/>
      <c r="J19" s="561">
        <f>+'[7]Attrition 12.2015 to 2018'!$I17</f>
        <v>0</v>
      </c>
      <c r="K19" s="561">
        <v>0</v>
      </c>
      <c r="L19" s="570">
        <f>SUM(E19:K19)</f>
        <v>-19642</v>
      </c>
      <c r="M19" s="438"/>
      <c r="N19" s="439"/>
      <c r="O19" s="439"/>
      <c r="P19" s="570">
        <f>N19*L19</f>
        <v>0</v>
      </c>
      <c r="Q19" s="562">
        <f>P19+L19</f>
        <v>-19642</v>
      </c>
      <c r="R19" s="561"/>
      <c r="S19" s="561">
        <f>+'[9]PF Power Supply Adjustments'!$O$28</f>
        <v>77131</v>
      </c>
      <c r="T19" s="561">
        <v>0</v>
      </c>
      <c r="U19" s="561"/>
      <c r="V19" s="561"/>
      <c r="W19" s="561"/>
      <c r="X19" s="561"/>
      <c r="Y19" s="562">
        <f>Q19+S19+T19+W19+V19</f>
        <v>57489</v>
      </c>
    </row>
    <row r="20" spans="1:25" s="433" customFormat="1" ht="15.75" customHeight="1">
      <c r="A20" s="638">
        <f t="shared" ca="1" si="1"/>
        <v>11</v>
      </c>
      <c r="B20" s="432"/>
      <c r="C20" s="432" t="s">
        <v>86</v>
      </c>
      <c r="D20" s="442"/>
      <c r="E20" s="561">
        <f>+'[6]Exh. No. BGM-3 4'!$AC$25</f>
        <v>26677</v>
      </c>
      <c r="F20" s="561"/>
      <c r="G20" s="561"/>
      <c r="H20" s="561"/>
      <c r="I20" s="571">
        <v>0</v>
      </c>
      <c r="J20" s="561">
        <f>+'[7]Attrition 12.2015 to 2018'!$I18</f>
        <v>0</v>
      </c>
      <c r="K20" s="561">
        <v>0</v>
      </c>
      <c r="L20" s="570">
        <f>SUM(E20:K20)</f>
        <v>26677</v>
      </c>
      <c r="M20" s="438"/>
      <c r="N20" s="509">
        <f ca="1">+'4.02'!B22*$N$6*'2) ROR'!D20</f>
        <v>0</v>
      </c>
      <c r="O20" s="444"/>
      <c r="P20" s="570">
        <f ca="1">N20*L20</f>
        <v>0</v>
      </c>
      <c r="Q20" s="562">
        <f ca="1">P20+L20</f>
        <v>26677</v>
      </c>
      <c r="R20" s="561"/>
      <c r="S20" s="561">
        <v>0</v>
      </c>
      <c r="T20" s="561"/>
      <c r="U20" s="561"/>
      <c r="V20" s="571">
        <v>0</v>
      </c>
      <c r="W20" s="561"/>
      <c r="X20" s="561"/>
      <c r="Y20" s="562">
        <f ca="1">Q20+S20+T20+W20+V20</f>
        <v>26677</v>
      </c>
    </row>
    <row r="21" spans="1:25" s="433" customFormat="1" ht="15.75" customHeight="1">
      <c r="A21" s="638">
        <f t="shared" ca="1" si="1"/>
        <v>12</v>
      </c>
      <c r="B21" s="432"/>
      <c r="C21" s="432" t="s">
        <v>87</v>
      </c>
      <c r="D21" s="442"/>
      <c r="E21" s="561">
        <f>+'[6]Exh. No. BGM-3 4'!$AC$26</f>
        <v>4705</v>
      </c>
      <c r="F21" s="561"/>
      <c r="G21" s="561">
        <f>+'[6]Exh. No. BGM-3 4'!$AL$26</f>
        <v>-1393</v>
      </c>
      <c r="H21" s="561"/>
      <c r="I21" s="561"/>
      <c r="J21" s="561">
        <f>+'[7]Attrition 12.2015 to 2018'!$I19</f>
        <v>0</v>
      </c>
      <c r="K21" s="561">
        <v>0</v>
      </c>
      <c r="L21" s="570">
        <f>SUM(E21:K21)</f>
        <v>3312</v>
      </c>
      <c r="M21" s="438"/>
      <c r="N21" s="444">
        <v>0</v>
      </c>
      <c r="O21" s="444"/>
      <c r="P21" s="570">
        <f>N21*L21</f>
        <v>0</v>
      </c>
      <c r="Q21" s="562">
        <f>P21+L21</f>
        <v>3312</v>
      </c>
      <c r="R21" s="561"/>
      <c r="S21" s="561">
        <v>0</v>
      </c>
      <c r="T21" s="561"/>
      <c r="U21" s="561"/>
      <c r="V21" s="561"/>
      <c r="W21" s="561"/>
      <c r="X21" s="561"/>
      <c r="Y21" s="562">
        <f>Q21+S21+T21+W21+V21</f>
        <v>3312</v>
      </c>
    </row>
    <row r="22" spans="1:25" s="433" customFormat="1" ht="15.75" customHeight="1">
      <c r="A22" s="638">
        <f t="shared" ca="1" si="1"/>
        <v>13</v>
      </c>
      <c r="B22" s="432"/>
      <c r="C22" s="445" t="s">
        <v>49</v>
      </c>
      <c r="D22" s="442"/>
      <c r="E22" s="561">
        <f>+'[6]Exh. No. BGM-3 4'!$AC$27</f>
        <v>14990</v>
      </c>
      <c r="F22" s="564"/>
      <c r="G22" s="561"/>
      <c r="H22" s="561"/>
      <c r="I22" s="561"/>
      <c r="J22" s="561">
        <f>+'[7]Attrition 12.2015 to 2018'!$I20</f>
        <v>0</v>
      </c>
      <c r="K22" s="561">
        <v>0</v>
      </c>
      <c r="L22" s="570">
        <f>SUM(E22:K22)</f>
        <v>14990</v>
      </c>
      <c r="M22" s="453"/>
      <c r="N22" s="509">
        <f ca="1">+'4.03'!B21*$N$6</f>
        <v>0.122791</v>
      </c>
      <c r="O22" s="444"/>
      <c r="P22" s="567">
        <f ca="1">N22*L22</f>
        <v>1840.6370899999999</v>
      </c>
      <c r="Q22" s="564">
        <f ca="1">P22+L22</f>
        <v>16830.63709</v>
      </c>
      <c r="R22" s="561"/>
      <c r="S22" s="564"/>
      <c r="T22" s="564"/>
      <c r="U22" s="561"/>
      <c r="V22" s="564"/>
      <c r="W22" s="564"/>
      <c r="X22" s="564"/>
      <c r="Y22" s="564">
        <f ca="1">Q22+S22+T22+W22+V22</f>
        <v>16830.63709</v>
      </c>
    </row>
    <row r="23" spans="1:25" s="433" customFormat="1" ht="15.75" customHeight="1">
      <c r="A23" s="638">
        <f t="shared" ca="1" si="1"/>
        <v>14</v>
      </c>
      <c r="B23" s="432"/>
      <c r="C23" s="446" t="s">
        <v>105</v>
      </c>
      <c r="D23" s="434"/>
      <c r="E23" s="566">
        <f>SUM(E18:E22)</f>
        <v>258103</v>
      </c>
      <c r="F23" s="570">
        <f t="shared" ref="F23:L23" si="2">F18+F19+F20+F21+F22</f>
        <v>-222048</v>
      </c>
      <c r="G23" s="565">
        <f t="shared" si="2"/>
        <v>-1641</v>
      </c>
      <c r="H23" s="565">
        <f t="shared" si="2"/>
        <v>0</v>
      </c>
      <c r="I23" s="565">
        <f t="shared" si="2"/>
        <v>0</v>
      </c>
      <c r="J23" s="566">
        <f>SUM(J18:J22)</f>
        <v>0</v>
      </c>
      <c r="K23" s="565">
        <f t="shared" si="2"/>
        <v>0</v>
      </c>
      <c r="L23" s="565">
        <f t="shared" si="2"/>
        <v>34414</v>
      </c>
      <c r="M23" s="453"/>
      <c r="N23" s="439"/>
      <c r="O23" s="444"/>
      <c r="P23" s="570">
        <f ca="1">P18+P19+P20+P21+P22</f>
        <v>1840.6370899999999</v>
      </c>
      <c r="Q23" s="570">
        <f ca="1">Q18+Q19+Q20+Q21+Q22</f>
        <v>36254.637090000004</v>
      </c>
      <c r="R23" s="572"/>
      <c r="S23" s="570">
        <f>S18+S19+S20+S21+S22</f>
        <v>156167</v>
      </c>
      <c r="T23" s="570">
        <f>T18+T19+T20+T21+T22</f>
        <v>0</v>
      </c>
      <c r="U23" s="572"/>
      <c r="V23" s="570">
        <f>V18+V19+V20+V21+V22</f>
        <v>0</v>
      </c>
      <c r="W23" s="570">
        <f>W18+W19+W20+W21+W22</f>
        <v>0</v>
      </c>
      <c r="X23" s="570"/>
      <c r="Y23" s="570">
        <f ca="1">Y18+Y19+Y20+Y21+Y22</f>
        <v>192421.63709</v>
      </c>
    </row>
    <row r="24" spans="1:25" s="433" customFormat="1" ht="15.75" customHeight="1">
      <c r="A24" s="606"/>
      <c r="B24" s="432"/>
      <c r="C24" s="445"/>
      <c r="D24" s="434"/>
      <c r="E24" s="561"/>
      <c r="F24" s="561"/>
      <c r="G24" s="561"/>
      <c r="H24" s="561"/>
      <c r="I24" s="561"/>
      <c r="J24" s="561"/>
      <c r="K24" s="561"/>
      <c r="L24" s="570"/>
      <c r="M24" s="453"/>
      <c r="N24" s="439"/>
      <c r="O24" s="439"/>
      <c r="P24" s="568"/>
      <c r="Q24" s="562"/>
      <c r="R24" s="561"/>
      <c r="S24" s="561"/>
      <c r="T24" s="561"/>
      <c r="U24" s="561"/>
      <c r="V24" s="561"/>
      <c r="W24" s="561"/>
      <c r="X24" s="561"/>
      <c r="Y24" s="562"/>
    </row>
    <row r="25" spans="1:25" s="433" customFormat="1" ht="15.75" customHeight="1">
      <c r="A25" s="638">
        <f t="shared" ref="A25:A30" ca="1" si="3">+MAX(OFFSET(A$1,0,0,ROW(A25)-ROW(A$1)))+1</f>
        <v>15</v>
      </c>
      <c r="B25" s="432" t="s">
        <v>36</v>
      </c>
      <c r="C25" s="445"/>
      <c r="D25" s="434"/>
      <c r="E25" s="561"/>
      <c r="F25" s="575"/>
      <c r="G25" s="575"/>
      <c r="H25" s="575"/>
      <c r="I25" s="575"/>
      <c r="J25" s="561"/>
      <c r="K25" s="575"/>
      <c r="L25" s="570"/>
      <c r="M25" s="438"/>
      <c r="N25" s="439"/>
      <c r="O25" s="439"/>
      <c r="P25" s="568"/>
      <c r="Q25" s="562"/>
      <c r="R25" s="561"/>
      <c r="S25" s="561"/>
      <c r="T25" s="561"/>
      <c r="U25" s="561"/>
      <c r="V25" s="561"/>
      <c r="W25" s="561"/>
      <c r="X25" s="561"/>
      <c r="Y25" s="562"/>
    </row>
    <row r="26" spans="1:25" s="433" customFormat="1" ht="15.75" customHeight="1">
      <c r="A26" s="638">
        <f t="shared" ca="1" si="3"/>
        <v>16</v>
      </c>
      <c r="B26" s="432"/>
      <c r="C26" s="432" t="s">
        <v>519</v>
      </c>
      <c r="D26" s="434"/>
      <c r="E26" s="561">
        <f>+'[6]Exh. No. BGM-3 4'!$AC$31</f>
        <v>21418</v>
      </c>
      <c r="F26" s="575"/>
      <c r="G26" s="561"/>
      <c r="H26" s="561"/>
      <c r="I26" s="561"/>
      <c r="J26" s="561">
        <v>0</v>
      </c>
      <c r="K26" s="561">
        <v>0</v>
      </c>
      <c r="L26" s="570">
        <f>SUM(E26:K26)</f>
        <v>21418</v>
      </c>
      <c r="M26" s="438"/>
      <c r="N26" s="509">
        <f ca="1">+'4.04'!B21*$N$6*'2) ROR'!D21</f>
        <v>0</v>
      </c>
      <c r="O26" s="439"/>
      <c r="P26" s="570">
        <f ca="1">N26*L26</f>
        <v>0</v>
      </c>
      <c r="Q26" s="562">
        <f ca="1">P26+L26</f>
        <v>21418</v>
      </c>
      <c r="R26" s="561"/>
      <c r="S26" s="561"/>
      <c r="T26" s="561"/>
      <c r="U26" s="561"/>
      <c r="V26" s="561"/>
      <c r="W26" s="561"/>
      <c r="X26" s="561"/>
      <c r="Y26" s="562">
        <f ca="1">Q26+S26+T26+W26+V26</f>
        <v>21418</v>
      </c>
    </row>
    <row r="27" spans="1:25" s="433" customFormat="1" ht="15.75" customHeight="1">
      <c r="A27" s="638">
        <f t="shared" ca="1" si="3"/>
        <v>17</v>
      </c>
      <c r="B27" s="432"/>
      <c r="C27" s="445" t="s">
        <v>88</v>
      </c>
      <c r="D27" s="434"/>
      <c r="E27" s="561">
        <f>+'[6]Exh. No. BGM-3 4'!$AC$32</f>
        <v>27819</v>
      </c>
      <c r="F27" s="575"/>
      <c r="G27" s="561"/>
      <c r="H27" s="571">
        <v>0</v>
      </c>
      <c r="I27" s="571">
        <v>0</v>
      </c>
      <c r="J27" s="561">
        <f>+'[7]Attrition 12.2015 to 2018'!$I25</f>
        <v>0</v>
      </c>
      <c r="K27" s="561">
        <v>0</v>
      </c>
      <c r="L27" s="570">
        <f>SUM(E27:K27)</f>
        <v>27819</v>
      </c>
      <c r="M27" s="438"/>
      <c r="N27" s="509">
        <f ca="1">+'4.05'!B21*$N$6*'2) ROR'!D20</f>
        <v>0</v>
      </c>
      <c r="O27" s="439"/>
      <c r="P27" s="570">
        <f ca="1">N27*L27</f>
        <v>0</v>
      </c>
      <c r="Q27" s="562">
        <f ca="1">P27+L27</f>
        <v>27819</v>
      </c>
      <c r="R27" s="561"/>
      <c r="S27" s="561"/>
      <c r="T27" s="561"/>
      <c r="U27" s="561"/>
      <c r="V27" s="561"/>
      <c r="W27" s="571">
        <v>0</v>
      </c>
      <c r="X27" s="571"/>
      <c r="Y27" s="562">
        <f ca="1">Q27+S27+T27+W27+V27</f>
        <v>27819</v>
      </c>
    </row>
    <row r="28" spans="1:25" s="433" customFormat="1" ht="15.75" customHeight="1">
      <c r="A28" s="638">
        <f t="shared" ca="1" si="3"/>
        <v>18</v>
      </c>
      <c r="B28" s="432"/>
      <c r="C28" s="445" t="s">
        <v>168</v>
      </c>
      <c r="D28" s="434"/>
      <c r="E28" s="561">
        <v>0</v>
      </c>
      <c r="F28" s="575"/>
      <c r="G28" s="561"/>
      <c r="H28" s="571">
        <v>0</v>
      </c>
      <c r="I28" s="561"/>
      <c r="J28" s="561">
        <f>+'[7]Attrition 12.2015 to 2018'!$I26</f>
        <v>0</v>
      </c>
      <c r="K28" s="561"/>
      <c r="L28" s="570">
        <f>SUM(E28:K28)</f>
        <v>0</v>
      </c>
      <c r="M28" s="438"/>
      <c r="N28" s="444"/>
      <c r="O28" s="439"/>
      <c r="P28" s="570">
        <v>0</v>
      </c>
      <c r="Q28" s="562">
        <f>P28+L28</f>
        <v>0</v>
      </c>
      <c r="R28" s="561"/>
      <c r="S28" s="561"/>
      <c r="T28" s="561"/>
      <c r="U28" s="561"/>
      <c r="V28" s="561"/>
      <c r="W28" s="561"/>
      <c r="X28" s="561"/>
      <c r="Y28" s="562">
        <f>Q28+S28+T28+W28+V28</f>
        <v>0</v>
      </c>
    </row>
    <row r="29" spans="1:25" s="433" customFormat="1" ht="15.75" customHeight="1">
      <c r="A29" s="638">
        <f t="shared" ca="1" si="3"/>
        <v>19</v>
      </c>
      <c r="B29" s="432"/>
      <c r="C29" s="445" t="s">
        <v>49</v>
      </c>
      <c r="D29" s="434"/>
      <c r="E29" s="561">
        <f>+'[6]Exh. No. BGM-3 4'!$AC$34</f>
        <v>26951</v>
      </c>
      <c r="F29" s="564"/>
      <c r="G29" s="561"/>
      <c r="H29" s="561"/>
      <c r="I29" s="561"/>
      <c r="J29" s="561">
        <f>+'[7]Attrition 12.2015 to 2018'!$I27</f>
        <v>0</v>
      </c>
      <c r="K29" s="561">
        <f>ROUND(K9*'2) ROR'!N16,0)</f>
        <v>-47</v>
      </c>
      <c r="L29" s="570">
        <f>SUM(E29:K29)</f>
        <v>26904</v>
      </c>
      <c r="M29" s="453"/>
      <c r="N29" s="509">
        <f ca="1">+'4.06'!B24*$N$6</f>
        <v>0.10578200000000001</v>
      </c>
      <c r="O29" s="444"/>
      <c r="P29" s="567">
        <f ca="1">N29*L29</f>
        <v>2845.9589280000005</v>
      </c>
      <c r="Q29" s="564">
        <f ca="1">P29+L29</f>
        <v>29749.958928</v>
      </c>
      <c r="R29" s="561"/>
      <c r="S29" s="564"/>
      <c r="T29" s="561">
        <v>0</v>
      </c>
      <c r="U29" s="561"/>
      <c r="V29" s="561"/>
      <c r="W29" s="564"/>
      <c r="X29" s="564"/>
      <c r="Y29" s="564">
        <f ca="1">Q29+S29+T29+W29+V29</f>
        <v>29749.958928</v>
      </c>
    </row>
    <row r="30" spans="1:25" s="433" customFormat="1" ht="15.75" customHeight="1">
      <c r="A30" s="638">
        <f t="shared" ca="1" si="3"/>
        <v>20</v>
      </c>
      <c r="B30" s="432"/>
      <c r="C30" s="445" t="s">
        <v>106</v>
      </c>
      <c r="D30" s="434"/>
      <c r="E30" s="566">
        <f>SUM(E26:E29)</f>
        <v>76188</v>
      </c>
      <c r="F30" s="565">
        <f>F26+F27+F29</f>
        <v>0</v>
      </c>
      <c r="G30" s="565">
        <f>G26+G27+G29</f>
        <v>0</v>
      </c>
      <c r="H30" s="565">
        <f>H26+H27+H29+H28</f>
        <v>0</v>
      </c>
      <c r="I30" s="565">
        <f>I26+I27+I29</f>
        <v>0</v>
      </c>
      <c r="J30" s="566">
        <f>SUM(J26:J29)</f>
        <v>0</v>
      </c>
      <c r="K30" s="565">
        <f>K26+K27+K29</f>
        <v>-47</v>
      </c>
      <c r="L30" s="565">
        <f>SUM(L26:L29)</f>
        <v>76141</v>
      </c>
      <c r="M30" s="453"/>
      <c r="N30" s="439"/>
      <c r="O30" s="444"/>
      <c r="P30" s="570">
        <f ca="1">P26+P27+P29+P28</f>
        <v>2845.9589280000005</v>
      </c>
      <c r="Q30" s="570">
        <f ca="1">Q26+Q27+Q29+Q28</f>
        <v>78986.958928000007</v>
      </c>
      <c r="R30" s="572"/>
      <c r="S30" s="570">
        <f>S26+S27+S29</f>
        <v>0</v>
      </c>
      <c r="T30" s="565">
        <f>T26+T27+T29</f>
        <v>0</v>
      </c>
      <c r="U30" s="572"/>
      <c r="V30" s="565">
        <f>V26+V27+V29</f>
        <v>0</v>
      </c>
      <c r="W30" s="565">
        <f>W26+W27+W29</f>
        <v>0</v>
      </c>
      <c r="X30" s="572"/>
      <c r="Y30" s="570">
        <f ca="1">Y26+Y27+Y29+Y28</f>
        <v>78986.958928000007</v>
      </c>
    </row>
    <row r="31" spans="1:25" s="433" customFormat="1" ht="15.75" customHeight="1">
      <c r="A31" s="606"/>
      <c r="B31" s="432"/>
      <c r="C31" s="445"/>
      <c r="D31" s="434"/>
      <c r="E31" s="561"/>
      <c r="F31" s="576"/>
      <c r="G31" s="576"/>
      <c r="H31" s="576"/>
      <c r="I31" s="576"/>
      <c r="J31" s="561"/>
      <c r="K31" s="576"/>
      <c r="L31" s="570"/>
      <c r="M31" s="438"/>
      <c r="N31" s="439"/>
      <c r="O31" s="439"/>
      <c r="P31" s="568"/>
      <c r="Q31" s="562"/>
      <c r="R31" s="561"/>
      <c r="S31" s="561"/>
      <c r="T31" s="561"/>
      <c r="U31" s="561"/>
      <c r="V31" s="561"/>
      <c r="W31" s="561"/>
      <c r="X31" s="561"/>
      <c r="Y31" s="562"/>
    </row>
    <row r="32" spans="1:25" s="433" customFormat="1" ht="15.75" customHeight="1">
      <c r="A32" s="638">
        <f ca="1">+MAX(OFFSET(A$1,0,0,ROW(A32)-ROW(A$1)))+1</f>
        <v>21</v>
      </c>
      <c r="B32" s="432" t="s">
        <v>54</v>
      </c>
      <c r="C32" s="445"/>
      <c r="D32" s="434"/>
      <c r="E32" s="561">
        <f>+'[6]Exh. No. BGM-3 4'!$AC$37</f>
        <v>13021</v>
      </c>
      <c r="F32" s="561"/>
      <c r="G32" s="561"/>
      <c r="H32" s="561"/>
      <c r="I32" s="561"/>
      <c r="J32" s="561">
        <f>+'[7]Attrition 12.2015 to 2018'!$I30</f>
        <v>0</v>
      </c>
      <c r="K32" s="561">
        <f>ROUND(K9*'2) ROR'!N12,0)</f>
        <v>-8</v>
      </c>
      <c r="L32" s="570">
        <f>SUM(E32:K32)</f>
        <v>13013</v>
      </c>
      <c r="M32" s="438"/>
      <c r="N32" s="509">
        <f ca="1">+'4.07'!B25*$N$6</f>
        <v>9.9957000000000004E-2</v>
      </c>
      <c r="O32" s="439"/>
      <c r="P32" s="570">
        <f ca="1">N32*L32</f>
        <v>1300.7404410000001</v>
      </c>
      <c r="Q32" s="562">
        <f ca="1">P32+L32</f>
        <v>14313.740441</v>
      </c>
      <c r="R32" s="561"/>
      <c r="S32" s="561"/>
      <c r="T32" s="561">
        <v>0</v>
      </c>
      <c r="U32" s="561"/>
      <c r="V32" s="561"/>
      <c r="W32" s="561"/>
      <c r="X32" s="561"/>
      <c r="Y32" s="562">
        <f ca="1">Q32+S32+T32+W32+V32</f>
        <v>14313.740441</v>
      </c>
    </row>
    <row r="33" spans="1:25" s="433" customFormat="1" ht="15.75" customHeight="1">
      <c r="A33" s="638">
        <f ca="1">+MAX(OFFSET(A$1,0,0,ROW(A33)-ROW(A$1)))+1</f>
        <v>22</v>
      </c>
      <c r="B33" s="432" t="s">
        <v>53</v>
      </c>
      <c r="C33" s="445"/>
      <c r="D33" s="434"/>
      <c r="E33" s="561">
        <f>+'[6]Exh. No. BGM-3 4'!$AC$38</f>
        <v>1406</v>
      </c>
      <c r="F33" s="561"/>
      <c r="G33" s="561"/>
      <c r="H33" s="561"/>
      <c r="I33" s="561"/>
      <c r="J33" s="561">
        <f>+'[7]Attrition 12.2015 to 2018'!$I31</f>
        <v>0</v>
      </c>
      <c r="K33" s="561">
        <v>0</v>
      </c>
      <c r="L33" s="570">
        <f>SUM(E33:K33)</f>
        <v>1406</v>
      </c>
      <c r="M33" s="438"/>
      <c r="N33" s="509">
        <f>+'4.08'!B23*$N$6</f>
        <v>0</v>
      </c>
      <c r="O33" s="439"/>
      <c r="P33" s="570">
        <f>N33*L33</f>
        <v>0</v>
      </c>
      <c r="Q33" s="562">
        <f>P33+L33</f>
        <v>1406</v>
      </c>
      <c r="R33" s="561"/>
      <c r="S33" s="561"/>
      <c r="T33" s="561"/>
      <c r="U33" s="561"/>
      <c r="V33" s="561"/>
      <c r="W33" s="561"/>
      <c r="X33" s="561"/>
      <c r="Y33" s="562">
        <f>Q33+S33+T33+W33+V33</f>
        <v>1406</v>
      </c>
    </row>
    <row r="34" spans="1:25" s="433" customFormat="1" ht="15.75" customHeight="1">
      <c r="A34" s="638">
        <f ca="1">+MAX(OFFSET(A$1,0,0,ROW(A34)-ROW(A$1)))+1</f>
        <v>23</v>
      </c>
      <c r="B34" s="432" t="s">
        <v>52</v>
      </c>
      <c r="C34" s="445"/>
      <c r="D34" s="434"/>
      <c r="E34" s="561">
        <f>+'[7]Attrition 12.2015 to 2018'!$E32</f>
        <v>0</v>
      </c>
      <c r="F34" s="561"/>
      <c r="G34" s="561"/>
      <c r="H34" s="561"/>
      <c r="I34" s="561"/>
      <c r="J34" s="561">
        <f>+'[7]Attrition 12.2015 to 2018'!$I32</f>
        <v>0</v>
      </c>
      <c r="K34" s="561">
        <v>0</v>
      </c>
      <c r="L34" s="570">
        <f>SUM(E34:K34)</f>
        <v>0</v>
      </c>
      <c r="M34" s="438"/>
      <c r="N34" s="444"/>
      <c r="O34" s="439"/>
      <c r="P34" s="570">
        <f>N34*L34</f>
        <v>0</v>
      </c>
      <c r="Q34" s="562">
        <f>P34+L34</f>
        <v>0</v>
      </c>
      <c r="R34" s="561"/>
      <c r="S34" s="561"/>
      <c r="T34" s="561"/>
      <c r="U34" s="561"/>
      <c r="V34" s="561"/>
      <c r="W34" s="561"/>
      <c r="X34" s="561"/>
      <c r="Y34" s="562">
        <f>Q34+S34+T34+W34+V34</f>
        <v>0</v>
      </c>
    </row>
    <row r="35" spans="1:25" s="433" customFormat="1" ht="15.75" customHeight="1">
      <c r="A35" s="606"/>
      <c r="B35" s="432"/>
      <c r="C35" s="445"/>
      <c r="D35" s="434"/>
      <c r="E35" s="561"/>
      <c r="F35" s="561"/>
      <c r="G35" s="561"/>
      <c r="H35" s="561"/>
      <c r="I35" s="561"/>
      <c r="J35" s="561"/>
      <c r="K35" s="561"/>
      <c r="L35" s="570"/>
      <c r="M35" s="438"/>
      <c r="N35" s="439"/>
      <c r="O35" s="439"/>
      <c r="P35" s="568"/>
      <c r="Q35" s="562"/>
      <c r="R35" s="561"/>
      <c r="S35" s="561"/>
      <c r="T35" s="561"/>
      <c r="U35" s="561"/>
      <c r="V35" s="561"/>
      <c r="W35" s="561"/>
      <c r="X35" s="561"/>
      <c r="Y35" s="562"/>
    </row>
    <row r="36" spans="1:25" s="433" customFormat="1" ht="15.75" customHeight="1">
      <c r="A36" s="638">
        <f t="shared" ref="A36:A41" ca="1" si="4">+MAX(OFFSET(A$1,0,0,ROW(A36)-ROW(A$1)))+1</f>
        <v>24</v>
      </c>
      <c r="B36" s="432" t="s">
        <v>51</v>
      </c>
      <c r="C36" s="445"/>
      <c r="D36" s="434"/>
      <c r="E36" s="561"/>
      <c r="F36" s="561"/>
      <c r="G36" s="561"/>
      <c r="H36" s="561"/>
      <c r="I36" s="561"/>
      <c r="J36" s="561"/>
      <c r="K36" s="561"/>
      <c r="L36" s="570"/>
      <c r="M36" s="438"/>
      <c r="N36" s="439"/>
      <c r="O36" s="439"/>
      <c r="P36" s="568"/>
      <c r="Q36" s="562"/>
      <c r="R36" s="561"/>
      <c r="S36" s="561"/>
      <c r="T36" s="561"/>
      <c r="U36" s="561"/>
      <c r="V36" s="561"/>
      <c r="W36" s="561"/>
      <c r="X36" s="561"/>
      <c r="Y36" s="562"/>
    </row>
    <row r="37" spans="1:25" s="433" customFormat="1" ht="15.75" customHeight="1">
      <c r="A37" s="638">
        <f t="shared" ca="1" si="4"/>
        <v>25</v>
      </c>
      <c r="B37" s="432"/>
      <c r="C37" s="432" t="s">
        <v>519</v>
      </c>
      <c r="D37" s="434"/>
      <c r="E37" s="561">
        <f>+'[6]Exh. No. BGM-3 4'!$AC$42</f>
        <v>48989</v>
      </c>
      <c r="F37" s="561"/>
      <c r="G37" s="561"/>
      <c r="H37" s="561"/>
      <c r="I37" s="561"/>
      <c r="J37" s="561">
        <f>+'[7]Attrition 12.2015 to 2018'!$I35</f>
        <v>0</v>
      </c>
      <c r="K37" s="561">
        <f>ROUND(K9*'2) ROR'!N14,0)</f>
        <v>-2</v>
      </c>
      <c r="L37" s="570">
        <f>SUM(E37:K37)</f>
        <v>48987</v>
      </c>
      <c r="M37" s="438"/>
      <c r="N37" s="509">
        <f ca="1">+'4.09'!B23*$N$6*'2) ROR'!D21</f>
        <v>0</v>
      </c>
      <c r="O37" s="439"/>
      <c r="P37" s="570">
        <f ca="1">N37*L37</f>
        <v>0</v>
      </c>
      <c r="Q37" s="562">
        <f ca="1">P37+L37</f>
        <v>48987</v>
      </c>
      <c r="R37" s="561"/>
      <c r="S37" s="561"/>
      <c r="T37" s="561">
        <v>0</v>
      </c>
      <c r="U37" s="561"/>
      <c r="V37" s="561"/>
      <c r="W37" s="561"/>
      <c r="X37" s="561"/>
      <c r="Y37" s="562">
        <f ca="1">Q37+S37+T37+W37+V37</f>
        <v>48987</v>
      </c>
    </row>
    <row r="38" spans="1:25" s="433" customFormat="1" ht="15.75" customHeight="1">
      <c r="A38" s="638">
        <f t="shared" ca="1" si="4"/>
        <v>26</v>
      </c>
      <c r="B38" s="432"/>
      <c r="C38" s="445" t="s">
        <v>88</v>
      </c>
      <c r="D38" s="434"/>
      <c r="E38" s="561">
        <f>+'[6]Exh. No. BGM-3 4'!$AC$43</f>
        <v>23877</v>
      </c>
      <c r="F38" s="561"/>
      <c r="G38" s="561"/>
      <c r="H38" s="561"/>
      <c r="I38" s="571">
        <v>0</v>
      </c>
      <c r="J38" s="561">
        <f>+'[7]Attrition 12.2015 to 2018'!$I36</f>
        <v>0</v>
      </c>
      <c r="K38" s="561">
        <v>0</v>
      </c>
      <c r="L38" s="570">
        <f>SUM(E38:K38)</f>
        <v>23877</v>
      </c>
      <c r="M38" s="438"/>
      <c r="N38" s="509">
        <f ca="1">+'4.10'!B24*$N$6*'2) ROR'!D20</f>
        <v>0</v>
      </c>
      <c r="O38" s="439"/>
      <c r="P38" s="570">
        <f ca="1">N38*L38</f>
        <v>0</v>
      </c>
      <c r="Q38" s="562">
        <f ca="1">P38+L38</f>
        <v>23877</v>
      </c>
      <c r="R38" s="561"/>
      <c r="S38" s="561"/>
      <c r="T38" s="561"/>
      <c r="U38" s="561"/>
      <c r="V38" s="561"/>
      <c r="W38" s="571">
        <v>0</v>
      </c>
      <c r="X38" s="571"/>
      <c r="Y38" s="562">
        <f ca="1">Q38+S38+T38+W38+V38</f>
        <v>23877</v>
      </c>
    </row>
    <row r="39" spans="1:25" s="433" customFormat="1" ht="15.75" customHeight="1">
      <c r="A39" s="638">
        <f t="shared" ca="1" si="4"/>
        <v>27</v>
      </c>
      <c r="B39" s="432"/>
      <c r="C39" s="445" t="s">
        <v>49</v>
      </c>
      <c r="D39" s="434"/>
      <c r="E39" s="561">
        <v>0</v>
      </c>
      <c r="F39" s="564"/>
      <c r="G39" s="561"/>
      <c r="H39" s="561"/>
      <c r="I39" s="561"/>
      <c r="J39" s="561">
        <f>+'[7]Attrition 12.2015 to 2018'!$I37</f>
        <v>0</v>
      </c>
      <c r="K39" s="561">
        <v>0</v>
      </c>
      <c r="L39" s="570">
        <f>SUM(E39:K39)</f>
        <v>0</v>
      </c>
      <c r="M39" s="453"/>
      <c r="N39" s="444"/>
      <c r="O39" s="444"/>
      <c r="P39" s="567">
        <f>N39*L39</f>
        <v>0</v>
      </c>
      <c r="Q39" s="564">
        <f>P39+L39</f>
        <v>0</v>
      </c>
      <c r="R39" s="561"/>
      <c r="S39" s="564"/>
      <c r="T39" s="564"/>
      <c r="U39" s="561"/>
      <c r="V39" s="564"/>
      <c r="W39" s="564"/>
      <c r="X39" s="564"/>
      <c r="Y39" s="564">
        <f>Q39+S39+T39+W39+V39</f>
        <v>0</v>
      </c>
    </row>
    <row r="40" spans="1:25" s="433" customFormat="1" ht="15.75" customHeight="1">
      <c r="A40" s="638">
        <f t="shared" ca="1" si="4"/>
        <v>28</v>
      </c>
      <c r="B40" s="432"/>
      <c r="C40" s="446" t="s">
        <v>408</v>
      </c>
      <c r="D40" s="434"/>
      <c r="E40" s="566">
        <f>SUM(E37:E39)</f>
        <v>72866</v>
      </c>
      <c r="F40" s="570">
        <f t="shared" ref="F40:L40" si="5">F37+F38+F39</f>
        <v>0</v>
      </c>
      <c r="G40" s="577">
        <f t="shared" si="5"/>
        <v>0</v>
      </c>
      <c r="H40" s="577">
        <f t="shared" si="5"/>
        <v>0</v>
      </c>
      <c r="I40" s="577">
        <f t="shared" si="5"/>
        <v>0</v>
      </c>
      <c r="J40" s="566">
        <f>SUM(J37:J39)</f>
        <v>0</v>
      </c>
      <c r="K40" s="577">
        <f t="shared" si="5"/>
        <v>-2</v>
      </c>
      <c r="L40" s="577">
        <f t="shared" si="5"/>
        <v>72864</v>
      </c>
      <c r="M40" s="453"/>
      <c r="N40" s="444"/>
      <c r="O40" s="444"/>
      <c r="P40" s="570">
        <f ca="1">P37+P38+P39</f>
        <v>0</v>
      </c>
      <c r="Q40" s="570">
        <f ca="1">Q37+Q38+Q39</f>
        <v>72864</v>
      </c>
      <c r="R40" s="572"/>
      <c r="S40" s="570">
        <f>S37+S38+S39</f>
        <v>0</v>
      </c>
      <c r="T40" s="570">
        <f>T37+T38+T39</f>
        <v>0</v>
      </c>
      <c r="U40" s="572"/>
      <c r="V40" s="570">
        <f>V37+V38+V39</f>
        <v>0</v>
      </c>
      <c r="W40" s="570">
        <f>W37+W38+W39</f>
        <v>0</v>
      </c>
      <c r="X40" s="570"/>
      <c r="Y40" s="570">
        <f ca="1">Y37+Y38+Y39</f>
        <v>72864</v>
      </c>
    </row>
    <row r="41" spans="1:25" s="433" customFormat="1" ht="15.75" customHeight="1">
      <c r="A41" s="638">
        <f t="shared" ca="1" si="4"/>
        <v>29</v>
      </c>
      <c r="B41" s="432" t="s">
        <v>47</v>
      </c>
      <c r="C41" s="445"/>
      <c r="D41" s="434"/>
      <c r="E41" s="566">
        <f t="shared" ref="E41:L41" si="6">E23+E30+E32+E33+E34+E40</f>
        <v>421584</v>
      </c>
      <c r="F41" s="566">
        <f t="shared" si="6"/>
        <v>-222048</v>
      </c>
      <c r="G41" s="566">
        <f t="shared" si="6"/>
        <v>-1641</v>
      </c>
      <c r="H41" s="566">
        <f t="shared" ref="H41" si="7">H23+H30+H32+H33+H34+H40</f>
        <v>0</v>
      </c>
      <c r="I41" s="566">
        <f t="shared" si="6"/>
        <v>0</v>
      </c>
      <c r="J41" s="566">
        <f t="shared" ref="J41" si="8">J23+J30+J32+J33+J34+J40</f>
        <v>0</v>
      </c>
      <c r="K41" s="566">
        <f t="shared" si="6"/>
        <v>-57</v>
      </c>
      <c r="L41" s="566">
        <f t="shared" si="6"/>
        <v>197838</v>
      </c>
      <c r="M41" s="437"/>
      <c r="N41" s="444"/>
      <c r="O41" s="444"/>
      <c r="P41" s="566">
        <f ca="1">P23+P30+P32+P33+P34+P40</f>
        <v>5987.3364590000001</v>
      </c>
      <c r="Q41" s="566">
        <f ca="1">Q23+Q30+Q32+Q33+Q34+Q40</f>
        <v>203825.33645900001</v>
      </c>
      <c r="R41" s="561"/>
      <c r="S41" s="566">
        <f>S23+S30+S32+S33+S34+S40</f>
        <v>156167</v>
      </c>
      <c r="T41" s="566">
        <f>T23+T30+T32+T33+T34+T40</f>
        <v>0</v>
      </c>
      <c r="U41" s="561"/>
      <c r="V41" s="566">
        <f>V23+V30+V32+V33+V34+V40</f>
        <v>0</v>
      </c>
      <c r="W41" s="566">
        <f>W23+W30+W32+W33+W34+W40</f>
        <v>0</v>
      </c>
      <c r="X41" s="566"/>
      <c r="Y41" s="566">
        <f ca="1">Y23+Y30+Y32+Y33+Y34+Y40</f>
        <v>359992.33645900001</v>
      </c>
    </row>
    <row r="42" spans="1:25" s="433" customFormat="1" ht="15.75" customHeight="1">
      <c r="A42" s="606"/>
      <c r="B42" s="432"/>
      <c r="C42" s="432"/>
      <c r="D42" s="434"/>
      <c r="E42" s="561"/>
      <c r="F42" s="561"/>
      <c r="G42" s="561"/>
      <c r="H42" s="561"/>
      <c r="I42" s="561"/>
      <c r="J42" s="561"/>
      <c r="K42" s="561"/>
      <c r="L42" s="570"/>
      <c r="M42" s="453"/>
      <c r="N42" s="444"/>
      <c r="O42" s="439"/>
      <c r="P42" s="568"/>
      <c r="Q42" s="562"/>
      <c r="R42" s="561"/>
      <c r="S42" s="561"/>
      <c r="T42" s="561"/>
      <c r="U42" s="561"/>
      <c r="V42" s="561"/>
      <c r="W42" s="561"/>
      <c r="X42" s="561"/>
      <c r="Y42" s="562"/>
    </row>
    <row r="43" spans="1:25" s="433" customFormat="1" ht="15.75" customHeight="1">
      <c r="A43" s="638">
        <f ca="1">+MAX(OFFSET(A$1,0,0,ROW(A43)-ROW(A$1)))+1</f>
        <v>30</v>
      </c>
      <c r="B43" s="432" t="s">
        <v>46</v>
      </c>
      <c r="C43" s="432"/>
      <c r="D43" s="434"/>
      <c r="E43" s="561">
        <f>E14-E41</f>
        <v>146216</v>
      </c>
      <c r="F43" s="561">
        <f t="shared" ref="F43:L43" si="9">F14-F41</f>
        <v>76777</v>
      </c>
      <c r="G43" s="561">
        <f t="shared" si="9"/>
        <v>1641</v>
      </c>
      <c r="H43" s="561">
        <f t="shared" si="9"/>
        <v>0</v>
      </c>
      <c r="I43" s="561">
        <f t="shared" si="9"/>
        <v>0</v>
      </c>
      <c r="J43" s="561">
        <f>J14-J41</f>
        <v>0</v>
      </c>
      <c r="K43" s="561">
        <f t="shared" si="9"/>
        <v>-5055</v>
      </c>
      <c r="L43" s="561">
        <f t="shared" si="9"/>
        <v>219579</v>
      </c>
      <c r="M43" s="437"/>
      <c r="N43" s="439"/>
      <c r="O43" s="437"/>
      <c r="P43" s="561">
        <f t="shared" ref="P43:T43" ca="1" si="10">P14-P41</f>
        <v>-937.82942756388002</v>
      </c>
      <c r="Q43" s="561">
        <f ca="1">Q14-Q41</f>
        <v>239414.17057243612</v>
      </c>
      <c r="R43" s="561">
        <f t="shared" si="10"/>
        <v>0</v>
      </c>
      <c r="S43" s="561">
        <f t="shared" si="10"/>
        <v>-88617</v>
      </c>
      <c r="T43" s="561">
        <f t="shared" si="10"/>
        <v>0</v>
      </c>
      <c r="U43" s="561"/>
      <c r="V43" s="561">
        <f t="shared" ref="V43" si="11">V14-V41</f>
        <v>0</v>
      </c>
      <c r="W43" s="561">
        <f>-W41</f>
        <v>0</v>
      </c>
      <c r="X43" s="561"/>
      <c r="Y43" s="561">
        <f ca="1">Y14-Y41</f>
        <v>150797.17057243607</v>
      </c>
    </row>
    <row r="44" spans="1:25" s="433" customFormat="1" ht="15">
      <c r="A44" s="606"/>
      <c r="B44" s="685"/>
      <c r="C44" s="606"/>
      <c r="D44" s="606"/>
      <c r="E44" s="606"/>
      <c r="F44" s="606"/>
      <c r="G44" s="606"/>
      <c r="H44" s="606"/>
      <c r="I44" s="606"/>
      <c r="J44" s="606"/>
      <c r="K44" s="606"/>
      <c r="L44" s="606"/>
      <c r="M44" s="606"/>
      <c r="N44" s="606"/>
      <c r="O44" s="606"/>
      <c r="P44" s="606"/>
      <c r="Q44" s="606"/>
      <c r="R44" s="606"/>
      <c r="S44" s="606"/>
      <c r="T44" s="606"/>
      <c r="U44" s="449"/>
      <c r="V44" s="606"/>
      <c r="W44" s="606"/>
      <c r="X44" s="606"/>
      <c r="Y44" s="437"/>
    </row>
    <row r="45" spans="1:25" s="433" customFormat="1" ht="15">
      <c r="A45" s="606"/>
      <c r="B45" s="606"/>
      <c r="C45" s="606"/>
      <c r="D45" s="606"/>
      <c r="E45" s="606"/>
      <c r="F45" s="606"/>
      <c r="G45" s="606"/>
      <c r="H45" s="606"/>
      <c r="I45" s="606"/>
      <c r="J45" s="606"/>
      <c r="K45" s="606"/>
      <c r="L45" s="606"/>
      <c r="M45" s="606"/>
      <c r="N45" s="606"/>
      <c r="O45" s="606"/>
      <c r="P45" s="606"/>
      <c r="Q45" s="606"/>
      <c r="R45" s="606"/>
      <c r="S45" s="606"/>
      <c r="T45" s="606"/>
      <c r="U45" s="449"/>
      <c r="V45" s="606"/>
      <c r="W45" s="606"/>
      <c r="X45" s="606"/>
      <c r="Y45" s="437"/>
    </row>
    <row r="46" spans="1:25" s="38" customFormat="1" ht="18.75">
      <c r="A46" s="668"/>
      <c r="B46" s="669" t="s">
        <v>535</v>
      </c>
      <c r="C46" s="669"/>
      <c r="D46" s="669"/>
      <c r="E46" s="669"/>
      <c r="F46" s="669"/>
      <c r="G46" s="669"/>
      <c r="H46" s="669"/>
      <c r="I46" s="669"/>
      <c r="J46" s="669"/>
      <c r="K46" s="669"/>
      <c r="L46" s="669"/>
      <c r="M46" s="669"/>
      <c r="N46" s="669"/>
      <c r="O46" s="669"/>
      <c r="P46" s="669"/>
      <c r="Q46" s="669"/>
      <c r="R46" s="669"/>
      <c r="S46" s="669"/>
      <c r="T46" s="669"/>
      <c r="U46" s="669"/>
      <c r="V46" s="669"/>
      <c r="W46" s="669"/>
      <c r="X46" s="669"/>
      <c r="Y46" s="669"/>
    </row>
    <row r="47" spans="1:25" s="445" customFormat="1" ht="15">
      <c r="B47" s="449"/>
      <c r="C47" s="597"/>
      <c r="D47" s="598"/>
      <c r="E47" s="599"/>
      <c r="F47" s="599"/>
      <c r="G47" s="599"/>
      <c r="H47" s="599"/>
      <c r="I47" s="599"/>
      <c r="J47" s="599"/>
      <c r="K47" s="599"/>
      <c r="L47" s="599"/>
      <c r="M47" s="549"/>
      <c r="N47" s="449"/>
      <c r="O47" s="449"/>
      <c r="P47" s="597"/>
      <c r="Q47" s="600"/>
      <c r="R47" s="600"/>
      <c r="S47" s="449"/>
      <c r="T47" s="449"/>
      <c r="U47" s="449"/>
      <c r="V47" s="449"/>
      <c r="W47" s="601"/>
      <c r="X47" s="601"/>
      <c r="Y47" s="449"/>
    </row>
    <row r="48" spans="1:25" s="617" customFormat="1" ht="15">
      <c r="B48" s="618"/>
      <c r="C48" s="619" t="s">
        <v>304</v>
      </c>
      <c r="D48" s="598"/>
      <c r="E48" s="620" t="s">
        <v>497</v>
      </c>
      <c r="F48" s="621"/>
      <c r="G48" s="621"/>
      <c r="H48" s="621"/>
      <c r="I48" s="621"/>
      <c r="J48" s="620" t="s">
        <v>497</v>
      </c>
      <c r="K48" s="621"/>
      <c r="L48" s="602"/>
      <c r="M48" s="622"/>
      <c r="N48" s="600"/>
      <c r="O48" s="600"/>
      <c r="P48" s="620" t="s">
        <v>499</v>
      </c>
      <c r="Q48" s="602"/>
      <c r="R48" s="600"/>
      <c r="S48" s="620" t="s">
        <v>498</v>
      </c>
      <c r="T48" s="602"/>
      <c r="U48" s="623"/>
      <c r="V48" s="620" t="s">
        <v>500</v>
      </c>
      <c r="W48" s="624"/>
      <c r="X48" s="625"/>
      <c r="Y48" s="626" t="s">
        <v>501</v>
      </c>
    </row>
    <row r="49" spans="1:25" s="432" customFormat="1" ht="94.5" customHeight="1">
      <c r="A49" s="603" t="s">
        <v>305</v>
      </c>
      <c r="B49" s="445"/>
      <c r="C49" s="596" t="s">
        <v>233</v>
      </c>
      <c r="D49" s="445"/>
      <c r="E49" s="560" t="str">
        <f>E4</f>
        <v>2016 Restated Results (BGM-3)</v>
      </c>
      <c r="F49" s="560" t="str">
        <f>F4</f>
        <v>(less)  Normalized Net Power Supply  Cost</v>
      </c>
      <c r="G49" s="560" t="str">
        <f>G4</f>
        <v>Deferred Dr/Cr; Reg. Amorts &amp; Misc Adjs</v>
      </c>
      <c r="H49" s="560" t="str">
        <f t="shared" ref="H49:R49" si="12">H6</f>
        <v>Net Retired Meter Deferral &amp; Amort Adjustment</v>
      </c>
      <c r="I49" s="560" t="str">
        <f t="shared" si="12"/>
        <v>Add 12.2015 Plant</v>
      </c>
      <c r="J49" s="560" t="str">
        <f t="shared" si="12"/>
        <v>Remove November 2015 Storm Expenses</v>
      </c>
      <c r="K49" s="560" t="str">
        <f>K4</f>
        <v>Pro Forma Revenue Normalization Adjustment</v>
      </c>
      <c r="L49" s="560" t="str">
        <f>L4</f>
        <v>2016 AMA Escalation Base</v>
      </c>
      <c r="M49" s="549">
        <f t="shared" si="12"/>
        <v>0</v>
      </c>
      <c r="N49" s="559" t="str">
        <f>N4</f>
        <v>Esc. Rate</v>
      </c>
      <c r="O49" s="549">
        <f t="shared" si="12"/>
        <v>0</v>
      </c>
      <c r="P49" s="558" t="str">
        <f>P4</f>
        <v xml:space="preserve"> Non-Energy Cost Escalation Amount [G]*[H]=[I]</v>
      </c>
      <c r="Q49" s="557" t="str">
        <f>Q4</f>
        <v>Trended 2017 Non-Energy Cost [G]+[I]=[J]</v>
      </c>
      <c r="R49" s="551">
        <f t="shared" si="12"/>
        <v>0</v>
      </c>
      <c r="S49" s="557" t="str">
        <f>S4</f>
        <v>Current Authorized Net Energy Cost</v>
      </c>
      <c r="T49" s="557" t="str">
        <f>T4</f>
        <v>Power Cost Incremental Load</v>
      </c>
      <c r="U49" s="551"/>
      <c r="V49" s="448" t="str">
        <f>V6</f>
        <v>After Attrition Adj. Spokane River Projects</v>
      </c>
      <c r="W49" s="448" t="str">
        <f>W6</f>
        <v>After Attrition Adj AMI Capital Project</v>
      </c>
      <c r="X49" s="448"/>
      <c r="Y49" s="557" t="str">
        <f>Y4</f>
        <v>2018 Results: [J]+[K]+[L] = [O]</v>
      </c>
    </row>
    <row r="50" spans="1:25" s="433" customFormat="1" ht="16.899999999999999" customHeight="1">
      <c r="D50" s="434"/>
      <c r="E50" s="450" t="str">
        <f>E7</f>
        <v>[A]</v>
      </c>
      <c r="F50" s="450" t="str">
        <f t="shared" ref="F50:Y50" si="13">F7</f>
        <v>[B]</v>
      </c>
      <c r="G50" s="450" t="str">
        <f t="shared" si="13"/>
        <v>[C]</v>
      </c>
      <c r="H50" s="450" t="str">
        <f t="shared" si="13"/>
        <v>[D]</v>
      </c>
      <c r="I50" s="450" t="str">
        <f t="shared" si="13"/>
        <v>[E']</v>
      </c>
      <c r="J50" s="450" t="str">
        <f>J7</f>
        <v>[E]</v>
      </c>
      <c r="K50" s="450" t="str">
        <f t="shared" si="13"/>
        <v>[F]</v>
      </c>
      <c r="L50" s="450" t="str">
        <f t="shared" si="13"/>
        <v>[G]</v>
      </c>
      <c r="M50" s="549">
        <f t="shared" si="13"/>
        <v>0</v>
      </c>
      <c r="N50" s="450" t="str">
        <f t="shared" si="13"/>
        <v>[H]</v>
      </c>
      <c r="O50" s="450">
        <f t="shared" si="13"/>
        <v>0</v>
      </c>
      <c r="P50" s="450" t="str">
        <f t="shared" si="13"/>
        <v>[I]</v>
      </c>
      <c r="Q50" s="450" t="str">
        <f t="shared" si="13"/>
        <v>[J]</v>
      </c>
      <c r="R50" s="450">
        <f t="shared" si="13"/>
        <v>0</v>
      </c>
      <c r="S50" s="450" t="str">
        <f t="shared" si="13"/>
        <v>[K]</v>
      </c>
      <c r="T50" s="450" t="str">
        <f t="shared" si="13"/>
        <v>[L]</v>
      </c>
      <c r="U50" s="450"/>
      <c r="V50" s="450" t="str">
        <f t="shared" si="13"/>
        <v>[M]</v>
      </c>
      <c r="W50" s="450" t="str">
        <f t="shared" si="13"/>
        <v>[N]</v>
      </c>
      <c r="X50" s="450"/>
      <c r="Y50" s="450" t="str">
        <f t="shared" si="13"/>
        <v>[O]</v>
      </c>
    </row>
    <row r="51" spans="1:25" s="433" customFormat="1" ht="15.75" customHeight="1">
      <c r="A51" s="638">
        <f ca="1">+MAX(OFFSET(A$1,0,0,ROW(A51)-ROW(A$1)))+1</f>
        <v>31</v>
      </c>
      <c r="B51" s="432" t="s">
        <v>25</v>
      </c>
      <c r="C51" s="432"/>
      <c r="D51" s="434"/>
      <c r="E51" s="437"/>
      <c r="F51" s="437"/>
      <c r="G51" s="437"/>
      <c r="H51" s="437"/>
      <c r="I51" s="437"/>
      <c r="J51" s="437"/>
      <c r="K51" s="437"/>
      <c r="L51" s="438"/>
      <c r="M51" s="549">
        <f t="shared" ref="M51" si="14">M8</f>
        <v>0</v>
      </c>
      <c r="N51" s="439"/>
      <c r="O51" s="444"/>
      <c r="P51" s="443"/>
      <c r="Q51" s="451"/>
      <c r="R51" s="550"/>
      <c r="S51" s="437"/>
      <c r="T51" s="437"/>
      <c r="U51" s="437"/>
      <c r="V51" s="437"/>
      <c r="W51" s="437"/>
      <c r="X51" s="437"/>
      <c r="Y51" s="452"/>
    </row>
    <row r="52" spans="1:25" s="433" customFormat="1" ht="15.75" customHeight="1">
      <c r="A52" s="638">
        <f ca="1">+MAX(OFFSET(A$1,0,0,ROW(A52)-ROW(A$1)))+1</f>
        <v>32</v>
      </c>
      <c r="C52" s="432" t="s">
        <v>89</v>
      </c>
      <c r="D52" s="434"/>
      <c r="E52" s="573">
        <f>+'[6]Exh. No. BGM-3 4'!$AC$51</f>
        <v>-27872.649999999994</v>
      </c>
      <c r="F52" s="573">
        <f>+'[7]Attrition 12.2015 to 2018'!$F50</f>
        <v>40184</v>
      </c>
      <c r="G52" s="573">
        <f>ROUND(G43*0.35,0)</f>
        <v>574</v>
      </c>
      <c r="H52" s="573">
        <f>ROUND(H43*0.35,0)</f>
        <v>0</v>
      </c>
      <c r="I52" s="573">
        <v>0</v>
      </c>
      <c r="J52" s="573">
        <v>0</v>
      </c>
      <c r="K52" s="573">
        <f>ROUND(K43*0.35,0)</f>
        <v>-1769</v>
      </c>
      <c r="L52" s="573">
        <f>SUM(E52:K52)</f>
        <v>11116.350000000006</v>
      </c>
      <c r="M52" s="573">
        <f t="shared" ref="M52" si="15">M9</f>
        <v>0</v>
      </c>
      <c r="N52" s="573"/>
      <c r="O52" s="573"/>
      <c r="P52" s="573">
        <f ca="1">P43*0.35</f>
        <v>-328.24029964735797</v>
      </c>
      <c r="Q52" s="573">
        <f ca="1">L52+P52</f>
        <v>10788.109700352648</v>
      </c>
      <c r="R52" s="573"/>
      <c r="S52" s="573">
        <f>0.35*S43</f>
        <v>-31015.949999999997</v>
      </c>
      <c r="T52" s="573">
        <v>0</v>
      </c>
      <c r="U52" s="573"/>
      <c r="V52" s="573">
        <f>0.35*V43</f>
        <v>0</v>
      </c>
      <c r="W52" s="573">
        <f>0.35*W43</f>
        <v>0</v>
      </c>
      <c r="X52" s="573"/>
      <c r="Y52" s="573">
        <f ca="1">Q52+S52+T52+W52+V52</f>
        <v>-20227.840299647349</v>
      </c>
    </row>
    <row r="53" spans="1:25" s="433" customFormat="1" ht="15.75" customHeight="1">
      <c r="A53" s="638">
        <f ca="1">+MAX(OFFSET(A$1,0,0,ROW(A53)-ROW(A$1)))+1</f>
        <v>33</v>
      </c>
      <c r="C53" s="432" t="s">
        <v>90</v>
      </c>
      <c r="D53" s="434"/>
      <c r="E53" s="561">
        <f>+'[6]Exh. No. BGM-3 4'!$AC$52</f>
        <v>20.635999999999999</v>
      </c>
      <c r="F53" s="561">
        <f>+'[7]Attrition 12.2015 to 2018'!$F51</f>
        <v>0</v>
      </c>
      <c r="G53" s="561">
        <f>G81*'2) ROR'!F11*-0.35</f>
        <v>50.145480000000006</v>
      </c>
      <c r="H53" s="561">
        <f>H81*'2) ROR'!G37*-0.35</f>
        <v>0</v>
      </c>
      <c r="I53" s="561">
        <f>I81*'2) ROR'!F37*-0.35</f>
        <v>0</v>
      </c>
      <c r="J53" s="561">
        <f>+'[7]Attrition 12.2015 to 2018'!$I51</f>
        <v>0</v>
      </c>
      <c r="K53" s="561">
        <f>K81*'2) ROR'!F37*-0.35</f>
        <v>0</v>
      </c>
      <c r="L53" s="570">
        <f>SUM(E53:K53)</f>
        <v>70.781480000000002</v>
      </c>
      <c r="M53" s="453"/>
      <c r="N53" s="444"/>
      <c r="O53" s="444"/>
      <c r="P53" s="581">
        <f ca="1">('2) ROR'!F11*-0.35*P81)+('2) ROR'!F11-'2) ROR'!F37)*L81*-0.35</f>
        <v>-139.97888699577993</v>
      </c>
      <c r="Q53" s="582">
        <f ca="1">L53+P53</f>
        <v>-69.197406995779929</v>
      </c>
      <c r="R53" s="583"/>
      <c r="S53" s="583"/>
      <c r="T53" s="583"/>
      <c r="U53" s="583"/>
      <c r="V53" s="571">
        <v>0</v>
      </c>
      <c r="W53" s="571">
        <v>0</v>
      </c>
      <c r="X53" s="571"/>
      <c r="Y53" s="582">
        <f ca="1">Q53+S53+T53+W53+V53</f>
        <v>-69.197406995779929</v>
      </c>
    </row>
    <row r="54" spans="1:25" s="433" customFormat="1" ht="15.75" customHeight="1">
      <c r="A54" s="638">
        <f ca="1">+MAX(OFFSET(A$1,0,0,ROW(A54)-ROW(A$1)))+1</f>
        <v>34</v>
      </c>
      <c r="C54" s="432" t="s">
        <v>44</v>
      </c>
      <c r="D54" s="434"/>
      <c r="E54" s="561">
        <f>+'[6]Exh. No. BGM-3 4'!$AC$53</f>
        <v>67191</v>
      </c>
      <c r="F54" s="561"/>
      <c r="G54" s="561">
        <v>0</v>
      </c>
      <c r="H54" s="561">
        <v>0</v>
      </c>
      <c r="I54" s="561">
        <v>0</v>
      </c>
      <c r="J54" s="561">
        <f>+'[7]Attrition 12.2015 to 2018'!$I52</f>
        <v>0</v>
      </c>
      <c r="K54" s="561">
        <v>0</v>
      </c>
      <c r="L54" s="570">
        <f>SUM(E54:K54)</f>
        <v>67191</v>
      </c>
      <c r="M54" s="453"/>
      <c r="N54" s="444"/>
      <c r="O54" s="444"/>
      <c r="P54" s="570">
        <f>N54*L54</f>
        <v>0</v>
      </c>
      <c r="Q54" s="562">
        <f>P54+L54</f>
        <v>67191</v>
      </c>
      <c r="R54" s="561"/>
      <c r="S54" s="561"/>
      <c r="T54" s="561"/>
      <c r="U54" s="561"/>
      <c r="V54" s="561"/>
      <c r="W54" s="561"/>
      <c r="X54" s="561"/>
      <c r="Y54" s="582">
        <f>Q54+S54+T54+W54+V54</f>
        <v>67191</v>
      </c>
    </row>
    <row r="55" spans="1:25" s="433" customFormat="1" ht="15.75" customHeight="1">
      <c r="A55" s="638">
        <f ca="1">+MAX(OFFSET(A$1,0,0,ROW(A55)-ROW(A$1)))+1</f>
        <v>35</v>
      </c>
      <c r="C55" s="432" t="s">
        <v>43</v>
      </c>
      <c r="D55" s="434"/>
      <c r="E55" s="561">
        <f>+'[6]Exh. No. BGM-3 4'!$AC$54</f>
        <v>-326</v>
      </c>
      <c r="F55" s="561"/>
      <c r="G55" s="561">
        <v>0</v>
      </c>
      <c r="H55" s="561">
        <v>0</v>
      </c>
      <c r="I55" s="561">
        <v>0</v>
      </c>
      <c r="J55" s="561">
        <f>+'[7]Attrition 12.2015 to 2018'!$I53</f>
        <v>0</v>
      </c>
      <c r="K55" s="561">
        <v>0</v>
      </c>
      <c r="L55" s="570">
        <f>SUM(E55:K55)</f>
        <v>-326</v>
      </c>
      <c r="M55" s="453"/>
      <c r="N55" s="444"/>
      <c r="O55" s="444"/>
      <c r="P55" s="570">
        <f>N55*L55</f>
        <v>0</v>
      </c>
      <c r="Q55" s="562">
        <f>P55+L55</f>
        <v>-326</v>
      </c>
      <c r="R55" s="561"/>
      <c r="S55" s="561"/>
      <c r="T55" s="561"/>
      <c r="U55" s="561"/>
      <c r="V55" s="571">
        <v>0</v>
      </c>
      <c r="W55" s="561">
        <v>0</v>
      </c>
      <c r="X55" s="561"/>
      <c r="Y55" s="582">
        <f>Q55+S55+T55+W55+V55</f>
        <v>-326</v>
      </c>
    </row>
    <row r="56" spans="1:25" s="433" customFormat="1" ht="15.75" customHeight="1">
      <c r="A56" s="606"/>
      <c r="B56" s="432"/>
      <c r="C56" s="432"/>
      <c r="D56" s="434"/>
      <c r="E56" s="561"/>
      <c r="F56" s="561"/>
      <c r="G56" s="561"/>
      <c r="H56" s="561"/>
      <c r="I56" s="561"/>
      <c r="J56" s="561"/>
      <c r="K56" s="561"/>
      <c r="L56" s="570"/>
      <c r="M56" s="453"/>
      <c r="N56" s="444"/>
      <c r="O56" s="444"/>
      <c r="P56" s="568"/>
      <c r="Q56" s="562"/>
      <c r="R56" s="561"/>
      <c r="S56" s="561"/>
      <c r="T56" s="561"/>
      <c r="U56" s="561"/>
      <c r="V56" s="561"/>
      <c r="W56" s="561"/>
      <c r="X56" s="561"/>
      <c r="Y56" s="562"/>
    </row>
    <row r="57" spans="1:25" s="433" customFormat="1" ht="15.75" customHeight="1" thickBot="1">
      <c r="A57" s="638">
        <f ca="1">+MAX(OFFSET(A$1,0,0,ROW(A57)-ROW(A$1)))+1</f>
        <v>36</v>
      </c>
      <c r="B57" s="432" t="s">
        <v>42</v>
      </c>
      <c r="C57" s="432"/>
      <c r="D57" s="434"/>
      <c r="E57" s="578">
        <f>E43-E52-E53-E54-E55</f>
        <v>107203.014</v>
      </c>
      <c r="F57" s="578">
        <f>F43-F52-F53-F54-F55</f>
        <v>36593</v>
      </c>
      <c r="G57" s="578">
        <f t="shared" ref="G57:L57" si="16">G43-G52-G53-G54-G55</f>
        <v>1016.85452</v>
      </c>
      <c r="H57" s="578">
        <f t="shared" ref="H57" si="17">H43-H52-H53-H54-H55</f>
        <v>0</v>
      </c>
      <c r="I57" s="578">
        <f t="shared" si="16"/>
        <v>0</v>
      </c>
      <c r="J57" s="578">
        <f>J43-J52-J53-J54-J55</f>
        <v>0</v>
      </c>
      <c r="K57" s="578">
        <f t="shared" si="16"/>
        <v>-3286</v>
      </c>
      <c r="L57" s="578">
        <f t="shared" si="16"/>
        <v>141526.86851999999</v>
      </c>
      <c r="M57" s="437"/>
      <c r="N57" s="437"/>
      <c r="O57" s="437"/>
      <c r="P57" s="578">
        <f t="shared" ref="P57:T57" ca="1" si="18">P43-P52-P53-P54-P55</f>
        <v>-469.61024092074217</v>
      </c>
      <c r="Q57" s="578">
        <f t="shared" ca="1" si="18"/>
        <v>161830.25827907925</v>
      </c>
      <c r="R57" s="561"/>
      <c r="S57" s="578">
        <f t="shared" si="18"/>
        <v>-57601.05</v>
      </c>
      <c r="T57" s="578">
        <f t="shared" si="18"/>
        <v>0</v>
      </c>
      <c r="U57" s="561"/>
      <c r="V57" s="578">
        <f>V43-V52-V53-V54-V55</f>
        <v>0</v>
      </c>
      <c r="W57" s="578">
        <f>W43-W52-W53-W54-W55</f>
        <v>0</v>
      </c>
      <c r="X57" s="578"/>
      <c r="Y57" s="578">
        <f ca="1">Y43-Y52-Y53-Y54-Y55</f>
        <v>104229.2082790792</v>
      </c>
    </row>
    <row r="58" spans="1:25" s="433" customFormat="1" ht="15.75" thickTop="1">
      <c r="A58" s="606"/>
      <c r="B58" s="432"/>
      <c r="C58" s="432"/>
      <c r="D58" s="434"/>
      <c r="E58" s="561"/>
      <c r="F58" s="561"/>
      <c r="G58" s="561"/>
      <c r="H58" s="561"/>
      <c r="I58" s="561"/>
      <c r="J58" s="561"/>
      <c r="K58" s="561"/>
      <c r="L58" s="570"/>
      <c r="M58" s="453"/>
      <c r="N58" s="444"/>
      <c r="O58" s="444"/>
      <c r="P58" s="568"/>
      <c r="Q58" s="610"/>
      <c r="R58" s="611"/>
      <c r="S58" s="561"/>
      <c r="T58" s="561"/>
      <c r="U58" s="561"/>
      <c r="V58" s="561"/>
      <c r="W58" s="561"/>
      <c r="X58" s="561"/>
      <c r="Y58" s="610"/>
    </row>
    <row r="59" spans="1:25" s="433" customFormat="1" ht="15.75" customHeight="1">
      <c r="A59" s="638">
        <f t="shared" ref="A59:A73" ca="1" si="19">+MAX(OFFSET(A$1,0,0,ROW(A59)-ROW(A$1)))+1</f>
        <v>37</v>
      </c>
      <c r="B59" s="432" t="s">
        <v>41</v>
      </c>
      <c r="C59" s="432"/>
      <c r="D59" s="434"/>
      <c r="E59" s="561"/>
      <c r="F59" s="561"/>
      <c r="G59" s="561"/>
      <c r="H59" s="561"/>
      <c r="I59" s="561"/>
      <c r="J59" s="561"/>
      <c r="K59" s="561"/>
      <c r="L59" s="570"/>
      <c r="M59" s="453"/>
      <c r="N59" s="444"/>
      <c r="O59" s="444"/>
      <c r="P59" s="568"/>
      <c r="Q59" s="562"/>
      <c r="R59" s="561"/>
      <c r="S59" s="561"/>
      <c r="T59" s="561"/>
      <c r="U59" s="561"/>
      <c r="V59" s="561"/>
      <c r="W59" s="561"/>
      <c r="X59" s="561"/>
      <c r="Y59" s="584"/>
    </row>
    <row r="60" spans="1:25" s="433" customFormat="1" ht="15.75" customHeight="1">
      <c r="A60" s="638">
        <f t="shared" ca="1" si="19"/>
        <v>38</v>
      </c>
      <c r="B60" s="432" t="s">
        <v>104</v>
      </c>
      <c r="C60" s="432"/>
      <c r="D60" s="434"/>
      <c r="E60" s="561"/>
      <c r="F60" s="561"/>
      <c r="G60" s="561"/>
      <c r="H60" s="561"/>
      <c r="I60" s="612" t="s">
        <v>437</v>
      </c>
      <c r="J60" s="561"/>
      <c r="K60" s="561"/>
      <c r="L60" s="570"/>
      <c r="M60" s="438"/>
      <c r="N60" s="439"/>
      <c r="O60" s="439"/>
      <c r="P60" s="568"/>
      <c r="Q60" s="562"/>
      <c r="R60" s="561"/>
      <c r="S60" s="561"/>
      <c r="T60" s="561"/>
      <c r="U60" s="561"/>
      <c r="V60" s="561"/>
      <c r="W60" s="561"/>
      <c r="X60" s="561"/>
      <c r="Y60" s="562"/>
    </row>
    <row r="61" spans="1:25" s="433" customFormat="1" ht="15.75" customHeight="1">
      <c r="A61" s="638">
        <f t="shared" ca="1" si="19"/>
        <v>39</v>
      </c>
      <c r="B61" s="432"/>
      <c r="C61" s="432" t="s">
        <v>39</v>
      </c>
      <c r="D61" s="434"/>
      <c r="E61" s="722">
        <f>+'[6]Exh. No. BGM-3 4'!$AC$60</f>
        <v>156057</v>
      </c>
      <c r="F61" s="561"/>
      <c r="G61" s="561">
        <v>0</v>
      </c>
      <c r="H61" s="561">
        <v>0</v>
      </c>
      <c r="I61" s="571">
        <v>0</v>
      </c>
      <c r="J61" s="561">
        <f>+'[7]Attrition 12.2015 to 2018'!$I59</f>
        <v>0</v>
      </c>
      <c r="K61" s="561">
        <v>0</v>
      </c>
      <c r="L61" s="572">
        <f>SUM(E61:K61)</f>
        <v>156057</v>
      </c>
      <c r="M61" s="438"/>
      <c r="N61" s="509">
        <f ca="1">+'4.11'!B23*$N$6</f>
        <v>9.6229000000000009E-2</v>
      </c>
      <c r="O61" s="439"/>
      <c r="P61" s="570">
        <f ca="1">L61*N61</f>
        <v>15017.209053</v>
      </c>
      <c r="Q61" s="562">
        <f ca="1">L61+P61</f>
        <v>171074.209053</v>
      </c>
      <c r="R61" s="561"/>
      <c r="S61" s="561"/>
      <c r="T61" s="561"/>
      <c r="U61" s="561"/>
      <c r="V61" s="561"/>
      <c r="W61" s="571">
        <v>0</v>
      </c>
      <c r="X61" s="571"/>
      <c r="Y61" s="582">
        <f ca="1">Q61+S61+T61+W61+V61</f>
        <v>171074.209053</v>
      </c>
    </row>
    <row r="62" spans="1:25" s="433" customFormat="1" ht="15.75" customHeight="1">
      <c r="A62" s="638">
        <f t="shared" ca="1" si="19"/>
        <v>40</v>
      </c>
      <c r="B62" s="432"/>
      <c r="C62" s="432" t="s">
        <v>38</v>
      </c>
      <c r="D62" s="434"/>
      <c r="E62" s="561">
        <f>+'[6]Exh. No. BGM-3 4'!$AC$61</f>
        <v>832833</v>
      </c>
      <c r="F62" s="561"/>
      <c r="G62" s="561">
        <v>0</v>
      </c>
      <c r="H62" s="561">
        <v>0</v>
      </c>
      <c r="I62" s="571">
        <v>0</v>
      </c>
      <c r="J62" s="561">
        <f>+'[7]Attrition 12.2015 to 2018'!$I60</f>
        <v>0</v>
      </c>
      <c r="K62" s="561">
        <v>0</v>
      </c>
      <c r="L62" s="572">
        <f>SUM(E62:K62)</f>
        <v>832833</v>
      </c>
      <c r="M62" s="438"/>
      <c r="N62" s="509">
        <f ca="1">+'4.12'!B23*$N$6</f>
        <v>1.6543000000000002E-2</v>
      </c>
      <c r="O62" s="439"/>
      <c r="P62" s="570">
        <f ca="1">L62*N62</f>
        <v>13777.556319000001</v>
      </c>
      <c r="Q62" s="562">
        <f ca="1">L62+P62</f>
        <v>846610.55631899997</v>
      </c>
      <c r="R62" s="561"/>
      <c r="S62" s="561"/>
      <c r="T62" s="561"/>
      <c r="U62" s="561"/>
      <c r="V62" s="571">
        <v>0</v>
      </c>
      <c r="W62" s="561"/>
      <c r="X62" s="561"/>
      <c r="Y62" s="582">
        <f ca="1">Q62+S62+T62+W62+V62</f>
        <v>846610.55631899997</v>
      </c>
    </row>
    <row r="63" spans="1:25" s="433" customFormat="1" ht="15.75" customHeight="1">
      <c r="A63" s="638">
        <f t="shared" ca="1" si="19"/>
        <v>41</v>
      </c>
      <c r="B63" s="432"/>
      <c r="C63" s="432" t="s">
        <v>37</v>
      </c>
      <c r="D63" s="434"/>
      <c r="E63" s="561">
        <f>+'[6]Exh. No. BGM-3 4'!$AC$62</f>
        <v>430613</v>
      </c>
      <c r="F63" s="561"/>
      <c r="G63" s="561">
        <v>0</v>
      </c>
      <c r="H63" s="561">
        <v>0</v>
      </c>
      <c r="I63" s="571">
        <v>0</v>
      </c>
      <c r="J63" s="561">
        <f>+'[7]Attrition 12.2015 to 2018'!$I61</f>
        <v>0</v>
      </c>
      <c r="K63" s="561">
        <v>0</v>
      </c>
      <c r="L63" s="572">
        <f>SUM(E63:K63)</f>
        <v>430613</v>
      </c>
      <c r="M63" s="438"/>
      <c r="N63" s="509">
        <f ca="1">+'4.13'!B23*$N$6</f>
        <v>9.6462000000000006E-2</v>
      </c>
      <c r="O63" s="439"/>
      <c r="P63" s="570">
        <f ca="1">L63*N63</f>
        <v>41537.791206000002</v>
      </c>
      <c r="Q63" s="562">
        <f ca="1">L63+P63</f>
        <v>472150.79120600002</v>
      </c>
      <c r="R63" s="561"/>
      <c r="S63" s="561"/>
      <c r="T63" s="561"/>
      <c r="U63" s="561"/>
      <c r="V63" s="561"/>
      <c r="W63" s="561"/>
      <c r="X63" s="561"/>
      <c r="Y63" s="582">
        <f ca="1">Q63+S63+T63+W63+V63</f>
        <v>472150.79120600002</v>
      </c>
    </row>
    <row r="64" spans="1:25" s="433" customFormat="1" ht="15.75" customHeight="1">
      <c r="A64" s="638">
        <f t="shared" ca="1" si="19"/>
        <v>42</v>
      </c>
      <c r="B64" s="432"/>
      <c r="C64" s="432" t="s">
        <v>36</v>
      </c>
      <c r="D64" s="434"/>
      <c r="E64" s="561">
        <f>+'[6]Exh. No. BGM-3 4'!$AC$63</f>
        <v>970455</v>
      </c>
      <c r="F64" s="561"/>
      <c r="G64" s="561">
        <v>0</v>
      </c>
      <c r="H64" s="571">
        <v>0</v>
      </c>
      <c r="I64" s="571">
        <v>0</v>
      </c>
      <c r="J64" s="561">
        <f>+'[7]Attrition 12.2015 to 2018'!$I62</f>
        <v>0</v>
      </c>
      <c r="K64" s="561">
        <v>0</v>
      </c>
      <c r="L64" s="572">
        <f>SUM(E64:K64)</f>
        <v>970455</v>
      </c>
      <c r="M64" s="438"/>
      <c r="N64" s="509">
        <f ca="1">+'4.14'!B23*$N$6</f>
        <v>0.11766500000000001</v>
      </c>
      <c r="O64" s="439"/>
      <c r="P64" s="570">
        <f ca="1">L64*N64</f>
        <v>114188.58757500001</v>
      </c>
      <c r="Q64" s="562">
        <f ca="1">L64+P64</f>
        <v>1084643.587575</v>
      </c>
      <c r="R64" s="561"/>
      <c r="S64" s="561"/>
      <c r="T64" s="561"/>
      <c r="U64" s="561"/>
      <c r="V64" s="561"/>
      <c r="W64" s="571">
        <v>0</v>
      </c>
      <c r="X64" s="571"/>
      <c r="Y64" s="582">
        <f ca="1">Q64+S64+T64+W64+V64</f>
        <v>1084643.587575</v>
      </c>
    </row>
    <row r="65" spans="1:26" s="433" customFormat="1" ht="15.75" customHeight="1">
      <c r="A65" s="638">
        <f t="shared" ca="1" si="19"/>
        <v>43</v>
      </c>
      <c r="B65" s="432"/>
      <c r="C65" s="432" t="s">
        <v>35</v>
      </c>
      <c r="D65" s="434"/>
      <c r="E65" s="561">
        <f>+'[6]Exh. No. BGM-3 4'!$AC$64</f>
        <v>233266</v>
      </c>
      <c r="F65" s="564"/>
      <c r="G65" s="561">
        <v>0</v>
      </c>
      <c r="H65" s="561">
        <v>0</v>
      </c>
      <c r="I65" s="571">
        <v>0</v>
      </c>
      <c r="J65" s="561">
        <f>+'[7]Attrition 12.2015 to 2018'!$I63</f>
        <v>0</v>
      </c>
      <c r="K65" s="561">
        <v>0</v>
      </c>
      <c r="L65" s="572">
        <f>SUM(E65:K65)</f>
        <v>233266</v>
      </c>
      <c r="M65" s="453"/>
      <c r="N65" s="509">
        <f ca="1">+'4.15'!B23*$N$6</f>
        <v>0.19315700000000002</v>
      </c>
      <c r="O65" s="444"/>
      <c r="P65" s="567">
        <f ca="1">L65*N65</f>
        <v>45056.960762000002</v>
      </c>
      <c r="Q65" s="564">
        <f ca="1">L65+P65</f>
        <v>278322.960762</v>
      </c>
      <c r="R65" s="561"/>
      <c r="S65" s="564"/>
      <c r="T65" s="564"/>
      <c r="U65" s="561"/>
      <c r="V65" s="564"/>
      <c r="W65" s="571">
        <v>0</v>
      </c>
      <c r="X65" s="571"/>
      <c r="Y65" s="585">
        <f ca="1">Q65+S65+T65+W65+V65</f>
        <v>278322.960762</v>
      </c>
    </row>
    <row r="66" spans="1:26" s="433" customFormat="1" ht="15.75" customHeight="1">
      <c r="A66" s="638">
        <f t="shared" ca="1" si="19"/>
        <v>44</v>
      </c>
      <c r="B66" s="432"/>
      <c r="C66" s="432" t="s">
        <v>111</v>
      </c>
      <c r="D66" s="434"/>
      <c r="E66" s="566">
        <f>SUM(E61:E65)</f>
        <v>2623224</v>
      </c>
      <c r="F66" s="566">
        <f t="shared" ref="F66:K66" si="20">SUM(F61:F65)</f>
        <v>0</v>
      </c>
      <c r="G66" s="566">
        <f t="shared" si="20"/>
        <v>0</v>
      </c>
      <c r="H66" s="566">
        <f t="shared" ref="H66" si="21">SUM(H61:H65)</f>
        <v>0</v>
      </c>
      <c r="I66" s="566">
        <f t="shared" si="20"/>
        <v>0</v>
      </c>
      <c r="J66" s="566">
        <f>SUM(J61:J65)</f>
        <v>0</v>
      </c>
      <c r="K66" s="566">
        <f t="shared" si="20"/>
        <v>0</v>
      </c>
      <c r="L66" s="565">
        <f>SUM(L61:L65)</f>
        <v>2623224</v>
      </c>
      <c r="M66" s="453"/>
      <c r="N66" s="447"/>
      <c r="O66" s="444"/>
      <c r="P66" s="570">
        <f ca="1">SUM(P61:P65)</f>
        <v>229578.10491500003</v>
      </c>
      <c r="Q66" s="570">
        <f ca="1">SUM(Q61:Q65)</f>
        <v>2852802.104915</v>
      </c>
      <c r="R66" s="561"/>
      <c r="S66" s="561"/>
      <c r="T66" s="561"/>
      <c r="U66" s="561"/>
      <c r="V66" s="570">
        <f>SUM(V61:V65)</f>
        <v>0</v>
      </c>
      <c r="W66" s="570">
        <f>SUM(W61:W65)</f>
        <v>0</v>
      </c>
      <c r="X66" s="570"/>
      <c r="Y66" s="570">
        <f ca="1">SUM(Y61:Y65)</f>
        <v>2852802.104915</v>
      </c>
    </row>
    <row r="67" spans="1:26" s="433" customFormat="1" ht="15.75" customHeight="1">
      <c r="A67" s="638">
        <f t="shared" ca="1" si="19"/>
        <v>45</v>
      </c>
      <c r="B67" s="432" t="s">
        <v>107</v>
      </c>
      <c r="C67" s="454"/>
      <c r="D67" s="434"/>
      <c r="E67" s="561"/>
      <c r="F67" s="561"/>
      <c r="G67" s="561"/>
      <c r="H67" s="561"/>
      <c r="I67" s="561"/>
      <c r="J67" s="561"/>
      <c r="K67" s="561"/>
      <c r="L67" s="570"/>
      <c r="M67" s="438"/>
      <c r="N67" s="439"/>
      <c r="O67" s="439"/>
      <c r="P67" s="568"/>
      <c r="Q67" s="562"/>
      <c r="R67" s="561"/>
      <c r="S67" s="561"/>
      <c r="T67" s="561"/>
      <c r="U67" s="561"/>
      <c r="V67" s="561"/>
      <c r="W67" s="561"/>
      <c r="X67" s="561"/>
      <c r="Y67" s="562">
        <f t="shared" ref="Y67" si="22">Q67</f>
        <v>0</v>
      </c>
    </row>
    <row r="68" spans="1:26" s="433" customFormat="1" ht="15.75" customHeight="1">
      <c r="A68" s="638">
        <f t="shared" ca="1" si="19"/>
        <v>46</v>
      </c>
      <c r="B68" s="432"/>
      <c r="C68" s="432" t="s">
        <v>39</v>
      </c>
      <c r="D68" s="442"/>
      <c r="E68" s="561">
        <f>+'[6]Exh. No. BGM-3 4'!$AC$67</f>
        <v>-30914</v>
      </c>
      <c r="F68" s="561"/>
      <c r="G68" s="561">
        <v>0</v>
      </c>
      <c r="H68" s="561">
        <v>0</v>
      </c>
      <c r="I68" s="571">
        <v>0</v>
      </c>
      <c r="J68" s="561">
        <f>+'[7]Attrition 12.2015 to 2018'!$I66</f>
        <v>0</v>
      </c>
      <c r="K68" s="561">
        <v>0</v>
      </c>
      <c r="L68" s="572">
        <f>SUM(E68:K68)</f>
        <v>-30914</v>
      </c>
      <c r="M68" s="438"/>
      <c r="N68" s="444">
        <f ca="1">+N61</f>
        <v>9.6229000000000009E-2</v>
      </c>
      <c r="O68" s="439"/>
      <c r="P68" s="570">
        <f ca="1">L68*N68</f>
        <v>-2974.8233060000002</v>
      </c>
      <c r="Q68" s="562">
        <f ca="1">L68+P68</f>
        <v>-33888.823305999998</v>
      </c>
      <c r="R68" s="561"/>
      <c r="S68" s="561"/>
      <c r="T68" s="561"/>
      <c r="U68" s="561"/>
      <c r="V68" s="561"/>
      <c r="W68" s="571">
        <v>0</v>
      </c>
      <c r="X68" s="571"/>
      <c r="Y68" s="582">
        <f ca="1">Q68+S68+T68+W68+V68</f>
        <v>-33888.823305999998</v>
      </c>
    </row>
    <row r="69" spans="1:26" s="433" customFormat="1" ht="15.75" customHeight="1">
      <c r="A69" s="638">
        <f t="shared" ca="1" si="19"/>
        <v>47</v>
      </c>
      <c r="B69" s="432"/>
      <c r="C69" s="432" t="s">
        <v>38</v>
      </c>
      <c r="D69" s="434"/>
      <c r="E69" s="561">
        <f>+'[6]Exh. No. BGM-3 4'!$AC$68</f>
        <v>-351625</v>
      </c>
      <c r="F69" s="561"/>
      <c r="G69" s="561">
        <v>0</v>
      </c>
      <c r="H69" s="561">
        <v>0</v>
      </c>
      <c r="I69" s="571">
        <v>0</v>
      </c>
      <c r="J69" s="561">
        <f>+'[7]Attrition 12.2015 to 2018'!$I67</f>
        <v>0</v>
      </c>
      <c r="K69" s="561">
        <v>0</v>
      </c>
      <c r="L69" s="572">
        <f>SUM(E69:K69)</f>
        <v>-351625</v>
      </c>
      <c r="M69" s="438"/>
      <c r="N69" s="444">
        <f t="shared" ref="N69:N72" ca="1" si="23">+N62</f>
        <v>1.6543000000000002E-2</v>
      </c>
      <c r="O69" s="439"/>
      <c r="P69" s="570">
        <f ca="1">L69*N69</f>
        <v>-5816.9323750000003</v>
      </c>
      <c r="Q69" s="562">
        <f ca="1">L69+P69</f>
        <v>-357441.93237499997</v>
      </c>
      <c r="R69" s="561"/>
      <c r="S69" s="561"/>
      <c r="T69" s="561"/>
      <c r="U69" s="561"/>
      <c r="V69" s="571">
        <v>0</v>
      </c>
      <c r="W69" s="561"/>
      <c r="X69" s="561"/>
      <c r="Y69" s="582">
        <f ca="1">Q69+S69+T69+W69+V69</f>
        <v>-357441.93237499997</v>
      </c>
    </row>
    <row r="70" spans="1:26" s="433" customFormat="1" ht="15.75" customHeight="1">
      <c r="A70" s="638">
        <f t="shared" ca="1" si="19"/>
        <v>48</v>
      </c>
      <c r="B70" s="432"/>
      <c r="C70" s="432" t="s">
        <v>37</v>
      </c>
      <c r="D70" s="434"/>
      <c r="E70" s="561">
        <f>+'[6]Exh. No. BGM-3 4'!$AC$69</f>
        <v>-135624</v>
      </c>
      <c r="F70" s="561"/>
      <c r="G70" s="561">
        <v>0</v>
      </c>
      <c r="H70" s="561">
        <v>0</v>
      </c>
      <c r="I70" s="571">
        <v>0</v>
      </c>
      <c r="J70" s="561">
        <f>+'[7]Attrition 12.2015 to 2018'!$I68</f>
        <v>0</v>
      </c>
      <c r="K70" s="561">
        <v>0</v>
      </c>
      <c r="L70" s="572">
        <f>SUM(E70:K70)</f>
        <v>-135624</v>
      </c>
      <c r="M70" s="438"/>
      <c r="N70" s="444">
        <f t="shared" ca="1" si="23"/>
        <v>9.6462000000000006E-2</v>
      </c>
      <c r="O70" s="439"/>
      <c r="P70" s="570">
        <f ca="1">L70*N70</f>
        <v>-13082.562288000001</v>
      </c>
      <c r="Q70" s="562">
        <f ca="1">L70+P70</f>
        <v>-148706.56228800002</v>
      </c>
      <c r="R70" s="561"/>
      <c r="S70" s="561"/>
      <c r="T70" s="561"/>
      <c r="U70" s="561"/>
      <c r="V70" s="561"/>
      <c r="W70" s="561"/>
      <c r="X70" s="561"/>
      <c r="Y70" s="582">
        <f ca="1">Q70+S70+T70+W70+V70</f>
        <v>-148706.56228800002</v>
      </c>
    </row>
    <row r="71" spans="1:26" s="433" customFormat="1" ht="15.75" customHeight="1">
      <c r="A71" s="638">
        <f t="shared" ca="1" si="19"/>
        <v>49</v>
      </c>
      <c r="B71" s="432"/>
      <c r="C71" s="432" t="s">
        <v>36</v>
      </c>
      <c r="D71" s="434"/>
      <c r="E71" s="561">
        <f>+'[6]Exh. No. BGM-3 4'!$AC$70</f>
        <v>-295383</v>
      </c>
      <c r="F71" s="561"/>
      <c r="G71" s="561">
        <v>0</v>
      </c>
      <c r="H71" s="561">
        <v>0</v>
      </c>
      <c r="I71" s="571">
        <v>0</v>
      </c>
      <c r="J71" s="561">
        <f>+'[7]Attrition 12.2015 to 2018'!$I69</f>
        <v>0</v>
      </c>
      <c r="K71" s="561">
        <v>0</v>
      </c>
      <c r="L71" s="572">
        <f>SUM(E71:K71)</f>
        <v>-295383</v>
      </c>
      <c r="M71" s="438"/>
      <c r="N71" s="444">
        <f t="shared" ca="1" si="23"/>
        <v>0.11766500000000001</v>
      </c>
      <c r="O71" s="439"/>
      <c r="P71" s="570">
        <f ca="1">L71*N71</f>
        <v>-34756.240695</v>
      </c>
      <c r="Q71" s="562">
        <f ca="1">L71+P71</f>
        <v>-330139.24069499999</v>
      </c>
      <c r="R71" s="561"/>
      <c r="S71" s="561"/>
      <c r="T71" s="561"/>
      <c r="U71" s="561"/>
      <c r="V71" s="561"/>
      <c r="W71" s="571">
        <v>0</v>
      </c>
      <c r="X71" s="571"/>
      <c r="Y71" s="582">
        <f ca="1">Q71+S71+T71+W71+V71</f>
        <v>-330139.24069499999</v>
      </c>
    </row>
    <row r="72" spans="1:26" s="433" customFormat="1" ht="15.75" customHeight="1">
      <c r="A72" s="638">
        <f t="shared" ca="1" si="19"/>
        <v>50</v>
      </c>
      <c r="B72" s="432"/>
      <c r="C72" s="432" t="s">
        <v>35</v>
      </c>
      <c r="D72" s="434"/>
      <c r="E72" s="561">
        <f>+'[6]Exh. No. BGM-3 4'!$AC$71</f>
        <v>-80093</v>
      </c>
      <c r="F72" s="567"/>
      <c r="G72" s="561">
        <v>0</v>
      </c>
      <c r="H72" s="561">
        <v>0</v>
      </c>
      <c r="I72" s="571">
        <v>0</v>
      </c>
      <c r="J72" s="561">
        <f>+'[7]Attrition 12.2015 to 2018'!$I70</f>
        <v>0</v>
      </c>
      <c r="K72" s="561">
        <v>0</v>
      </c>
      <c r="L72" s="572">
        <f>SUM(E72:K72)</f>
        <v>-80093</v>
      </c>
      <c r="M72" s="453"/>
      <c r="N72" s="444">
        <f t="shared" ca="1" si="23"/>
        <v>0.19315700000000002</v>
      </c>
      <c r="O72" s="444"/>
      <c r="P72" s="567">
        <f ca="1">L72*N72</f>
        <v>-15470.523601000003</v>
      </c>
      <c r="Q72" s="564">
        <f ca="1">L72+P72</f>
        <v>-95563.523601000008</v>
      </c>
      <c r="R72" s="561"/>
      <c r="S72" s="564"/>
      <c r="T72" s="564"/>
      <c r="U72" s="561"/>
      <c r="V72" s="564"/>
      <c r="W72" s="571">
        <v>0</v>
      </c>
      <c r="X72" s="571"/>
      <c r="Y72" s="585">
        <f ca="1">Q72+S72+T72+W72+V72</f>
        <v>-95563.523601000008</v>
      </c>
    </row>
    <row r="73" spans="1:26" s="636" customFormat="1" ht="30.75" customHeight="1">
      <c r="A73" s="638">
        <f t="shared" ca="1" si="19"/>
        <v>51</v>
      </c>
      <c r="B73" s="627"/>
      <c r="C73" s="628" t="s">
        <v>129</v>
      </c>
      <c r="D73" s="629"/>
      <c r="E73" s="630">
        <f>SUM(E68:E72)</f>
        <v>-893639</v>
      </c>
      <c r="F73" s="630">
        <f t="shared" ref="F73:K73" si="24">SUM(F68:F72)</f>
        <v>0</v>
      </c>
      <c r="G73" s="630">
        <f t="shared" si="24"/>
        <v>0</v>
      </c>
      <c r="H73" s="630">
        <f t="shared" ref="H73" si="25">SUM(H68:H72)</f>
        <v>0</v>
      </c>
      <c r="I73" s="630">
        <f t="shared" si="24"/>
        <v>0</v>
      </c>
      <c r="J73" s="630">
        <f>SUM(J68:J72)</f>
        <v>0</v>
      </c>
      <c r="K73" s="630">
        <f t="shared" si="24"/>
        <v>0</v>
      </c>
      <c r="L73" s="631">
        <f>SUM(L68:L72)</f>
        <v>-893639</v>
      </c>
      <c r="M73" s="632"/>
      <c r="N73" s="633"/>
      <c r="O73" s="633"/>
      <c r="P73" s="634">
        <f ca="1">SUM(P68:P72)</f>
        <v>-72101.082265000005</v>
      </c>
      <c r="Q73" s="634">
        <f ca="1">SUM(Q68:Q72)</f>
        <v>-965740.08226499986</v>
      </c>
      <c r="R73" s="635"/>
      <c r="S73" s="635"/>
      <c r="T73" s="635"/>
      <c r="U73" s="635"/>
      <c r="V73" s="634">
        <f>SUM(V68:V72)</f>
        <v>0</v>
      </c>
      <c r="W73" s="634">
        <f>SUM(W68:W72)</f>
        <v>0</v>
      </c>
      <c r="X73" s="634"/>
      <c r="Y73" s="634">
        <f ca="1">SUM(Y68:Y72)</f>
        <v>-965740.08226499986</v>
      </c>
    </row>
    <row r="74" spans="1:26" s="433" customFormat="1" ht="15">
      <c r="A74" s="606"/>
      <c r="B74" s="432"/>
      <c r="C74" s="454"/>
      <c r="D74" s="455"/>
      <c r="E74" s="561"/>
      <c r="F74" s="572"/>
      <c r="G74" s="572"/>
      <c r="H74" s="572"/>
      <c r="I74" s="572"/>
      <c r="J74" s="561"/>
      <c r="K74" s="572"/>
      <c r="L74" s="570"/>
      <c r="M74" s="438"/>
      <c r="N74" s="439"/>
      <c r="O74" s="439"/>
      <c r="P74" s="570"/>
      <c r="Q74" s="562"/>
      <c r="R74" s="561"/>
      <c r="S74" s="561"/>
      <c r="T74" s="561"/>
      <c r="U74" s="561"/>
      <c r="V74" s="561"/>
      <c r="W74" s="561"/>
      <c r="X74" s="561"/>
      <c r="Y74" s="562"/>
    </row>
    <row r="75" spans="1:26" s="433" customFormat="1" ht="15.75" customHeight="1">
      <c r="A75" s="638">
        <f ca="1">+MAX(OFFSET(A$1,0,0,ROW(A75)-ROW(A$1)))+1</f>
        <v>52</v>
      </c>
      <c r="B75" s="432" t="s">
        <v>96</v>
      </c>
      <c r="C75" s="432"/>
      <c r="D75" s="434"/>
      <c r="E75" s="566">
        <f>E66+E73</f>
        <v>1729585</v>
      </c>
      <c r="F75" s="566">
        <f t="shared" ref="F75:W75" si="26">F66+F73</f>
        <v>0</v>
      </c>
      <c r="G75" s="566">
        <f t="shared" si="26"/>
        <v>0</v>
      </c>
      <c r="H75" s="566">
        <f t="shared" ref="H75" si="27">H66+H73</f>
        <v>0</v>
      </c>
      <c r="I75" s="566">
        <f t="shared" si="26"/>
        <v>0</v>
      </c>
      <c r="J75" s="566">
        <f>J66+J73</f>
        <v>0</v>
      </c>
      <c r="K75" s="566">
        <f t="shared" si="26"/>
        <v>0</v>
      </c>
      <c r="L75" s="566">
        <f t="shared" si="26"/>
        <v>1729585</v>
      </c>
      <c r="M75" s="438"/>
      <c r="N75" s="439"/>
      <c r="O75" s="439"/>
      <c r="P75" s="566">
        <f t="shared" ca="1" si="26"/>
        <v>157477.02265000003</v>
      </c>
      <c r="Q75" s="566">
        <f t="shared" ca="1" si="26"/>
        <v>1887062.0226500002</v>
      </c>
      <c r="R75" s="561">
        <f t="shared" si="26"/>
        <v>0</v>
      </c>
      <c r="S75" s="566"/>
      <c r="T75" s="566"/>
      <c r="U75" s="561"/>
      <c r="V75" s="566">
        <f t="shared" ref="V75" si="28">V66+V73</f>
        <v>0</v>
      </c>
      <c r="W75" s="566">
        <f t="shared" si="26"/>
        <v>0</v>
      </c>
      <c r="X75" s="566"/>
      <c r="Y75" s="566">
        <f ca="1">Y66+Y73</f>
        <v>1887062.0226500002</v>
      </c>
    </row>
    <row r="76" spans="1:26" s="433" customFormat="1" ht="13.5" customHeight="1">
      <c r="A76" s="638">
        <f t="shared" ref="A76:A81" ca="1" si="29">+MAX(OFFSET(A$1,0,0,ROW(A76)-ROW(A$1)))+1</f>
        <v>53</v>
      </c>
      <c r="B76" s="432" t="s">
        <v>108</v>
      </c>
      <c r="C76" s="432"/>
      <c r="D76" s="434"/>
      <c r="E76" s="575">
        <f>+'[6]Exh. No. BGM-3 4'!$AC$75</f>
        <v>-353901</v>
      </c>
      <c r="F76" s="561"/>
      <c r="G76" s="561">
        <v>0</v>
      </c>
      <c r="H76" s="561">
        <v>0</v>
      </c>
      <c r="I76" s="571">
        <v>0</v>
      </c>
      <c r="J76" s="575">
        <f>+'[7]Attrition 12.2015 to 2018'!$I75</f>
        <v>0</v>
      </c>
      <c r="K76" s="561">
        <v>0</v>
      </c>
      <c r="L76" s="572">
        <f>SUM(E76:K76)</f>
        <v>-353901</v>
      </c>
      <c r="M76" s="438"/>
      <c r="N76" s="509">
        <f ca="1">+'4.16'!B22*$N$6</f>
        <v>0.30126900000000001</v>
      </c>
      <c r="O76" s="444"/>
      <c r="P76" s="570">
        <f ca="1">N76*L76</f>
        <v>-106619.40036900001</v>
      </c>
      <c r="Q76" s="562">
        <f ca="1">P76+L76</f>
        <v>-460520.40036900004</v>
      </c>
      <c r="R76" s="561"/>
      <c r="S76" s="561"/>
      <c r="T76" s="561"/>
      <c r="U76" s="561"/>
      <c r="V76" s="571">
        <v>0</v>
      </c>
      <c r="W76" s="571">
        <v>0</v>
      </c>
      <c r="X76" s="571"/>
      <c r="Y76" s="585">
        <f ca="1">Q76+S76+T76+W76+V76</f>
        <v>-460520.40036900004</v>
      </c>
    </row>
    <row r="77" spans="1:26" s="433" customFormat="1" ht="15.75" customHeight="1">
      <c r="A77" s="638">
        <f t="shared" ca="1" si="29"/>
        <v>54</v>
      </c>
      <c r="B77" s="432"/>
      <c r="C77" s="432" t="s">
        <v>130</v>
      </c>
      <c r="D77" s="442"/>
      <c r="E77" s="566">
        <f t="shared" ref="E77:L77" si="30">E75+E76</f>
        <v>1375684</v>
      </c>
      <c r="F77" s="566">
        <f t="shared" si="30"/>
        <v>0</v>
      </c>
      <c r="G77" s="566">
        <f t="shared" si="30"/>
        <v>0</v>
      </c>
      <c r="H77" s="566">
        <f t="shared" si="30"/>
        <v>0</v>
      </c>
      <c r="I77" s="566">
        <f t="shared" si="30"/>
        <v>0</v>
      </c>
      <c r="J77" s="566">
        <f t="shared" ref="J77" si="31">J75+J76</f>
        <v>0</v>
      </c>
      <c r="K77" s="566">
        <f t="shared" si="30"/>
        <v>0</v>
      </c>
      <c r="L77" s="566">
        <f t="shared" si="30"/>
        <v>1375684</v>
      </c>
      <c r="M77" s="438"/>
      <c r="N77" s="439"/>
      <c r="O77" s="439"/>
      <c r="P77" s="566">
        <f ca="1">P75+P76</f>
        <v>50857.622281000018</v>
      </c>
      <c r="Q77" s="566">
        <f ca="1">Q75+Q76</f>
        <v>1426541.622281</v>
      </c>
      <c r="R77" s="561"/>
      <c r="S77" s="566"/>
      <c r="T77" s="566"/>
      <c r="U77" s="561"/>
      <c r="V77" s="566">
        <f>V75+V76</f>
        <v>0</v>
      </c>
      <c r="W77" s="566">
        <f>W75+W76</f>
        <v>0</v>
      </c>
      <c r="X77" s="566"/>
      <c r="Y77" s="566">
        <f ca="1">Y75+Y76</f>
        <v>1426541.622281</v>
      </c>
      <c r="Z77" s="613"/>
    </row>
    <row r="78" spans="1:26" s="433" customFormat="1" ht="15.75" customHeight="1">
      <c r="A78" s="638">
        <f t="shared" ca="1" si="29"/>
        <v>55</v>
      </c>
      <c r="B78" s="432" t="s">
        <v>109</v>
      </c>
      <c r="C78" s="432"/>
      <c r="D78" s="434"/>
      <c r="E78" s="575">
        <f>+'[6]Exh. No. BGM-3 4'!$AC$77</f>
        <v>4568</v>
      </c>
      <c r="F78" s="579"/>
      <c r="G78" s="561">
        <f>+'[6]Exh. No. BGM-3 4'!$AL$77</f>
        <v>-5346</v>
      </c>
      <c r="H78" s="571">
        <v>0</v>
      </c>
      <c r="I78" s="561"/>
      <c r="J78" s="575">
        <f>+'[7]Attrition 12.2015 to 2018'!$I77</f>
        <v>0</v>
      </c>
      <c r="K78" s="561"/>
      <c r="L78" s="572">
        <f>SUM(E78:K78)</f>
        <v>-778</v>
      </c>
      <c r="M78" s="438"/>
      <c r="N78" s="439"/>
      <c r="O78" s="439"/>
      <c r="P78" s="570">
        <f>N78*L78</f>
        <v>0</v>
      </c>
      <c r="Q78" s="562">
        <f>P78+L78</f>
        <v>-778</v>
      </c>
      <c r="R78" s="561"/>
      <c r="S78" s="561"/>
      <c r="T78" s="561"/>
      <c r="U78" s="561"/>
      <c r="V78" s="561"/>
      <c r="W78" s="561"/>
      <c r="X78" s="561"/>
      <c r="Y78" s="582">
        <f>Q78+S78+T78+W78+V78</f>
        <v>-778</v>
      </c>
    </row>
    <row r="79" spans="1:26" s="433" customFormat="1" ht="15.75" customHeight="1">
      <c r="A79" s="638">
        <f t="shared" ca="1" si="29"/>
        <v>56</v>
      </c>
      <c r="B79" s="432" t="s">
        <v>79</v>
      </c>
      <c r="C79" s="432"/>
      <c r="D79" s="434"/>
      <c r="E79" s="575">
        <f>+'[6]Exh. No. BGM-3 4'!$AC$78</f>
        <v>62474</v>
      </c>
      <c r="F79" s="561"/>
      <c r="G79" s="561">
        <v>0</v>
      </c>
      <c r="H79" s="561">
        <v>0</v>
      </c>
      <c r="I79" s="561"/>
      <c r="J79" s="575">
        <f>+'[7]Attrition 12.2015 to 2018'!$I78</f>
        <v>0</v>
      </c>
      <c r="K79" s="561"/>
      <c r="L79" s="572">
        <f>SUM(E79:K79)</f>
        <v>62474</v>
      </c>
      <c r="M79" s="438"/>
      <c r="N79" s="439"/>
      <c r="O79" s="439"/>
      <c r="P79" s="570">
        <f>N79*L79</f>
        <v>0</v>
      </c>
      <c r="Q79" s="562">
        <f>P79+L79</f>
        <v>62474</v>
      </c>
      <c r="R79" s="561"/>
      <c r="S79" s="561"/>
      <c r="T79" s="561"/>
      <c r="U79" s="561"/>
      <c r="V79" s="561"/>
      <c r="W79" s="561"/>
      <c r="X79" s="561"/>
      <c r="Y79" s="582">
        <f>Q79+S79+T79+W79+V79</f>
        <v>62474</v>
      </c>
      <c r="Z79" s="613"/>
    </row>
    <row r="80" spans="1:26" s="433" customFormat="1" ht="15.75" customHeight="1">
      <c r="A80" s="638">
        <f t="shared" ca="1" si="29"/>
        <v>57</v>
      </c>
      <c r="B80" s="524" t="s">
        <v>493</v>
      </c>
      <c r="C80" s="524"/>
      <c r="D80" s="434"/>
      <c r="E80" s="575"/>
      <c r="F80" s="561"/>
      <c r="G80" s="561"/>
      <c r="H80" s="561"/>
      <c r="I80" s="561"/>
      <c r="J80" s="575"/>
      <c r="K80" s="561"/>
      <c r="L80" s="572"/>
      <c r="M80" s="438"/>
      <c r="N80" s="439"/>
      <c r="O80" s="439"/>
      <c r="P80" s="570"/>
      <c r="Q80" s="562"/>
      <c r="R80" s="561"/>
      <c r="S80" s="561"/>
      <c r="T80" s="561"/>
      <c r="U80" s="561"/>
      <c r="V80" s="571"/>
      <c r="W80" s="571"/>
      <c r="X80" s="571"/>
      <c r="Y80" s="586">
        <f ca="1">-MAX(SUM(Y77:Y79)-'[10]Exh. No. BGM-13R'!$R$48*('1.01) 2018 Summary'!G17),0)</f>
        <v>-90917.122382835718</v>
      </c>
      <c r="Z80" s="613"/>
    </row>
    <row r="81" spans="1:27" s="433" customFormat="1" ht="15.75" customHeight="1" thickBot="1">
      <c r="A81" s="638">
        <f t="shared" ca="1" si="29"/>
        <v>58</v>
      </c>
      <c r="B81" s="432" t="s">
        <v>31</v>
      </c>
      <c r="C81" s="432"/>
      <c r="D81" s="434"/>
      <c r="E81" s="578">
        <f>SUM(E77:E79)</f>
        <v>1442726</v>
      </c>
      <c r="F81" s="578">
        <f t="shared" ref="F81:K81" si="32">SUM(F77:F79)</f>
        <v>0</v>
      </c>
      <c r="G81" s="578">
        <f t="shared" si="32"/>
        <v>-5346</v>
      </c>
      <c r="H81" s="578">
        <f t="shared" ref="H81" si="33">SUM(H77:H79)</f>
        <v>0</v>
      </c>
      <c r="I81" s="578">
        <f t="shared" si="32"/>
        <v>0</v>
      </c>
      <c r="J81" s="578">
        <f>SUM(J77:J79)</f>
        <v>0</v>
      </c>
      <c r="K81" s="578">
        <f t="shared" si="32"/>
        <v>0</v>
      </c>
      <c r="L81" s="580">
        <f>L75+L76+L78+L79</f>
        <v>1437380</v>
      </c>
      <c r="M81" s="438"/>
      <c r="N81" s="439"/>
      <c r="O81" s="439"/>
      <c r="P81" s="580">
        <f ca="1">P75+P76+P78+P79</f>
        <v>50857.622281000018</v>
      </c>
      <c r="Q81" s="580">
        <f ca="1">Q75+Q76+Q78+Q79</f>
        <v>1488237.622281</v>
      </c>
      <c r="R81" s="561"/>
      <c r="S81" s="578"/>
      <c r="T81" s="578"/>
      <c r="U81" s="561"/>
      <c r="V81" s="578">
        <f>V75+V76+V78+V79</f>
        <v>0</v>
      </c>
      <c r="W81" s="578">
        <f>W75+W76+W78+W79</f>
        <v>0</v>
      </c>
      <c r="X81" s="561"/>
      <c r="Y81" s="580">
        <f ca="1">Y75+Y76+Y78+Y79+Y80</f>
        <v>1397320.4998981643</v>
      </c>
      <c r="Z81" s="608"/>
    </row>
    <row r="82" spans="1:27" s="433" customFormat="1" ht="15.75" thickTop="1">
      <c r="A82" s="606"/>
      <c r="B82" s="606"/>
      <c r="C82" s="606"/>
      <c r="D82" s="606"/>
      <c r="E82" s="606"/>
      <c r="F82" s="606"/>
      <c r="G82" s="606"/>
      <c r="H82" s="606"/>
      <c r="I82" s="606"/>
      <c r="J82" s="606"/>
      <c r="K82" s="606"/>
      <c r="L82" s="438"/>
      <c r="M82" s="438"/>
      <c r="N82" s="439"/>
      <c r="O82" s="439"/>
      <c r="P82" s="438"/>
      <c r="Q82" s="440"/>
      <c r="R82" s="437"/>
      <c r="S82" s="437"/>
      <c r="T82" s="437"/>
      <c r="U82" s="437"/>
      <c r="V82" s="437"/>
      <c r="W82" s="437"/>
      <c r="X82" s="437"/>
      <c r="Y82" s="440"/>
    </row>
    <row r="83" spans="1:27" s="433" customFormat="1" ht="15.75" customHeight="1">
      <c r="A83" s="638">
        <f ca="1">+MAX(OFFSET(A$1,0,0,ROW(A83)-ROW(A$1)))+1</f>
        <v>59</v>
      </c>
      <c r="B83" s="432" t="s">
        <v>30</v>
      </c>
      <c r="C83" s="432"/>
      <c r="D83" s="434"/>
      <c r="E83" s="444">
        <f>E57/E81</f>
        <v>7.4305872355526964E-2</v>
      </c>
      <c r="F83" s="456"/>
      <c r="G83" s="456"/>
      <c r="H83" s="456"/>
      <c r="I83" s="456"/>
      <c r="J83" s="456"/>
      <c r="K83" s="444"/>
      <c r="L83" s="233"/>
      <c r="M83" s="457"/>
      <c r="N83" s="439"/>
      <c r="O83" s="439"/>
      <c r="P83" s="439"/>
      <c r="Q83" s="458"/>
      <c r="R83" s="457"/>
      <c r="S83" s="444"/>
      <c r="T83" s="444"/>
      <c r="U83" s="444"/>
      <c r="V83" s="459">
        <f>((V81*Y86)-V57)/Y89</f>
        <v>0</v>
      </c>
      <c r="W83" s="459">
        <f>((W81*Y86)-W57)/Y89</f>
        <v>0</v>
      </c>
      <c r="X83" s="459"/>
      <c r="Y83" s="460">
        <f ca="1">Y57/Y81</f>
        <v>7.4592198630647269E-2</v>
      </c>
    </row>
    <row r="84" spans="1:27" s="468" customFormat="1" ht="15">
      <c r="A84" s="640"/>
      <c r="B84" s="445"/>
      <c r="C84" s="434"/>
      <c r="D84" s="434"/>
      <c r="E84" s="614"/>
      <c r="F84" s="641"/>
      <c r="G84" s="641"/>
      <c r="H84" s="641"/>
      <c r="I84" s="641"/>
      <c r="J84" s="641"/>
      <c r="K84" s="641"/>
      <c r="L84" s="640"/>
      <c r="M84" s="640"/>
      <c r="N84" s="614"/>
      <c r="O84" s="614"/>
      <c r="P84" s="445"/>
      <c r="Q84" s="642"/>
      <c r="R84" s="642"/>
      <c r="S84" s="437"/>
      <c r="T84" s="437"/>
      <c r="U84" s="437"/>
      <c r="V84" s="437"/>
      <c r="W84" s="437"/>
      <c r="X84" s="437"/>
      <c r="Y84" s="434"/>
      <c r="Z84" s="640"/>
      <c r="AA84" s="640"/>
    </row>
    <row r="85" spans="1:27" s="468" customFormat="1" ht="15.75" customHeight="1">
      <c r="A85" s="638">
        <f t="shared" ref="A85:A92" ca="1" si="34">+MAX(OFFSET(A$1,0,0,ROW(A85)-ROW(A$1)))+1</f>
        <v>60</v>
      </c>
      <c r="B85" s="655" t="s">
        <v>507</v>
      </c>
      <c r="C85" s="648"/>
      <c r="D85" s="648"/>
      <c r="E85" s="649"/>
      <c r="F85" s="650"/>
      <c r="G85" s="650"/>
      <c r="H85" s="650"/>
      <c r="I85" s="650"/>
      <c r="J85" s="650"/>
      <c r="K85" s="650"/>
      <c r="L85" s="651"/>
      <c r="M85" s="651"/>
      <c r="N85" s="652"/>
      <c r="O85" s="652"/>
      <c r="P85" s="652"/>
      <c r="Q85" s="648"/>
      <c r="R85" s="648"/>
      <c r="S85" s="653"/>
      <c r="T85" s="653"/>
      <c r="U85" s="653"/>
      <c r="V85" s="653"/>
      <c r="W85" s="653"/>
      <c r="X85" s="653"/>
      <c r="Y85" s="654"/>
      <c r="Z85" s="640"/>
      <c r="AA85" s="640"/>
    </row>
    <row r="86" spans="1:27" s="468" customFormat="1" ht="15.75" customHeight="1">
      <c r="A86" s="638">
        <f t="shared" ca="1" si="34"/>
        <v>61</v>
      </c>
      <c r="B86" s="644" t="s">
        <v>119</v>
      </c>
      <c r="C86" s="461"/>
      <c r="D86" s="462"/>
      <c r="E86" s="444"/>
      <c r="F86" s="463"/>
      <c r="G86" s="463"/>
      <c r="H86" s="463"/>
      <c r="I86" s="463"/>
      <c r="J86" s="463"/>
      <c r="K86" s="463"/>
      <c r="L86" s="463"/>
      <c r="M86" s="463"/>
      <c r="N86" s="463"/>
      <c r="O86" s="463"/>
      <c r="P86" s="463"/>
      <c r="Q86" s="463"/>
      <c r="R86" s="463"/>
      <c r="S86" s="463"/>
      <c r="T86" s="463"/>
      <c r="U86" s="463"/>
      <c r="V86" s="463"/>
      <c r="W86" s="463"/>
      <c r="X86" s="463"/>
      <c r="Y86" s="552">
        <f>'2) ROR'!F15</f>
        <v>7.0800000000000002E-2</v>
      </c>
      <c r="Z86" s="640"/>
      <c r="AA86" s="640"/>
    </row>
    <row r="87" spans="1:27" s="468" customFormat="1" ht="15.75" customHeight="1">
      <c r="A87" s="638">
        <f t="shared" ca="1" si="34"/>
        <v>62</v>
      </c>
      <c r="B87" s="644" t="s">
        <v>131</v>
      </c>
      <c r="C87" s="464"/>
      <c r="D87" s="462"/>
      <c r="E87" s="437"/>
      <c r="F87" s="463"/>
      <c r="G87" s="463"/>
      <c r="H87" s="463"/>
      <c r="I87" s="463"/>
      <c r="J87" s="463"/>
      <c r="K87" s="463"/>
      <c r="L87" s="463"/>
      <c r="M87" s="463"/>
      <c r="N87" s="463"/>
      <c r="O87" s="463"/>
      <c r="P87" s="463"/>
      <c r="Q87" s="463"/>
      <c r="R87" s="463"/>
      <c r="S87" s="463"/>
      <c r="T87" s="463"/>
      <c r="U87" s="463"/>
      <c r="V87" s="463"/>
      <c r="W87" s="463"/>
      <c r="X87" s="463"/>
      <c r="Y87" s="645">
        <f ca="1">Y86*Y81</f>
        <v>98930.291392790037</v>
      </c>
      <c r="Z87" s="640"/>
      <c r="AA87" s="640"/>
    </row>
    <row r="88" spans="1:27" s="468" customFormat="1" ht="15.75" customHeight="1">
      <c r="A88" s="638">
        <f t="shared" ca="1" si="34"/>
        <v>63</v>
      </c>
      <c r="B88" s="644" t="s">
        <v>121</v>
      </c>
      <c r="C88" s="461"/>
      <c r="D88" s="461"/>
      <c r="E88" s="437"/>
      <c r="F88" s="463"/>
      <c r="G88" s="463"/>
      <c r="H88" s="463"/>
      <c r="I88" s="463"/>
      <c r="J88" s="463"/>
      <c r="K88" s="463"/>
      <c r="L88" s="463"/>
      <c r="M88" s="463"/>
      <c r="N88" s="463"/>
      <c r="O88" s="463"/>
      <c r="P88" s="463"/>
      <c r="Q88" s="463"/>
      <c r="R88" s="463"/>
      <c r="S88" s="463"/>
      <c r="T88" s="463"/>
      <c r="U88" s="463"/>
      <c r="V88" s="463"/>
      <c r="W88" s="463"/>
      <c r="X88" s="463"/>
      <c r="Y88" s="645">
        <f ca="1">Y87-Y57</f>
        <v>-5298.9168862891675</v>
      </c>
      <c r="Z88" s="640"/>
      <c r="AA88" s="640"/>
    </row>
    <row r="89" spans="1:27" s="468" customFormat="1" ht="15.75" customHeight="1">
      <c r="A89" s="638">
        <f t="shared" ca="1" si="34"/>
        <v>64</v>
      </c>
      <c r="B89" s="644" t="s">
        <v>74</v>
      </c>
      <c r="C89" s="461"/>
      <c r="D89" s="461"/>
      <c r="E89" s="465"/>
      <c r="F89" s="463"/>
      <c r="G89" s="463"/>
      <c r="H89" s="463"/>
      <c r="I89" s="463"/>
      <c r="J89" s="463"/>
      <c r="K89" s="463"/>
      <c r="L89" s="463"/>
      <c r="M89" s="463"/>
      <c r="N89" s="463"/>
      <c r="O89" s="463"/>
      <c r="P89" s="463"/>
      <c r="Q89" s="463"/>
      <c r="R89" s="463"/>
      <c r="S89" s="463"/>
      <c r="T89" s="463"/>
      <c r="U89" s="463"/>
      <c r="V89" s="463"/>
      <c r="W89" s="463"/>
      <c r="X89" s="463"/>
      <c r="Y89" s="615">
        <f>'2) ROR'!N24</f>
        <v>0.61941299999999999</v>
      </c>
      <c r="Z89" s="640"/>
      <c r="AA89" s="640"/>
    </row>
    <row r="90" spans="1:27" s="468" customFormat="1" ht="15.75" customHeight="1">
      <c r="A90" s="638">
        <f t="shared" ca="1" si="34"/>
        <v>65</v>
      </c>
      <c r="B90" s="644" t="s">
        <v>29</v>
      </c>
      <c r="C90" s="461"/>
      <c r="D90" s="461"/>
      <c r="E90" s="437"/>
      <c r="F90" s="463"/>
      <c r="G90" s="463"/>
      <c r="H90" s="463"/>
      <c r="I90" s="463"/>
      <c r="J90" s="463"/>
      <c r="K90" s="463"/>
      <c r="L90" s="463"/>
      <c r="M90" s="463"/>
      <c r="N90" s="463"/>
      <c r="O90" s="463"/>
      <c r="P90" s="463"/>
      <c r="Q90" s="463"/>
      <c r="R90" s="463"/>
      <c r="S90" s="463"/>
      <c r="T90" s="463"/>
      <c r="U90" s="463"/>
      <c r="V90" s="463"/>
      <c r="W90" s="463"/>
      <c r="X90" s="463"/>
      <c r="Y90" s="645">
        <f ca="1">Y88/Y89</f>
        <v>-8554.7395458105784</v>
      </c>
      <c r="Z90" s="640"/>
      <c r="AA90" s="640"/>
    </row>
    <row r="91" spans="1:27" s="433" customFormat="1" ht="15.75" customHeight="1">
      <c r="A91" s="638">
        <f t="shared" ca="1" si="34"/>
        <v>66</v>
      </c>
      <c r="B91" s="644" t="s">
        <v>77</v>
      </c>
      <c r="C91" s="461"/>
      <c r="D91" s="461"/>
      <c r="E91" s="466"/>
      <c r="F91" s="463"/>
      <c r="G91" s="463"/>
      <c r="H91" s="463"/>
      <c r="I91" s="463"/>
      <c r="J91" s="463"/>
      <c r="K91" s="463"/>
      <c r="L91" s="463"/>
      <c r="M91" s="463"/>
      <c r="N91" s="463"/>
      <c r="O91" s="463"/>
      <c r="P91" s="463"/>
      <c r="Q91" s="463"/>
      <c r="R91" s="463"/>
      <c r="S91" s="463"/>
      <c r="T91" s="463"/>
      <c r="U91" s="463"/>
      <c r="V91" s="463"/>
      <c r="W91" s="463"/>
      <c r="X91" s="463"/>
      <c r="Y91" s="616">
        <f>+N9+1</f>
        <v>1.0102604311659753</v>
      </c>
      <c r="Z91" s="434"/>
      <c r="AA91" s="434"/>
    </row>
    <row r="92" spans="1:27" s="433" customFormat="1" ht="18" customHeight="1">
      <c r="A92" s="638">
        <f t="shared" ca="1" si="34"/>
        <v>67</v>
      </c>
      <c r="B92" s="646" t="s">
        <v>508</v>
      </c>
      <c r="C92" s="553"/>
      <c r="D92" s="554"/>
      <c r="E92" s="555"/>
      <c r="F92" s="556"/>
      <c r="G92" s="556"/>
      <c r="H92" s="556"/>
      <c r="I92" s="556"/>
      <c r="J92" s="556"/>
      <c r="K92" s="556"/>
      <c r="L92" s="556"/>
      <c r="M92" s="556"/>
      <c r="N92" s="556"/>
      <c r="O92" s="556"/>
      <c r="P92" s="556"/>
      <c r="Q92" s="556"/>
      <c r="R92" s="556"/>
      <c r="S92" s="556"/>
      <c r="T92" s="556"/>
      <c r="U92" s="556"/>
      <c r="V92" s="556"/>
      <c r="W92" s="556"/>
      <c r="X92" s="556"/>
      <c r="Y92" s="647">
        <f ca="1">Y90/Y91</f>
        <v>-8467.855695325281</v>
      </c>
      <c r="Z92" s="434"/>
      <c r="AA92" s="434"/>
    </row>
    <row r="93" spans="1:27" ht="3.75" customHeight="1">
      <c r="A93" s="643"/>
      <c r="B93" s="461"/>
      <c r="C93" s="461"/>
      <c r="D93" s="461"/>
      <c r="E93" s="461"/>
      <c r="F93" s="444"/>
      <c r="G93" s="444"/>
      <c r="H93" s="444"/>
      <c r="I93" s="444"/>
      <c r="J93" s="444"/>
      <c r="K93" s="444"/>
      <c r="L93" s="467"/>
      <c r="M93" s="467"/>
      <c r="N93" s="444"/>
      <c r="O93" s="444"/>
      <c r="P93" s="444"/>
      <c r="Q93" s="434"/>
      <c r="R93" s="434"/>
      <c r="S93" s="434"/>
      <c r="T93" s="434"/>
      <c r="U93" s="434"/>
      <c r="V93" s="434"/>
      <c r="W93" s="434"/>
      <c r="X93" s="434"/>
      <c r="Y93" s="434"/>
      <c r="Z93" s="36"/>
      <c r="AA93" s="36"/>
    </row>
    <row r="94" spans="1:27" ht="11.1" customHeight="1">
      <c r="A94" s="643"/>
      <c r="B94" s="36"/>
      <c r="C94" s="36"/>
      <c r="E94" s="36"/>
      <c r="F94" s="36"/>
      <c r="G94" s="36"/>
      <c r="H94" s="36"/>
      <c r="I94" s="36"/>
      <c r="J94" s="36"/>
      <c r="K94" s="36"/>
      <c r="L94" s="62"/>
      <c r="M94" s="62"/>
      <c r="N94" s="36"/>
      <c r="O94" s="36"/>
      <c r="P94" s="36"/>
      <c r="Q94" s="36"/>
      <c r="R94" s="36"/>
      <c r="S94" s="36"/>
      <c r="T94" s="36"/>
      <c r="U94" s="36"/>
      <c r="V94" s="36"/>
      <c r="W94" s="36"/>
      <c r="X94" s="36"/>
      <c r="Y94" s="36"/>
      <c r="Z94" s="36"/>
      <c r="AA94" s="36"/>
    </row>
    <row r="95" spans="1:27" ht="15.6" customHeight="1">
      <c r="C95" s="39"/>
      <c r="E95" s="36"/>
      <c r="F95" s="39"/>
      <c r="G95" s="39"/>
      <c r="H95" s="39"/>
      <c r="I95" s="39"/>
      <c r="J95" s="39"/>
      <c r="K95" s="39"/>
      <c r="L95" s="105"/>
      <c r="M95" s="61"/>
      <c r="N95" s="36"/>
      <c r="O95" s="36"/>
      <c r="P95" s="36"/>
      <c r="Q95" s="39"/>
      <c r="R95" s="39"/>
      <c r="T95" s="39"/>
      <c r="U95" s="39"/>
      <c r="V95" s="39"/>
      <c r="W95" s="39"/>
      <c r="X95" s="39"/>
      <c r="Y95" s="106"/>
    </row>
    <row r="96" spans="1:27" ht="11.1" customHeight="1">
      <c r="C96" s="39"/>
      <c r="E96" s="36"/>
      <c r="F96" s="39"/>
      <c r="G96" s="39"/>
      <c r="H96" s="39"/>
      <c r="I96" s="39"/>
      <c r="J96" s="39"/>
      <c r="K96" s="39"/>
      <c r="L96" s="61"/>
      <c r="M96" s="61"/>
      <c r="N96" s="36"/>
      <c r="O96" s="36"/>
      <c r="P96" s="36"/>
      <c r="Q96" s="39"/>
      <c r="R96" s="39"/>
      <c r="T96" s="39"/>
      <c r="U96" s="39"/>
      <c r="V96" s="39"/>
      <c r="W96" s="39"/>
      <c r="X96" s="39"/>
      <c r="Y96" s="39"/>
    </row>
    <row r="97" spans="3:25" ht="15.75">
      <c r="C97" s="39"/>
      <c r="E97" s="36"/>
      <c r="F97" s="39"/>
      <c r="G97" s="39"/>
      <c r="H97" s="39"/>
      <c r="I97" s="39"/>
      <c r="J97" s="39"/>
      <c r="K97" s="39"/>
      <c r="L97" s="105"/>
      <c r="M97" s="61"/>
      <c r="N97" s="36"/>
      <c r="O97" s="36"/>
      <c r="P97" s="36"/>
      <c r="Q97" s="39"/>
      <c r="R97" s="39"/>
      <c r="T97" s="39"/>
      <c r="U97" s="39"/>
      <c r="V97" s="39"/>
      <c r="W97" s="39"/>
      <c r="X97" s="39"/>
      <c r="Y97" s="40"/>
    </row>
    <row r="98" spans="3:25" ht="15.75">
      <c r="C98" s="39"/>
      <c r="E98" s="36"/>
      <c r="F98" s="39"/>
      <c r="G98" s="39"/>
      <c r="H98" s="39"/>
      <c r="I98" s="39"/>
      <c r="J98" s="39"/>
      <c r="K98" s="39"/>
      <c r="L98" s="206"/>
      <c r="M98" s="61"/>
      <c r="N98" s="36"/>
      <c r="O98" s="36"/>
      <c r="P98" s="36"/>
      <c r="Q98" s="39"/>
      <c r="R98" s="39"/>
      <c r="T98" s="39"/>
      <c r="U98" s="39"/>
      <c r="V98" s="39"/>
      <c r="W98" s="39"/>
      <c r="X98" s="39"/>
      <c r="Y98" s="39"/>
    </row>
    <row r="99" spans="3:25" ht="15.75">
      <c r="C99" s="39"/>
      <c r="E99" s="36"/>
      <c r="F99" s="39"/>
      <c r="G99" s="39"/>
      <c r="H99" s="39"/>
      <c r="I99" s="39"/>
      <c r="J99" s="39"/>
      <c r="K99" s="39"/>
      <c r="L99" s="206"/>
      <c r="M99" s="61"/>
      <c r="N99" s="36"/>
      <c r="O99" s="36"/>
      <c r="P99" s="36"/>
      <c r="Q99" s="39"/>
      <c r="R99" s="39"/>
      <c r="T99" s="39"/>
      <c r="U99" s="39"/>
      <c r="V99" s="39"/>
      <c r="W99" s="39"/>
      <c r="X99" s="39"/>
      <c r="Y99" s="39"/>
    </row>
    <row r="100" spans="3:25" ht="15.75">
      <c r="C100" s="39"/>
      <c r="E100" s="36"/>
      <c r="F100" s="39"/>
      <c r="G100" s="39"/>
      <c r="H100" s="39"/>
      <c r="I100" s="39"/>
      <c r="J100" s="39"/>
      <c r="K100" s="39"/>
      <c r="L100" s="107"/>
      <c r="M100" s="61"/>
      <c r="N100" s="36"/>
      <c r="O100" s="36"/>
      <c r="P100" s="36"/>
      <c r="Q100" s="39"/>
      <c r="R100" s="39"/>
      <c r="T100" s="39"/>
      <c r="U100" s="39"/>
      <c r="V100" s="39"/>
      <c r="W100" s="39"/>
      <c r="X100" s="39"/>
      <c r="Y100" s="39"/>
    </row>
    <row r="101" spans="3:25" ht="15.75">
      <c r="C101" s="39"/>
      <c r="E101" s="36"/>
      <c r="F101" s="39"/>
      <c r="G101" s="39"/>
      <c r="H101" s="39"/>
      <c r="I101" s="39"/>
      <c r="J101" s="39"/>
      <c r="K101" s="39"/>
      <c r="L101" s="206"/>
      <c r="M101" s="61"/>
      <c r="N101" s="36"/>
      <c r="O101" s="36"/>
      <c r="P101" s="36"/>
      <c r="Q101" s="39"/>
      <c r="R101" s="39"/>
      <c r="T101" s="39"/>
      <c r="U101" s="39"/>
      <c r="V101" s="39"/>
      <c r="W101" s="39"/>
      <c r="X101" s="39"/>
      <c r="Y101" s="39"/>
    </row>
    <row r="102" spans="3:25" ht="11.1" customHeight="1">
      <c r="C102" s="39"/>
      <c r="E102" s="36"/>
      <c r="F102" s="39"/>
      <c r="G102" s="39"/>
      <c r="H102" s="39"/>
      <c r="I102" s="39"/>
      <c r="J102" s="39"/>
      <c r="K102" s="39"/>
      <c r="L102" s="61"/>
      <c r="M102" s="61"/>
      <c r="N102" s="36"/>
      <c r="O102" s="36"/>
      <c r="P102" s="36"/>
      <c r="Q102" s="39"/>
      <c r="R102" s="39"/>
      <c r="T102" s="39"/>
      <c r="U102" s="39"/>
      <c r="V102" s="39"/>
      <c r="W102" s="39"/>
      <c r="X102" s="39"/>
      <c r="Y102" s="39"/>
    </row>
    <row r="103" spans="3:25" ht="11.1" customHeight="1">
      <c r="C103" s="39"/>
      <c r="E103" s="36"/>
      <c r="F103" s="39"/>
      <c r="G103" s="39"/>
      <c r="H103" s="39"/>
      <c r="I103" s="39"/>
      <c r="J103" s="39"/>
      <c r="K103" s="39"/>
      <c r="L103" s="61"/>
      <c r="M103" s="61"/>
      <c r="N103" s="36"/>
      <c r="O103" s="36"/>
      <c r="P103" s="36"/>
      <c r="Q103" s="39"/>
      <c r="R103" s="39"/>
      <c r="T103" s="39"/>
      <c r="U103" s="39"/>
      <c r="V103" s="39"/>
      <c r="W103" s="39"/>
      <c r="X103" s="39"/>
      <c r="Y103" s="39"/>
    </row>
    <row r="104" spans="3:25" ht="11.1" customHeight="1">
      <c r="C104" s="39"/>
      <c r="E104" s="36"/>
      <c r="F104" s="39"/>
      <c r="G104" s="39"/>
      <c r="H104" s="39"/>
      <c r="I104" s="39"/>
      <c r="J104" s="39"/>
      <c r="K104" s="39"/>
      <c r="L104" s="61"/>
      <c r="M104" s="61"/>
      <c r="N104" s="36"/>
      <c r="O104" s="36"/>
      <c r="P104" s="36"/>
      <c r="Q104" s="39"/>
      <c r="R104" s="39"/>
      <c r="T104" s="39"/>
      <c r="U104" s="39"/>
      <c r="V104" s="39"/>
      <c r="W104" s="39"/>
      <c r="X104" s="39"/>
      <c r="Y104" s="39"/>
    </row>
    <row r="105" spans="3:25" ht="11.1" customHeight="1">
      <c r="C105" s="39"/>
      <c r="E105" s="36"/>
      <c r="F105" s="39"/>
      <c r="G105" s="39"/>
      <c r="H105" s="39"/>
      <c r="I105" s="39"/>
      <c r="J105" s="39"/>
      <c r="K105" s="39"/>
      <c r="L105" s="61"/>
      <c r="M105" s="61"/>
      <c r="N105" s="36"/>
      <c r="O105" s="36"/>
      <c r="P105" s="36"/>
      <c r="Q105" s="39"/>
      <c r="R105" s="39"/>
      <c r="T105" s="39"/>
      <c r="U105" s="39"/>
      <c r="V105" s="39"/>
      <c r="W105" s="39"/>
      <c r="X105" s="39"/>
      <c r="Y105" s="39"/>
    </row>
    <row r="106" spans="3:25" ht="11.1" customHeight="1">
      <c r="C106" s="39"/>
      <c r="E106" s="36"/>
      <c r="G106" s="76"/>
      <c r="H106" s="76"/>
      <c r="I106" s="76"/>
      <c r="J106" s="76"/>
      <c r="K106" s="76"/>
      <c r="L106" s="37"/>
      <c r="M106" s="37"/>
      <c r="N106" s="38"/>
      <c r="O106" s="38"/>
      <c r="P106" s="38"/>
      <c r="Q106" s="39"/>
      <c r="R106" s="39"/>
      <c r="T106" s="39"/>
      <c r="U106" s="39"/>
      <c r="V106" s="39"/>
      <c r="W106" s="39"/>
      <c r="X106" s="39"/>
      <c r="Y106" s="39"/>
    </row>
    <row r="107" spans="3:25" ht="11.1" customHeight="1">
      <c r="C107" s="39"/>
      <c r="E107" s="36"/>
      <c r="G107" s="76"/>
      <c r="H107" s="76"/>
      <c r="I107" s="76"/>
      <c r="J107" s="76"/>
      <c r="K107" s="76"/>
      <c r="L107" s="37"/>
      <c r="M107" s="37"/>
      <c r="N107" s="38"/>
      <c r="O107" s="38"/>
      <c r="P107" s="38"/>
      <c r="Q107" s="39"/>
      <c r="R107" s="39"/>
      <c r="T107" s="39"/>
      <c r="U107" s="39"/>
      <c r="V107" s="39"/>
      <c r="W107" s="39"/>
      <c r="X107" s="39"/>
      <c r="Y107" s="39"/>
    </row>
    <row r="108" spans="3:25" ht="11.1" customHeight="1">
      <c r="C108" s="39"/>
      <c r="E108" s="36"/>
      <c r="G108" s="76"/>
      <c r="H108" s="76"/>
      <c r="I108" s="76"/>
      <c r="J108" s="76"/>
      <c r="K108" s="76"/>
      <c r="L108" s="37"/>
      <c r="M108" s="37"/>
      <c r="N108" s="38"/>
      <c r="O108" s="38"/>
      <c r="P108" s="38"/>
      <c r="Q108" s="39"/>
      <c r="R108" s="39"/>
      <c r="T108" s="39"/>
      <c r="U108" s="39"/>
      <c r="V108" s="39"/>
      <c r="W108" s="39"/>
      <c r="X108" s="39"/>
      <c r="Y108" s="39"/>
    </row>
    <row r="109" spans="3:25" ht="11.1" customHeight="1">
      <c r="C109" s="39"/>
      <c r="E109" s="36"/>
      <c r="G109" s="76"/>
      <c r="H109" s="76"/>
      <c r="I109" s="76"/>
      <c r="J109" s="76"/>
      <c r="K109" s="76"/>
      <c r="L109" s="37"/>
      <c r="M109" s="37"/>
      <c r="N109" s="38"/>
      <c r="O109" s="38"/>
      <c r="P109" s="38"/>
      <c r="Q109" s="39"/>
      <c r="R109" s="39"/>
      <c r="T109" s="39"/>
      <c r="U109" s="39"/>
      <c r="V109" s="39"/>
      <c r="W109" s="39"/>
      <c r="X109" s="39"/>
      <c r="Y109" s="39"/>
    </row>
    <row r="110" spans="3:25" ht="11.1" customHeight="1">
      <c r="C110" s="39"/>
      <c r="E110" s="36"/>
      <c r="G110" s="76"/>
      <c r="H110" s="76"/>
      <c r="I110" s="76"/>
      <c r="J110" s="76"/>
      <c r="K110" s="76"/>
      <c r="L110" s="37"/>
      <c r="M110" s="37"/>
      <c r="N110" s="38"/>
      <c r="O110" s="38"/>
      <c r="P110" s="38"/>
      <c r="Q110" s="39"/>
      <c r="R110" s="39"/>
      <c r="T110" s="39"/>
      <c r="U110" s="39"/>
      <c r="V110" s="39"/>
      <c r="W110" s="39"/>
      <c r="X110" s="39"/>
      <c r="Y110" s="39"/>
    </row>
    <row r="111" spans="3:25" ht="11.1" customHeight="1">
      <c r="C111" s="39"/>
      <c r="E111" s="36"/>
      <c r="G111" s="76"/>
      <c r="H111" s="76"/>
      <c r="I111" s="76"/>
      <c r="J111" s="76"/>
      <c r="K111" s="76"/>
      <c r="L111" s="37"/>
      <c r="M111" s="37"/>
      <c r="N111" s="38"/>
      <c r="O111" s="38"/>
      <c r="P111" s="38"/>
      <c r="Q111" s="39"/>
      <c r="R111" s="39"/>
      <c r="T111" s="39"/>
      <c r="U111" s="39"/>
      <c r="V111" s="39"/>
      <c r="W111" s="39"/>
      <c r="X111" s="39"/>
      <c r="Y111" s="39"/>
    </row>
    <row r="112" spans="3:25" ht="11.1" customHeight="1">
      <c r="C112" s="39"/>
      <c r="E112" s="36"/>
      <c r="G112" s="76"/>
      <c r="H112" s="76"/>
      <c r="I112" s="76"/>
      <c r="J112" s="76"/>
      <c r="K112" s="76"/>
      <c r="L112" s="37"/>
      <c r="M112" s="37"/>
      <c r="N112" s="38"/>
      <c r="O112" s="38"/>
      <c r="P112" s="38"/>
      <c r="Q112" s="39"/>
      <c r="R112" s="39"/>
      <c r="T112" s="39"/>
      <c r="U112" s="39"/>
      <c r="V112" s="39"/>
      <c r="W112" s="39"/>
      <c r="X112" s="39"/>
      <c r="Y112" s="39"/>
    </row>
    <row r="113" spans="3:25" ht="11.1" customHeight="1">
      <c r="C113" s="39"/>
      <c r="E113" s="36"/>
      <c r="G113" s="76"/>
      <c r="H113" s="76"/>
      <c r="I113" s="76"/>
      <c r="J113" s="76"/>
      <c r="K113" s="76"/>
      <c r="L113" s="37"/>
      <c r="M113" s="37"/>
      <c r="N113" s="38"/>
      <c r="O113" s="38"/>
      <c r="P113" s="38"/>
      <c r="Q113" s="39"/>
      <c r="R113" s="39"/>
      <c r="T113" s="39"/>
      <c r="U113" s="39"/>
      <c r="V113" s="39"/>
      <c r="W113" s="39"/>
      <c r="X113" s="39"/>
      <c r="Y113" s="39"/>
    </row>
    <row r="114" spans="3:25" ht="11.1" customHeight="1">
      <c r="C114" s="39"/>
      <c r="E114" s="36"/>
      <c r="G114" s="76"/>
      <c r="H114" s="76"/>
      <c r="I114" s="76"/>
      <c r="J114" s="76"/>
      <c r="K114" s="76"/>
      <c r="L114" s="37"/>
      <c r="M114" s="37"/>
      <c r="N114" s="38"/>
      <c r="O114" s="38"/>
      <c r="P114" s="38"/>
      <c r="Q114" s="39"/>
      <c r="R114" s="39"/>
      <c r="T114" s="39"/>
      <c r="U114" s="39"/>
      <c r="V114" s="39"/>
      <c r="W114" s="39"/>
      <c r="X114" s="39"/>
      <c r="Y114" s="39"/>
    </row>
    <row r="115" spans="3:25" ht="11.1" customHeight="1">
      <c r="C115" s="39"/>
      <c r="E115" s="36"/>
      <c r="G115" s="76"/>
      <c r="H115" s="76"/>
      <c r="I115" s="76"/>
      <c r="J115" s="76"/>
      <c r="K115" s="76"/>
      <c r="L115" s="37"/>
      <c r="M115" s="37"/>
      <c r="N115" s="38"/>
      <c r="O115" s="38"/>
      <c r="P115" s="38"/>
      <c r="Q115" s="39"/>
      <c r="R115" s="39"/>
      <c r="T115" s="39"/>
      <c r="U115" s="39"/>
      <c r="V115" s="39"/>
      <c r="W115" s="39"/>
      <c r="X115" s="39"/>
      <c r="Y115" s="39"/>
    </row>
    <row r="116" spans="3:25" ht="11.1" customHeight="1">
      <c r="C116" s="39"/>
      <c r="E116" s="36"/>
      <c r="G116" s="76"/>
      <c r="H116" s="76"/>
      <c r="I116" s="76"/>
      <c r="J116" s="76"/>
      <c r="K116" s="76"/>
      <c r="L116" s="37"/>
      <c r="M116" s="37"/>
      <c r="N116" s="38"/>
      <c r="O116" s="38"/>
      <c r="P116" s="38"/>
      <c r="Q116" s="39"/>
      <c r="R116" s="39"/>
      <c r="T116" s="39"/>
      <c r="U116" s="39"/>
      <c r="V116" s="39"/>
      <c r="W116" s="39"/>
      <c r="X116" s="39"/>
      <c r="Y116" s="39"/>
    </row>
    <row r="117" spans="3:25" ht="11.1" customHeight="1">
      <c r="C117" s="39"/>
      <c r="E117" s="36"/>
      <c r="G117" s="76"/>
      <c r="H117" s="76"/>
      <c r="I117" s="76"/>
      <c r="J117" s="76"/>
      <c r="K117" s="76"/>
      <c r="L117" s="37"/>
      <c r="M117" s="37"/>
      <c r="N117" s="38"/>
      <c r="O117" s="38"/>
      <c r="P117" s="38"/>
      <c r="Q117" s="39"/>
      <c r="R117" s="39"/>
      <c r="T117" s="39"/>
      <c r="U117" s="39"/>
      <c r="V117" s="39"/>
      <c r="W117" s="39"/>
      <c r="X117" s="39"/>
      <c r="Y117" s="39"/>
    </row>
    <row r="118" spans="3:25" ht="11.1" customHeight="1">
      <c r="C118" s="39"/>
      <c r="E118" s="36"/>
      <c r="G118" s="76"/>
      <c r="H118" s="76"/>
      <c r="I118" s="76"/>
      <c r="J118" s="76"/>
      <c r="K118" s="76"/>
      <c r="L118" s="37"/>
      <c r="M118" s="37"/>
      <c r="N118" s="38"/>
      <c r="O118" s="38"/>
      <c r="P118" s="38"/>
      <c r="Q118" s="39"/>
      <c r="R118" s="39"/>
      <c r="T118" s="39"/>
      <c r="U118" s="39"/>
      <c r="V118" s="39"/>
      <c r="W118" s="39"/>
      <c r="X118" s="39"/>
      <c r="Y118" s="39"/>
    </row>
    <row r="119" spans="3:25" ht="11.1" customHeight="1">
      <c r="C119" s="39"/>
      <c r="E119" s="36"/>
      <c r="G119" s="76"/>
      <c r="H119" s="76"/>
      <c r="I119" s="76"/>
      <c r="J119" s="76"/>
      <c r="K119" s="76"/>
      <c r="L119" s="37"/>
      <c r="M119" s="37"/>
      <c r="N119" s="38"/>
      <c r="O119" s="38"/>
      <c r="P119" s="38"/>
      <c r="Q119" s="39"/>
      <c r="R119" s="39"/>
      <c r="T119" s="39"/>
      <c r="U119" s="39"/>
      <c r="V119" s="39"/>
      <c r="W119" s="39"/>
      <c r="X119" s="39"/>
      <c r="Y119" s="39"/>
    </row>
    <row r="120" spans="3:25" ht="11.1" customHeight="1">
      <c r="C120" s="39"/>
      <c r="E120" s="36"/>
      <c r="G120" s="76"/>
      <c r="H120" s="76"/>
      <c r="I120" s="76"/>
      <c r="J120" s="76"/>
      <c r="K120" s="76"/>
      <c r="L120" s="37"/>
      <c r="M120" s="37"/>
      <c r="N120" s="38"/>
      <c r="O120" s="38"/>
      <c r="P120" s="38"/>
      <c r="Q120" s="39"/>
      <c r="R120" s="39"/>
      <c r="T120" s="39"/>
      <c r="U120" s="39"/>
      <c r="V120" s="39"/>
      <c r="W120" s="39"/>
      <c r="X120" s="39"/>
      <c r="Y120" s="39"/>
    </row>
    <row r="121" spans="3:25" ht="11.1" customHeight="1">
      <c r="C121" s="39"/>
      <c r="E121" s="36"/>
      <c r="G121" s="76"/>
      <c r="H121" s="76"/>
      <c r="I121" s="76"/>
      <c r="J121" s="76"/>
      <c r="K121" s="76"/>
      <c r="L121" s="37"/>
      <c r="M121" s="37"/>
      <c r="N121" s="38"/>
      <c r="O121" s="38"/>
      <c r="P121" s="38"/>
      <c r="Q121" s="39"/>
      <c r="R121" s="39"/>
      <c r="T121" s="39"/>
      <c r="U121" s="39"/>
      <c r="V121" s="39"/>
      <c r="W121" s="39"/>
      <c r="X121" s="39"/>
      <c r="Y121" s="39"/>
    </row>
    <row r="122" spans="3:25" ht="11.1" customHeight="1">
      <c r="C122" s="39"/>
      <c r="E122" s="36"/>
      <c r="G122" s="76"/>
      <c r="H122" s="76"/>
      <c r="I122" s="76"/>
      <c r="J122" s="76"/>
      <c r="K122" s="76"/>
      <c r="L122" s="37"/>
      <c r="M122" s="37"/>
      <c r="N122" s="38"/>
      <c r="O122" s="38"/>
      <c r="P122" s="38"/>
      <c r="Q122" s="39"/>
      <c r="R122" s="39"/>
      <c r="T122" s="39"/>
      <c r="U122" s="39"/>
      <c r="V122" s="39"/>
      <c r="W122" s="39"/>
      <c r="X122" s="39"/>
      <c r="Y122" s="39"/>
    </row>
    <row r="123" spans="3:25" ht="11.1" customHeight="1">
      <c r="C123" s="39"/>
      <c r="E123" s="36"/>
      <c r="G123" s="76"/>
      <c r="H123" s="76"/>
      <c r="I123" s="76"/>
      <c r="J123" s="76"/>
      <c r="K123" s="76"/>
      <c r="L123" s="37"/>
      <c r="M123" s="37"/>
      <c r="N123" s="38"/>
      <c r="O123" s="38"/>
      <c r="P123" s="38"/>
      <c r="Q123" s="39"/>
      <c r="R123" s="39"/>
      <c r="T123" s="39"/>
      <c r="U123" s="39"/>
      <c r="V123" s="39"/>
      <c r="W123" s="39"/>
      <c r="X123" s="39"/>
      <c r="Y123" s="39"/>
    </row>
    <row r="124" spans="3:25" ht="11.1" customHeight="1">
      <c r="C124" s="39"/>
      <c r="E124" s="36"/>
      <c r="G124" s="76"/>
      <c r="H124" s="76"/>
      <c r="I124" s="76"/>
      <c r="J124" s="76"/>
      <c r="K124" s="76"/>
      <c r="L124" s="37"/>
      <c r="M124" s="37"/>
      <c r="N124" s="38"/>
      <c r="O124" s="38"/>
      <c r="P124" s="38"/>
      <c r="Q124" s="39"/>
      <c r="R124" s="39"/>
      <c r="T124" s="39"/>
      <c r="U124" s="39"/>
      <c r="V124" s="39"/>
      <c r="W124" s="39"/>
      <c r="X124" s="39"/>
      <c r="Y124" s="39"/>
    </row>
    <row r="125" spans="3:25" ht="11.1" customHeight="1">
      <c r="C125" s="39"/>
      <c r="E125" s="36"/>
      <c r="G125" s="76"/>
      <c r="H125" s="76"/>
      <c r="I125" s="76"/>
      <c r="J125" s="76"/>
      <c r="K125" s="76"/>
      <c r="L125" s="37"/>
      <c r="M125" s="37"/>
      <c r="N125" s="38"/>
      <c r="O125" s="38"/>
      <c r="P125" s="38"/>
      <c r="Q125" s="39"/>
      <c r="R125" s="39"/>
      <c r="T125" s="39"/>
      <c r="U125" s="39"/>
      <c r="V125" s="39"/>
      <c r="W125" s="39"/>
      <c r="X125" s="39"/>
      <c r="Y125" s="39"/>
    </row>
    <row r="126" spans="3:25" ht="11.1" customHeight="1">
      <c r="C126" s="39"/>
      <c r="E126" s="36"/>
      <c r="G126" s="76"/>
      <c r="H126" s="76"/>
      <c r="I126" s="76"/>
      <c r="J126" s="76"/>
      <c r="K126" s="76"/>
      <c r="L126" s="37"/>
      <c r="M126" s="37"/>
      <c r="N126" s="38"/>
      <c r="O126" s="38"/>
      <c r="P126" s="38"/>
      <c r="Q126" s="39"/>
      <c r="R126" s="39"/>
      <c r="T126" s="39"/>
      <c r="U126" s="39"/>
      <c r="V126" s="39"/>
      <c r="W126" s="39"/>
      <c r="X126" s="39"/>
      <c r="Y126" s="39"/>
    </row>
    <row r="127" spans="3:25" ht="11.1" customHeight="1">
      <c r="C127" s="39"/>
      <c r="E127" s="36"/>
      <c r="G127" s="76"/>
      <c r="H127" s="76"/>
      <c r="I127" s="76"/>
      <c r="J127" s="76"/>
      <c r="K127" s="76"/>
      <c r="L127" s="37"/>
      <c r="M127" s="37"/>
      <c r="N127" s="38"/>
      <c r="O127" s="38"/>
      <c r="P127" s="38"/>
      <c r="Q127" s="39"/>
      <c r="R127" s="39"/>
      <c r="T127" s="39"/>
      <c r="U127" s="39"/>
      <c r="V127" s="39"/>
      <c r="W127" s="39"/>
      <c r="X127" s="39"/>
      <c r="Y127" s="39"/>
    </row>
    <row r="128" spans="3:25" ht="11.1" customHeight="1">
      <c r="C128" s="39"/>
      <c r="E128" s="36"/>
      <c r="G128" s="76"/>
      <c r="H128" s="76"/>
      <c r="I128" s="76"/>
      <c r="J128" s="76"/>
      <c r="K128" s="76"/>
      <c r="L128" s="37"/>
      <c r="M128" s="37"/>
      <c r="N128" s="38"/>
      <c r="O128" s="38"/>
      <c r="P128" s="38"/>
      <c r="Q128" s="39"/>
      <c r="R128" s="39"/>
      <c r="T128" s="39"/>
      <c r="U128" s="39"/>
      <c r="V128" s="39"/>
      <c r="W128" s="39"/>
      <c r="X128" s="39"/>
      <c r="Y128" s="39"/>
    </row>
    <row r="129" spans="3:25" ht="11.1" customHeight="1">
      <c r="C129" s="39"/>
      <c r="E129" s="36"/>
      <c r="G129" s="76"/>
      <c r="H129" s="76"/>
      <c r="I129" s="76"/>
      <c r="J129" s="76"/>
      <c r="K129" s="76"/>
      <c r="L129" s="37"/>
      <c r="M129" s="37"/>
      <c r="N129" s="38"/>
      <c r="O129" s="38"/>
      <c r="P129" s="38"/>
      <c r="Q129" s="39"/>
      <c r="R129" s="39"/>
      <c r="T129" s="39"/>
      <c r="U129" s="39"/>
      <c r="V129" s="39"/>
      <c r="W129" s="39"/>
      <c r="X129" s="39"/>
      <c r="Y129" s="39"/>
    </row>
    <row r="130" spans="3:25" ht="11.1" customHeight="1">
      <c r="C130" s="39"/>
      <c r="E130" s="36"/>
      <c r="G130" s="76"/>
      <c r="H130" s="76"/>
      <c r="I130" s="76"/>
      <c r="J130" s="76"/>
      <c r="K130" s="76"/>
      <c r="L130" s="37"/>
      <c r="M130" s="37"/>
      <c r="N130" s="38"/>
      <c r="O130" s="38"/>
      <c r="P130" s="38"/>
      <c r="Q130" s="39"/>
      <c r="R130" s="39"/>
      <c r="T130" s="39"/>
      <c r="U130" s="39"/>
      <c r="V130" s="39"/>
      <c r="W130" s="39"/>
      <c r="X130" s="39"/>
      <c r="Y130" s="39"/>
    </row>
    <row r="131" spans="3:25" ht="11.1" customHeight="1">
      <c r="C131" s="39"/>
      <c r="E131" s="36"/>
      <c r="G131" s="76"/>
      <c r="H131" s="76"/>
      <c r="I131" s="76"/>
      <c r="J131" s="76"/>
      <c r="K131" s="76"/>
      <c r="L131" s="37"/>
      <c r="M131" s="37"/>
      <c r="N131" s="38"/>
      <c r="O131" s="38"/>
      <c r="P131" s="38"/>
      <c r="Q131" s="39"/>
      <c r="R131" s="39"/>
      <c r="T131" s="39"/>
      <c r="U131" s="39"/>
      <c r="V131" s="39"/>
      <c r="W131" s="39"/>
      <c r="X131" s="39"/>
      <c r="Y131" s="39"/>
    </row>
    <row r="132" spans="3:25" ht="11.1" customHeight="1">
      <c r="C132" s="39"/>
      <c r="E132" s="36"/>
      <c r="G132" s="76"/>
      <c r="H132" s="76"/>
      <c r="I132" s="76"/>
      <c r="J132" s="76"/>
      <c r="K132" s="76"/>
      <c r="L132" s="37"/>
      <c r="M132" s="37"/>
      <c r="N132" s="38"/>
      <c r="O132" s="38"/>
      <c r="P132" s="38"/>
      <c r="Q132" s="39"/>
      <c r="R132" s="39"/>
      <c r="T132" s="39"/>
      <c r="U132" s="39"/>
      <c r="V132" s="39"/>
      <c r="W132" s="39"/>
      <c r="X132" s="39"/>
      <c r="Y132" s="39"/>
    </row>
    <row r="133" spans="3:25" ht="11.1" customHeight="1">
      <c r="C133" s="39"/>
      <c r="E133" s="36"/>
      <c r="G133" s="76"/>
      <c r="H133" s="76"/>
      <c r="I133" s="76"/>
      <c r="J133" s="76"/>
      <c r="K133" s="76"/>
      <c r="L133" s="37"/>
      <c r="M133" s="37"/>
      <c r="N133" s="38"/>
      <c r="O133" s="38"/>
      <c r="P133" s="38"/>
      <c r="Q133" s="39"/>
      <c r="R133" s="39"/>
      <c r="T133" s="39"/>
      <c r="U133" s="39"/>
      <c r="V133" s="39"/>
      <c r="W133" s="39"/>
      <c r="X133" s="39"/>
      <c r="Y133" s="39"/>
    </row>
    <row r="134" spans="3:25" ht="11.1" customHeight="1">
      <c r="C134" s="39"/>
      <c r="E134" s="36"/>
      <c r="G134" s="76"/>
      <c r="H134" s="76"/>
      <c r="I134" s="76"/>
      <c r="J134" s="76"/>
      <c r="K134" s="76"/>
      <c r="L134" s="37"/>
      <c r="M134" s="37"/>
      <c r="N134" s="38"/>
      <c r="O134" s="38"/>
      <c r="P134" s="38"/>
      <c r="Q134" s="39"/>
      <c r="R134" s="39"/>
      <c r="T134" s="39"/>
      <c r="U134" s="39"/>
      <c r="V134" s="39"/>
      <c r="W134" s="39"/>
      <c r="X134" s="39"/>
      <c r="Y134" s="39"/>
    </row>
    <row r="135" spans="3:25" ht="11.1" customHeight="1">
      <c r="C135" s="39"/>
      <c r="E135" s="36"/>
      <c r="G135" s="76"/>
      <c r="H135" s="76"/>
      <c r="I135" s="76"/>
      <c r="J135" s="76"/>
      <c r="K135" s="76"/>
      <c r="L135" s="37"/>
      <c r="M135" s="37"/>
      <c r="N135" s="38"/>
      <c r="O135" s="38"/>
      <c r="P135" s="38"/>
      <c r="Q135" s="39"/>
      <c r="R135" s="39"/>
      <c r="T135" s="39"/>
      <c r="U135" s="39"/>
      <c r="V135" s="39"/>
      <c r="W135" s="39"/>
      <c r="X135" s="39"/>
      <c r="Y135" s="39"/>
    </row>
    <row r="136" spans="3:25" ht="11.1" customHeight="1">
      <c r="C136" s="39"/>
      <c r="E136" s="36"/>
      <c r="G136" s="76"/>
      <c r="H136" s="76"/>
      <c r="I136" s="76"/>
      <c r="J136" s="76"/>
      <c r="K136" s="76"/>
      <c r="L136" s="37"/>
      <c r="M136" s="37"/>
      <c r="N136" s="38"/>
      <c r="O136" s="38"/>
      <c r="P136" s="38"/>
      <c r="Q136" s="39"/>
      <c r="R136" s="39"/>
      <c r="T136" s="39"/>
      <c r="U136" s="39"/>
      <c r="V136" s="39"/>
      <c r="W136" s="39"/>
      <c r="X136" s="39"/>
      <c r="Y136" s="39"/>
    </row>
    <row r="137" spans="3:25" ht="11.1" customHeight="1">
      <c r="C137" s="39"/>
      <c r="E137" s="36"/>
      <c r="G137" s="76"/>
      <c r="H137" s="76"/>
      <c r="I137" s="76"/>
      <c r="J137" s="76"/>
      <c r="K137" s="76"/>
      <c r="L137" s="37"/>
      <c r="M137" s="37"/>
      <c r="N137" s="38"/>
      <c r="O137" s="38"/>
      <c r="P137" s="38"/>
      <c r="Q137" s="39"/>
      <c r="R137" s="39"/>
      <c r="T137" s="39"/>
      <c r="U137" s="39"/>
      <c r="V137" s="39"/>
      <c r="W137" s="39"/>
      <c r="X137" s="39"/>
      <c r="Y137" s="39"/>
    </row>
    <row r="138" spans="3:25" ht="11.1" customHeight="1">
      <c r="C138" s="39"/>
      <c r="E138" s="36"/>
      <c r="G138" s="76"/>
      <c r="H138" s="76"/>
      <c r="I138" s="76"/>
      <c r="J138" s="76"/>
      <c r="K138" s="76"/>
      <c r="L138" s="37"/>
      <c r="M138" s="37"/>
      <c r="N138" s="38"/>
      <c r="O138" s="38"/>
      <c r="P138" s="38"/>
      <c r="Q138" s="39"/>
      <c r="R138" s="39"/>
      <c r="T138" s="39"/>
      <c r="U138" s="39"/>
      <c r="V138" s="39"/>
      <c r="W138" s="39"/>
      <c r="X138" s="39"/>
      <c r="Y138" s="39"/>
    </row>
    <row r="139" spans="3:25" ht="11.1" customHeight="1">
      <c r="C139" s="39"/>
      <c r="E139" s="36"/>
      <c r="G139" s="76"/>
      <c r="H139" s="76"/>
      <c r="I139" s="76"/>
      <c r="J139" s="76"/>
      <c r="K139" s="76"/>
      <c r="L139" s="37"/>
      <c r="M139" s="37"/>
      <c r="N139" s="38"/>
      <c r="O139" s="38"/>
      <c r="P139" s="38"/>
      <c r="Q139" s="39"/>
      <c r="R139" s="39"/>
      <c r="T139" s="39"/>
      <c r="U139" s="39"/>
      <c r="V139" s="39"/>
      <c r="W139" s="39"/>
      <c r="X139" s="39"/>
      <c r="Y139" s="39"/>
    </row>
    <row r="140" spans="3:25" ht="11.1" customHeight="1">
      <c r="C140" s="39"/>
      <c r="E140" s="36"/>
      <c r="G140" s="76"/>
      <c r="H140" s="76"/>
      <c r="I140" s="76"/>
      <c r="J140" s="76"/>
      <c r="K140" s="76"/>
      <c r="L140" s="37"/>
      <c r="M140" s="37"/>
      <c r="N140" s="38"/>
      <c r="O140" s="38"/>
      <c r="P140" s="38"/>
      <c r="Q140" s="39"/>
      <c r="R140" s="39"/>
      <c r="T140" s="39"/>
      <c r="U140" s="39"/>
      <c r="V140" s="39"/>
      <c r="W140" s="39"/>
      <c r="X140" s="39"/>
      <c r="Y140" s="39"/>
    </row>
    <row r="141" spans="3:25" ht="11.1" customHeight="1">
      <c r="C141" s="39"/>
      <c r="E141" s="36"/>
      <c r="G141" s="76"/>
      <c r="H141" s="76"/>
      <c r="I141" s="76"/>
      <c r="J141" s="76"/>
      <c r="K141" s="76"/>
      <c r="L141" s="37"/>
      <c r="M141" s="37"/>
      <c r="N141" s="38"/>
      <c r="O141" s="38"/>
      <c r="P141" s="38"/>
      <c r="Q141" s="39"/>
      <c r="R141" s="39"/>
      <c r="T141" s="39"/>
      <c r="U141" s="39"/>
      <c r="V141" s="39"/>
      <c r="W141" s="39"/>
      <c r="X141" s="39"/>
      <c r="Y141" s="39"/>
    </row>
    <row r="142" spans="3:25" ht="11.1" customHeight="1">
      <c r="C142" s="39"/>
      <c r="E142" s="36"/>
      <c r="G142" s="76"/>
      <c r="H142" s="76"/>
      <c r="I142" s="76"/>
      <c r="J142" s="76"/>
      <c r="K142" s="76"/>
      <c r="L142" s="37"/>
      <c r="M142" s="37"/>
      <c r="N142" s="38"/>
      <c r="O142" s="38"/>
      <c r="P142" s="38"/>
      <c r="Q142" s="39"/>
      <c r="R142" s="39"/>
      <c r="T142" s="39"/>
      <c r="U142" s="39"/>
      <c r="V142" s="39"/>
      <c r="W142" s="39"/>
      <c r="X142" s="39"/>
      <c r="Y142" s="39"/>
    </row>
    <row r="143" spans="3:25" ht="11.1" customHeight="1">
      <c r="C143" s="39"/>
      <c r="E143" s="36"/>
      <c r="G143" s="76"/>
      <c r="H143" s="76"/>
      <c r="I143" s="76"/>
      <c r="J143" s="76"/>
      <c r="K143" s="76"/>
      <c r="L143" s="37"/>
      <c r="M143" s="37"/>
      <c r="N143" s="38"/>
      <c r="O143" s="38"/>
      <c r="P143" s="38"/>
      <c r="Q143" s="39"/>
      <c r="R143" s="39"/>
      <c r="T143" s="39"/>
      <c r="U143" s="39"/>
      <c r="V143" s="39"/>
      <c r="W143" s="39"/>
      <c r="X143" s="39"/>
      <c r="Y143" s="39"/>
    </row>
    <row r="144" spans="3:25" ht="11.1" customHeight="1">
      <c r="C144" s="39"/>
      <c r="E144" s="36"/>
      <c r="G144" s="76"/>
      <c r="H144" s="76"/>
      <c r="I144" s="76"/>
      <c r="J144" s="76"/>
      <c r="K144" s="76"/>
      <c r="L144" s="37"/>
      <c r="M144" s="37"/>
      <c r="N144" s="38"/>
      <c r="O144" s="38"/>
      <c r="P144" s="38"/>
      <c r="Q144" s="39"/>
      <c r="R144" s="39"/>
      <c r="T144" s="39"/>
      <c r="U144" s="39"/>
      <c r="V144" s="39"/>
      <c r="W144" s="39"/>
      <c r="X144" s="39"/>
      <c r="Y144" s="39"/>
    </row>
    <row r="145" spans="3:25" ht="11.1" customHeight="1">
      <c r="C145" s="39"/>
      <c r="E145" s="36"/>
      <c r="G145" s="76"/>
      <c r="H145" s="76"/>
      <c r="I145" s="76"/>
      <c r="J145" s="76"/>
      <c r="K145" s="76"/>
      <c r="L145" s="37"/>
      <c r="M145" s="37"/>
      <c r="N145" s="38"/>
      <c r="O145" s="38"/>
      <c r="P145" s="38"/>
      <c r="Q145" s="39"/>
      <c r="R145" s="39"/>
      <c r="T145" s="39"/>
      <c r="U145" s="39"/>
      <c r="V145" s="39"/>
      <c r="W145" s="39"/>
      <c r="X145" s="39"/>
      <c r="Y145" s="39"/>
    </row>
    <row r="146" spans="3:25" ht="11.1" customHeight="1">
      <c r="C146" s="39"/>
      <c r="E146" s="36"/>
      <c r="G146" s="76"/>
      <c r="H146" s="76"/>
      <c r="I146" s="76"/>
      <c r="J146" s="76"/>
      <c r="K146" s="76"/>
      <c r="L146" s="37"/>
      <c r="M146" s="37"/>
      <c r="N146" s="38"/>
      <c r="O146" s="38"/>
      <c r="P146" s="38"/>
      <c r="Q146" s="39"/>
      <c r="R146" s="39"/>
      <c r="T146" s="39"/>
      <c r="U146" s="39"/>
      <c r="V146" s="39"/>
      <c r="W146" s="39"/>
      <c r="X146" s="39"/>
      <c r="Y146" s="39"/>
    </row>
    <row r="147" spans="3:25" ht="11.1" customHeight="1">
      <c r="C147" s="39"/>
      <c r="E147" s="36"/>
      <c r="G147" s="76"/>
      <c r="H147" s="76"/>
      <c r="I147" s="76"/>
      <c r="J147" s="76"/>
      <c r="K147" s="76"/>
      <c r="L147" s="37"/>
      <c r="M147" s="37"/>
      <c r="N147" s="38"/>
      <c r="O147" s="38"/>
      <c r="P147" s="38"/>
      <c r="Q147" s="39"/>
      <c r="R147" s="39"/>
      <c r="T147" s="39"/>
      <c r="U147" s="39"/>
      <c r="V147" s="39"/>
      <c r="W147" s="39"/>
      <c r="X147" s="39"/>
      <c r="Y147" s="39"/>
    </row>
    <row r="148" spans="3:25" ht="11.1" customHeight="1">
      <c r="C148" s="39"/>
      <c r="E148" s="36"/>
      <c r="G148" s="76"/>
      <c r="H148" s="76"/>
      <c r="I148" s="76"/>
      <c r="J148" s="76"/>
      <c r="K148" s="76"/>
      <c r="L148" s="37"/>
      <c r="M148" s="37"/>
      <c r="N148" s="38"/>
      <c r="O148" s="38"/>
      <c r="P148" s="38"/>
      <c r="Q148" s="39"/>
      <c r="R148" s="39"/>
      <c r="T148" s="39"/>
      <c r="U148" s="39"/>
      <c r="V148" s="39"/>
      <c r="W148" s="39"/>
      <c r="X148" s="39"/>
      <c r="Y148" s="39"/>
    </row>
    <row r="149" spans="3:25" ht="11.1" customHeight="1">
      <c r="C149" s="39"/>
      <c r="E149" s="36"/>
      <c r="G149" s="76"/>
      <c r="H149" s="76"/>
      <c r="I149" s="76"/>
      <c r="J149" s="76"/>
      <c r="K149" s="76"/>
      <c r="L149" s="37"/>
      <c r="M149" s="37"/>
      <c r="N149" s="38"/>
      <c r="O149" s="38"/>
      <c r="P149" s="38"/>
      <c r="Q149" s="39"/>
      <c r="R149" s="39"/>
      <c r="T149" s="39"/>
      <c r="U149" s="39"/>
      <c r="V149" s="39"/>
      <c r="W149" s="39"/>
      <c r="X149" s="39"/>
      <c r="Y149" s="39"/>
    </row>
    <row r="150" spans="3:25" ht="11.1" customHeight="1">
      <c r="C150" s="39"/>
      <c r="E150" s="36"/>
      <c r="G150" s="76"/>
      <c r="H150" s="76"/>
      <c r="I150" s="76"/>
      <c r="J150" s="76"/>
      <c r="K150" s="76"/>
      <c r="L150" s="37"/>
      <c r="M150" s="37"/>
      <c r="N150" s="38"/>
      <c r="O150" s="38"/>
      <c r="P150" s="38"/>
      <c r="Q150" s="39"/>
      <c r="R150" s="39"/>
      <c r="T150" s="39"/>
      <c r="U150" s="39"/>
      <c r="V150" s="39"/>
      <c r="W150" s="39"/>
      <c r="X150" s="39"/>
      <c r="Y150" s="39"/>
    </row>
    <row r="151" spans="3:25" ht="11.1" customHeight="1">
      <c r="C151" s="39"/>
      <c r="E151" s="36"/>
      <c r="G151" s="76"/>
      <c r="H151" s="76"/>
      <c r="I151" s="76"/>
      <c r="J151" s="76"/>
      <c r="K151" s="76"/>
      <c r="L151" s="37"/>
      <c r="M151" s="37"/>
      <c r="N151" s="38"/>
      <c r="O151" s="38"/>
      <c r="P151" s="38"/>
      <c r="Q151" s="39"/>
      <c r="R151" s="39"/>
      <c r="T151" s="39"/>
      <c r="U151" s="39"/>
      <c r="V151" s="39"/>
      <c r="W151" s="39"/>
      <c r="X151" s="39"/>
      <c r="Y151" s="39"/>
    </row>
    <row r="152" spans="3:25" ht="11.1" customHeight="1">
      <c r="C152" s="39"/>
      <c r="E152" s="36"/>
      <c r="G152" s="76"/>
      <c r="H152" s="76"/>
      <c r="I152" s="76"/>
      <c r="J152" s="76"/>
      <c r="K152" s="76"/>
      <c r="L152" s="37"/>
      <c r="M152" s="37"/>
      <c r="N152" s="38"/>
      <c r="O152" s="38"/>
      <c r="P152" s="38"/>
      <c r="Q152" s="39"/>
      <c r="R152" s="39"/>
      <c r="T152" s="39"/>
      <c r="U152" s="39"/>
      <c r="V152" s="39"/>
      <c r="W152" s="39"/>
      <c r="X152" s="39"/>
      <c r="Y152" s="39"/>
    </row>
    <row r="153" spans="3:25" ht="11.1" customHeight="1">
      <c r="C153" s="39"/>
      <c r="E153" s="36"/>
      <c r="G153" s="76"/>
      <c r="H153" s="76"/>
      <c r="I153" s="76"/>
      <c r="J153" s="76"/>
      <c r="K153" s="76"/>
      <c r="L153" s="37"/>
      <c r="M153" s="37"/>
      <c r="N153" s="38"/>
      <c r="O153" s="38"/>
      <c r="P153" s="38"/>
      <c r="Q153" s="39"/>
      <c r="R153" s="39"/>
      <c r="T153" s="39"/>
      <c r="U153" s="39"/>
      <c r="V153" s="39"/>
      <c r="W153" s="39"/>
      <c r="X153" s="39"/>
      <c r="Y153" s="39"/>
    </row>
    <row r="154" spans="3:25" ht="11.1" customHeight="1">
      <c r="C154" s="39"/>
      <c r="E154" s="36"/>
      <c r="G154" s="76"/>
      <c r="H154" s="76"/>
      <c r="I154" s="76"/>
      <c r="J154" s="76"/>
      <c r="K154" s="76"/>
      <c r="L154" s="37"/>
      <c r="M154" s="37"/>
      <c r="N154" s="38"/>
      <c r="O154" s="38"/>
      <c r="P154" s="38"/>
      <c r="Q154" s="39"/>
      <c r="R154" s="39"/>
      <c r="T154" s="39"/>
      <c r="U154" s="39"/>
      <c r="V154" s="39"/>
      <c r="W154" s="39"/>
      <c r="X154" s="39"/>
      <c r="Y154" s="39"/>
    </row>
    <row r="155" spans="3:25" ht="11.1" customHeight="1">
      <c r="C155" s="39"/>
      <c r="E155" s="36"/>
      <c r="G155" s="76"/>
      <c r="H155" s="76"/>
      <c r="I155" s="76"/>
      <c r="J155" s="76"/>
      <c r="K155" s="76"/>
      <c r="L155" s="37"/>
      <c r="M155" s="37"/>
      <c r="N155" s="38"/>
      <c r="O155" s="38"/>
      <c r="P155" s="38"/>
      <c r="Q155" s="39"/>
      <c r="R155" s="39"/>
      <c r="T155" s="39"/>
      <c r="U155" s="39"/>
      <c r="V155" s="39"/>
      <c r="W155" s="39"/>
      <c r="X155" s="39"/>
      <c r="Y155" s="39"/>
    </row>
    <row r="156" spans="3:25" ht="11.1" customHeight="1">
      <c r="C156" s="39"/>
      <c r="E156" s="36"/>
      <c r="G156" s="76"/>
      <c r="H156" s="76"/>
      <c r="I156" s="76"/>
      <c r="J156" s="76"/>
      <c r="K156" s="76"/>
      <c r="L156" s="37"/>
      <c r="M156" s="37"/>
      <c r="N156" s="38"/>
      <c r="O156" s="38"/>
      <c r="P156" s="38"/>
      <c r="Q156" s="39"/>
      <c r="R156" s="39"/>
      <c r="T156" s="39"/>
      <c r="U156" s="39"/>
      <c r="V156" s="39"/>
      <c r="W156" s="39"/>
      <c r="X156" s="39"/>
      <c r="Y156" s="39"/>
    </row>
    <row r="157" spans="3:25" ht="11.1" customHeight="1">
      <c r="C157" s="39"/>
      <c r="E157" s="36"/>
      <c r="G157" s="76"/>
      <c r="H157" s="76"/>
      <c r="I157" s="76"/>
      <c r="J157" s="76"/>
      <c r="K157" s="76"/>
      <c r="L157" s="37"/>
      <c r="M157" s="37"/>
      <c r="N157" s="38"/>
      <c r="O157" s="38"/>
      <c r="P157" s="38"/>
      <c r="Q157" s="39"/>
      <c r="R157" s="39"/>
      <c r="T157" s="39"/>
      <c r="U157" s="39"/>
      <c r="V157" s="39"/>
      <c r="W157" s="39"/>
      <c r="X157" s="39"/>
      <c r="Y157" s="39"/>
    </row>
    <row r="158" spans="3:25" ht="11.1" customHeight="1">
      <c r="C158" s="39"/>
      <c r="E158" s="36"/>
      <c r="G158" s="76"/>
      <c r="H158" s="76"/>
      <c r="I158" s="76"/>
      <c r="J158" s="76"/>
      <c r="K158" s="76"/>
      <c r="L158" s="37"/>
      <c r="M158" s="37"/>
      <c r="N158" s="38"/>
      <c r="O158" s="38"/>
      <c r="P158" s="38"/>
      <c r="Q158" s="39"/>
      <c r="R158" s="39"/>
      <c r="T158" s="39"/>
      <c r="U158" s="39"/>
      <c r="V158" s="39"/>
      <c r="W158" s="39"/>
      <c r="X158" s="39"/>
      <c r="Y158" s="39"/>
    </row>
    <row r="159" spans="3:25" ht="11.1" customHeight="1">
      <c r="C159" s="39"/>
      <c r="E159" s="36"/>
      <c r="G159" s="76"/>
      <c r="H159" s="76"/>
      <c r="I159" s="76"/>
      <c r="J159" s="76"/>
      <c r="K159" s="76"/>
      <c r="L159" s="37"/>
      <c r="M159" s="37"/>
      <c r="N159" s="38"/>
      <c r="O159" s="38"/>
      <c r="P159" s="38"/>
      <c r="Q159" s="39"/>
      <c r="R159" s="39"/>
      <c r="T159" s="39"/>
      <c r="U159" s="39"/>
      <c r="V159" s="39"/>
      <c r="W159" s="39"/>
      <c r="X159" s="39"/>
      <c r="Y159" s="39"/>
    </row>
    <row r="160" spans="3:25" ht="11.1" customHeight="1">
      <c r="C160" s="39"/>
      <c r="E160" s="36"/>
      <c r="G160" s="76"/>
      <c r="H160" s="76"/>
      <c r="I160" s="76"/>
      <c r="J160" s="76"/>
      <c r="K160" s="76"/>
      <c r="L160" s="37"/>
      <c r="M160" s="37"/>
      <c r="N160" s="38"/>
      <c r="O160" s="38"/>
      <c r="P160" s="38"/>
      <c r="Q160" s="39"/>
      <c r="R160" s="39"/>
      <c r="T160" s="39"/>
      <c r="U160" s="39"/>
      <c r="V160" s="39"/>
      <c r="W160" s="39"/>
      <c r="X160" s="39"/>
      <c r="Y160" s="39"/>
    </row>
    <row r="161" spans="3:25" ht="11.1" customHeight="1">
      <c r="C161" s="39"/>
      <c r="E161" s="36"/>
      <c r="G161" s="76"/>
      <c r="H161" s="76"/>
      <c r="I161" s="76"/>
      <c r="J161" s="76"/>
      <c r="K161" s="76"/>
      <c r="L161" s="37"/>
      <c r="M161" s="37"/>
      <c r="N161" s="38"/>
      <c r="O161" s="38"/>
      <c r="P161" s="38"/>
      <c r="Q161" s="39"/>
      <c r="R161" s="39"/>
      <c r="T161" s="39"/>
      <c r="U161" s="39"/>
      <c r="V161" s="39"/>
      <c r="W161" s="39"/>
      <c r="X161" s="39"/>
      <c r="Y161" s="39"/>
    </row>
    <row r="162" spans="3:25" ht="11.1" customHeight="1">
      <c r="C162" s="39"/>
      <c r="E162" s="36"/>
      <c r="G162" s="76"/>
      <c r="H162" s="76"/>
      <c r="I162" s="76"/>
      <c r="J162" s="76"/>
      <c r="K162" s="76"/>
      <c r="L162" s="37"/>
      <c r="M162" s="37"/>
      <c r="N162" s="38"/>
      <c r="O162" s="38"/>
      <c r="P162" s="38"/>
      <c r="Q162" s="39"/>
      <c r="R162" s="39"/>
      <c r="T162" s="39"/>
      <c r="U162" s="39"/>
      <c r="V162" s="39"/>
      <c r="W162" s="39"/>
      <c r="X162" s="39"/>
      <c r="Y162" s="39"/>
    </row>
    <row r="163" spans="3:25" ht="11.1" customHeight="1">
      <c r="C163" s="39"/>
      <c r="E163" s="36"/>
      <c r="G163" s="76"/>
      <c r="H163" s="76"/>
      <c r="I163" s="76"/>
      <c r="J163" s="76"/>
      <c r="K163" s="76"/>
      <c r="L163" s="37"/>
      <c r="M163" s="37"/>
      <c r="N163" s="38"/>
      <c r="O163" s="38"/>
      <c r="P163" s="38"/>
      <c r="Q163" s="39"/>
      <c r="R163" s="39"/>
      <c r="T163" s="39"/>
      <c r="U163" s="39"/>
      <c r="V163" s="39"/>
      <c r="W163" s="39"/>
      <c r="X163" s="39"/>
      <c r="Y163" s="39"/>
    </row>
    <row r="164" spans="3:25" ht="11.1" customHeight="1">
      <c r="C164" s="39"/>
      <c r="E164" s="36"/>
      <c r="G164" s="76"/>
      <c r="H164" s="76"/>
      <c r="I164" s="76"/>
      <c r="J164" s="76"/>
      <c r="K164" s="76"/>
      <c r="L164" s="37"/>
      <c r="M164" s="37"/>
      <c r="N164" s="38"/>
      <c r="O164" s="38"/>
      <c r="P164" s="38"/>
      <c r="Q164" s="39"/>
      <c r="R164" s="39"/>
      <c r="T164" s="39"/>
      <c r="U164" s="39"/>
      <c r="V164" s="39"/>
      <c r="W164" s="39"/>
      <c r="X164" s="39"/>
      <c r="Y164" s="39"/>
    </row>
    <row r="165" spans="3:25" ht="11.1" customHeight="1">
      <c r="C165" s="39"/>
      <c r="E165" s="36"/>
      <c r="G165" s="76"/>
      <c r="H165" s="76"/>
      <c r="I165" s="76"/>
      <c r="J165" s="76"/>
      <c r="K165" s="76"/>
      <c r="L165" s="37"/>
      <c r="M165" s="37"/>
      <c r="N165" s="38"/>
      <c r="O165" s="38"/>
      <c r="P165" s="38"/>
      <c r="Q165" s="39"/>
      <c r="R165" s="39"/>
      <c r="T165" s="39"/>
      <c r="U165" s="39"/>
      <c r="V165" s="39"/>
      <c r="W165" s="39"/>
      <c r="X165" s="39"/>
      <c r="Y165" s="39"/>
    </row>
    <row r="166" spans="3:25" ht="11.1" customHeight="1">
      <c r="C166" s="39"/>
      <c r="E166" s="36"/>
      <c r="G166" s="76"/>
      <c r="H166" s="76"/>
      <c r="I166" s="76"/>
      <c r="J166" s="76"/>
      <c r="K166" s="76"/>
      <c r="L166" s="37"/>
      <c r="M166" s="37"/>
      <c r="N166" s="38"/>
      <c r="O166" s="38"/>
      <c r="P166" s="38"/>
      <c r="Q166" s="39"/>
      <c r="R166" s="39"/>
      <c r="T166" s="39"/>
      <c r="U166" s="39"/>
      <c r="V166" s="39"/>
      <c r="W166" s="39"/>
      <c r="X166" s="39"/>
      <c r="Y166" s="39"/>
    </row>
    <row r="167" spans="3:25" ht="11.1" customHeight="1">
      <c r="C167" s="39"/>
      <c r="E167" s="36"/>
      <c r="G167" s="76"/>
      <c r="H167" s="76"/>
      <c r="I167" s="76"/>
      <c r="J167" s="76"/>
      <c r="K167" s="76"/>
      <c r="L167" s="37"/>
      <c r="M167" s="37"/>
      <c r="N167" s="38"/>
      <c r="O167" s="38"/>
      <c r="P167" s="38"/>
      <c r="Q167" s="39"/>
      <c r="R167" s="39"/>
      <c r="T167" s="39"/>
      <c r="U167" s="39"/>
      <c r="V167" s="39"/>
      <c r="W167" s="39"/>
      <c r="X167" s="39"/>
      <c r="Y167" s="39"/>
    </row>
    <row r="168" spans="3:25" ht="11.1" customHeight="1">
      <c r="C168" s="39"/>
      <c r="E168" s="36"/>
      <c r="G168" s="76"/>
      <c r="H168" s="76"/>
      <c r="I168" s="76"/>
      <c r="J168" s="76"/>
      <c r="K168" s="76"/>
      <c r="L168" s="37"/>
      <c r="M168" s="37"/>
      <c r="N168" s="38"/>
      <c r="O168" s="38"/>
      <c r="P168" s="38"/>
      <c r="Q168" s="39"/>
      <c r="R168" s="39"/>
      <c r="T168" s="39"/>
      <c r="U168" s="39"/>
      <c r="V168" s="39"/>
      <c r="W168" s="39"/>
      <c r="X168" s="39"/>
      <c r="Y168" s="39"/>
    </row>
    <row r="169" spans="3:25" ht="11.1" customHeight="1">
      <c r="C169" s="39"/>
      <c r="E169" s="36"/>
      <c r="G169" s="76"/>
      <c r="H169" s="76"/>
      <c r="I169" s="76"/>
      <c r="J169" s="76"/>
      <c r="K169" s="76"/>
      <c r="L169" s="37"/>
      <c r="M169" s="37"/>
      <c r="N169" s="38"/>
      <c r="O169" s="38"/>
      <c r="P169" s="38"/>
      <c r="Q169" s="39"/>
      <c r="R169" s="39"/>
      <c r="T169" s="39"/>
      <c r="U169" s="39"/>
      <c r="V169" s="39"/>
      <c r="W169" s="39"/>
      <c r="X169" s="39"/>
      <c r="Y169" s="39"/>
    </row>
    <row r="170" spans="3:25" ht="11.1" customHeight="1">
      <c r="C170" s="39"/>
      <c r="E170" s="36"/>
      <c r="G170" s="76"/>
      <c r="H170" s="76"/>
      <c r="I170" s="76"/>
      <c r="J170" s="76"/>
      <c r="K170" s="76"/>
      <c r="L170" s="37"/>
      <c r="M170" s="37"/>
      <c r="N170" s="38"/>
      <c r="O170" s="38"/>
      <c r="P170" s="38"/>
      <c r="Q170" s="39"/>
      <c r="R170" s="39"/>
      <c r="T170" s="39"/>
      <c r="U170" s="39"/>
      <c r="V170" s="39"/>
      <c r="W170" s="39"/>
      <c r="X170" s="39"/>
      <c r="Y170" s="39"/>
    </row>
    <row r="171" spans="3:25" ht="11.1" customHeight="1">
      <c r="C171" s="39"/>
      <c r="E171" s="36"/>
      <c r="G171" s="76"/>
      <c r="H171" s="76"/>
      <c r="I171" s="76"/>
      <c r="J171" s="76"/>
      <c r="K171" s="76"/>
      <c r="L171" s="37"/>
      <c r="M171" s="37"/>
      <c r="N171" s="38"/>
      <c r="O171" s="38"/>
      <c r="P171" s="38"/>
      <c r="Q171" s="39"/>
      <c r="R171" s="39"/>
      <c r="T171" s="39"/>
      <c r="U171" s="39"/>
      <c r="V171" s="39"/>
      <c r="W171" s="39"/>
      <c r="X171" s="39"/>
      <c r="Y171" s="39"/>
    </row>
    <row r="172" spans="3:25" ht="11.1" customHeight="1">
      <c r="C172" s="39"/>
      <c r="E172" s="36"/>
      <c r="G172" s="76"/>
      <c r="H172" s="76"/>
      <c r="I172" s="76"/>
      <c r="J172" s="76"/>
      <c r="K172" s="76"/>
      <c r="L172" s="37"/>
      <c r="M172" s="37"/>
      <c r="N172" s="38"/>
      <c r="O172" s="38"/>
      <c r="P172" s="38"/>
      <c r="Q172" s="39"/>
      <c r="R172" s="39"/>
      <c r="T172" s="39"/>
      <c r="U172" s="39"/>
      <c r="V172" s="39"/>
      <c r="W172" s="39"/>
      <c r="X172" s="39"/>
      <c r="Y172" s="39"/>
    </row>
    <row r="173" spans="3:25" ht="11.1" customHeight="1">
      <c r="C173" s="39"/>
      <c r="E173" s="36"/>
      <c r="G173" s="76"/>
      <c r="H173" s="76"/>
      <c r="I173" s="76"/>
      <c r="J173" s="76"/>
      <c r="K173" s="76"/>
      <c r="L173" s="37"/>
      <c r="M173" s="37"/>
      <c r="N173" s="38"/>
      <c r="O173" s="38"/>
      <c r="P173" s="38"/>
      <c r="Q173" s="39"/>
      <c r="R173" s="39"/>
      <c r="T173" s="39"/>
      <c r="U173" s="39"/>
      <c r="V173" s="39"/>
      <c r="W173" s="39"/>
      <c r="X173" s="39"/>
      <c r="Y173" s="39"/>
    </row>
    <row r="174" spans="3:25" ht="11.1" customHeight="1">
      <c r="C174" s="39"/>
      <c r="E174" s="36"/>
      <c r="G174" s="76"/>
      <c r="H174" s="76"/>
      <c r="I174" s="76"/>
      <c r="J174" s="76"/>
      <c r="K174" s="76"/>
      <c r="L174" s="37"/>
      <c r="M174" s="37"/>
      <c r="N174" s="38"/>
      <c r="O174" s="38"/>
      <c r="P174" s="38"/>
      <c r="Q174" s="39"/>
      <c r="R174" s="39"/>
      <c r="T174" s="39"/>
      <c r="U174" s="39"/>
      <c r="V174" s="39"/>
      <c r="W174" s="39"/>
      <c r="X174" s="39"/>
      <c r="Y174" s="39"/>
    </row>
    <row r="175" spans="3:25" ht="11.1" customHeight="1">
      <c r="C175" s="39"/>
      <c r="E175" s="36"/>
      <c r="G175" s="76"/>
      <c r="H175" s="76"/>
      <c r="I175" s="76"/>
      <c r="J175" s="76"/>
      <c r="K175" s="76"/>
      <c r="L175" s="37"/>
      <c r="M175" s="37"/>
      <c r="N175" s="38"/>
      <c r="O175" s="38"/>
      <c r="P175" s="38"/>
      <c r="Q175" s="39"/>
      <c r="R175" s="39"/>
      <c r="T175" s="39"/>
      <c r="U175" s="39"/>
      <c r="V175" s="39"/>
      <c r="W175" s="39"/>
      <c r="X175" s="39"/>
      <c r="Y175" s="39"/>
    </row>
    <row r="176" spans="3:25" ht="11.1" customHeight="1">
      <c r="C176" s="39"/>
      <c r="E176" s="36"/>
      <c r="G176" s="76"/>
      <c r="H176" s="76"/>
      <c r="I176" s="76"/>
      <c r="J176" s="76"/>
      <c r="K176" s="76"/>
      <c r="L176" s="37"/>
      <c r="M176" s="37"/>
      <c r="N176" s="38"/>
      <c r="O176" s="38"/>
      <c r="P176" s="38"/>
      <c r="Q176" s="39"/>
      <c r="R176" s="39"/>
      <c r="T176" s="39"/>
      <c r="U176" s="39"/>
      <c r="V176" s="39"/>
      <c r="W176" s="39"/>
      <c r="X176" s="39"/>
      <c r="Y176" s="39"/>
    </row>
    <row r="177" spans="3:25" ht="11.1" customHeight="1">
      <c r="C177" s="39"/>
      <c r="E177" s="36"/>
      <c r="G177" s="76"/>
      <c r="H177" s="76"/>
      <c r="I177" s="76"/>
      <c r="J177" s="76"/>
      <c r="K177" s="76"/>
      <c r="L177" s="37"/>
      <c r="M177" s="37"/>
      <c r="N177" s="38"/>
      <c r="O177" s="38"/>
      <c r="P177" s="38"/>
      <c r="Q177" s="39"/>
      <c r="R177" s="39"/>
      <c r="T177" s="39"/>
      <c r="U177" s="39"/>
      <c r="V177" s="39"/>
      <c r="W177" s="39"/>
      <c r="X177" s="39"/>
      <c r="Y177" s="39"/>
    </row>
    <row r="178" spans="3:25" ht="11.1" customHeight="1">
      <c r="C178" s="39"/>
      <c r="E178" s="36"/>
      <c r="G178" s="76"/>
      <c r="H178" s="76"/>
      <c r="I178" s="76"/>
      <c r="J178" s="76"/>
      <c r="K178" s="76"/>
      <c r="L178" s="37"/>
      <c r="M178" s="37"/>
      <c r="N178" s="38"/>
      <c r="O178" s="38"/>
      <c r="P178" s="38"/>
      <c r="Q178" s="39"/>
      <c r="R178" s="39"/>
      <c r="T178" s="39"/>
      <c r="U178" s="39"/>
      <c r="V178" s="39"/>
      <c r="W178" s="39"/>
      <c r="X178" s="39"/>
      <c r="Y178" s="39"/>
    </row>
    <row r="179" spans="3:25" ht="11.1" customHeight="1">
      <c r="C179" s="39"/>
      <c r="E179" s="36"/>
      <c r="G179" s="76"/>
      <c r="H179" s="76"/>
      <c r="I179" s="76"/>
      <c r="J179" s="76"/>
      <c r="K179" s="76"/>
      <c r="L179" s="37"/>
      <c r="M179" s="37"/>
      <c r="N179" s="38"/>
      <c r="O179" s="38"/>
      <c r="P179" s="38"/>
      <c r="Q179" s="39"/>
      <c r="R179" s="39"/>
      <c r="T179" s="39"/>
      <c r="U179" s="39"/>
      <c r="V179" s="39"/>
      <c r="W179" s="39"/>
      <c r="X179" s="39"/>
      <c r="Y179" s="39"/>
    </row>
    <row r="180" spans="3:25" ht="11.1" customHeight="1">
      <c r="C180" s="39"/>
      <c r="E180" s="36"/>
      <c r="G180" s="76"/>
      <c r="H180" s="76"/>
      <c r="I180" s="76"/>
      <c r="J180" s="76"/>
      <c r="K180" s="76"/>
      <c r="L180" s="37"/>
      <c r="M180" s="37"/>
      <c r="N180" s="38"/>
      <c r="O180" s="38"/>
      <c r="P180" s="38"/>
      <c r="Q180" s="39"/>
      <c r="R180" s="39"/>
      <c r="T180" s="39"/>
      <c r="U180" s="39"/>
      <c r="V180" s="39"/>
      <c r="W180" s="39"/>
      <c r="X180" s="39"/>
      <c r="Y180" s="39"/>
    </row>
    <row r="181" spans="3:25" ht="11.1" customHeight="1">
      <c r="C181" s="39"/>
      <c r="E181" s="36"/>
      <c r="G181" s="76"/>
      <c r="H181" s="76"/>
      <c r="I181" s="76"/>
      <c r="J181" s="76"/>
      <c r="K181" s="76"/>
      <c r="L181" s="37"/>
      <c r="M181" s="37"/>
      <c r="N181" s="38"/>
      <c r="O181" s="38"/>
      <c r="P181" s="38"/>
      <c r="Q181" s="39"/>
      <c r="R181" s="39"/>
      <c r="T181" s="39"/>
      <c r="U181" s="39"/>
      <c r="V181" s="39"/>
      <c r="W181" s="39"/>
      <c r="X181" s="39"/>
      <c r="Y181" s="39"/>
    </row>
    <row r="182" spans="3:25" ht="11.1" customHeight="1">
      <c r="C182" s="39"/>
      <c r="E182" s="36"/>
      <c r="G182" s="76"/>
      <c r="H182" s="76"/>
      <c r="I182" s="76"/>
      <c r="J182" s="76"/>
      <c r="K182" s="76"/>
      <c r="L182" s="37"/>
      <c r="M182" s="37"/>
      <c r="N182" s="38"/>
      <c r="O182" s="38"/>
      <c r="P182" s="38"/>
      <c r="Q182" s="39"/>
      <c r="R182" s="39"/>
      <c r="T182" s="39"/>
      <c r="U182" s="39"/>
      <c r="V182" s="39"/>
      <c r="W182" s="39"/>
      <c r="X182" s="39"/>
      <c r="Y182" s="39"/>
    </row>
    <row r="183" spans="3:25" ht="11.1" customHeight="1">
      <c r="C183" s="39"/>
      <c r="E183" s="36"/>
      <c r="G183" s="76"/>
      <c r="H183" s="76"/>
      <c r="I183" s="76"/>
      <c r="J183" s="76"/>
      <c r="K183" s="76"/>
      <c r="L183" s="37"/>
      <c r="M183" s="37"/>
      <c r="N183" s="38"/>
      <c r="O183" s="38"/>
      <c r="P183" s="38"/>
      <c r="Q183" s="39"/>
      <c r="R183" s="39"/>
      <c r="T183" s="39"/>
      <c r="U183" s="39"/>
      <c r="V183" s="39"/>
      <c r="W183" s="39"/>
      <c r="X183" s="39"/>
      <c r="Y183" s="39"/>
    </row>
    <row r="184" spans="3:25" ht="11.1" customHeight="1">
      <c r="C184" s="39"/>
      <c r="E184" s="36"/>
      <c r="G184" s="76"/>
      <c r="H184" s="76"/>
      <c r="I184" s="76"/>
      <c r="J184" s="76"/>
      <c r="K184" s="76"/>
      <c r="L184" s="37"/>
      <c r="M184" s="37"/>
      <c r="N184" s="38"/>
      <c r="O184" s="38"/>
      <c r="P184" s="38"/>
      <c r="Q184" s="39"/>
      <c r="R184" s="39"/>
      <c r="T184" s="39"/>
      <c r="U184" s="39"/>
      <c r="V184" s="39"/>
      <c r="W184" s="39"/>
      <c r="X184" s="39"/>
      <c r="Y184" s="39"/>
    </row>
    <row r="185" spans="3:25" ht="11.1" customHeight="1">
      <c r="C185" s="39"/>
      <c r="E185" s="36"/>
      <c r="G185" s="76"/>
      <c r="H185" s="76"/>
      <c r="I185" s="76"/>
      <c r="J185" s="76"/>
      <c r="K185" s="76"/>
      <c r="L185" s="37"/>
      <c r="M185" s="37"/>
      <c r="N185" s="38"/>
      <c r="O185" s="38"/>
      <c r="P185" s="38"/>
      <c r="Q185" s="353"/>
      <c r="R185" s="353"/>
      <c r="S185" s="353"/>
      <c r="T185" s="353"/>
      <c r="U185" s="353"/>
      <c r="V185" s="353"/>
      <c r="W185" s="353"/>
      <c r="X185" s="353"/>
      <c r="Y185" s="353"/>
    </row>
    <row r="186" spans="3:25" ht="11.1" customHeight="1">
      <c r="C186" s="39"/>
      <c r="E186" s="36"/>
      <c r="G186" s="76"/>
      <c r="H186" s="76"/>
      <c r="I186" s="76"/>
      <c r="J186" s="76"/>
      <c r="K186" s="76"/>
      <c r="L186" s="37"/>
      <c r="M186" s="37"/>
      <c r="N186" s="38"/>
      <c r="O186" s="38"/>
      <c r="P186" s="38"/>
      <c r="Q186" s="39"/>
      <c r="R186" s="39"/>
      <c r="T186" s="39"/>
      <c r="U186" s="39"/>
      <c r="V186" s="39"/>
      <c r="W186" s="39"/>
      <c r="X186" s="39"/>
      <c r="Y186" s="39"/>
    </row>
    <row r="187" spans="3:25" ht="11.1" customHeight="1">
      <c r="C187" s="39"/>
      <c r="E187" s="36"/>
      <c r="G187" s="76"/>
      <c r="H187" s="76"/>
      <c r="I187" s="76"/>
      <c r="J187" s="76"/>
      <c r="K187" s="76"/>
      <c r="L187" s="37"/>
      <c r="M187" s="37"/>
      <c r="N187" s="38"/>
      <c r="O187" s="38"/>
      <c r="P187" s="38"/>
      <c r="Q187" s="39"/>
      <c r="R187" s="39"/>
      <c r="T187" s="39"/>
      <c r="U187" s="39"/>
      <c r="V187" s="39"/>
      <c r="W187" s="39"/>
      <c r="X187" s="39"/>
      <c r="Y187" s="39"/>
    </row>
    <row r="188" spans="3:25" ht="11.1" customHeight="1">
      <c r="C188" s="39"/>
      <c r="E188" s="36"/>
      <c r="G188" s="76"/>
      <c r="H188" s="76"/>
      <c r="I188" s="76"/>
      <c r="J188" s="76"/>
      <c r="K188" s="76"/>
      <c r="L188" s="37"/>
      <c r="M188" s="37"/>
      <c r="N188" s="38"/>
      <c r="O188" s="38"/>
      <c r="P188" s="38"/>
      <c r="Q188" s="39"/>
      <c r="R188" s="39"/>
      <c r="T188" s="39"/>
      <c r="U188" s="39"/>
      <c r="V188" s="39"/>
      <c r="W188" s="39"/>
      <c r="X188" s="39"/>
      <c r="Y188" s="39"/>
    </row>
    <row r="189" spans="3:25" ht="11.1" customHeight="1">
      <c r="C189" s="39"/>
      <c r="E189" s="36"/>
      <c r="G189" s="76"/>
      <c r="H189" s="76"/>
      <c r="I189" s="76"/>
      <c r="J189" s="76"/>
      <c r="K189" s="76"/>
      <c r="L189" s="37"/>
      <c r="M189" s="37"/>
      <c r="N189" s="38"/>
      <c r="O189" s="38"/>
      <c r="P189" s="38"/>
      <c r="Q189" s="39"/>
      <c r="R189" s="39"/>
      <c r="T189" s="39"/>
      <c r="U189" s="39"/>
      <c r="V189" s="39"/>
      <c r="W189" s="39"/>
      <c r="X189" s="39"/>
      <c r="Y189" s="39"/>
    </row>
    <row r="190" spans="3:25" ht="11.1" customHeight="1">
      <c r="C190" s="39"/>
      <c r="E190" s="36"/>
      <c r="G190" s="76"/>
      <c r="H190" s="76"/>
      <c r="I190" s="76"/>
      <c r="J190" s="76"/>
      <c r="K190" s="76"/>
      <c r="L190" s="37"/>
      <c r="M190" s="37"/>
      <c r="N190" s="38"/>
      <c r="O190" s="38"/>
      <c r="P190" s="38"/>
      <c r="Q190" s="39"/>
      <c r="R190" s="39"/>
      <c r="T190" s="39"/>
      <c r="U190" s="39"/>
      <c r="V190" s="39"/>
      <c r="W190" s="39"/>
      <c r="X190" s="39"/>
      <c r="Y190" s="39"/>
    </row>
    <row r="191" spans="3:25" ht="11.1" customHeight="1">
      <c r="C191" s="39"/>
      <c r="E191" s="36"/>
      <c r="G191" s="76"/>
      <c r="H191" s="76"/>
      <c r="I191" s="76"/>
      <c r="J191" s="76"/>
      <c r="K191" s="76"/>
      <c r="L191" s="37"/>
      <c r="M191" s="37"/>
      <c r="N191" s="38"/>
      <c r="O191" s="38"/>
      <c r="P191" s="38"/>
      <c r="Q191" s="39"/>
      <c r="R191" s="39"/>
      <c r="T191" s="39"/>
      <c r="U191" s="39"/>
      <c r="V191" s="39"/>
      <c r="W191" s="39"/>
      <c r="X191" s="39"/>
      <c r="Y191" s="39"/>
    </row>
    <row r="192" spans="3:25" ht="11.1" customHeight="1">
      <c r="C192" s="39"/>
      <c r="E192" s="36"/>
      <c r="G192" s="76"/>
      <c r="H192" s="76"/>
      <c r="I192" s="76"/>
      <c r="J192" s="76"/>
      <c r="K192" s="76"/>
      <c r="L192" s="37"/>
      <c r="M192" s="37"/>
      <c r="N192" s="38"/>
      <c r="O192" s="38"/>
      <c r="P192" s="38"/>
      <c r="Q192" s="39"/>
      <c r="R192" s="39"/>
      <c r="T192" s="39"/>
      <c r="U192" s="39"/>
      <c r="V192" s="39"/>
      <c r="W192" s="39"/>
      <c r="X192" s="39"/>
      <c r="Y192" s="39"/>
    </row>
    <row r="193" spans="3:25" ht="11.1" customHeight="1">
      <c r="C193" s="39"/>
      <c r="E193" s="36"/>
      <c r="G193" s="76"/>
      <c r="H193" s="76"/>
      <c r="I193" s="76"/>
      <c r="J193" s="76"/>
      <c r="K193" s="76"/>
      <c r="L193" s="37"/>
      <c r="M193" s="37"/>
      <c r="N193" s="38"/>
      <c r="O193" s="38"/>
      <c r="P193" s="38"/>
      <c r="Q193" s="39"/>
      <c r="R193" s="39"/>
      <c r="T193" s="39"/>
      <c r="U193" s="39"/>
      <c r="V193" s="39"/>
      <c r="W193" s="39"/>
      <c r="X193" s="39"/>
      <c r="Y193" s="39"/>
    </row>
    <row r="194" spans="3:25" ht="11.1" customHeight="1">
      <c r="C194" s="39"/>
      <c r="E194" s="36"/>
      <c r="G194" s="76"/>
      <c r="H194" s="76"/>
      <c r="I194" s="76"/>
      <c r="J194" s="76"/>
      <c r="K194" s="76"/>
      <c r="L194" s="37"/>
      <c r="M194" s="37"/>
      <c r="N194" s="38"/>
      <c r="O194" s="38"/>
      <c r="P194" s="38"/>
      <c r="Q194" s="39"/>
      <c r="R194" s="39"/>
      <c r="T194" s="39"/>
      <c r="U194" s="39"/>
      <c r="V194" s="39"/>
      <c r="W194" s="39"/>
      <c r="X194" s="39"/>
      <c r="Y194" s="39"/>
    </row>
    <row r="195" spans="3:25" ht="11.1" customHeight="1">
      <c r="C195" s="39"/>
      <c r="E195" s="36"/>
      <c r="G195" s="76"/>
      <c r="H195" s="76"/>
      <c r="I195" s="76"/>
      <c r="J195" s="76"/>
      <c r="K195" s="76"/>
      <c r="L195" s="37"/>
      <c r="M195" s="37"/>
      <c r="N195" s="38"/>
      <c r="O195" s="38"/>
      <c r="P195" s="38"/>
      <c r="Q195" s="39"/>
      <c r="R195" s="39"/>
      <c r="T195" s="39"/>
      <c r="U195" s="39"/>
      <c r="V195" s="39"/>
      <c r="W195" s="39"/>
      <c r="X195" s="39"/>
      <c r="Y195" s="39"/>
    </row>
    <row r="196" spans="3:25" ht="11.1" customHeight="1">
      <c r="C196" s="39"/>
      <c r="E196" s="36"/>
      <c r="G196" s="76"/>
      <c r="H196" s="76"/>
      <c r="I196" s="76"/>
      <c r="J196" s="76"/>
      <c r="K196" s="76"/>
      <c r="L196" s="37"/>
      <c r="M196" s="37"/>
      <c r="N196" s="38"/>
      <c r="O196" s="38"/>
      <c r="P196" s="38"/>
      <c r="Q196" s="39"/>
      <c r="R196" s="39"/>
      <c r="T196" s="39"/>
      <c r="U196" s="39"/>
      <c r="V196" s="39"/>
      <c r="W196" s="39"/>
      <c r="X196" s="39"/>
      <c r="Y196" s="39"/>
    </row>
    <row r="197" spans="3:25" ht="11.1" customHeight="1">
      <c r="C197" s="39"/>
      <c r="E197" s="36"/>
      <c r="G197" s="76"/>
      <c r="H197" s="76"/>
      <c r="I197" s="76"/>
      <c r="J197" s="76"/>
      <c r="K197" s="76"/>
      <c r="L197" s="37"/>
      <c r="M197" s="37"/>
      <c r="N197" s="38"/>
      <c r="O197" s="38"/>
      <c r="P197" s="38"/>
      <c r="Q197" s="39"/>
      <c r="R197" s="39"/>
      <c r="T197" s="39"/>
      <c r="U197" s="39"/>
      <c r="V197" s="39"/>
      <c r="W197" s="39"/>
      <c r="X197" s="39"/>
      <c r="Y197" s="39"/>
    </row>
    <row r="198" spans="3:25" ht="11.1" customHeight="1">
      <c r="C198" s="39"/>
      <c r="E198" s="36"/>
      <c r="G198" s="76"/>
      <c r="H198" s="76"/>
      <c r="I198" s="76"/>
      <c r="J198" s="76"/>
      <c r="K198" s="76"/>
      <c r="L198" s="37"/>
      <c r="M198" s="37"/>
      <c r="N198" s="38"/>
      <c r="O198" s="38"/>
      <c r="P198" s="38"/>
      <c r="Q198" s="39"/>
      <c r="R198" s="39"/>
      <c r="T198" s="39"/>
      <c r="U198" s="39"/>
      <c r="V198" s="39"/>
      <c r="W198" s="39"/>
      <c r="X198" s="39"/>
      <c r="Y198" s="39"/>
    </row>
    <row r="199" spans="3:25" ht="11.1" customHeight="1">
      <c r="C199" s="39"/>
      <c r="E199" s="36"/>
      <c r="G199" s="76"/>
      <c r="H199" s="76"/>
      <c r="I199" s="76"/>
      <c r="J199" s="76"/>
      <c r="K199" s="76"/>
      <c r="L199" s="37"/>
      <c r="M199" s="37"/>
      <c r="N199" s="38"/>
      <c r="O199" s="38"/>
      <c r="P199" s="38"/>
      <c r="Q199" s="39"/>
      <c r="R199" s="39"/>
      <c r="T199" s="39"/>
      <c r="U199" s="39"/>
      <c r="V199" s="39"/>
      <c r="W199" s="39"/>
      <c r="X199" s="39"/>
      <c r="Y199" s="39"/>
    </row>
    <row r="200" spans="3:25" ht="11.1" customHeight="1">
      <c r="C200" s="39"/>
      <c r="E200" s="36"/>
      <c r="G200" s="76"/>
      <c r="H200" s="76"/>
      <c r="I200" s="76"/>
      <c r="J200" s="76"/>
      <c r="K200" s="76"/>
      <c r="L200" s="37"/>
      <c r="M200" s="37"/>
      <c r="N200" s="38"/>
      <c r="O200" s="38"/>
      <c r="P200" s="38"/>
      <c r="Q200" s="39"/>
      <c r="R200" s="39"/>
      <c r="T200" s="39"/>
      <c r="U200" s="39"/>
      <c r="V200" s="39"/>
      <c r="W200" s="39"/>
      <c r="X200" s="39"/>
      <c r="Y200" s="39"/>
    </row>
    <row r="201" spans="3:25" ht="11.1" customHeight="1">
      <c r="C201" s="39"/>
      <c r="E201" s="36"/>
      <c r="G201" s="76"/>
      <c r="H201" s="76"/>
      <c r="I201" s="76"/>
      <c r="J201" s="76"/>
      <c r="K201" s="76"/>
      <c r="L201" s="37"/>
      <c r="M201" s="37"/>
      <c r="N201" s="38"/>
      <c r="O201" s="38"/>
      <c r="P201" s="38"/>
      <c r="Q201" s="39"/>
      <c r="R201" s="39"/>
      <c r="T201" s="39"/>
      <c r="U201" s="39"/>
      <c r="V201" s="39"/>
      <c r="W201" s="39"/>
      <c r="X201" s="39"/>
      <c r="Y201" s="39"/>
    </row>
    <row r="202" spans="3:25" ht="11.1" customHeight="1">
      <c r="C202" s="39"/>
      <c r="E202" s="36"/>
      <c r="G202" s="76"/>
      <c r="H202" s="76"/>
      <c r="I202" s="76"/>
      <c r="J202" s="76"/>
      <c r="K202" s="76"/>
      <c r="L202" s="37"/>
      <c r="M202" s="37"/>
      <c r="N202" s="38"/>
      <c r="O202" s="38"/>
      <c r="P202" s="38"/>
      <c r="Q202" s="39"/>
      <c r="R202" s="39"/>
      <c r="T202" s="39"/>
      <c r="U202" s="39"/>
      <c r="V202" s="39"/>
      <c r="W202" s="39"/>
      <c r="X202" s="39"/>
      <c r="Y202" s="39"/>
    </row>
    <row r="203" spans="3:25" ht="11.1" customHeight="1">
      <c r="C203" s="39"/>
      <c r="E203" s="36"/>
      <c r="G203" s="76"/>
      <c r="H203" s="76"/>
      <c r="I203" s="76"/>
      <c r="J203" s="76"/>
      <c r="K203" s="76"/>
      <c r="L203" s="37"/>
      <c r="M203" s="37"/>
      <c r="N203" s="38"/>
      <c r="O203" s="38"/>
      <c r="P203" s="38"/>
      <c r="Q203" s="39"/>
      <c r="R203" s="39"/>
      <c r="T203" s="39"/>
      <c r="U203" s="39"/>
      <c r="V203" s="39"/>
      <c r="W203" s="39"/>
      <c r="X203" s="39"/>
      <c r="Y203" s="39"/>
    </row>
    <row r="204" spans="3:25" ht="11.1" customHeight="1">
      <c r="C204" s="39"/>
      <c r="E204" s="36"/>
      <c r="G204" s="76"/>
      <c r="H204" s="76"/>
      <c r="I204" s="76"/>
      <c r="J204" s="76"/>
      <c r="K204" s="76"/>
      <c r="L204" s="37"/>
      <c r="M204" s="37"/>
      <c r="N204" s="38"/>
      <c r="O204" s="38"/>
      <c r="P204" s="38"/>
      <c r="Q204" s="39"/>
      <c r="R204" s="39"/>
      <c r="T204" s="39"/>
      <c r="U204" s="39"/>
      <c r="V204" s="39"/>
      <c r="W204" s="39"/>
      <c r="X204" s="39"/>
      <c r="Y204" s="39"/>
    </row>
    <row r="205" spans="3:25" ht="11.1" customHeight="1">
      <c r="C205" s="39"/>
      <c r="E205" s="36"/>
      <c r="G205" s="76"/>
      <c r="H205" s="76"/>
      <c r="I205" s="76"/>
      <c r="J205" s="76"/>
      <c r="K205" s="76"/>
      <c r="L205" s="37"/>
      <c r="M205" s="37"/>
      <c r="N205" s="38"/>
      <c r="O205" s="38"/>
      <c r="P205" s="38"/>
      <c r="Q205" s="39"/>
      <c r="R205" s="39"/>
      <c r="T205" s="39"/>
      <c r="U205" s="39"/>
      <c r="V205" s="39"/>
      <c r="W205" s="39"/>
      <c r="X205" s="39"/>
      <c r="Y205" s="39"/>
    </row>
    <row r="206" spans="3:25" ht="11.1" customHeight="1">
      <c r="C206" s="39"/>
      <c r="E206" s="36"/>
      <c r="G206" s="76"/>
      <c r="H206" s="76"/>
      <c r="I206" s="76"/>
      <c r="J206" s="76"/>
      <c r="K206" s="76"/>
      <c r="L206" s="37"/>
      <c r="M206" s="37"/>
      <c r="N206" s="38"/>
      <c r="O206" s="38"/>
      <c r="P206" s="38"/>
      <c r="Q206" s="39"/>
      <c r="R206" s="39"/>
      <c r="T206" s="39"/>
      <c r="U206" s="39"/>
      <c r="V206" s="39"/>
      <c r="W206" s="39"/>
      <c r="X206" s="39"/>
      <c r="Y206" s="39"/>
    </row>
    <row r="207" spans="3:25" ht="11.1" customHeight="1">
      <c r="C207" s="39"/>
      <c r="E207" s="36"/>
      <c r="G207" s="76"/>
      <c r="H207" s="76"/>
      <c r="I207" s="76"/>
      <c r="J207" s="76"/>
      <c r="K207" s="76"/>
      <c r="L207" s="37"/>
      <c r="M207" s="37"/>
      <c r="N207" s="38"/>
      <c r="O207" s="38"/>
      <c r="P207" s="38"/>
      <c r="Q207" s="39"/>
      <c r="R207" s="39"/>
      <c r="T207" s="39"/>
      <c r="U207" s="39"/>
      <c r="V207" s="39"/>
      <c r="W207" s="39"/>
      <c r="X207" s="39"/>
      <c r="Y207" s="39"/>
    </row>
    <row r="208" spans="3:25" ht="11.1" customHeight="1">
      <c r="C208" s="39"/>
      <c r="E208" s="36"/>
      <c r="G208" s="76"/>
      <c r="H208" s="76"/>
      <c r="I208" s="76"/>
      <c r="J208" s="76"/>
      <c r="K208" s="76"/>
      <c r="L208" s="37"/>
      <c r="M208" s="37"/>
      <c r="N208" s="38"/>
      <c r="O208" s="38"/>
      <c r="P208" s="38"/>
      <c r="Q208" s="39"/>
      <c r="R208" s="39"/>
      <c r="T208" s="39"/>
      <c r="U208" s="39"/>
      <c r="V208" s="39"/>
      <c r="W208" s="39"/>
      <c r="X208" s="39"/>
      <c r="Y208" s="39"/>
    </row>
    <row r="209" spans="3:25" ht="11.1" customHeight="1">
      <c r="C209" s="39"/>
      <c r="E209" s="36"/>
      <c r="G209" s="76"/>
      <c r="H209" s="76"/>
      <c r="I209" s="76"/>
      <c r="J209" s="76"/>
      <c r="K209" s="76"/>
      <c r="L209" s="37"/>
      <c r="M209" s="37"/>
      <c r="N209" s="38"/>
      <c r="O209" s="38"/>
      <c r="P209" s="38"/>
      <c r="Q209" s="39"/>
      <c r="R209" s="39"/>
      <c r="T209" s="39"/>
      <c r="U209" s="39"/>
      <c r="V209" s="39"/>
      <c r="W209" s="39"/>
      <c r="X209" s="39"/>
      <c r="Y209" s="39"/>
    </row>
    <row r="210" spans="3:25" ht="11.1" customHeight="1">
      <c r="C210" s="39"/>
      <c r="E210" s="36"/>
      <c r="G210" s="76"/>
      <c r="H210" s="76"/>
      <c r="I210" s="76"/>
      <c r="J210" s="76"/>
      <c r="K210" s="76"/>
      <c r="L210" s="37"/>
      <c r="M210" s="37"/>
      <c r="N210" s="38"/>
      <c r="O210" s="38"/>
      <c r="P210" s="38"/>
      <c r="Q210" s="39"/>
      <c r="R210" s="39"/>
      <c r="T210" s="39"/>
      <c r="U210" s="39"/>
      <c r="V210" s="39"/>
      <c r="W210" s="39"/>
      <c r="X210" s="39"/>
      <c r="Y210" s="39"/>
    </row>
    <row r="211" spans="3:25" ht="11.1" customHeight="1">
      <c r="C211" s="39"/>
      <c r="E211" s="36"/>
      <c r="G211" s="76"/>
      <c r="H211" s="76"/>
      <c r="I211" s="76"/>
      <c r="J211" s="76"/>
      <c r="K211" s="76"/>
      <c r="L211" s="37"/>
      <c r="M211" s="37"/>
      <c r="N211" s="38"/>
      <c r="O211" s="38"/>
      <c r="P211" s="38"/>
      <c r="Q211" s="39"/>
      <c r="R211" s="39"/>
      <c r="T211" s="39"/>
      <c r="U211" s="39"/>
      <c r="V211" s="39"/>
      <c r="W211" s="39"/>
      <c r="X211" s="39"/>
      <c r="Y211" s="39"/>
    </row>
    <row r="212" spans="3:25" ht="11.1" customHeight="1">
      <c r="C212" s="39"/>
      <c r="E212" s="36"/>
      <c r="G212" s="76"/>
      <c r="H212" s="76"/>
      <c r="I212" s="76"/>
      <c r="J212" s="76"/>
      <c r="K212" s="76"/>
      <c r="L212" s="37"/>
      <c r="M212" s="37"/>
      <c r="N212" s="38"/>
      <c r="O212" s="38"/>
      <c r="P212" s="38"/>
      <c r="Q212" s="39"/>
      <c r="R212" s="39"/>
      <c r="T212" s="39"/>
      <c r="U212" s="39"/>
      <c r="V212" s="39"/>
      <c r="W212" s="39"/>
      <c r="X212" s="39"/>
      <c r="Y212" s="39"/>
    </row>
    <row r="213" spans="3:25" ht="11.1" customHeight="1">
      <c r="C213" s="39"/>
      <c r="E213" s="36"/>
      <c r="G213" s="76"/>
      <c r="H213" s="76"/>
      <c r="I213" s="76"/>
      <c r="J213" s="76"/>
      <c r="K213" s="76"/>
      <c r="L213" s="37"/>
      <c r="M213" s="37"/>
      <c r="N213" s="38"/>
      <c r="O213" s="38"/>
      <c r="P213" s="38"/>
      <c r="Q213" s="39"/>
      <c r="R213" s="39"/>
      <c r="T213" s="39"/>
      <c r="U213" s="39"/>
      <c r="V213" s="39"/>
      <c r="W213" s="39"/>
      <c r="X213" s="39"/>
      <c r="Y213" s="39"/>
    </row>
    <row r="214" spans="3:25" ht="11.1" customHeight="1">
      <c r="C214" s="39"/>
      <c r="E214" s="36"/>
      <c r="G214" s="76"/>
      <c r="H214" s="76"/>
      <c r="I214" s="76"/>
      <c r="J214" s="76"/>
      <c r="K214" s="76"/>
      <c r="L214" s="37"/>
      <c r="M214" s="37"/>
      <c r="N214" s="38"/>
      <c r="O214" s="38"/>
      <c r="P214" s="38"/>
      <c r="Q214" s="39"/>
      <c r="R214" s="39"/>
      <c r="T214" s="39"/>
      <c r="U214" s="39"/>
      <c r="V214" s="39"/>
      <c r="W214" s="39"/>
      <c r="X214" s="39"/>
      <c r="Y214" s="39"/>
    </row>
    <row r="215" spans="3:25" ht="11.1" customHeight="1">
      <c r="C215" s="39"/>
      <c r="E215" s="36"/>
      <c r="G215" s="76"/>
      <c r="H215" s="76"/>
      <c r="I215" s="76"/>
      <c r="J215" s="76"/>
      <c r="K215" s="76"/>
      <c r="L215" s="37"/>
      <c r="M215" s="37"/>
      <c r="N215" s="38"/>
      <c r="O215" s="38"/>
      <c r="P215" s="38"/>
      <c r="Q215" s="39"/>
      <c r="R215" s="39"/>
      <c r="T215" s="39"/>
      <c r="U215" s="39"/>
      <c r="V215" s="39"/>
      <c r="W215" s="39"/>
      <c r="X215" s="39"/>
      <c r="Y215" s="39"/>
    </row>
    <row r="216" spans="3:25" ht="11.1" customHeight="1">
      <c r="C216" s="39"/>
      <c r="E216" s="36"/>
      <c r="G216" s="76"/>
      <c r="H216" s="76"/>
      <c r="I216" s="76"/>
      <c r="J216" s="76"/>
      <c r="K216" s="76"/>
      <c r="L216" s="37"/>
      <c r="M216" s="37"/>
      <c r="N216" s="38"/>
      <c r="O216" s="38"/>
      <c r="P216" s="38"/>
      <c r="Q216" s="39"/>
      <c r="R216" s="39"/>
      <c r="T216" s="39"/>
      <c r="U216" s="39"/>
      <c r="V216" s="39"/>
      <c r="W216" s="39"/>
      <c r="X216" s="39"/>
      <c r="Y216" s="39"/>
    </row>
    <row r="217" spans="3:25" ht="11.1" customHeight="1">
      <c r="C217" s="39"/>
      <c r="E217" s="36"/>
      <c r="G217" s="76"/>
      <c r="H217" s="76"/>
      <c r="I217" s="76"/>
      <c r="J217" s="76"/>
      <c r="K217" s="76"/>
      <c r="L217" s="37"/>
      <c r="M217" s="37"/>
      <c r="N217" s="38"/>
      <c r="O217" s="38"/>
      <c r="P217" s="38"/>
      <c r="Q217" s="39"/>
      <c r="R217" s="39"/>
      <c r="T217" s="39"/>
      <c r="U217" s="39"/>
      <c r="V217" s="39"/>
      <c r="W217" s="39"/>
      <c r="X217" s="39"/>
      <c r="Y217" s="39"/>
    </row>
    <row r="218" spans="3:25" ht="11.1" customHeight="1">
      <c r="C218" s="39"/>
      <c r="E218" s="36"/>
      <c r="G218" s="76"/>
      <c r="H218" s="76"/>
      <c r="I218" s="76"/>
      <c r="J218" s="76"/>
      <c r="K218" s="76"/>
      <c r="L218" s="37"/>
      <c r="M218" s="37"/>
      <c r="N218" s="38"/>
      <c r="O218" s="38"/>
      <c r="P218" s="38"/>
      <c r="Q218" s="39"/>
      <c r="R218" s="39"/>
      <c r="T218" s="39"/>
      <c r="U218" s="39"/>
      <c r="V218" s="39"/>
      <c r="W218" s="39"/>
      <c r="X218" s="39"/>
      <c r="Y218" s="39"/>
    </row>
    <row r="219" spans="3:25" ht="11.1" customHeight="1">
      <c r="C219" s="39"/>
      <c r="E219" s="36"/>
      <c r="G219" s="76"/>
      <c r="H219" s="76"/>
      <c r="I219" s="76"/>
      <c r="J219" s="76"/>
      <c r="K219" s="76"/>
      <c r="L219" s="37"/>
      <c r="M219" s="37"/>
      <c r="N219" s="38"/>
      <c r="O219" s="38"/>
      <c r="P219" s="38"/>
      <c r="Q219" s="39"/>
      <c r="R219" s="39"/>
      <c r="T219" s="39"/>
      <c r="U219" s="39"/>
      <c r="V219" s="39"/>
      <c r="W219" s="39"/>
      <c r="X219" s="39"/>
      <c r="Y219" s="39"/>
    </row>
    <row r="220" spans="3:25" ht="11.1" customHeight="1">
      <c r="C220" s="39"/>
      <c r="E220" s="36"/>
      <c r="G220" s="76"/>
      <c r="H220" s="76"/>
      <c r="I220" s="76"/>
      <c r="J220" s="76"/>
      <c r="K220" s="76"/>
      <c r="L220" s="37"/>
      <c r="M220" s="37"/>
      <c r="N220" s="38"/>
      <c r="O220" s="38"/>
      <c r="P220" s="38"/>
      <c r="Q220" s="39"/>
      <c r="R220" s="39"/>
      <c r="T220" s="39"/>
      <c r="U220" s="39"/>
      <c r="V220" s="39"/>
      <c r="W220" s="39"/>
      <c r="X220" s="39"/>
      <c r="Y220" s="39"/>
    </row>
    <row r="221" spans="3:25" ht="11.1" customHeight="1">
      <c r="C221" s="39"/>
      <c r="E221" s="36"/>
      <c r="G221" s="76"/>
      <c r="H221" s="76"/>
      <c r="I221" s="76"/>
      <c r="J221" s="76"/>
      <c r="K221" s="76"/>
      <c r="L221" s="37"/>
      <c r="M221" s="37"/>
      <c r="N221" s="38"/>
      <c r="O221" s="38"/>
      <c r="P221" s="38"/>
      <c r="Q221" s="39"/>
      <c r="R221" s="39"/>
      <c r="T221" s="39"/>
      <c r="U221" s="39"/>
      <c r="V221" s="39"/>
      <c r="W221" s="39"/>
      <c r="X221" s="39"/>
      <c r="Y221" s="39"/>
    </row>
    <row r="222" spans="3:25" ht="11.1" customHeight="1">
      <c r="C222" s="39"/>
      <c r="E222" s="36"/>
      <c r="G222" s="76"/>
      <c r="H222" s="76"/>
      <c r="I222" s="76"/>
      <c r="J222" s="76"/>
      <c r="K222" s="76"/>
      <c r="L222" s="37"/>
      <c r="M222" s="37"/>
      <c r="N222" s="38"/>
      <c r="O222" s="38"/>
      <c r="P222" s="38"/>
      <c r="Q222" s="39"/>
      <c r="R222" s="39"/>
      <c r="T222" s="39"/>
      <c r="U222" s="39"/>
      <c r="V222" s="39"/>
      <c r="W222" s="39"/>
      <c r="X222" s="39"/>
      <c r="Y222" s="39"/>
    </row>
    <row r="223" spans="3:25" ht="11.1" customHeight="1">
      <c r="C223" s="39"/>
      <c r="E223" s="36"/>
      <c r="G223" s="76"/>
      <c r="H223" s="76"/>
      <c r="I223" s="76"/>
      <c r="J223" s="76"/>
      <c r="K223" s="76"/>
      <c r="L223" s="37"/>
      <c r="M223" s="37"/>
      <c r="N223" s="38"/>
      <c r="O223" s="38"/>
      <c r="P223" s="38"/>
      <c r="Q223" s="39"/>
      <c r="R223" s="39"/>
      <c r="T223" s="39"/>
      <c r="U223" s="39"/>
      <c r="V223" s="39"/>
      <c r="W223" s="39"/>
      <c r="X223" s="39"/>
      <c r="Y223" s="39"/>
    </row>
    <row r="224" spans="3:25" ht="11.1" customHeight="1">
      <c r="C224" s="39"/>
      <c r="E224" s="36"/>
      <c r="G224" s="76"/>
      <c r="H224" s="76"/>
      <c r="I224" s="76"/>
      <c r="J224" s="76"/>
      <c r="K224" s="76"/>
      <c r="L224" s="37"/>
      <c r="M224" s="37"/>
      <c r="N224" s="38"/>
      <c r="O224" s="38"/>
      <c r="P224" s="38"/>
      <c r="Q224" s="39"/>
      <c r="R224" s="39"/>
      <c r="T224" s="39"/>
      <c r="U224" s="39"/>
      <c r="V224" s="39"/>
      <c r="W224" s="39"/>
      <c r="X224" s="39"/>
      <c r="Y224" s="39"/>
    </row>
    <row r="225" spans="3:25" ht="11.1" customHeight="1">
      <c r="C225" s="39"/>
      <c r="E225" s="36"/>
      <c r="G225" s="76"/>
      <c r="H225" s="76"/>
      <c r="I225" s="76"/>
      <c r="J225" s="76"/>
      <c r="K225" s="76"/>
      <c r="L225" s="37"/>
      <c r="M225" s="37"/>
      <c r="N225" s="38"/>
      <c r="O225" s="38"/>
      <c r="P225" s="38"/>
      <c r="Q225" s="39"/>
      <c r="R225" s="39"/>
      <c r="T225" s="39"/>
      <c r="U225" s="39"/>
      <c r="V225" s="39"/>
      <c r="W225" s="39"/>
      <c r="X225" s="39"/>
      <c r="Y225" s="39"/>
    </row>
    <row r="226" spans="3:25" ht="11.1" customHeight="1">
      <c r="C226" s="39"/>
      <c r="E226" s="36"/>
      <c r="G226" s="76"/>
      <c r="H226" s="76"/>
      <c r="I226" s="76"/>
      <c r="J226" s="76"/>
      <c r="K226" s="76"/>
      <c r="L226" s="37"/>
      <c r="M226" s="37"/>
      <c r="N226" s="38"/>
      <c r="O226" s="38"/>
      <c r="P226" s="38"/>
      <c r="Q226" s="39"/>
      <c r="R226" s="39"/>
      <c r="T226" s="39"/>
      <c r="U226" s="39"/>
      <c r="V226" s="39"/>
      <c r="W226" s="39"/>
      <c r="X226" s="39"/>
      <c r="Y226" s="39"/>
    </row>
    <row r="227" spans="3:25" ht="11.1" customHeight="1">
      <c r="C227" s="39"/>
      <c r="E227" s="36"/>
      <c r="G227" s="76"/>
      <c r="H227" s="76"/>
      <c r="I227" s="76"/>
      <c r="J227" s="76"/>
      <c r="K227" s="76"/>
      <c r="L227" s="37"/>
      <c r="M227" s="37"/>
      <c r="N227" s="38"/>
      <c r="O227" s="38"/>
      <c r="P227" s="38"/>
      <c r="Q227" s="39"/>
      <c r="R227" s="39"/>
      <c r="T227" s="39"/>
      <c r="U227" s="39"/>
      <c r="V227" s="39"/>
      <c r="W227" s="39"/>
      <c r="X227" s="39"/>
      <c r="Y227" s="39"/>
    </row>
    <row r="228" spans="3:25" ht="11.1" customHeight="1">
      <c r="C228" s="39"/>
      <c r="E228" s="36"/>
      <c r="G228" s="76"/>
      <c r="H228" s="76"/>
      <c r="I228" s="76"/>
      <c r="J228" s="76"/>
      <c r="K228" s="76"/>
      <c r="L228" s="37"/>
      <c r="M228" s="37"/>
      <c r="N228" s="38"/>
      <c r="O228" s="38"/>
      <c r="P228" s="38"/>
      <c r="Q228" s="39"/>
      <c r="R228" s="39"/>
      <c r="T228" s="39"/>
      <c r="U228" s="39"/>
      <c r="V228" s="39"/>
      <c r="W228" s="39"/>
      <c r="X228" s="39"/>
      <c r="Y228" s="39"/>
    </row>
    <row r="229" spans="3:25" ht="11.1" customHeight="1">
      <c r="C229" s="39"/>
      <c r="E229" s="36"/>
      <c r="G229" s="76"/>
      <c r="H229" s="76"/>
      <c r="I229" s="76"/>
      <c r="J229" s="76"/>
      <c r="K229" s="76"/>
      <c r="L229" s="37"/>
      <c r="M229" s="37"/>
      <c r="N229" s="38"/>
      <c r="O229" s="38"/>
      <c r="P229" s="38"/>
      <c r="Q229" s="39"/>
      <c r="R229" s="39"/>
      <c r="T229" s="39"/>
      <c r="U229" s="39"/>
      <c r="V229" s="39"/>
      <c r="W229" s="39"/>
      <c r="X229" s="39"/>
      <c r="Y229" s="39"/>
    </row>
    <row r="230" spans="3:25" ht="11.1" customHeight="1">
      <c r="C230" s="39"/>
      <c r="E230" s="36"/>
      <c r="G230" s="76"/>
      <c r="H230" s="76"/>
      <c r="I230" s="76"/>
      <c r="J230" s="76"/>
      <c r="K230" s="76"/>
      <c r="L230" s="37"/>
      <c r="M230" s="37"/>
      <c r="N230" s="38"/>
      <c r="O230" s="38"/>
      <c r="P230" s="38"/>
      <c r="Q230" s="39"/>
      <c r="R230" s="39"/>
      <c r="T230" s="39"/>
      <c r="U230" s="39"/>
      <c r="V230" s="39"/>
      <c r="W230" s="39"/>
      <c r="X230" s="39"/>
      <c r="Y230" s="39"/>
    </row>
    <row r="231" spans="3:25" ht="11.1" customHeight="1">
      <c r="C231" s="39"/>
      <c r="E231" s="36"/>
      <c r="G231" s="76"/>
      <c r="H231" s="76"/>
      <c r="I231" s="76"/>
      <c r="J231" s="76"/>
      <c r="K231" s="76"/>
      <c r="L231" s="37"/>
      <c r="M231" s="37"/>
      <c r="N231" s="38"/>
      <c r="O231" s="38"/>
      <c r="P231" s="38"/>
      <c r="Q231" s="39"/>
      <c r="R231" s="39"/>
      <c r="T231" s="39"/>
      <c r="U231" s="39"/>
      <c r="V231" s="39"/>
      <c r="W231" s="39"/>
      <c r="X231" s="39"/>
      <c r="Y231" s="39"/>
    </row>
    <row r="232" spans="3:25" ht="11.1" customHeight="1">
      <c r="C232" s="39"/>
      <c r="E232" s="36"/>
      <c r="G232" s="76"/>
      <c r="H232" s="76"/>
      <c r="I232" s="76"/>
      <c r="J232" s="76"/>
      <c r="K232" s="76"/>
      <c r="L232" s="37"/>
      <c r="M232" s="37"/>
      <c r="N232" s="38"/>
      <c r="O232" s="38"/>
      <c r="P232" s="38"/>
      <c r="Q232" s="39"/>
      <c r="R232" s="39"/>
      <c r="T232" s="39"/>
      <c r="U232" s="39"/>
      <c r="V232" s="39"/>
      <c r="W232" s="39"/>
      <c r="X232" s="39"/>
      <c r="Y232" s="39"/>
    </row>
    <row r="233" spans="3:25" ht="11.1" customHeight="1">
      <c r="C233" s="39"/>
      <c r="E233" s="36"/>
      <c r="G233" s="76"/>
      <c r="H233" s="76"/>
      <c r="I233" s="76"/>
      <c r="J233" s="76"/>
      <c r="K233" s="76"/>
      <c r="L233" s="37"/>
      <c r="M233" s="37"/>
      <c r="N233" s="38"/>
      <c r="O233" s="38"/>
      <c r="P233" s="38"/>
      <c r="Q233" s="39"/>
      <c r="R233" s="39"/>
      <c r="T233" s="39"/>
      <c r="U233" s="39"/>
      <c r="V233" s="39"/>
      <c r="W233" s="39"/>
      <c r="X233" s="39"/>
      <c r="Y233" s="39"/>
    </row>
    <row r="234" spans="3:25" ht="11.1" customHeight="1">
      <c r="C234" s="39"/>
      <c r="E234" s="36"/>
      <c r="G234" s="76"/>
      <c r="H234" s="76"/>
      <c r="I234" s="76"/>
      <c r="J234" s="76"/>
      <c r="K234" s="76"/>
      <c r="L234" s="37"/>
      <c r="M234" s="37"/>
      <c r="N234" s="38"/>
      <c r="O234" s="38"/>
      <c r="P234" s="38"/>
      <c r="Q234" s="39"/>
      <c r="R234" s="39"/>
      <c r="T234" s="39"/>
      <c r="U234" s="39"/>
      <c r="V234" s="39"/>
      <c r="W234" s="39"/>
      <c r="X234" s="39"/>
      <c r="Y234" s="39"/>
    </row>
    <row r="235" spans="3:25" ht="11.1" customHeight="1">
      <c r="C235" s="39"/>
      <c r="E235" s="36"/>
      <c r="G235" s="76"/>
      <c r="H235" s="76"/>
      <c r="I235" s="76"/>
      <c r="J235" s="76"/>
      <c r="K235" s="76"/>
      <c r="L235" s="37"/>
      <c r="M235" s="37"/>
      <c r="N235" s="38"/>
      <c r="O235" s="38"/>
      <c r="P235" s="38"/>
      <c r="Q235" s="39"/>
      <c r="R235" s="39"/>
      <c r="T235" s="39"/>
      <c r="U235" s="39"/>
      <c r="V235" s="39"/>
      <c r="W235" s="39"/>
      <c r="X235" s="39"/>
      <c r="Y235" s="39"/>
    </row>
    <row r="236" spans="3:25" ht="11.1" customHeight="1">
      <c r="C236" s="39"/>
      <c r="E236" s="36"/>
      <c r="G236" s="76"/>
      <c r="H236" s="76"/>
      <c r="I236" s="76"/>
      <c r="J236" s="76"/>
      <c r="K236" s="76"/>
      <c r="L236" s="37"/>
      <c r="M236" s="37"/>
      <c r="N236" s="38"/>
      <c r="O236" s="38"/>
      <c r="P236" s="38"/>
      <c r="Q236" s="39"/>
      <c r="R236" s="39"/>
      <c r="T236" s="39"/>
      <c r="U236" s="39"/>
      <c r="V236" s="39"/>
      <c r="W236" s="39"/>
      <c r="X236" s="39"/>
      <c r="Y236" s="39"/>
    </row>
    <row r="237" spans="3:25" ht="11.1" customHeight="1">
      <c r="C237" s="39"/>
      <c r="E237" s="36"/>
      <c r="G237" s="76"/>
      <c r="H237" s="76"/>
      <c r="I237" s="76"/>
      <c r="J237" s="76"/>
      <c r="K237" s="76"/>
      <c r="L237" s="37"/>
      <c r="M237" s="37"/>
      <c r="N237" s="38"/>
      <c r="O237" s="38"/>
      <c r="P237" s="38"/>
      <c r="Q237" s="39"/>
      <c r="R237" s="39"/>
      <c r="T237" s="39"/>
      <c r="U237" s="39"/>
      <c r="V237" s="39"/>
      <c r="W237" s="39"/>
      <c r="X237" s="39"/>
      <c r="Y237" s="39"/>
    </row>
    <row r="238" spans="3:25" ht="11.1" customHeight="1">
      <c r="C238" s="39"/>
      <c r="E238" s="36"/>
      <c r="G238" s="76"/>
      <c r="H238" s="76"/>
      <c r="I238" s="76"/>
      <c r="J238" s="76"/>
      <c r="K238" s="76"/>
      <c r="L238" s="37"/>
      <c r="M238" s="37"/>
      <c r="N238" s="38"/>
      <c r="O238" s="38"/>
      <c r="P238" s="38"/>
      <c r="Q238" s="39"/>
      <c r="R238" s="39"/>
      <c r="T238" s="39"/>
      <c r="U238" s="39"/>
      <c r="V238" s="39"/>
      <c r="W238" s="39"/>
      <c r="X238" s="39"/>
      <c r="Y238" s="39"/>
    </row>
    <row r="239" spans="3:25" ht="11.1" customHeight="1">
      <c r="C239" s="39"/>
      <c r="E239" s="36"/>
      <c r="G239" s="76"/>
      <c r="H239" s="76"/>
      <c r="I239" s="76"/>
      <c r="J239" s="76"/>
      <c r="K239" s="76"/>
      <c r="L239" s="37"/>
      <c r="M239" s="37"/>
      <c r="N239" s="38"/>
      <c r="O239" s="38"/>
      <c r="P239" s="38"/>
      <c r="Q239" s="39"/>
      <c r="R239" s="39"/>
      <c r="T239" s="39"/>
      <c r="U239" s="39"/>
      <c r="V239" s="39"/>
      <c r="W239" s="39"/>
      <c r="X239" s="39"/>
      <c r="Y239" s="39"/>
    </row>
    <row r="240" spans="3:25" ht="11.1" customHeight="1">
      <c r="C240" s="39"/>
      <c r="E240" s="36"/>
      <c r="G240" s="76"/>
      <c r="H240" s="76"/>
      <c r="I240" s="76"/>
      <c r="J240" s="76"/>
      <c r="K240" s="76"/>
      <c r="L240" s="37"/>
      <c r="M240" s="37"/>
      <c r="N240" s="38"/>
      <c r="O240" s="38"/>
      <c r="P240" s="38"/>
      <c r="Q240" s="39"/>
      <c r="R240" s="39"/>
      <c r="T240" s="39"/>
      <c r="U240" s="39"/>
      <c r="V240" s="39"/>
      <c r="W240" s="39"/>
      <c r="X240" s="39"/>
      <c r="Y240" s="39"/>
    </row>
    <row r="241" spans="3:25" ht="11.1" customHeight="1">
      <c r="C241" s="39"/>
      <c r="E241" s="36"/>
      <c r="G241" s="76"/>
      <c r="H241" s="76"/>
      <c r="I241" s="76"/>
      <c r="J241" s="76"/>
      <c r="K241" s="76"/>
      <c r="L241" s="37"/>
      <c r="M241" s="37"/>
      <c r="N241" s="38"/>
      <c r="O241" s="38"/>
      <c r="P241" s="38"/>
      <c r="Q241" s="39"/>
      <c r="R241" s="39"/>
      <c r="T241" s="39"/>
      <c r="U241" s="39"/>
      <c r="V241" s="39"/>
      <c r="W241" s="39"/>
      <c r="X241" s="39"/>
      <c r="Y241" s="39"/>
    </row>
    <row r="242" spans="3:25" ht="11.1" customHeight="1">
      <c r="C242" s="39"/>
      <c r="E242" s="36"/>
      <c r="G242" s="76"/>
      <c r="H242" s="76"/>
      <c r="I242" s="76"/>
      <c r="J242" s="76"/>
      <c r="K242" s="76"/>
      <c r="L242" s="37"/>
      <c r="M242" s="37"/>
      <c r="N242" s="38"/>
      <c r="O242" s="38"/>
      <c r="P242" s="38"/>
      <c r="Q242" s="39"/>
      <c r="R242" s="39"/>
      <c r="T242" s="39"/>
      <c r="U242" s="39"/>
      <c r="V242" s="39"/>
      <c r="W242" s="39"/>
      <c r="X242" s="39"/>
      <c r="Y242" s="39"/>
    </row>
    <row r="243" spans="3:25" ht="11.1" customHeight="1">
      <c r="C243" s="39"/>
      <c r="E243" s="36"/>
      <c r="G243" s="76"/>
      <c r="H243" s="76"/>
      <c r="I243" s="76"/>
      <c r="J243" s="76"/>
      <c r="K243" s="76"/>
      <c r="L243" s="37"/>
      <c r="M243" s="37"/>
      <c r="N243" s="38"/>
      <c r="O243" s="38"/>
      <c r="P243" s="38"/>
      <c r="Q243" s="39"/>
      <c r="R243" s="39"/>
      <c r="T243" s="39"/>
      <c r="U243" s="39"/>
      <c r="V243" s="39"/>
      <c r="W243" s="39"/>
      <c r="X243" s="39"/>
      <c r="Y243" s="39"/>
    </row>
    <row r="244" spans="3:25" ht="11.1" customHeight="1">
      <c r="C244" s="39"/>
      <c r="E244" s="36"/>
      <c r="G244" s="76"/>
      <c r="H244" s="76"/>
      <c r="I244" s="76"/>
      <c r="J244" s="76"/>
      <c r="K244" s="76"/>
      <c r="L244" s="37"/>
      <c r="M244" s="37"/>
      <c r="N244" s="38"/>
      <c r="O244" s="38"/>
      <c r="P244" s="38"/>
      <c r="Q244" s="39"/>
      <c r="R244" s="39"/>
      <c r="T244" s="39"/>
      <c r="U244" s="39"/>
      <c r="V244" s="39"/>
      <c r="W244" s="39"/>
      <c r="X244" s="39"/>
      <c r="Y244" s="39"/>
    </row>
    <row r="245" spans="3:25" ht="11.1" customHeight="1">
      <c r="C245" s="39"/>
      <c r="E245" s="36"/>
      <c r="G245" s="76"/>
      <c r="H245" s="76"/>
      <c r="I245" s="76"/>
      <c r="J245" s="76"/>
      <c r="K245" s="76"/>
      <c r="L245" s="37"/>
      <c r="M245" s="37"/>
      <c r="N245" s="38"/>
      <c r="O245" s="38"/>
      <c r="P245" s="38"/>
      <c r="Q245" s="39"/>
      <c r="R245" s="39"/>
      <c r="T245" s="39"/>
      <c r="U245" s="39"/>
      <c r="V245" s="39"/>
      <c r="W245" s="39"/>
      <c r="X245" s="39"/>
      <c r="Y245" s="39"/>
    </row>
    <row r="246" spans="3:25" ht="11.1" customHeight="1">
      <c r="C246" s="39"/>
      <c r="E246" s="36"/>
      <c r="G246" s="76"/>
      <c r="H246" s="76"/>
      <c r="I246" s="76"/>
      <c r="J246" s="76"/>
      <c r="K246" s="76"/>
      <c r="L246" s="37"/>
      <c r="M246" s="37"/>
      <c r="N246" s="38"/>
      <c r="O246" s="38"/>
      <c r="P246" s="38"/>
      <c r="Q246" s="39"/>
      <c r="R246" s="39"/>
      <c r="T246" s="39"/>
      <c r="U246" s="39"/>
      <c r="V246" s="39"/>
      <c r="W246" s="39"/>
      <c r="X246" s="39"/>
      <c r="Y246" s="39"/>
    </row>
    <row r="247" spans="3:25" ht="11.1" customHeight="1">
      <c r="C247" s="39"/>
      <c r="E247" s="36"/>
      <c r="G247" s="76"/>
      <c r="H247" s="76"/>
      <c r="I247" s="76"/>
      <c r="J247" s="76"/>
      <c r="K247" s="76"/>
      <c r="L247" s="37"/>
      <c r="M247" s="37"/>
      <c r="N247" s="38"/>
      <c r="O247" s="38"/>
      <c r="P247" s="38"/>
      <c r="Q247" s="39"/>
      <c r="R247" s="39"/>
      <c r="T247" s="39"/>
      <c r="U247" s="39"/>
      <c r="V247" s="39"/>
      <c r="W247" s="39"/>
      <c r="X247" s="39"/>
      <c r="Y247" s="39"/>
    </row>
    <row r="248" spans="3:25" ht="11.1" customHeight="1">
      <c r="C248" s="39"/>
      <c r="E248" s="36"/>
      <c r="G248" s="76"/>
      <c r="H248" s="76"/>
      <c r="I248" s="76"/>
      <c r="J248" s="76"/>
      <c r="K248" s="76"/>
      <c r="L248" s="37"/>
      <c r="M248" s="37"/>
      <c r="N248" s="38"/>
      <c r="O248" s="38"/>
      <c r="P248" s="38"/>
      <c r="Q248" s="39"/>
      <c r="R248" s="39"/>
      <c r="T248" s="39"/>
      <c r="U248" s="39"/>
      <c r="V248" s="39"/>
      <c r="W248" s="39"/>
      <c r="X248" s="39"/>
      <c r="Y248" s="39"/>
    </row>
    <row r="249" spans="3:25" ht="11.1" customHeight="1">
      <c r="C249" s="39"/>
      <c r="E249" s="36"/>
      <c r="G249" s="76"/>
      <c r="H249" s="76"/>
      <c r="I249" s="76"/>
      <c r="J249" s="76"/>
      <c r="K249" s="76"/>
      <c r="L249" s="37"/>
      <c r="M249" s="37"/>
      <c r="N249" s="38"/>
      <c r="O249" s="38"/>
      <c r="P249" s="38"/>
      <c r="Q249" s="39"/>
      <c r="R249" s="39"/>
      <c r="T249" s="39"/>
      <c r="U249" s="39"/>
      <c r="V249" s="39"/>
      <c r="W249" s="39"/>
      <c r="X249" s="39"/>
      <c r="Y249" s="39"/>
    </row>
    <row r="250" spans="3:25" ht="11.1" customHeight="1">
      <c r="C250" s="39"/>
      <c r="E250" s="36"/>
      <c r="G250" s="76"/>
      <c r="H250" s="76"/>
      <c r="I250" s="76"/>
      <c r="J250" s="76"/>
      <c r="K250" s="76"/>
      <c r="L250" s="37"/>
      <c r="M250" s="37"/>
      <c r="N250" s="38"/>
      <c r="O250" s="38"/>
      <c r="P250" s="38"/>
      <c r="Q250" s="39"/>
      <c r="R250" s="39"/>
      <c r="T250" s="39"/>
      <c r="U250" s="39"/>
      <c r="V250" s="39"/>
      <c r="W250" s="39"/>
      <c r="X250" s="39"/>
      <c r="Y250" s="39"/>
    </row>
    <row r="251" spans="3:25" ht="11.1" customHeight="1">
      <c r="C251" s="39"/>
      <c r="E251" s="36"/>
      <c r="G251" s="76"/>
      <c r="H251" s="76"/>
      <c r="I251" s="76"/>
      <c r="J251" s="76"/>
      <c r="K251" s="76"/>
      <c r="L251" s="37"/>
      <c r="M251" s="37"/>
      <c r="N251" s="38"/>
      <c r="O251" s="38"/>
      <c r="P251" s="38"/>
      <c r="Q251" s="39"/>
      <c r="R251" s="39"/>
      <c r="T251" s="39"/>
      <c r="U251" s="39"/>
      <c r="V251" s="39"/>
      <c r="W251" s="39"/>
      <c r="X251" s="39"/>
      <c r="Y251" s="39"/>
    </row>
    <row r="252" spans="3:25" ht="11.1" customHeight="1">
      <c r="C252" s="39"/>
      <c r="E252" s="36"/>
      <c r="G252" s="76"/>
      <c r="H252" s="76"/>
      <c r="I252" s="76"/>
      <c r="J252" s="76"/>
      <c r="K252" s="76"/>
      <c r="L252" s="37"/>
      <c r="M252" s="37"/>
      <c r="N252" s="38"/>
      <c r="O252" s="38"/>
      <c r="P252" s="38"/>
      <c r="Q252" s="39"/>
      <c r="R252" s="39"/>
      <c r="T252" s="39"/>
      <c r="U252" s="39"/>
      <c r="V252" s="39"/>
      <c r="W252" s="39"/>
      <c r="X252" s="39"/>
      <c r="Y252" s="39"/>
    </row>
    <row r="253" spans="3:25" ht="11.1" customHeight="1">
      <c r="C253" s="39"/>
      <c r="E253" s="36"/>
      <c r="G253" s="76"/>
      <c r="H253" s="76"/>
      <c r="I253" s="76"/>
      <c r="J253" s="76"/>
      <c r="K253" s="76"/>
      <c r="L253" s="37"/>
      <c r="M253" s="37"/>
      <c r="N253" s="38"/>
      <c r="O253" s="38"/>
      <c r="P253" s="38"/>
      <c r="Q253" s="39"/>
      <c r="R253" s="39"/>
      <c r="T253" s="39"/>
      <c r="U253" s="39"/>
      <c r="V253" s="39"/>
      <c r="W253" s="39"/>
      <c r="X253" s="39"/>
      <c r="Y253" s="39"/>
    </row>
    <row r="254" spans="3:25" ht="11.1" customHeight="1">
      <c r="C254" s="39"/>
      <c r="E254" s="36"/>
      <c r="G254" s="76"/>
      <c r="H254" s="76"/>
      <c r="I254" s="76"/>
      <c r="J254" s="76"/>
      <c r="K254" s="76"/>
      <c r="L254" s="37"/>
      <c r="M254" s="37"/>
      <c r="N254" s="38"/>
      <c r="O254" s="38"/>
      <c r="P254" s="38"/>
      <c r="Q254" s="39"/>
      <c r="R254" s="39"/>
      <c r="T254" s="39"/>
      <c r="U254" s="39"/>
      <c r="V254" s="39"/>
      <c r="W254" s="39"/>
      <c r="X254" s="39"/>
      <c r="Y254" s="39"/>
    </row>
    <row r="255" spans="3:25" ht="11.1" customHeight="1">
      <c r="C255" s="39"/>
      <c r="E255" s="36"/>
      <c r="G255" s="76"/>
      <c r="H255" s="76"/>
      <c r="I255" s="76"/>
      <c r="J255" s="76"/>
      <c r="K255" s="76"/>
      <c r="L255" s="37"/>
      <c r="M255" s="37"/>
      <c r="N255" s="38"/>
      <c r="O255" s="38"/>
      <c r="P255" s="38"/>
      <c r="Q255" s="39"/>
      <c r="R255" s="39"/>
      <c r="T255" s="39"/>
      <c r="U255" s="39"/>
      <c r="V255" s="39"/>
      <c r="W255" s="39"/>
      <c r="X255" s="39"/>
      <c r="Y255" s="39"/>
    </row>
    <row r="256" spans="3:25" ht="11.1" customHeight="1">
      <c r="C256" s="39"/>
      <c r="E256" s="36"/>
      <c r="G256" s="76"/>
      <c r="H256" s="76"/>
      <c r="I256" s="76"/>
      <c r="J256" s="76"/>
      <c r="K256" s="76"/>
      <c r="L256" s="37"/>
      <c r="M256" s="37"/>
      <c r="N256" s="38"/>
      <c r="O256" s="38"/>
      <c r="P256" s="38"/>
      <c r="Q256" s="39"/>
      <c r="R256" s="39"/>
      <c r="T256" s="39"/>
      <c r="U256" s="39"/>
      <c r="V256" s="39"/>
      <c r="W256" s="39"/>
      <c r="X256" s="39"/>
      <c r="Y256" s="39"/>
    </row>
    <row r="257" spans="3:25" ht="11.1" customHeight="1">
      <c r="C257" s="39"/>
      <c r="E257" s="36"/>
      <c r="G257" s="76"/>
      <c r="H257" s="76"/>
      <c r="I257" s="76"/>
      <c r="J257" s="76"/>
      <c r="K257" s="76"/>
      <c r="L257" s="37"/>
      <c r="M257" s="37"/>
      <c r="N257" s="38"/>
      <c r="O257" s="38"/>
      <c r="P257" s="38"/>
      <c r="Q257" s="39"/>
      <c r="R257" s="39"/>
      <c r="T257" s="39"/>
      <c r="U257" s="39"/>
      <c r="V257" s="39"/>
      <c r="W257" s="39"/>
      <c r="X257" s="39"/>
      <c r="Y257" s="39"/>
    </row>
    <row r="258" spans="3:25" ht="11.1" customHeight="1">
      <c r="C258" s="39"/>
      <c r="E258" s="36"/>
      <c r="G258" s="76"/>
      <c r="H258" s="76"/>
      <c r="I258" s="76"/>
      <c r="J258" s="76"/>
      <c r="K258" s="76"/>
      <c r="L258" s="37"/>
      <c r="M258" s="37"/>
      <c r="N258" s="38"/>
      <c r="O258" s="38"/>
      <c r="P258" s="38"/>
      <c r="Q258" s="39"/>
      <c r="R258" s="39"/>
      <c r="T258" s="39"/>
      <c r="U258" s="39"/>
      <c r="V258" s="39"/>
      <c r="W258" s="39"/>
      <c r="X258" s="39"/>
      <c r="Y258" s="39"/>
    </row>
    <row r="259" spans="3:25" ht="11.1" customHeight="1">
      <c r="C259" s="39"/>
      <c r="E259" s="36"/>
      <c r="G259" s="76"/>
      <c r="H259" s="76"/>
      <c r="I259" s="76"/>
      <c r="J259" s="76"/>
      <c r="K259" s="76"/>
      <c r="L259" s="37"/>
      <c r="M259" s="37"/>
      <c r="N259" s="38"/>
      <c r="O259" s="38"/>
      <c r="P259" s="38"/>
      <c r="Q259" s="39"/>
      <c r="R259" s="39"/>
      <c r="T259" s="39"/>
      <c r="U259" s="39"/>
      <c r="V259" s="39"/>
      <c r="W259" s="39"/>
      <c r="X259" s="39"/>
      <c r="Y259" s="39"/>
    </row>
    <row r="260" spans="3:25" ht="11.1" customHeight="1">
      <c r="C260" s="39"/>
      <c r="E260" s="36"/>
      <c r="G260" s="76"/>
      <c r="H260" s="76"/>
      <c r="I260" s="76"/>
      <c r="J260" s="76"/>
      <c r="K260" s="76"/>
      <c r="L260" s="37"/>
      <c r="M260" s="37"/>
      <c r="N260" s="38"/>
      <c r="O260" s="38"/>
      <c r="P260" s="38"/>
      <c r="Q260" s="39"/>
      <c r="R260" s="39"/>
      <c r="T260" s="39"/>
      <c r="U260" s="39"/>
      <c r="V260" s="39"/>
      <c r="W260" s="39"/>
      <c r="X260" s="39"/>
      <c r="Y260" s="39"/>
    </row>
    <row r="261" spans="3:25" ht="11.1" customHeight="1">
      <c r="C261" s="39"/>
      <c r="E261" s="36"/>
      <c r="G261" s="76"/>
      <c r="H261" s="76"/>
      <c r="I261" s="76"/>
      <c r="J261" s="76"/>
      <c r="K261" s="76"/>
      <c r="L261" s="37"/>
      <c r="M261" s="37"/>
      <c r="N261" s="38"/>
      <c r="O261" s="38"/>
      <c r="P261" s="38"/>
      <c r="Q261" s="39"/>
      <c r="R261" s="39"/>
      <c r="T261" s="39"/>
      <c r="U261" s="39"/>
      <c r="V261" s="39"/>
      <c r="W261" s="39"/>
      <c r="X261" s="39"/>
      <c r="Y261" s="39"/>
    </row>
    <row r="262" spans="3:25" ht="11.1" customHeight="1">
      <c r="C262" s="39"/>
      <c r="E262" s="36"/>
      <c r="G262" s="76"/>
      <c r="H262" s="76"/>
      <c r="I262" s="76"/>
      <c r="J262" s="76"/>
      <c r="K262" s="76"/>
      <c r="L262" s="37"/>
      <c r="M262" s="37"/>
      <c r="N262" s="38"/>
      <c r="O262" s="38"/>
      <c r="P262" s="38"/>
      <c r="Q262" s="39"/>
      <c r="R262" s="39"/>
      <c r="T262" s="39"/>
      <c r="U262" s="39"/>
      <c r="V262" s="39"/>
      <c r="W262" s="39"/>
      <c r="X262" s="39"/>
      <c r="Y262" s="39"/>
    </row>
    <row r="263" spans="3:25" ht="11.1" customHeight="1">
      <c r="C263" s="39"/>
      <c r="E263" s="36"/>
      <c r="G263" s="76"/>
      <c r="H263" s="76"/>
      <c r="I263" s="76"/>
      <c r="J263" s="76"/>
      <c r="K263" s="76"/>
      <c r="L263" s="37"/>
      <c r="M263" s="37"/>
      <c r="N263" s="38"/>
      <c r="O263" s="38"/>
      <c r="P263" s="38"/>
      <c r="Q263" s="39"/>
      <c r="R263" s="39"/>
      <c r="T263" s="39"/>
      <c r="U263" s="39"/>
      <c r="V263" s="39"/>
      <c r="W263" s="39"/>
      <c r="X263" s="39"/>
      <c r="Y263" s="39"/>
    </row>
  </sheetData>
  <mergeCells count="10">
    <mergeCell ref="Q4:Q6"/>
    <mergeCell ref="S4:S6"/>
    <mergeCell ref="T4:T6"/>
    <mergeCell ref="Y4:Y6"/>
    <mergeCell ref="E4:E6"/>
    <mergeCell ref="F4:F6"/>
    <mergeCell ref="G4:G6"/>
    <mergeCell ref="K4:K6"/>
    <mergeCell ref="L4:L6"/>
    <mergeCell ref="P4:P6"/>
  </mergeCells>
  <phoneticPr fontId="45" type="noConversion"/>
  <printOptions horizontalCentered="1" verticalCentered="1"/>
  <pageMargins left="0.25" right="0.25" top="0.25" bottom="0.25" header="0" footer="0"/>
  <pageSetup scale="70" fitToHeight="2" orientation="landscape" r:id="rId1"/>
  <headerFooter scaleWithDoc="0"/>
  <rowBreaks count="1" manualBreakCount="1">
    <brk id="45"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A263"/>
  <sheetViews>
    <sheetView showGridLines="0" zoomScaleNormal="100" zoomScaleSheetLayoutView="85" workbookViewId="0"/>
  </sheetViews>
  <sheetFormatPr defaultColWidth="12.42578125" defaultRowHeight="11.1" customHeight="1"/>
  <cols>
    <col min="1" max="1" width="7.42578125" style="637" customWidth="1"/>
    <col min="2" max="2" width="1.5703125" style="39" customWidth="1"/>
    <col min="3" max="3" width="33.7109375" style="101" customWidth="1"/>
    <col min="4" max="4" width="1.5703125" style="36" customWidth="1"/>
    <col min="5" max="5" width="11.85546875" style="99" customWidth="1"/>
    <col min="6" max="6" width="11.85546875" style="76" customWidth="1"/>
    <col min="7" max="7" width="11.85546875" style="103" customWidth="1"/>
    <col min="8" max="9" width="13.42578125" style="103" hidden="1" customWidth="1"/>
    <col min="10" max="10" width="11.85546875" style="103" hidden="1" customWidth="1"/>
    <col min="11" max="11" width="11.85546875" style="103" customWidth="1"/>
    <col min="12" max="12" width="11.85546875" style="104" customWidth="1"/>
    <col min="13" max="13" width="1.5703125" style="104" customWidth="1"/>
    <col min="14" max="14" width="7.42578125" style="102" customWidth="1"/>
    <col min="15" max="15" width="1.5703125" style="102" customWidth="1"/>
    <col min="16" max="16" width="11.85546875" style="102" customWidth="1"/>
    <col min="17" max="17" width="11.85546875" style="101" customWidth="1"/>
    <col min="18" max="18" width="1.5703125" style="101" customWidth="1"/>
    <col min="19" max="19" width="11.85546875" style="39" customWidth="1"/>
    <col min="20" max="20" width="11.85546875" style="101" customWidth="1"/>
    <col min="21" max="21" width="1.5703125" style="101" customWidth="1"/>
    <col min="22" max="22" width="9.5703125" style="101" hidden="1" customWidth="1"/>
    <col min="23" max="23" width="10.85546875" style="101" hidden="1" customWidth="1"/>
    <col min="24" max="24" width="1.5703125" style="101" hidden="1" customWidth="1"/>
    <col min="25" max="25" width="11.85546875" style="101" customWidth="1"/>
    <col min="26" max="16384" width="12.42578125" style="39"/>
  </cols>
  <sheetData>
    <row r="1" spans="1:27" s="38" customFormat="1" ht="18.75">
      <c r="A1" s="666" t="s">
        <v>75</v>
      </c>
      <c r="B1" s="669" t="s">
        <v>548</v>
      </c>
      <c r="C1" s="667"/>
      <c r="D1" s="667"/>
      <c r="E1" s="667"/>
      <c r="F1" s="667"/>
      <c r="G1" s="667"/>
      <c r="H1" s="667"/>
      <c r="I1" s="667"/>
      <c r="J1" s="667"/>
      <c r="K1" s="667"/>
      <c r="L1" s="667"/>
      <c r="M1" s="667"/>
      <c r="N1" s="667"/>
      <c r="O1" s="667"/>
      <c r="P1" s="667"/>
      <c r="Q1" s="667"/>
      <c r="R1" s="667"/>
      <c r="S1" s="667"/>
      <c r="T1" s="667"/>
      <c r="U1" s="667"/>
      <c r="V1" s="667"/>
      <c r="W1" s="667"/>
      <c r="X1" s="667"/>
      <c r="Y1" s="667"/>
    </row>
    <row r="2" spans="1:27" s="445" customFormat="1" ht="15">
      <c r="B2" s="449"/>
      <c r="C2" s="597"/>
      <c r="D2" s="598"/>
      <c r="E2" s="599"/>
      <c r="F2" s="599"/>
      <c r="G2" s="599"/>
      <c r="H2" s="599"/>
      <c r="I2" s="599"/>
      <c r="J2" s="599"/>
      <c r="K2" s="599"/>
      <c r="L2" s="599"/>
      <c r="M2" s="549"/>
      <c r="N2" s="449"/>
      <c r="O2" s="449"/>
      <c r="P2" s="597"/>
      <c r="Q2" s="600"/>
      <c r="R2" s="600"/>
      <c r="S2" s="449"/>
      <c r="T2" s="449"/>
      <c r="U2" s="449"/>
      <c r="V2" s="449"/>
      <c r="W2" s="601"/>
      <c r="X2" s="601"/>
      <c r="Y2" s="449"/>
    </row>
    <row r="3" spans="1:27" s="617" customFormat="1" ht="15">
      <c r="B3" s="618"/>
      <c r="C3" s="619" t="s">
        <v>304</v>
      </c>
      <c r="D3" s="598"/>
      <c r="E3" s="620" t="s">
        <v>497</v>
      </c>
      <c r="F3" s="621"/>
      <c r="G3" s="621"/>
      <c r="H3" s="621"/>
      <c r="I3" s="621"/>
      <c r="J3" s="621"/>
      <c r="K3" s="621"/>
      <c r="L3" s="602"/>
      <c r="M3" s="622"/>
      <c r="N3" s="600"/>
      <c r="O3" s="600"/>
      <c r="P3" s="620" t="s">
        <v>499</v>
      </c>
      <c r="Q3" s="602"/>
      <c r="R3" s="600"/>
      <c r="S3" s="620" t="s">
        <v>498</v>
      </c>
      <c r="T3" s="602"/>
      <c r="U3" s="623"/>
      <c r="V3" s="620" t="s">
        <v>500</v>
      </c>
      <c r="W3" s="624"/>
      <c r="X3" s="625"/>
      <c r="Y3" s="626" t="s">
        <v>501</v>
      </c>
    </row>
    <row r="4" spans="1:27" s="617" customFormat="1" ht="41.25" customHeight="1">
      <c r="B4" s="600"/>
      <c r="C4" s="724"/>
      <c r="D4" s="598"/>
      <c r="E4" s="773" t="s">
        <v>539</v>
      </c>
      <c r="F4" s="761" t="s">
        <v>536</v>
      </c>
      <c r="G4" s="764" t="s">
        <v>429</v>
      </c>
      <c r="H4" s="621"/>
      <c r="I4" s="621"/>
      <c r="J4" s="725"/>
      <c r="K4" s="761" t="s">
        <v>320</v>
      </c>
      <c r="L4" s="776" t="s">
        <v>538</v>
      </c>
      <c r="M4" s="622"/>
      <c r="N4" s="559" t="s">
        <v>524</v>
      </c>
      <c r="O4" s="600"/>
      <c r="P4" s="770" t="s">
        <v>432</v>
      </c>
      <c r="Q4" s="755" t="s">
        <v>433</v>
      </c>
      <c r="R4" s="600"/>
      <c r="S4" s="752" t="s">
        <v>537</v>
      </c>
      <c r="T4" s="755" t="s">
        <v>506</v>
      </c>
      <c r="U4" s="623"/>
      <c r="V4" s="725"/>
      <c r="W4" s="726"/>
      <c r="X4" s="625"/>
      <c r="Y4" s="755" t="s">
        <v>551</v>
      </c>
    </row>
    <row r="5" spans="1:27" s="617" customFormat="1" ht="18" customHeight="1">
      <c r="A5" s="603" t="s">
        <v>2</v>
      </c>
      <c r="B5" s="600"/>
      <c r="C5" s="724"/>
      <c r="D5" s="598"/>
      <c r="E5" s="774"/>
      <c r="F5" s="762"/>
      <c r="G5" s="765"/>
      <c r="H5" s="621"/>
      <c r="I5" s="621"/>
      <c r="J5" s="725"/>
      <c r="K5" s="762"/>
      <c r="L5" s="777"/>
      <c r="M5" s="622"/>
      <c r="N5" s="727" t="s">
        <v>544</v>
      </c>
      <c r="O5" s="600"/>
      <c r="P5" s="771"/>
      <c r="Q5" s="756"/>
      <c r="R5" s="600"/>
      <c r="S5" s="753"/>
      <c r="T5" s="756"/>
      <c r="U5" s="623"/>
      <c r="V5" s="725"/>
      <c r="W5" s="726"/>
      <c r="X5" s="625"/>
      <c r="Y5" s="756"/>
    </row>
    <row r="6" spans="1:27" s="432" customFormat="1" ht="16.5" customHeight="1">
      <c r="A6" s="603" t="s">
        <v>542</v>
      </c>
      <c r="B6" s="445"/>
      <c r="C6" s="596" t="s">
        <v>233</v>
      </c>
      <c r="D6" s="593"/>
      <c r="E6" s="775"/>
      <c r="F6" s="763"/>
      <c r="G6" s="766"/>
      <c r="H6" s="729" t="s">
        <v>431</v>
      </c>
      <c r="I6" s="560" t="s">
        <v>426</v>
      </c>
      <c r="J6" s="686" t="s">
        <v>521</v>
      </c>
      <c r="K6" s="763"/>
      <c r="L6" s="778"/>
      <c r="M6" s="594"/>
      <c r="N6" s="728">
        <v>3.33</v>
      </c>
      <c r="O6" s="595"/>
      <c r="P6" s="772"/>
      <c r="Q6" s="757"/>
      <c r="R6" s="551"/>
      <c r="S6" s="754"/>
      <c r="T6" s="757"/>
      <c r="U6" s="551"/>
      <c r="V6" s="448" t="s">
        <v>434</v>
      </c>
      <c r="W6" s="448" t="s">
        <v>435</v>
      </c>
      <c r="X6" s="448"/>
      <c r="Y6" s="757"/>
    </row>
    <row r="7" spans="1:27" s="433" customFormat="1" ht="15">
      <c r="D7" s="434"/>
      <c r="E7" s="450" t="s">
        <v>80</v>
      </c>
      <c r="F7" s="604" t="s">
        <v>81</v>
      </c>
      <c r="G7" s="604" t="s">
        <v>122</v>
      </c>
      <c r="H7" s="604" t="s">
        <v>82</v>
      </c>
      <c r="I7" s="449" t="s">
        <v>520</v>
      </c>
      <c r="J7" s="449" t="s">
        <v>123</v>
      </c>
      <c r="K7" s="449" t="s">
        <v>124</v>
      </c>
      <c r="L7" s="605" t="s">
        <v>125</v>
      </c>
      <c r="M7" s="438"/>
      <c r="N7" s="605" t="s">
        <v>126</v>
      </c>
      <c r="O7" s="439"/>
      <c r="P7" s="605" t="s">
        <v>127</v>
      </c>
      <c r="Q7" s="605" t="s">
        <v>128</v>
      </c>
      <c r="R7" s="434"/>
      <c r="S7" s="605" t="s">
        <v>225</v>
      </c>
      <c r="T7" s="605" t="s">
        <v>413</v>
      </c>
      <c r="U7" s="605"/>
      <c r="V7" s="605" t="s">
        <v>414</v>
      </c>
      <c r="W7" s="605" t="s">
        <v>430</v>
      </c>
      <c r="X7" s="605"/>
      <c r="Y7" s="605" t="s">
        <v>436</v>
      </c>
    </row>
    <row r="8" spans="1:27" s="433" customFormat="1" ht="15.75" customHeight="1">
      <c r="B8" s="432" t="s">
        <v>0</v>
      </c>
      <c r="D8" s="434"/>
      <c r="E8" s="435"/>
      <c r="F8" s="436"/>
      <c r="G8" s="436"/>
      <c r="H8" s="436"/>
      <c r="I8" s="436"/>
      <c r="J8" s="436"/>
      <c r="K8" s="436"/>
      <c r="L8" s="468"/>
      <c r="M8" s="438"/>
      <c r="N8" s="432"/>
      <c r="O8" s="439"/>
      <c r="P8" s="432"/>
      <c r="R8" s="434"/>
      <c r="U8" s="434"/>
    </row>
    <row r="9" spans="1:27" s="433" customFormat="1" ht="15.75" customHeight="1">
      <c r="A9" s="638">
        <f t="shared" ref="A9:A14" ca="1" si="0">+MAX(OFFSET(A$1,0,0,ROW(A9)-ROW(A$1)))+1</f>
        <v>1</v>
      </c>
      <c r="B9" s="432" t="s">
        <v>65</v>
      </c>
      <c r="C9" s="432"/>
      <c r="D9" s="434"/>
      <c r="E9" s="573">
        <f>+'[6]Exh. No. BGM-3 4'!$AC$14</f>
        <v>492413</v>
      </c>
      <c r="F9" s="573"/>
      <c r="G9" s="573"/>
      <c r="H9" s="573"/>
      <c r="I9" s="573"/>
      <c r="J9" s="573">
        <f>+'[7]Attrition 12.2015 to 2018'!$I7</f>
        <v>0</v>
      </c>
      <c r="K9" s="573">
        <f>+'[6]Exh. No. BGM-3 4'!$AK$14</f>
        <v>-1225</v>
      </c>
      <c r="L9" s="573">
        <f>SUM(E9:K9)</f>
        <v>491188</v>
      </c>
      <c r="M9" s="438"/>
      <c r="N9" s="509">
        <f>-'[8]ADJ DETAIL-INPUT-Restate'!$AJ$67*'2) ROR'!D19/2.33*N6</f>
        <v>1.4664049692145048E-2</v>
      </c>
      <c r="O9" s="439"/>
      <c r="P9" s="573">
        <f>+L9*N9</f>
        <v>7202.805240185342</v>
      </c>
      <c r="Q9" s="574">
        <f>L9+P9</f>
        <v>498390.80524018535</v>
      </c>
      <c r="R9" s="573"/>
      <c r="S9" s="573"/>
      <c r="T9" s="607"/>
      <c r="U9" s="573"/>
      <c r="V9" s="573"/>
      <c r="W9" s="573"/>
      <c r="X9" s="573"/>
      <c r="Y9" s="562">
        <f>Q9+S9+T9+W9+V9</f>
        <v>498390.80524018535</v>
      </c>
      <c r="AA9" s="608"/>
    </row>
    <row r="10" spans="1:27" s="433" customFormat="1" ht="15.75" customHeight="1">
      <c r="A10" s="638">
        <f t="shared" ca="1" si="0"/>
        <v>2</v>
      </c>
      <c r="B10" s="432" t="s">
        <v>64</v>
      </c>
      <c r="C10" s="432"/>
      <c r="D10" s="434"/>
      <c r="E10" s="561">
        <f>+'[6]Exh. No. BGM-3 4'!$AC$15</f>
        <v>946</v>
      </c>
      <c r="F10" s="561"/>
      <c r="G10" s="561"/>
      <c r="H10" s="561"/>
      <c r="I10" s="561"/>
      <c r="J10" s="561">
        <f>+'[7]Attrition 12.2015 to 2018'!$I8</f>
        <v>0</v>
      </c>
      <c r="K10" s="561">
        <v>0</v>
      </c>
      <c r="L10" s="570">
        <f>SUM(E10:K10)</f>
        <v>946</v>
      </c>
      <c r="M10" s="438"/>
      <c r="N10" s="509">
        <f>N9</f>
        <v>1.4664049692145048E-2</v>
      </c>
      <c r="O10" s="439"/>
      <c r="P10" s="561">
        <f>+L10*N10</f>
        <v>13.872191008769216</v>
      </c>
      <c r="Q10" s="562">
        <f>L10+P10</f>
        <v>959.87219100876916</v>
      </c>
      <c r="R10" s="561"/>
      <c r="S10" s="562"/>
      <c r="T10" s="584"/>
      <c r="U10" s="561"/>
      <c r="V10" s="561"/>
      <c r="W10" s="561"/>
      <c r="X10" s="561"/>
      <c r="Y10" s="562">
        <f>Q10+S10+T10+W10+V10</f>
        <v>959.87219100876916</v>
      </c>
    </row>
    <row r="11" spans="1:27" s="433" customFormat="1" ht="15.75" customHeight="1">
      <c r="A11" s="638">
        <f t="shared" ca="1" si="0"/>
        <v>3</v>
      </c>
      <c r="B11" s="432" t="s">
        <v>63</v>
      </c>
      <c r="C11" s="432"/>
      <c r="D11" s="434"/>
      <c r="E11" s="561">
        <f>+'[6]Exh. No. BGM-3 4'!$AC$16</f>
        <v>57325</v>
      </c>
      <c r="F11" s="564">
        <f>-'[9]PF Power Supply Adjustments'!$F$13</f>
        <v>-78098</v>
      </c>
      <c r="G11" s="561"/>
      <c r="H11" s="561"/>
      <c r="I11" s="561"/>
      <c r="J11" s="561">
        <f>+'[7]Attrition 12.2015 to 2018'!$I9</f>
        <v>0</v>
      </c>
      <c r="K11" s="561">
        <v>0</v>
      </c>
      <c r="L11" s="570">
        <f>SUM(E11:K11)</f>
        <v>-20773</v>
      </c>
      <c r="M11" s="438"/>
      <c r="N11" s="441"/>
      <c r="O11" s="439"/>
      <c r="P11" s="563"/>
      <c r="Q11" s="564"/>
      <c r="R11" s="561"/>
      <c r="S11" s="564">
        <f>+'[9]PF Power Supply Adjustments'!$O$13</f>
        <v>57325</v>
      </c>
      <c r="T11" s="564">
        <v>0</v>
      </c>
      <c r="U11" s="561"/>
      <c r="V11" s="561"/>
      <c r="W11" s="564"/>
      <c r="X11" s="564"/>
      <c r="Y11" s="564">
        <f>Q11+S11+T11+W11+V11</f>
        <v>57325</v>
      </c>
    </row>
    <row r="12" spans="1:27" s="433" customFormat="1" ht="15.75" customHeight="1">
      <c r="A12" s="638">
        <f t="shared" ca="1" si="0"/>
        <v>4</v>
      </c>
      <c r="B12" s="432" t="s">
        <v>110</v>
      </c>
      <c r="C12" s="432"/>
      <c r="D12" s="434"/>
      <c r="E12" s="566">
        <f>SUM(E9:E11)</f>
        <v>550684</v>
      </c>
      <c r="F12" s="570">
        <f>F11+F10+F9</f>
        <v>-78098</v>
      </c>
      <c r="G12" s="565"/>
      <c r="H12" s="565"/>
      <c r="I12" s="565"/>
      <c r="J12" s="566">
        <f>SUM(J9:J11)</f>
        <v>0</v>
      </c>
      <c r="K12" s="565">
        <f>K11+K10+K9</f>
        <v>-1225</v>
      </c>
      <c r="L12" s="565">
        <f>L11+L10+L9</f>
        <v>471361</v>
      </c>
      <c r="M12" s="438"/>
      <c r="N12" s="439"/>
      <c r="O12" s="439"/>
      <c r="P12" s="565">
        <f>P11+P10+P9</f>
        <v>7216.6774311941108</v>
      </c>
      <c r="Q12" s="565">
        <f>Q11+Q10+Q9</f>
        <v>499350.67743119411</v>
      </c>
      <c r="R12" s="561"/>
      <c r="S12" s="562">
        <f>S9+S10+S11</f>
        <v>57325</v>
      </c>
      <c r="T12" s="562">
        <f>T9+T10+T11</f>
        <v>0</v>
      </c>
      <c r="U12" s="561"/>
      <c r="V12" s="566">
        <f>V9+V10+V11</f>
        <v>0</v>
      </c>
      <c r="W12" s="562"/>
      <c r="X12" s="562"/>
      <c r="Y12" s="562">
        <f>Y9+Y10+Y11</f>
        <v>556675.67743119411</v>
      </c>
    </row>
    <row r="13" spans="1:27" s="433" customFormat="1" ht="15.75" customHeight="1">
      <c r="A13" s="638">
        <f t="shared" ca="1" si="0"/>
        <v>5</v>
      </c>
      <c r="B13" s="432" t="s">
        <v>61</v>
      </c>
      <c r="C13" s="432"/>
      <c r="D13" s="434"/>
      <c r="E13" s="561">
        <f>+'[6]Exh. No. BGM-3 4'!$AC$18</f>
        <v>17116</v>
      </c>
      <c r="F13" s="564">
        <f>-'[9]PF Power Supply Adjustments'!$F$16-'[9]PF Power Supply Adjustments'!$F$19</f>
        <v>-67173</v>
      </c>
      <c r="G13" s="561"/>
      <c r="H13" s="561"/>
      <c r="I13" s="561"/>
      <c r="J13" s="561">
        <f>+'[7]Attrition 12.2015 to 2018'!$I11</f>
        <v>0</v>
      </c>
      <c r="K13" s="573">
        <f>+'[6]Exh. No. BGM-3 4'!$AK$18</f>
        <v>-3887</v>
      </c>
      <c r="L13" s="570">
        <f>SUM(E13:K13)</f>
        <v>-53944</v>
      </c>
      <c r="M13" s="438"/>
      <c r="N13" s="441">
        <v>0</v>
      </c>
      <c r="O13" s="439"/>
      <c r="P13" s="561">
        <f>+L13*N13</f>
        <v>0</v>
      </c>
      <c r="Q13" s="562">
        <f>L13+P13</f>
        <v>-53944</v>
      </c>
      <c r="R13" s="561"/>
      <c r="S13" s="564">
        <f>+'[9]PF Power Supply Adjustments'!$O$16</f>
        <v>10225</v>
      </c>
      <c r="T13" s="561">
        <v>0</v>
      </c>
      <c r="U13" s="561"/>
      <c r="V13" s="561"/>
      <c r="W13" s="564"/>
      <c r="X13" s="564"/>
      <c r="Y13" s="564">
        <f>L13+S13+T13+V13+W13</f>
        <v>-43719</v>
      </c>
    </row>
    <row r="14" spans="1:27" s="433" customFormat="1" ht="15">
      <c r="A14" s="638">
        <f t="shared" ca="1" si="0"/>
        <v>6</v>
      </c>
      <c r="B14" s="432" t="s">
        <v>60</v>
      </c>
      <c r="C14" s="432"/>
      <c r="D14" s="442"/>
      <c r="E14" s="566">
        <f>E12+E13</f>
        <v>567800</v>
      </c>
      <c r="F14" s="561">
        <f>F13+F12</f>
        <v>-145271</v>
      </c>
      <c r="G14" s="566">
        <f>G13+G12</f>
        <v>0</v>
      </c>
      <c r="H14" s="566">
        <f>H13+H12</f>
        <v>0</v>
      </c>
      <c r="I14" s="566">
        <f>I13+I12</f>
        <v>0</v>
      </c>
      <c r="J14" s="566">
        <f>J12+J13</f>
        <v>0</v>
      </c>
      <c r="K14" s="566">
        <f>K13+K12</f>
        <v>-5112</v>
      </c>
      <c r="L14" s="565">
        <f>L12+L13</f>
        <v>417417</v>
      </c>
      <c r="M14" s="438"/>
      <c r="N14" s="439"/>
      <c r="O14" s="439"/>
      <c r="P14" s="565">
        <f>P12+P13</f>
        <v>7216.6774311941108</v>
      </c>
      <c r="Q14" s="565">
        <f>Q12+Q13</f>
        <v>445406.67743119411</v>
      </c>
      <c r="R14" s="561"/>
      <c r="S14" s="561">
        <f>S13+S12</f>
        <v>67550</v>
      </c>
      <c r="T14" s="566">
        <f>T13+T12</f>
        <v>0</v>
      </c>
      <c r="U14" s="561"/>
      <c r="V14" s="566">
        <f>V13+V12</f>
        <v>0</v>
      </c>
      <c r="W14" s="561"/>
      <c r="X14" s="561"/>
      <c r="Y14" s="561">
        <f>Y13+Y12</f>
        <v>512956.67743119411</v>
      </c>
    </row>
    <row r="15" spans="1:27" s="433" customFormat="1" ht="15">
      <c r="A15" s="609"/>
      <c r="B15" s="432"/>
      <c r="C15" s="432"/>
      <c r="D15" s="442"/>
      <c r="E15" s="561"/>
      <c r="F15" s="561"/>
      <c r="G15" s="561"/>
      <c r="H15" s="561"/>
      <c r="I15" s="561"/>
      <c r="J15" s="561"/>
      <c r="K15" s="561"/>
      <c r="L15" s="570"/>
      <c r="M15" s="438"/>
      <c r="N15" s="439"/>
      <c r="O15" s="439"/>
      <c r="P15" s="568"/>
      <c r="Q15" s="562"/>
      <c r="R15" s="561"/>
      <c r="S15" s="561"/>
      <c r="T15" s="561"/>
      <c r="U15" s="561"/>
      <c r="V15" s="561"/>
      <c r="W15" s="561"/>
      <c r="X15" s="561"/>
      <c r="Y15" s="562"/>
    </row>
    <row r="16" spans="1:27" s="433" customFormat="1" ht="15.75" customHeight="1">
      <c r="A16" s="638">
        <f t="shared" ref="A16:A23" ca="1" si="1">+MAX(OFFSET(A$1,0,0,ROW(A16)-ROW(A$1)))+1</f>
        <v>7</v>
      </c>
      <c r="B16" s="432" t="s">
        <v>59</v>
      </c>
      <c r="C16" s="432"/>
      <c r="D16" s="442"/>
      <c r="E16" s="561"/>
      <c r="F16" s="561"/>
      <c r="G16" s="561"/>
      <c r="H16" s="561"/>
      <c r="I16" s="561"/>
      <c r="J16" s="561"/>
      <c r="K16" s="561"/>
      <c r="L16" s="570"/>
      <c r="M16" s="438"/>
      <c r="N16" s="439"/>
      <c r="O16" s="439"/>
      <c r="P16" s="568"/>
      <c r="Q16" s="562"/>
      <c r="R16" s="561"/>
      <c r="S16" s="561"/>
      <c r="T16" s="561"/>
      <c r="U16" s="561"/>
      <c r="V16" s="561"/>
      <c r="W16" s="561"/>
      <c r="X16" s="561"/>
      <c r="Y16" s="562"/>
    </row>
    <row r="17" spans="1:25" s="433" customFormat="1" ht="15.75" customHeight="1">
      <c r="A17" s="638">
        <f t="shared" ca="1" si="1"/>
        <v>8</v>
      </c>
      <c r="B17" s="432" t="s">
        <v>58</v>
      </c>
      <c r="C17" s="432"/>
      <c r="D17" s="442"/>
      <c r="E17" s="561"/>
      <c r="F17" s="561"/>
      <c r="G17" s="561"/>
      <c r="H17" s="561"/>
      <c r="I17" s="561"/>
      <c r="J17" s="561"/>
      <c r="K17" s="561"/>
      <c r="L17" s="570"/>
      <c r="M17" s="438"/>
      <c r="N17" s="439"/>
      <c r="O17" s="439"/>
      <c r="P17" s="569"/>
      <c r="Q17" s="562"/>
      <c r="R17" s="561"/>
      <c r="S17" s="561"/>
      <c r="T17" s="561"/>
      <c r="U17" s="561"/>
      <c r="V17" s="561"/>
      <c r="W17" s="561"/>
      <c r="X17" s="561"/>
      <c r="Y17" s="562"/>
    </row>
    <row r="18" spans="1:25" s="433" customFormat="1" ht="15.75" customHeight="1">
      <c r="A18" s="638">
        <f t="shared" ca="1" si="1"/>
        <v>9</v>
      </c>
      <c r="B18" s="432"/>
      <c r="C18" s="432" t="s">
        <v>519</v>
      </c>
      <c r="D18" s="442"/>
      <c r="E18" s="561">
        <f>+'[6]Exh. No. BGM-3 4'!$AC$23</f>
        <v>134600</v>
      </c>
      <c r="F18" s="561">
        <f>-'[9]PF Power Supply Adjustments'!$F$24-'[9]PF Power Supply Adjustments'!$F$26-'[9]PF Power Supply Adjustments'!$F$32-'[9]PF Power Supply Adjustments'!$F$33-'[9]PF Power Supply Adjustments'!$F$34</f>
        <v>-125275</v>
      </c>
      <c r="G18" s="561">
        <f>+'[6]Exh. No. BGM-3 4'!$AL$23</f>
        <v>-248</v>
      </c>
      <c r="H18" s="561"/>
      <c r="I18" s="561"/>
      <c r="J18" s="561">
        <f>+'[7]Attrition 12.2015 to 2018'!$I16</f>
        <v>0</v>
      </c>
      <c r="K18" s="561">
        <v>0</v>
      </c>
      <c r="L18" s="570">
        <f>SUM(E18:K18)</f>
        <v>9077</v>
      </c>
      <c r="M18" s="438"/>
      <c r="N18" s="509">
        <f ca="1">+'4.01'!$B$22*$N$6*'2) ROR'!D21</f>
        <v>0</v>
      </c>
      <c r="O18" s="444"/>
      <c r="P18" s="570">
        <f ca="1">N18*L18</f>
        <v>0</v>
      </c>
      <c r="Q18" s="562">
        <f ca="1">P18+L18</f>
        <v>9077</v>
      </c>
      <c r="R18" s="561"/>
      <c r="S18" s="561">
        <f>+'[9]PF Power Supply Adjustments'!$O$24+'[9]PF Power Supply Adjustments'!$O$26+'[9]PF Power Supply Adjustments'!$O$32+'[9]PF Power Supply Adjustments'!$O$33+'[9]PF Power Supply Adjustments'!$O$34</f>
        <v>79036</v>
      </c>
      <c r="T18" s="561">
        <v>0</v>
      </c>
      <c r="U18" s="561"/>
      <c r="V18" s="561"/>
      <c r="W18" s="561"/>
      <c r="X18" s="561"/>
      <c r="Y18" s="562">
        <f ca="1">Q18+S18+T18+W18+V18</f>
        <v>88113</v>
      </c>
    </row>
    <row r="19" spans="1:25" s="433" customFormat="1" ht="15.75" customHeight="1">
      <c r="A19" s="638">
        <f t="shared" ca="1" si="1"/>
        <v>10</v>
      </c>
      <c r="B19" s="432"/>
      <c r="C19" s="432" t="s">
        <v>57</v>
      </c>
      <c r="D19" s="442"/>
      <c r="E19" s="561">
        <f>+'[6]Exh. No. BGM-3 4'!$AC$24</f>
        <v>77131</v>
      </c>
      <c r="F19" s="561">
        <f>-'[9]PF Power Supply Adjustments'!$F$28</f>
        <v>-96773</v>
      </c>
      <c r="G19" s="561"/>
      <c r="H19" s="561"/>
      <c r="I19" s="561"/>
      <c r="J19" s="561">
        <f>+'[7]Attrition 12.2015 to 2018'!$I17</f>
        <v>0</v>
      </c>
      <c r="K19" s="561">
        <v>0</v>
      </c>
      <c r="L19" s="570">
        <f>SUM(E19:K19)</f>
        <v>-19642</v>
      </c>
      <c r="M19" s="438"/>
      <c r="N19" s="439"/>
      <c r="O19" s="439"/>
      <c r="P19" s="570">
        <f>N19*L19</f>
        <v>0</v>
      </c>
      <c r="Q19" s="562">
        <f>P19+L19</f>
        <v>-19642</v>
      </c>
      <c r="R19" s="561"/>
      <c r="S19" s="561">
        <f>+'[9]PF Power Supply Adjustments'!$O$28</f>
        <v>77131</v>
      </c>
      <c r="T19" s="561">
        <v>0</v>
      </c>
      <c r="U19" s="561"/>
      <c r="V19" s="561"/>
      <c r="W19" s="561"/>
      <c r="X19" s="561"/>
      <c r="Y19" s="562">
        <f>Q19+S19+T19+W19+V19</f>
        <v>57489</v>
      </c>
    </row>
    <row r="20" spans="1:25" s="433" customFormat="1" ht="15.75" customHeight="1">
      <c r="A20" s="638">
        <f t="shared" ca="1" si="1"/>
        <v>11</v>
      </c>
      <c r="B20" s="432"/>
      <c r="C20" s="432" t="s">
        <v>86</v>
      </c>
      <c r="D20" s="442"/>
      <c r="E20" s="561">
        <f>+'[6]Exh. No. BGM-3 4'!$AC$25</f>
        <v>26677</v>
      </c>
      <c r="F20" s="561"/>
      <c r="G20" s="561"/>
      <c r="H20" s="561"/>
      <c r="I20" s="571">
        <v>0</v>
      </c>
      <c r="J20" s="561">
        <f>+'[7]Attrition 12.2015 to 2018'!$I18</f>
        <v>0</v>
      </c>
      <c r="K20" s="561">
        <v>0</v>
      </c>
      <c r="L20" s="570">
        <f>SUM(E20:K20)</f>
        <v>26677</v>
      </c>
      <c r="M20" s="438"/>
      <c r="N20" s="509">
        <f ca="1">+'4.02'!B22*$N$6*'2) ROR'!D20</f>
        <v>0</v>
      </c>
      <c r="O20" s="444"/>
      <c r="P20" s="570">
        <f ca="1">N20*L20</f>
        <v>0</v>
      </c>
      <c r="Q20" s="562">
        <f ca="1">P20+L20</f>
        <v>26677</v>
      </c>
      <c r="R20" s="561"/>
      <c r="S20" s="561">
        <v>0</v>
      </c>
      <c r="T20" s="561"/>
      <c r="U20" s="561"/>
      <c r="V20" s="571">
        <v>0</v>
      </c>
      <c r="W20" s="561"/>
      <c r="X20" s="561"/>
      <c r="Y20" s="562">
        <f ca="1">Q20+S20+T20+W20+V20</f>
        <v>26677</v>
      </c>
    </row>
    <row r="21" spans="1:25" s="433" customFormat="1" ht="15.75" customHeight="1">
      <c r="A21" s="638">
        <f t="shared" ca="1" si="1"/>
        <v>12</v>
      </c>
      <c r="B21" s="432"/>
      <c r="C21" s="432" t="s">
        <v>87</v>
      </c>
      <c r="D21" s="442"/>
      <c r="E21" s="561">
        <f>+'[6]Exh. No. BGM-3 4'!$AC$26</f>
        <v>4705</v>
      </c>
      <c r="F21" s="561"/>
      <c r="G21" s="561">
        <f>+'[6]Exh. No. BGM-3 4'!$AL$26</f>
        <v>-1393</v>
      </c>
      <c r="H21" s="561"/>
      <c r="I21" s="561"/>
      <c r="J21" s="561">
        <f>+'[7]Attrition 12.2015 to 2018'!$I19</f>
        <v>0</v>
      </c>
      <c r="K21" s="561">
        <v>0</v>
      </c>
      <c r="L21" s="570">
        <f>SUM(E21:K21)</f>
        <v>3312</v>
      </c>
      <c r="M21" s="438"/>
      <c r="N21" s="444">
        <v>0</v>
      </c>
      <c r="O21" s="444"/>
      <c r="P21" s="570">
        <f>N21*L21</f>
        <v>0</v>
      </c>
      <c r="Q21" s="562">
        <f>P21+L21</f>
        <v>3312</v>
      </c>
      <c r="R21" s="561"/>
      <c r="S21" s="561">
        <v>0</v>
      </c>
      <c r="T21" s="561"/>
      <c r="U21" s="561"/>
      <c r="V21" s="561"/>
      <c r="W21" s="561"/>
      <c r="X21" s="561"/>
      <c r="Y21" s="562">
        <f>Q21+S21+T21+W21+V21</f>
        <v>3312</v>
      </c>
    </row>
    <row r="22" spans="1:25" s="433" customFormat="1" ht="15.75" customHeight="1">
      <c r="A22" s="638">
        <f t="shared" ca="1" si="1"/>
        <v>13</v>
      </c>
      <c r="B22" s="432"/>
      <c r="C22" s="445" t="s">
        <v>49</v>
      </c>
      <c r="D22" s="442"/>
      <c r="E22" s="561">
        <f>+'[6]Exh. No. BGM-3 4'!$AC$27</f>
        <v>14990</v>
      </c>
      <c r="F22" s="564"/>
      <c r="G22" s="561"/>
      <c r="H22" s="561"/>
      <c r="I22" s="561"/>
      <c r="J22" s="561">
        <f>+'[7]Attrition 12.2015 to 2018'!$I20</f>
        <v>0</v>
      </c>
      <c r="K22" s="561">
        <v>0</v>
      </c>
      <c r="L22" s="570">
        <f>SUM(E22:K22)</f>
        <v>14990</v>
      </c>
      <c r="M22" s="453"/>
      <c r="N22" s="509">
        <f ca="1">+'4.03'!B21*$N$6</f>
        <v>0.17549099999999998</v>
      </c>
      <c r="O22" s="444"/>
      <c r="P22" s="567">
        <f ca="1">N22*L22</f>
        <v>2630.6100899999997</v>
      </c>
      <c r="Q22" s="564">
        <f ca="1">P22+L22</f>
        <v>17620.610089999998</v>
      </c>
      <c r="R22" s="561"/>
      <c r="S22" s="564"/>
      <c r="T22" s="564"/>
      <c r="U22" s="561"/>
      <c r="V22" s="564"/>
      <c r="W22" s="564"/>
      <c r="X22" s="564"/>
      <c r="Y22" s="564">
        <f ca="1">Q22+S22+T22+W22+V22</f>
        <v>17620.610089999998</v>
      </c>
    </row>
    <row r="23" spans="1:25" s="433" customFormat="1" ht="15.75" customHeight="1">
      <c r="A23" s="638">
        <f t="shared" ca="1" si="1"/>
        <v>14</v>
      </c>
      <c r="B23" s="432"/>
      <c r="C23" s="446" t="s">
        <v>105</v>
      </c>
      <c r="D23" s="434"/>
      <c r="E23" s="566">
        <f>SUM(E18:E22)</f>
        <v>258103</v>
      </c>
      <c r="F23" s="570">
        <f t="shared" ref="F23:L23" si="2">F18+F19+F20+F21+F22</f>
        <v>-222048</v>
      </c>
      <c r="G23" s="565">
        <f t="shared" si="2"/>
        <v>-1641</v>
      </c>
      <c r="H23" s="565">
        <f t="shared" si="2"/>
        <v>0</v>
      </c>
      <c r="I23" s="565">
        <f t="shared" si="2"/>
        <v>0</v>
      </c>
      <c r="J23" s="566">
        <f>SUM(J18:J22)</f>
        <v>0</v>
      </c>
      <c r="K23" s="565">
        <f t="shared" si="2"/>
        <v>0</v>
      </c>
      <c r="L23" s="565">
        <f t="shared" si="2"/>
        <v>34414</v>
      </c>
      <c r="M23" s="453"/>
      <c r="N23" s="439"/>
      <c r="O23" s="444"/>
      <c r="P23" s="570">
        <f ca="1">P18+P19+P20+P21+P22</f>
        <v>2630.6100899999997</v>
      </c>
      <c r="Q23" s="570">
        <f ca="1">Q18+Q19+Q20+Q21+Q22</f>
        <v>37044.610090000002</v>
      </c>
      <c r="R23" s="572"/>
      <c r="S23" s="570">
        <f>S18+S19+S20+S21+S22</f>
        <v>156167</v>
      </c>
      <c r="T23" s="570">
        <f>T18+T19+T20+T21+T22</f>
        <v>0</v>
      </c>
      <c r="U23" s="572"/>
      <c r="V23" s="570">
        <f>V18+V19+V20+V21+V22</f>
        <v>0</v>
      </c>
      <c r="W23" s="570">
        <f>W18+W19+W20+W21+W22</f>
        <v>0</v>
      </c>
      <c r="X23" s="570"/>
      <c r="Y23" s="570">
        <f ca="1">Y18+Y19+Y20+Y21+Y22</f>
        <v>193211.61009</v>
      </c>
    </row>
    <row r="24" spans="1:25" s="433" customFormat="1" ht="15.75" customHeight="1">
      <c r="A24" s="606"/>
      <c r="B24" s="432"/>
      <c r="C24" s="445"/>
      <c r="D24" s="434"/>
      <c r="E24" s="561"/>
      <c r="F24" s="561"/>
      <c r="G24" s="561"/>
      <c r="H24" s="561"/>
      <c r="I24" s="561"/>
      <c r="J24" s="561"/>
      <c r="K24" s="561"/>
      <c r="L24" s="570"/>
      <c r="M24" s="453"/>
      <c r="N24" s="439"/>
      <c r="O24" s="439"/>
      <c r="P24" s="568"/>
      <c r="Q24" s="562"/>
      <c r="R24" s="561"/>
      <c r="S24" s="561"/>
      <c r="T24" s="561"/>
      <c r="U24" s="561"/>
      <c r="V24" s="561"/>
      <c r="W24" s="561"/>
      <c r="X24" s="561"/>
      <c r="Y24" s="562"/>
    </row>
    <row r="25" spans="1:25" s="433" customFormat="1" ht="15.75" customHeight="1">
      <c r="A25" s="638">
        <f t="shared" ref="A25:A30" ca="1" si="3">+MAX(OFFSET(A$1,0,0,ROW(A25)-ROW(A$1)))+1</f>
        <v>15</v>
      </c>
      <c r="B25" s="432" t="s">
        <v>36</v>
      </c>
      <c r="C25" s="445"/>
      <c r="D25" s="434"/>
      <c r="E25" s="561"/>
      <c r="F25" s="575"/>
      <c r="G25" s="575"/>
      <c r="H25" s="575"/>
      <c r="I25" s="575"/>
      <c r="J25" s="561"/>
      <c r="K25" s="575"/>
      <c r="L25" s="570"/>
      <c r="M25" s="438"/>
      <c r="N25" s="439"/>
      <c r="O25" s="439"/>
      <c r="P25" s="568"/>
      <c r="Q25" s="562"/>
      <c r="R25" s="561"/>
      <c r="S25" s="561"/>
      <c r="T25" s="561"/>
      <c r="U25" s="561"/>
      <c r="V25" s="561"/>
      <c r="W25" s="561"/>
      <c r="X25" s="561"/>
      <c r="Y25" s="562"/>
    </row>
    <row r="26" spans="1:25" s="433" customFormat="1" ht="15.75" customHeight="1">
      <c r="A26" s="638">
        <f t="shared" ca="1" si="3"/>
        <v>16</v>
      </c>
      <c r="B26" s="432"/>
      <c r="C26" s="432" t="s">
        <v>519</v>
      </c>
      <c r="D26" s="434"/>
      <c r="E26" s="561">
        <f>+'[6]Exh. No. BGM-3 4'!$AC$31</f>
        <v>21418</v>
      </c>
      <c r="F26" s="575"/>
      <c r="G26" s="561"/>
      <c r="H26" s="561"/>
      <c r="I26" s="561"/>
      <c r="J26" s="561">
        <v>0</v>
      </c>
      <c r="K26" s="561">
        <v>0</v>
      </c>
      <c r="L26" s="570">
        <f>SUM(E26:K26)</f>
        <v>21418</v>
      </c>
      <c r="M26" s="438"/>
      <c r="N26" s="509">
        <f ca="1">+'4.04'!B21*$N$6*'2) ROR'!D21</f>
        <v>0</v>
      </c>
      <c r="O26" s="439"/>
      <c r="P26" s="570">
        <f ca="1">N26*L26</f>
        <v>0</v>
      </c>
      <c r="Q26" s="562">
        <f ca="1">P26+L26</f>
        <v>21418</v>
      </c>
      <c r="R26" s="561"/>
      <c r="S26" s="561"/>
      <c r="T26" s="561"/>
      <c r="U26" s="561"/>
      <c r="V26" s="561"/>
      <c r="W26" s="561"/>
      <c r="X26" s="561"/>
      <c r="Y26" s="562">
        <f ca="1">Q26+S26+T26+W26+V26</f>
        <v>21418</v>
      </c>
    </row>
    <row r="27" spans="1:25" s="433" customFormat="1" ht="15.75" customHeight="1">
      <c r="A27" s="638">
        <f t="shared" ca="1" si="3"/>
        <v>17</v>
      </c>
      <c r="B27" s="432"/>
      <c r="C27" s="445" t="s">
        <v>88</v>
      </c>
      <c r="D27" s="434"/>
      <c r="E27" s="561">
        <f>+'[6]Exh. No. BGM-3 4'!$AC$32</f>
        <v>27819</v>
      </c>
      <c r="F27" s="575"/>
      <c r="G27" s="561"/>
      <c r="H27" s="571">
        <v>0</v>
      </c>
      <c r="I27" s="571">
        <v>0</v>
      </c>
      <c r="J27" s="561">
        <f>+'[7]Attrition 12.2015 to 2018'!$I25</f>
        <v>0</v>
      </c>
      <c r="K27" s="561">
        <v>0</v>
      </c>
      <c r="L27" s="570">
        <f>SUM(E27:K27)</f>
        <v>27819</v>
      </c>
      <c r="M27" s="438"/>
      <c r="N27" s="509">
        <f ca="1">+'4.05'!B21*$N$6*'2) ROR'!D20</f>
        <v>0</v>
      </c>
      <c r="O27" s="439"/>
      <c r="P27" s="570">
        <f ca="1">N27*L27</f>
        <v>0</v>
      </c>
      <c r="Q27" s="562">
        <f ca="1">P27+L27</f>
        <v>27819</v>
      </c>
      <c r="R27" s="561"/>
      <c r="S27" s="561"/>
      <c r="T27" s="561"/>
      <c r="U27" s="561"/>
      <c r="V27" s="561"/>
      <c r="W27" s="571">
        <v>0</v>
      </c>
      <c r="X27" s="571"/>
      <c r="Y27" s="562">
        <f ca="1">Q27+S27+T27+W27+V27</f>
        <v>27819</v>
      </c>
    </row>
    <row r="28" spans="1:25" s="433" customFormat="1" ht="15.75" customHeight="1">
      <c r="A28" s="638">
        <f t="shared" ca="1" si="3"/>
        <v>18</v>
      </c>
      <c r="B28" s="432"/>
      <c r="C28" s="445" t="s">
        <v>168</v>
      </c>
      <c r="D28" s="434"/>
      <c r="E28" s="561">
        <v>0</v>
      </c>
      <c r="F28" s="575"/>
      <c r="G28" s="561"/>
      <c r="H28" s="571">
        <v>0</v>
      </c>
      <c r="I28" s="561"/>
      <c r="J28" s="561">
        <f>+'[7]Attrition 12.2015 to 2018'!$I26</f>
        <v>0</v>
      </c>
      <c r="K28" s="561"/>
      <c r="L28" s="570">
        <f>SUM(E28:K28)</f>
        <v>0</v>
      </c>
      <c r="M28" s="438"/>
      <c r="N28" s="444"/>
      <c r="O28" s="439"/>
      <c r="P28" s="570">
        <v>0</v>
      </c>
      <c r="Q28" s="562">
        <f>P28+L28</f>
        <v>0</v>
      </c>
      <c r="R28" s="561"/>
      <c r="S28" s="561"/>
      <c r="T28" s="561"/>
      <c r="U28" s="561"/>
      <c r="V28" s="561"/>
      <c r="W28" s="561"/>
      <c r="X28" s="561"/>
      <c r="Y28" s="562">
        <f>Q28+S28+T28+W28+V28</f>
        <v>0</v>
      </c>
    </row>
    <row r="29" spans="1:25" s="433" customFormat="1" ht="15.75" customHeight="1">
      <c r="A29" s="638">
        <f t="shared" ca="1" si="3"/>
        <v>19</v>
      </c>
      <c r="B29" s="432"/>
      <c r="C29" s="445" t="s">
        <v>49</v>
      </c>
      <c r="D29" s="434"/>
      <c r="E29" s="561">
        <f>+'[6]Exh. No. BGM-3 4'!$AC$34</f>
        <v>26951</v>
      </c>
      <c r="F29" s="564"/>
      <c r="G29" s="561"/>
      <c r="H29" s="561"/>
      <c r="I29" s="561"/>
      <c r="J29" s="561">
        <f>+'[7]Attrition 12.2015 to 2018'!$I27</f>
        <v>0</v>
      </c>
      <c r="K29" s="561">
        <f>ROUND(K9*'2) ROR'!N16,0)</f>
        <v>-47</v>
      </c>
      <c r="L29" s="570">
        <f>SUM(E29:K29)</f>
        <v>26904</v>
      </c>
      <c r="M29" s="453"/>
      <c r="N29" s="509">
        <f ca="1">+'4.06'!B24*$N$6</f>
        <v>0.15118200000000001</v>
      </c>
      <c r="O29" s="444"/>
      <c r="P29" s="567">
        <f ca="1">N29*L29</f>
        <v>4067.4005280000001</v>
      </c>
      <c r="Q29" s="564">
        <f ca="1">P29+L29</f>
        <v>30971.400527999998</v>
      </c>
      <c r="R29" s="561"/>
      <c r="S29" s="564"/>
      <c r="T29" s="561">
        <v>0</v>
      </c>
      <c r="U29" s="561"/>
      <c r="V29" s="561"/>
      <c r="W29" s="564"/>
      <c r="X29" s="564"/>
      <c r="Y29" s="564">
        <f ca="1">Q29+S29+T29+W29+V29</f>
        <v>30971.400527999998</v>
      </c>
    </row>
    <row r="30" spans="1:25" s="433" customFormat="1" ht="15.75" customHeight="1">
      <c r="A30" s="638">
        <f t="shared" ca="1" si="3"/>
        <v>20</v>
      </c>
      <c r="B30" s="432"/>
      <c r="C30" s="445" t="s">
        <v>106</v>
      </c>
      <c r="D30" s="434"/>
      <c r="E30" s="566">
        <f>SUM(E26:E29)</f>
        <v>76188</v>
      </c>
      <c r="F30" s="565">
        <f>F26+F27+F29</f>
        <v>0</v>
      </c>
      <c r="G30" s="565">
        <f>G26+G27+G29</f>
        <v>0</v>
      </c>
      <c r="H30" s="565">
        <f>H26+H27+H29+H28</f>
        <v>0</v>
      </c>
      <c r="I30" s="565">
        <f>I26+I27+I29</f>
        <v>0</v>
      </c>
      <c r="J30" s="566">
        <f>SUM(J26:J29)</f>
        <v>0</v>
      </c>
      <c r="K30" s="565">
        <f>K26+K27+K29</f>
        <v>-47</v>
      </c>
      <c r="L30" s="565">
        <f>SUM(L26:L29)</f>
        <v>76141</v>
      </c>
      <c r="M30" s="453"/>
      <c r="N30" s="439"/>
      <c r="O30" s="444"/>
      <c r="P30" s="570">
        <f ca="1">P26+P27+P29+P28</f>
        <v>4067.4005280000001</v>
      </c>
      <c r="Q30" s="570">
        <f ca="1">Q26+Q27+Q29+Q28</f>
        <v>80208.400527999998</v>
      </c>
      <c r="R30" s="572"/>
      <c r="S30" s="570">
        <f>S26+S27+S29</f>
        <v>0</v>
      </c>
      <c r="T30" s="565">
        <f>T26+T27+T29</f>
        <v>0</v>
      </c>
      <c r="U30" s="572"/>
      <c r="V30" s="565">
        <f>V26+V27+V29</f>
        <v>0</v>
      </c>
      <c r="W30" s="565">
        <f>W26+W27+W29</f>
        <v>0</v>
      </c>
      <c r="X30" s="572"/>
      <c r="Y30" s="570">
        <f ca="1">Y26+Y27+Y29+Y28</f>
        <v>80208.400527999998</v>
      </c>
    </row>
    <row r="31" spans="1:25" s="433" customFormat="1" ht="15.75" customHeight="1">
      <c r="A31" s="606"/>
      <c r="B31" s="432"/>
      <c r="C31" s="445"/>
      <c r="D31" s="434"/>
      <c r="E31" s="561"/>
      <c r="F31" s="576"/>
      <c r="G31" s="576"/>
      <c r="H31" s="576"/>
      <c r="I31" s="576"/>
      <c r="J31" s="561"/>
      <c r="K31" s="576"/>
      <c r="L31" s="570"/>
      <c r="M31" s="438"/>
      <c r="N31" s="439"/>
      <c r="O31" s="439"/>
      <c r="P31" s="568"/>
      <c r="Q31" s="562"/>
      <c r="R31" s="561"/>
      <c r="S31" s="561"/>
      <c r="T31" s="561"/>
      <c r="U31" s="561"/>
      <c r="V31" s="561"/>
      <c r="W31" s="561"/>
      <c r="X31" s="561"/>
      <c r="Y31" s="562"/>
    </row>
    <row r="32" spans="1:25" s="433" customFormat="1" ht="15.75" customHeight="1">
      <c r="A32" s="638">
        <f ca="1">+MAX(OFFSET(A$1,0,0,ROW(A32)-ROW(A$1)))+1</f>
        <v>21</v>
      </c>
      <c r="B32" s="432" t="s">
        <v>54</v>
      </c>
      <c r="C32" s="445"/>
      <c r="D32" s="434"/>
      <c r="E32" s="561">
        <f>+'[6]Exh. No. BGM-3 4'!$AC$37</f>
        <v>13021</v>
      </c>
      <c r="F32" s="561"/>
      <c r="G32" s="561"/>
      <c r="H32" s="561"/>
      <c r="I32" s="561"/>
      <c r="J32" s="561">
        <f>+'[7]Attrition 12.2015 to 2018'!$I30</f>
        <v>0</v>
      </c>
      <c r="K32" s="561">
        <f>ROUND(K9*'2) ROR'!N12,0)</f>
        <v>-8</v>
      </c>
      <c r="L32" s="570">
        <f>SUM(E32:K32)</f>
        <v>13013</v>
      </c>
      <c r="M32" s="438"/>
      <c r="N32" s="509">
        <f ca="1">+'4.07'!B25*$N$6</f>
        <v>0.14285700000000001</v>
      </c>
      <c r="O32" s="439"/>
      <c r="P32" s="570">
        <f ca="1">N32*L32</f>
        <v>1858.9981410000003</v>
      </c>
      <c r="Q32" s="562">
        <f ca="1">P32+L32</f>
        <v>14871.998141</v>
      </c>
      <c r="R32" s="561"/>
      <c r="S32" s="561"/>
      <c r="T32" s="561">
        <v>0</v>
      </c>
      <c r="U32" s="561"/>
      <c r="V32" s="561"/>
      <c r="W32" s="561"/>
      <c r="X32" s="561"/>
      <c r="Y32" s="562">
        <f ca="1">Q32+S32+T32+W32+V32</f>
        <v>14871.998141</v>
      </c>
    </row>
    <row r="33" spans="1:25" s="433" customFormat="1" ht="15.75" customHeight="1">
      <c r="A33" s="638">
        <f ca="1">+MAX(OFFSET(A$1,0,0,ROW(A33)-ROW(A$1)))+1</f>
        <v>22</v>
      </c>
      <c r="B33" s="432" t="s">
        <v>53</v>
      </c>
      <c r="C33" s="445"/>
      <c r="D33" s="434"/>
      <c r="E33" s="561">
        <f>+'[6]Exh. No. BGM-3 4'!$AC$38</f>
        <v>1406</v>
      </c>
      <c r="F33" s="561"/>
      <c r="G33" s="561"/>
      <c r="H33" s="561"/>
      <c r="I33" s="561"/>
      <c r="J33" s="561">
        <f>+'[7]Attrition 12.2015 to 2018'!$I31</f>
        <v>0</v>
      </c>
      <c r="K33" s="561">
        <v>0</v>
      </c>
      <c r="L33" s="570">
        <f>SUM(E33:K33)</f>
        <v>1406</v>
      </c>
      <c r="M33" s="438"/>
      <c r="N33" s="509">
        <f>+'4.08'!B23*$N$6</f>
        <v>0</v>
      </c>
      <c r="O33" s="439"/>
      <c r="P33" s="570">
        <f>N33*L33</f>
        <v>0</v>
      </c>
      <c r="Q33" s="562">
        <f>P33+L33</f>
        <v>1406</v>
      </c>
      <c r="R33" s="561"/>
      <c r="S33" s="561"/>
      <c r="T33" s="561"/>
      <c r="U33" s="561"/>
      <c r="V33" s="561"/>
      <c r="W33" s="561"/>
      <c r="X33" s="561"/>
      <c r="Y33" s="562">
        <f>Q33+S33+T33+W33+V33</f>
        <v>1406</v>
      </c>
    </row>
    <row r="34" spans="1:25" s="433" customFormat="1" ht="15.75" customHeight="1">
      <c r="A34" s="638">
        <f ca="1">+MAX(OFFSET(A$1,0,0,ROW(A34)-ROW(A$1)))+1</f>
        <v>23</v>
      </c>
      <c r="B34" s="432" t="s">
        <v>52</v>
      </c>
      <c r="C34" s="445"/>
      <c r="D34" s="434"/>
      <c r="E34" s="561">
        <f>+'[7]Attrition 12.2015 to 2018'!$E32</f>
        <v>0</v>
      </c>
      <c r="F34" s="561"/>
      <c r="G34" s="561"/>
      <c r="H34" s="561"/>
      <c r="I34" s="561"/>
      <c r="J34" s="561">
        <f>+'[7]Attrition 12.2015 to 2018'!$I32</f>
        <v>0</v>
      </c>
      <c r="K34" s="561">
        <v>0</v>
      </c>
      <c r="L34" s="570">
        <f>SUM(E34:K34)</f>
        <v>0</v>
      </c>
      <c r="M34" s="438"/>
      <c r="N34" s="444"/>
      <c r="O34" s="439"/>
      <c r="P34" s="570">
        <f>N34*L34</f>
        <v>0</v>
      </c>
      <c r="Q34" s="562">
        <f>P34+L34</f>
        <v>0</v>
      </c>
      <c r="R34" s="561"/>
      <c r="S34" s="561"/>
      <c r="T34" s="561"/>
      <c r="U34" s="561"/>
      <c r="V34" s="561"/>
      <c r="W34" s="561"/>
      <c r="X34" s="561"/>
      <c r="Y34" s="562">
        <f>Q34+S34+T34+W34+V34</f>
        <v>0</v>
      </c>
    </row>
    <row r="35" spans="1:25" s="433" customFormat="1" ht="15.75" customHeight="1">
      <c r="A35" s="606"/>
      <c r="B35" s="432"/>
      <c r="C35" s="445"/>
      <c r="D35" s="434"/>
      <c r="E35" s="561"/>
      <c r="F35" s="561"/>
      <c r="G35" s="561"/>
      <c r="H35" s="561"/>
      <c r="I35" s="561"/>
      <c r="J35" s="561"/>
      <c r="K35" s="561"/>
      <c r="L35" s="570"/>
      <c r="M35" s="438"/>
      <c r="N35" s="439"/>
      <c r="O35" s="439"/>
      <c r="P35" s="568"/>
      <c r="Q35" s="562"/>
      <c r="R35" s="561"/>
      <c r="S35" s="561"/>
      <c r="T35" s="561"/>
      <c r="U35" s="561"/>
      <c r="V35" s="561"/>
      <c r="W35" s="561"/>
      <c r="X35" s="561"/>
      <c r="Y35" s="562"/>
    </row>
    <row r="36" spans="1:25" s="433" customFormat="1" ht="15.75" customHeight="1">
      <c r="A36" s="638">
        <f t="shared" ref="A36:A41" ca="1" si="4">+MAX(OFFSET(A$1,0,0,ROW(A36)-ROW(A$1)))+1</f>
        <v>24</v>
      </c>
      <c r="B36" s="432" t="s">
        <v>51</v>
      </c>
      <c r="C36" s="445"/>
      <c r="D36" s="434"/>
      <c r="E36" s="561"/>
      <c r="F36" s="561"/>
      <c r="G36" s="561"/>
      <c r="H36" s="561"/>
      <c r="I36" s="561"/>
      <c r="J36" s="561"/>
      <c r="K36" s="561"/>
      <c r="L36" s="570"/>
      <c r="M36" s="438"/>
      <c r="N36" s="439"/>
      <c r="O36" s="439"/>
      <c r="P36" s="568"/>
      <c r="Q36" s="562"/>
      <c r="R36" s="561"/>
      <c r="S36" s="561"/>
      <c r="T36" s="561"/>
      <c r="U36" s="561"/>
      <c r="V36" s="561"/>
      <c r="W36" s="561"/>
      <c r="X36" s="561"/>
      <c r="Y36" s="562"/>
    </row>
    <row r="37" spans="1:25" s="433" customFormat="1" ht="15.75" customHeight="1">
      <c r="A37" s="638">
        <f t="shared" ca="1" si="4"/>
        <v>25</v>
      </c>
      <c r="B37" s="432"/>
      <c r="C37" s="432" t="s">
        <v>519</v>
      </c>
      <c r="D37" s="434"/>
      <c r="E37" s="561">
        <f>+'[6]Exh. No. BGM-3 4'!$AC$42</f>
        <v>48989</v>
      </c>
      <c r="F37" s="561"/>
      <c r="G37" s="561"/>
      <c r="H37" s="561"/>
      <c r="I37" s="561"/>
      <c r="J37" s="561">
        <f>+'[7]Attrition 12.2015 to 2018'!$I35</f>
        <v>0</v>
      </c>
      <c r="K37" s="561">
        <f>ROUND(K9*'2) ROR'!N14,0)</f>
        <v>-2</v>
      </c>
      <c r="L37" s="570">
        <f>SUM(E37:K37)</f>
        <v>48987</v>
      </c>
      <c r="M37" s="438"/>
      <c r="N37" s="509">
        <f ca="1">+'4.09'!B23*$N$6*'2) ROR'!D21</f>
        <v>0</v>
      </c>
      <c r="O37" s="439"/>
      <c r="P37" s="570">
        <f ca="1">N37*L37</f>
        <v>0</v>
      </c>
      <c r="Q37" s="562">
        <f ca="1">P37+L37</f>
        <v>48987</v>
      </c>
      <c r="R37" s="561"/>
      <c r="S37" s="561"/>
      <c r="T37" s="561">
        <v>0</v>
      </c>
      <c r="U37" s="561"/>
      <c r="V37" s="561"/>
      <c r="W37" s="561"/>
      <c r="X37" s="561"/>
      <c r="Y37" s="562">
        <f ca="1">Q37+S37+T37+W37+V37</f>
        <v>48987</v>
      </c>
    </row>
    <row r="38" spans="1:25" s="433" customFormat="1" ht="15.75" customHeight="1">
      <c r="A38" s="638">
        <f t="shared" ca="1" si="4"/>
        <v>26</v>
      </c>
      <c r="B38" s="432"/>
      <c r="C38" s="445" t="s">
        <v>88</v>
      </c>
      <c r="D38" s="434"/>
      <c r="E38" s="561">
        <f>+'[6]Exh. No. BGM-3 4'!$AC$43</f>
        <v>23877</v>
      </c>
      <c r="F38" s="561"/>
      <c r="G38" s="561"/>
      <c r="H38" s="561"/>
      <c r="I38" s="571">
        <v>0</v>
      </c>
      <c r="J38" s="561">
        <f>+'[7]Attrition 12.2015 to 2018'!$I36</f>
        <v>0</v>
      </c>
      <c r="K38" s="561">
        <v>0</v>
      </c>
      <c r="L38" s="570">
        <f>SUM(E38:K38)</f>
        <v>23877</v>
      </c>
      <c r="M38" s="438"/>
      <c r="N38" s="509">
        <f ca="1">+'4.10'!B24*$N$6*'2) ROR'!D20</f>
        <v>0</v>
      </c>
      <c r="O38" s="439"/>
      <c r="P38" s="570">
        <f ca="1">N38*L38</f>
        <v>0</v>
      </c>
      <c r="Q38" s="562">
        <f ca="1">P38+L38</f>
        <v>23877</v>
      </c>
      <c r="R38" s="561"/>
      <c r="S38" s="561"/>
      <c r="T38" s="561"/>
      <c r="U38" s="561"/>
      <c r="V38" s="561"/>
      <c r="W38" s="571">
        <v>0</v>
      </c>
      <c r="X38" s="571"/>
      <c r="Y38" s="562">
        <f ca="1">Q38+S38+T38+W38+V38</f>
        <v>23877</v>
      </c>
    </row>
    <row r="39" spans="1:25" s="433" customFormat="1" ht="15.75" customHeight="1">
      <c r="A39" s="638">
        <f t="shared" ca="1" si="4"/>
        <v>27</v>
      </c>
      <c r="B39" s="432"/>
      <c r="C39" s="445" t="s">
        <v>49</v>
      </c>
      <c r="D39" s="434"/>
      <c r="E39" s="561">
        <v>0</v>
      </c>
      <c r="F39" s="564"/>
      <c r="G39" s="561"/>
      <c r="H39" s="561"/>
      <c r="I39" s="561"/>
      <c r="J39" s="561">
        <f>+'[7]Attrition 12.2015 to 2018'!$I37</f>
        <v>0</v>
      </c>
      <c r="K39" s="561">
        <v>0</v>
      </c>
      <c r="L39" s="570">
        <f>SUM(E39:K39)</f>
        <v>0</v>
      </c>
      <c r="M39" s="453"/>
      <c r="N39" s="444"/>
      <c r="O39" s="444"/>
      <c r="P39" s="567">
        <f>N39*L39</f>
        <v>0</v>
      </c>
      <c r="Q39" s="564">
        <f>P39+L39</f>
        <v>0</v>
      </c>
      <c r="R39" s="561"/>
      <c r="S39" s="564"/>
      <c r="T39" s="564"/>
      <c r="U39" s="561"/>
      <c r="V39" s="564"/>
      <c r="W39" s="564"/>
      <c r="X39" s="564"/>
      <c r="Y39" s="564">
        <f>Q39+S39+T39+W39+V39</f>
        <v>0</v>
      </c>
    </row>
    <row r="40" spans="1:25" s="433" customFormat="1" ht="15.75" customHeight="1">
      <c r="A40" s="638">
        <f t="shared" ca="1" si="4"/>
        <v>28</v>
      </c>
      <c r="B40" s="432"/>
      <c r="C40" s="446" t="s">
        <v>408</v>
      </c>
      <c r="D40" s="434"/>
      <c r="E40" s="566">
        <f>SUM(E37:E39)</f>
        <v>72866</v>
      </c>
      <c r="F40" s="570">
        <f t="shared" ref="F40:L40" si="5">F37+F38+F39</f>
        <v>0</v>
      </c>
      <c r="G40" s="577">
        <f t="shared" si="5"/>
        <v>0</v>
      </c>
      <c r="H40" s="577">
        <f t="shared" si="5"/>
        <v>0</v>
      </c>
      <c r="I40" s="577">
        <f t="shared" si="5"/>
        <v>0</v>
      </c>
      <c r="J40" s="566">
        <f>SUM(J37:J39)</f>
        <v>0</v>
      </c>
      <c r="K40" s="577">
        <f t="shared" si="5"/>
        <v>-2</v>
      </c>
      <c r="L40" s="577">
        <f t="shared" si="5"/>
        <v>72864</v>
      </c>
      <c r="M40" s="453"/>
      <c r="N40" s="444"/>
      <c r="O40" s="444"/>
      <c r="P40" s="570">
        <f ca="1">P37+P38+P39</f>
        <v>0</v>
      </c>
      <c r="Q40" s="570">
        <f ca="1">Q37+Q38+Q39</f>
        <v>72864</v>
      </c>
      <c r="R40" s="572"/>
      <c r="S40" s="570">
        <f>S37+S38+S39</f>
        <v>0</v>
      </c>
      <c r="T40" s="570">
        <f>T37+T38+T39</f>
        <v>0</v>
      </c>
      <c r="U40" s="572"/>
      <c r="V40" s="570">
        <f>V37+V38+V39</f>
        <v>0</v>
      </c>
      <c r="W40" s="570">
        <f>W37+W38+W39</f>
        <v>0</v>
      </c>
      <c r="X40" s="570"/>
      <c r="Y40" s="570">
        <f ca="1">Y37+Y38+Y39</f>
        <v>72864</v>
      </c>
    </row>
    <row r="41" spans="1:25" s="433" customFormat="1" ht="15.75" customHeight="1">
      <c r="A41" s="638">
        <f t="shared" ca="1" si="4"/>
        <v>29</v>
      </c>
      <c r="B41" s="432" t="s">
        <v>47</v>
      </c>
      <c r="C41" s="445"/>
      <c r="D41" s="434"/>
      <c r="E41" s="566">
        <f t="shared" ref="E41:L41" si="6">E23+E30+E32+E33+E34+E40</f>
        <v>421584</v>
      </c>
      <c r="F41" s="566">
        <f t="shared" si="6"/>
        <v>-222048</v>
      </c>
      <c r="G41" s="566">
        <f t="shared" si="6"/>
        <v>-1641</v>
      </c>
      <c r="H41" s="566">
        <f t="shared" si="6"/>
        <v>0</v>
      </c>
      <c r="I41" s="566">
        <f t="shared" si="6"/>
        <v>0</v>
      </c>
      <c r="J41" s="566">
        <f t="shared" si="6"/>
        <v>0</v>
      </c>
      <c r="K41" s="566">
        <f t="shared" si="6"/>
        <v>-57</v>
      </c>
      <c r="L41" s="566">
        <f t="shared" si="6"/>
        <v>197838</v>
      </c>
      <c r="M41" s="437"/>
      <c r="N41" s="444"/>
      <c r="O41" s="444"/>
      <c r="P41" s="566">
        <f ca="1">P23+P30+P32+P33+P34+P40</f>
        <v>8557.0087590000003</v>
      </c>
      <c r="Q41" s="566">
        <f ca="1">Q23+Q30+Q32+Q33+Q34+Q40</f>
        <v>206395.00875899999</v>
      </c>
      <c r="R41" s="561"/>
      <c r="S41" s="566">
        <f>S23+S30+S32+S33+S34+S40</f>
        <v>156167</v>
      </c>
      <c r="T41" s="566">
        <f>T23+T30+T32+T33+T34+T40</f>
        <v>0</v>
      </c>
      <c r="U41" s="561"/>
      <c r="V41" s="566">
        <f>V23+V30+V32+V33+V34+V40</f>
        <v>0</v>
      </c>
      <c r="W41" s="566">
        <f>W23+W30+W32+W33+W34+W40</f>
        <v>0</v>
      </c>
      <c r="X41" s="566"/>
      <c r="Y41" s="566">
        <f ca="1">Y23+Y30+Y32+Y33+Y34+Y40</f>
        <v>362562.00875899999</v>
      </c>
    </row>
    <row r="42" spans="1:25" s="433" customFormat="1" ht="15.75" customHeight="1">
      <c r="A42" s="606"/>
      <c r="B42" s="432"/>
      <c r="C42" s="432"/>
      <c r="D42" s="434"/>
      <c r="E42" s="561"/>
      <c r="F42" s="561"/>
      <c r="G42" s="561"/>
      <c r="H42" s="561"/>
      <c r="I42" s="561"/>
      <c r="J42" s="561"/>
      <c r="K42" s="561"/>
      <c r="L42" s="570"/>
      <c r="M42" s="453"/>
      <c r="N42" s="444"/>
      <c r="O42" s="439"/>
      <c r="P42" s="568"/>
      <c r="Q42" s="562"/>
      <c r="R42" s="561"/>
      <c r="S42" s="561"/>
      <c r="T42" s="561"/>
      <c r="U42" s="561"/>
      <c r="V42" s="561"/>
      <c r="W42" s="561"/>
      <c r="X42" s="561"/>
      <c r="Y42" s="562"/>
    </row>
    <row r="43" spans="1:25" s="433" customFormat="1" ht="15.75" customHeight="1">
      <c r="A43" s="638">
        <f ca="1">+MAX(OFFSET(A$1,0,0,ROW(A43)-ROW(A$1)))+1</f>
        <v>30</v>
      </c>
      <c r="B43" s="432" t="s">
        <v>46</v>
      </c>
      <c r="C43" s="432"/>
      <c r="D43" s="434"/>
      <c r="E43" s="561">
        <f>E14-E41</f>
        <v>146216</v>
      </c>
      <c r="F43" s="561">
        <f t="shared" ref="F43:L43" si="7">F14-F41</f>
        <v>76777</v>
      </c>
      <c r="G43" s="561">
        <f t="shared" si="7"/>
        <v>1641</v>
      </c>
      <c r="H43" s="561">
        <f t="shared" si="7"/>
        <v>0</v>
      </c>
      <c r="I43" s="561">
        <f t="shared" si="7"/>
        <v>0</v>
      </c>
      <c r="J43" s="561">
        <f>J14-J41</f>
        <v>0</v>
      </c>
      <c r="K43" s="561">
        <f t="shared" si="7"/>
        <v>-5055</v>
      </c>
      <c r="L43" s="561">
        <f t="shared" si="7"/>
        <v>219579</v>
      </c>
      <c r="M43" s="437"/>
      <c r="N43" s="439"/>
      <c r="O43" s="437"/>
      <c r="P43" s="561">
        <f t="shared" ref="P43:T43" ca="1" si="8">P14-P41</f>
        <v>-1340.3313278058895</v>
      </c>
      <c r="Q43" s="561">
        <f ca="1">Q14-Q41</f>
        <v>239011.66867219412</v>
      </c>
      <c r="R43" s="561">
        <f t="shared" si="8"/>
        <v>0</v>
      </c>
      <c r="S43" s="561">
        <f t="shared" si="8"/>
        <v>-88617</v>
      </c>
      <c r="T43" s="561">
        <f t="shared" si="8"/>
        <v>0</v>
      </c>
      <c r="U43" s="561"/>
      <c r="V43" s="561">
        <f t="shared" ref="V43" si="9">V14-V41</f>
        <v>0</v>
      </c>
      <c r="W43" s="561">
        <f>-W41</f>
        <v>0</v>
      </c>
      <c r="X43" s="561"/>
      <c r="Y43" s="561">
        <f ca="1">Y14-Y41</f>
        <v>150394.66867219412</v>
      </c>
    </row>
    <row r="44" spans="1:25" s="433" customFormat="1" ht="15">
      <c r="A44" s="606"/>
      <c r="B44" s="685"/>
      <c r="C44" s="606"/>
      <c r="D44" s="606"/>
      <c r="E44" s="606"/>
      <c r="F44" s="606"/>
      <c r="G44" s="606"/>
      <c r="H44" s="606"/>
      <c r="I44" s="606"/>
      <c r="J44" s="606"/>
      <c r="K44" s="606"/>
      <c r="L44" s="606"/>
      <c r="M44" s="606"/>
      <c r="N44" s="606"/>
      <c r="O44" s="606"/>
      <c r="P44" s="606"/>
      <c r="Q44" s="606"/>
      <c r="R44" s="606"/>
      <c r="S44" s="606"/>
      <c r="T44" s="606"/>
      <c r="U44" s="449"/>
      <c r="V44" s="606"/>
      <c r="W44" s="606"/>
      <c r="X44" s="606"/>
      <c r="Y44" s="437"/>
    </row>
    <row r="45" spans="1:25" s="433" customFormat="1" ht="15">
      <c r="A45" s="606"/>
      <c r="B45" s="606"/>
      <c r="C45" s="606"/>
      <c r="D45" s="606"/>
      <c r="E45" s="606"/>
      <c r="F45" s="606"/>
      <c r="G45" s="606"/>
      <c r="H45" s="606"/>
      <c r="I45" s="606"/>
      <c r="J45" s="606"/>
      <c r="K45" s="606"/>
      <c r="L45" s="606"/>
      <c r="M45" s="606"/>
      <c r="N45" s="606"/>
      <c r="O45" s="606"/>
      <c r="P45" s="606"/>
      <c r="Q45" s="606"/>
      <c r="R45" s="606"/>
      <c r="S45" s="606"/>
      <c r="T45" s="606"/>
      <c r="U45" s="449"/>
      <c r="V45" s="606"/>
      <c r="W45" s="606"/>
      <c r="X45" s="606"/>
      <c r="Y45" s="437"/>
    </row>
    <row r="46" spans="1:25" s="38" customFormat="1" ht="18.75">
      <c r="A46" s="668"/>
      <c r="B46" s="669" t="s">
        <v>548</v>
      </c>
      <c r="C46" s="669"/>
      <c r="D46" s="669"/>
      <c r="E46" s="669"/>
      <c r="F46" s="669"/>
      <c r="G46" s="669"/>
      <c r="H46" s="669"/>
      <c r="I46" s="669"/>
      <c r="J46" s="669"/>
      <c r="K46" s="669"/>
      <c r="L46" s="669"/>
      <c r="M46" s="669"/>
      <c r="N46" s="669"/>
      <c r="O46" s="669"/>
      <c r="P46" s="669"/>
      <c r="Q46" s="669"/>
      <c r="R46" s="669"/>
      <c r="S46" s="669"/>
      <c r="T46" s="669"/>
      <c r="U46" s="669"/>
      <c r="V46" s="669"/>
      <c r="W46" s="669"/>
      <c r="X46" s="669"/>
      <c r="Y46" s="669"/>
    </row>
    <row r="47" spans="1:25" s="445" customFormat="1" ht="15">
      <c r="B47" s="449"/>
      <c r="C47" s="597"/>
      <c r="D47" s="598"/>
      <c r="E47" s="599"/>
      <c r="F47" s="599"/>
      <c r="G47" s="599"/>
      <c r="H47" s="599"/>
      <c r="I47" s="599"/>
      <c r="J47" s="599"/>
      <c r="K47" s="599"/>
      <c r="L47" s="599"/>
      <c r="M47" s="549"/>
      <c r="N47" s="449"/>
      <c r="O47" s="449"/>
      <c r="P47" s="597"/>
      <c r="Q47" s="600"/>
      <c r="R47" s="600"/>
      <c r="S47" s="449"/>
      <c r="T47" s="449"/>
      <c r="U47" s="449"/>
      <c r="V47" s="449"/>
      <c r="W47" s="601"/>
      <c r="X47" s="601"/>
      <c r="Y47" s="449"/>
    </row>
    <row r="48" spans="1:25" s="617" customFormat="1" ht="15">
      <c r="B48" s="618"/>
      <c r="C48" s="619" t="s">
        <v>304</v>
      </c>
      <c r="D48" s="598"/>
      <c r="E48" s="620" t="s">
        <v>497</v>
      </c>
      <c r="F48" s="621"/>
      <c r="G48" s="621"/>
      <c r="H48" s="621"/>
      <c r="I48" s="621"/>
      <c r="J48" s="620" t="s">
        <v>497</v>
      </c>
      <c r="K48" s="621"/>
      <c r="L48" s="602"/>
      <c r="M48" s="622"/>
      <c r="N48" s="600"/>
      <c r="O48" s="600"/>
      <c r="P48" s="620" t="s">
        <v>499</v>
      </c>
      <c r="Q48" s="602"/>
      <c r="R48" s="600"/>
      <c r="S48" s="620" t="s">
        <v>498</v>
      </c>
      <c r="T48" s="602"/>
      <c r="U48" s="623"/>
      <c r="V48" s="620" t="s">
        <v>500</v>
      </c>
      <c r="W48" s="624"/>
      <c r="X48" s="625"/>
      <c r="Y48" s="626" t="s">
        <v>501</v>
      </c>
    </row>
    <row r="49" spans="1:25" s="432" customFormat="1" ht="94.5" customHeight="1">
      <c r="A49" s="603" t="s">
        <v>305</v>
      </c>
      <c r="B49" s="445"/>
      <c r="C49" s="596" t="s">
        <v>233</v>
      </c>
      <c r="D49" s="445"/>
      <c r="E49" s="560" t="str">
        <f>E4</f>
        <v>2016 Restated Results (BGM-3)</v>
      </c>
      <c r="F49" s="560" t="str">
        <f>F4</f>
        <v>(less)  Normalized Net Power Supply  Cost</v>
      </c>
      <c r="G49" s="560" t="str">
        <f>G4</f>
        <v>Deferred Dr/Cr; Reg. Amorts &amp; Misc Adjs</v>
      </c>
      <c r="H49" s="560" t="str">
        <f t="shared" ref="H49:R49" si="10">H6</f>
        <v>Net Retired Meter Deferral &amp; Amort Adjustment</v>
      </c>
      <c r="I49" s="560" t="str">
        <f t="shared" si="10"/>
        <v>Add 12.2015 Plant</v>
      </c>
      <c r="J49" s="560" t="str">
        <f t="shared" si="10"/>
        <v>Remove November 2015 Storm Expenses</v>
      </c>
      <c r="K49" s="560" t="str">
        <f>K4</f>
        <v>Pro Forma Revenue Normalization Adjustment</v>
      </c>
      <c r="L49" s="560" t="str">
        <f>L4</f>
        <v>2016 AMA Escalation Base</v>
      </c>
      <c r="M49" s="549">
        <f t="shared" si="10"/>
        <v>0</v>
      </c>
      <c r="N49" s="559" t="str">
        <f>N4</f>
        <v>Esc. Rate</v>
      </c>
      <c r="O49" s="549">
        <f t="shared" si="10"/>
        <v>0</v>
      </c>
      <c r="P49" s="558" t="str">
        <f>P4</f>
        <v xml:space="preserve"> Non-Energy Cost Escalation Amount [G]*[H]=[I]</v>
      </c>
      <c r="Q49" s="557" t="str">
        <f>Q4</f>
        <v>Trended 2017 Non-Energy Cost [G]+[I]=[J]</v>
      </c>
      <c r="R49" s="551">
        <f t="shared" si="10"/>
        <v>0</v>
      </c>
      <c r="S49" s="557" t="str">
        <f>S4</f>
        <v>Current Authorized Net Energy Cost</v>
      </c>
      <c r="T49" s="557" t="str">
        <f>T4</f>
        <v>Power Cost Incremental Load</v>
      </c>
      <c r="U49" s="551"/>
      <c r="V49" s="448" t="str">
        <f>V6</f>
        <v>After Attrition Adj. Spokane River Projects</v>
      </c>
      <c r="W49" s="448" t="str">
        <f>W6</f>
        <v>After Attrition Adj AMI Capital Project</v>
      </c>
      <c r="X49" s="448"/>
      <c r="Y49" s="557" t="str">
        <f>Y4</f>
        <v>2019 Results: [J]+[K]+[L] = [O]</v>
      </c>
    </row>
    <row r="50" spans="1:25" s="433" customFormat="1" ht="16.899999999999999" customHeight="1">
      <c r="D50" s="434"/>
      <c r="E50" s="450" t="str">
        <f>E7</f>
        <v>[A]</v>
      </c>
      <c r="F50" s="450" t="str">
        <f t="shared" ref="F50:Y52" si="11">F7</f>
        <v>[B]</v>
      </c>
      <c r="G50" s="450" t="str">
        <f t="shared" si="11"/>
        <v>[C]</v>
      </c>
      <c r="H50" s="450" t="str">
        <f t="shared" si="11"/>
        <v>[D]</v>
      </c>
      <c r="I50" s="450" t="str">
        <f t="shared" si="11"/>
        <v>[E']</v>
      </c>
      <c r="J50" s="450" t="str">
        <f>J7</f>
        <v>[E]</v>
      </c>
      <c r="K50" s="450" t="str">
        <f t="shared" si="11"/>
        <v>[F]</v>
      </c>
      <c r="L50" s="450" t="str">
        <f t="shared" si="11"/>
        <v>[G]</v>
      </c>
      <c r="M50" s="549">
        <f t="shared" si="11"/>
        <v>0</v>
      </c>
      <c r="N50" s="450" t="str">
        <f t="shared" si="11"/>
        <v>[H]</v>
      </c>
      <c r="O50" s="450">
        <f t="shared" si="11"/>
        <v>0</v>
      </c>
      <c r="P50" s="450" t="str">
        <f t="shared" si="11"/>
        <v>[I]</v>
      </c>
      <c r="Q50" s="450" t="str">
        <f t="shared" si="11"/>
        <v>[J]</v>
      </c>
      <c r="R50" s="450">
        <f t="shared" si="11"/>
        <v>0</v>
      </c>
      <c r="S50" s="450" t="str">
        <f t="shared" si="11"/>
        <v>[K]</v>
      </c>
      <c r="T50" s="450" t="str">
        <f t="shared" si="11"/>
        <v>[L]</v>
      </c>
      <c r="U50" s="450"/>
      <c r="V50" s="450" t="str">
        <f t="shared" si="11"/>
        <v>[M]</v>
      </c>
      <c r="W50" s="450" t="str">
        <f t="shared" si="11"/>
        <v>[N]</v>
      </c>
      <c r="X50" s="450"/>
      <c r="Y50" s="450" t="str">
        <f t="shared" si="11"/>
        <v>[O]</v>
      </c>
    </row>
    <row r="51" spans="1:25" s="433" customFormat="1" ht="15.75" customHeight="1">
      <c r="A51" s="638">
        <f ca="1">+MAX(OFFSET(A$1,0,0,ROW(A51)-ROW(A$1)))+1</f>
        <v>31</v>
      </c>
      <c r="B51" s="432" t="s">
        <v>25</v>
      </c>
      <c r="C51" s="432"/>
      <c r="D51" s="434"/>
      <c r="E51" s="437"/>
      <c r="F51" s="437"/>
      <c r="G51" s="437"/>
      <c r="H51" s="437"/>
      <c r="I51" s="437"/>
      <c r="J51" s="437"/>
      <c r="K51" s="437"/>
      <c r="L51" s="438"/>
      <c r="M51" s="549">
        <f t="shared" si="11"/>
        <v>0</v>
      </c>
      <c r="N51" s="439"/>
      <c r="O51" s="444"/>
      <c r="P51" s="443"/>
      <c r="Q51" s="451"/>
      <c r="R51" s="550"/>
      <c r="S51" s="437"/>
      <c r="T51" s="437"/>
      <c r="U51" s="437"/>
      <c r="V51" s="437"/>
      <c r="W51" s="437"/>
      <c r="X51" s="437"/>
      <c r="Y51" s="452"/>
    </row>
    <row r="52" spans="1:25" s="433" customFormat="1" ht="15.75" customHeight="1">
      <c r="A52" s="638">
        <f ca="1">+MAX(OFFSET(A$1,0,0,ROW(A52)-ROW(A$1)))+1</f>
        <v>32</v>
      </c>
      <c r="C52" s="432" t="s">
        <v>89</v>
      </c>
      <c r="D52" s="434"/>
      <c r="E52" s="573">
        <f>+'[6]Exh. No. BGM-3 4'!$AC$51</f>
        <v>-27872.649999999994</v>
      </c>
      <c r="F52" s="573">
        <f>+'[7]Attrition 12.2015 to 2018'!$F50</f>
        <v>40184</v>
      </c>
      <c r="G52" s="573">
        <f>ROUND(G43*0.35,0)</f>
        <v>574</v>
      </c>
      <c r="H52" s="573">
        <f>ROUND(H43*0.35,0)</f>
        <v>0</v>
      </c>
      <c r="I52" s="573">
        <v>0</v>
      </c>
      <c r="J52" s="573">
        <v>0</v>
      </c>
      <c r="K52" s="573">
        <f>ROUND(K43*0.35,0)</f>
        <v>-1769</v>
      </c>
      <c r="L52" s="573">
        <f>SUM(E52:K52)</f>
        <v>11116.350000000006</v>
      </c>
      <c r="M52" s="573">
        <f t="shared" si="11"/>
        <v>0</v>
      </c>
      <c r="N52" s="573"/>
      <c r="O52" s="573"/>
      <c r="P52" s="573">
        <f ca="1">P43*0.35</f>
        <v>-469.11596473206129</v>
      </c>
      <c r="Q52" s="573">
        <f ca="1">L52+P52</f>
        <v>10647.234035267944</v>
      </c>
      <c r="R52" s="573"/>
      <c r="S52" s="573">
        <f>0.35*S43</f>
        <v>-31015.949999999997</v>
      </c>
      <c r="T52" s="573">
        <f>0.35*T43</f>
        <v>0</v>
      </c>
      <c r="U52" s="573"/>
      <c r="V52" s="573">
        <f>0.35*V43</f>
        <v>0</v>
      </c>
      <c r="W52" s="573">
        <f>0.35*W43</f>
        <v>0</v>
      </c>
      <c r="X52" s="573"/>
      <c r="Y52" s="573">
        <f ca="1">Q52+S52+T52+W52+V52</f>
        <v>-20368.715964732051</v>
      </c>
    </row>
    <row r="53" spans="1:25" s="433" customFormat="1" ht="15.75" customHeight="1">
      <c r="A53" s="638">
        <f ca="1">+MAX(OFFSET(A$1,0,0,ROW(A53)-ROW(A$1)))+1</f>
        <v>33</v>
      </c>
      <c r="C53" s="432" t="s">
        <v>90</v>
      </c>
      <c r="D53" s="434"/>
      <c r="E53" s="561">
        <f>+'[6]Exh. No. BGM-3 4'!$AC$52</f>
        <v>20.635999999999999</v>
      </c>
      <c r="F53" s="561">
        <f>+'[7]Attrition 12.2015 to 2018'!$F51</f>
        <v>0</v>
      </c>
      <c r="G53" s="561">
        <f>G81*'2) ROR'!F11*-0.35</f>
        <v>50.145480000000006</v>
      </c>
      <c r="H53" s="561">
        <f>H81*'2) ROR'!G37*-0.35</f>
        <v>0</v>
      </c>
      <c r="I53" s="561">
        <f>I81*'2) ROR'!F37*-0.35</f>
        <v>0</v>
      </c>
      <c r="J53" s="561">
        <f>+'[7]Attrition 12.2015 to 2018'!$I51</f>
        <v>0</v>
      </c>
      <c r="K53" s="561">
        <f>K81*'2) ROR'!F37*-0.35</f>
        <v>0</v>
      </c>
      <c r="L53" s="570">
        <f>SUM(E53:K53)</f>
        <v>70.781480000000002</v>
      </c>
      <c r="M53" s="453"/>
      <c r="N53" s="444"/>
      <c r="O53" s="444"/>
      <c r="P53" s="581">
        <f ca="1">('2) ROR'!F11*-0.35*P81)+('2) ROR'!F11-'2) ROR'!F37)*L81*-0.35</f>
        <v>-344.71901446178015</v>
      </c>
      <c r="Q53" s="582">
        <f ca="1">L53+P53</f>
        <v>-273.93753446178016</v>
      </c>
      <c r="R53" s="583"/>
      <c r="S53" s="583"/>
      <c r="T53" s="583"/>
      <c r="U53" s="583"/>
      <c r="V53" s="571">
        <v>0</v>
      </c>
      <c r="W53" s="571">
        <v>0</v>
      </c>
      <c r="X53" s="571"/>
      <c r="Y53" s="582">
        <f ca="1">Q53+S53+T53+W53+V53</f>
        <v>-273.93753446178016</v>
      </c>
    </row>
    <row r="54" spans="1:25" s="433" customFormat="1" ht="15.75" customHeight="1">
      <c r="A54" s="638">
        <f ca="1">+MAX(OFFSET(A$1,0,0,ROW(A54)-ROW(A$1)))+1</f>
        <v>34</v>
      </c>
      <c r="C54" s="432" t="s">
        <v>44</v>
      </c>
      <c r="D54" s="434"/>
      <c r="E54" s="561">
        <f>+'[6]Exh. No. BGM-3 4'!$AC$53</f>
        <v>67191</v>
      </c>
      <c r="F54" s="561"/>
      <c r="G54" s="561">
        <v>0</v>
      </c>
      <c r="H54" s="561">
        <v>0</v>
      </c>
      <c r="I54" s="561">
        <v>0</v>
      </c>
      <c r="J54" s="561">
        <f>+'[7]Attrition 12.2015 to 2018'!$I52</f>
        <v>0</v>
      </c>
      <c r="K54" s="561">
        <v>0</v>
      </c>
      <c r="L54" s="570">
        <f>SUM(E54:K54)</f>
        <v>67191</v>
      </c>
      <c r="M54" s="453"/>
      <c r="N54" s="444"/>
      <c r="O54" s="444"/>
      <c r="P54" s="570">
        <f>N54*L54</f>
        <v>0</v>
      </c>
      <c r="Q54" s="562">
        <f>P54+L54</f>
        <v>67191</v>
      </c>
      <c r="R54" s="561"/>
      <c r="S54" s="561"/>
      <c r="T54" s="561"/>
      <c r="U54" s="561"/>
      <c r="V54" s="561"/>
      <c r="W54" s="561"/>
      <c r="X54" s="561"/>
      <c r="Y54" s="582">
        <f>Q54+S54+T54+W54+V54</f>
        <v>67191</v>
      </c>
    </row>
    <row r="55" spans="1:25" s="433" customFormat="1" ht="15.75" customHeight="1">
      <c r="A55" s="638">
        <f ca="1">+MAX(OFFSET(A$1,0,0,ROW(A55)-ROW(A$1)))+1</f>
        <v>35</v>
      </c>
      <c r="C55" s="432" t="s">
        <v>43</v>
      </c>
      <c r="D55" s="434"/>
      <c r="E55" s="561">
        <f>+'[6]Exh. No. BGM-3 4'!$AC$54</f>
        <v>-326</v>
      </c>
      <c r="F55" s="561"/>
      <c r="G55" s="561">
        <v>0</v>
      </c>
      <c r="H55" s="561">
        <v>0</v>
      </c>
      <c r="I55" s="561">
        <v>0</v>
      </c>
      <c r="J55" s="561">
        <f>+'[7]Attrition 12.2015 to 2018'!$I53</f>
        <v>0</v>
      </c>
      <c r="K55" s="561">
        <v>0</v>
      </c>
      <c r="L55" s="570">
        <f>SUM(E55:K55)</f>
        <v>-326</v>
      </c>
      <c r="M55" s="453"/>
      <c r="N55" s="444"/>
      <c r="O55" s="444"/>
      <c r="P55" s="570">
        <f>N55*L55</f>
        <v>0</v>
      </c>
      <c r="Q55" s="562">
        <f>P55+L55</f>
        <v>-326</v>
      </c>
      <c r="R55" s="561"/>
      <c r="S55" s="561"/>
      <c r="T55" s="561"/>
      <c r="U55" s="561"/>
      <c r="V55" s="571">
        <v>0</v>
      </c>
      <c r="W55" s="561">
        <v>0</v>
      </c>
      <c r="X55" s="561"/>
      <c r="Y55" s="582">
        <f>Q55+S55+T55+W55+V55</f>
        <v>-326</v>
      </c>
    </row>
    <row r="56" spans="1:25" s="433" customFormat="1" ht="15.75" customHeight="1">
      <c r="A56" s="606"/>
      <c r="B56" s="432"/>
      <c r="C56" s="432"/>
      <c r="D56" s="434"/>
      <c r="E56" s="561"/>
      <c r="F56" s="561"/>
      <c r="G56" s="561"/>
      <c r="H56" s="561"/>
      <c r="I56" s="561"/>
      <c r="J56" s="561"/>
      <c r="K56" s="561"/>
      <c r="L56" s="570"/>
      <c r="M56" s="453"/>
      <c r="N56" s="444"/>
      <c r="O56" s="444"/>
      <c r="P56" s="568"/>
      <c r="Q56" s="562"/>
      <c r="R56" s="561"/>
      <c r="S56" s="561"/>
      <c r="T56" s="561"/>
      <c r="U56" s="561"/>
      <c r="V56" s="561"/>
      <c r="W56" s="561"/>
      <c r="X56" s="561"/>
      <c r="Y56" s="562"/>
    </row>
    <row r="57" spans="1:25" s="433" customFormat="1" ht="15.75" customHeight="1" thickBot="1">
      <c r="A57" s="638">
        <f ca="1">+MAX(OFFSET(A$1,0,0,ROW(A57)-ROW(A$1)))+1</f>
        <v>36</v>
      </c>
      <c r="B57" s="432" t="s">
        <v>42</v>
      </c>
      <c r="C57" s="432"/>
      <c r="D57" s="434"/>
      <c r="E57" s="578">
        <f>E43-E52-E53-E54-E55</f>
        <v>107203.014</v>
      </c>
      <c r="F57" s="578">
        <f>F43-F52-F53-F54-F55</f>
        <v>36593</v>
      </c>
      <c r="G57" s="578">
        <f t="shared" ref="G57:L57" si="12">G43-G52-G53-G54-G55</f>
        <v>1016.85452</v>
      </c>
      <c r="H57" s="578">
        <f t="shared" si="12"/>
        <v>0</v>
      </c>
      <c r="I57" s="578">
        <f t="shared" si="12"/>
        <v>0</v>
      </c>
      <c r="J57" s="578">
        <f>J43-J52-J53-J54-J55</f>
        <v>0</v>
      </c>
      <c r="K57" s="578">
        <f t="shared" si="12"/>
        <v>-3286</v>
      </c>
      <c r="L57" s="578">
        <f t="shared" si="12"/>
        <v>141526.86851999999</v>
      </c>
      <c r="M57" s="437"/>
      <c r="N57" s="437"/>
      <c r="O57" s="437"/>
      <c r="P57" s="578">
        <f t="shared" ref="P57:T57" ca="1" si="13">P43-P52-P53-P54-P55</f>
        <v>-526.49634861204811</v>
      </c>
      <c r="Q57" s="578">
        <f t="shared" ca="1" si="13"/>
        <v>161773.37217138798</v>
      </c>
      <c r="R57" s="561"/>
      <c r="S57" s="578">
        <f t="shared" si="13"/>
        <v>-57601.05</v>
      </c>
      <c r="T57" s="578">
        <f t="shared" si="13"/>
        <v>0</v>
      </c>
      <c r="U57" s="561"/>
      <c r="V57" s="578">
        <f>V43-V52-V53-V54-V55</f>
        <v>0</v>
      </c>
      <c r="W57" s="578">
        <f>W43-W52-W53-W54-W55</f>
        <v>0</v>
      </c>
      <c r="X57" s="578"/>
      <c r="Y57" s="578">
        <f ca="1">Y43-Y52-Y53-Y54-Y55</f>
        <v>104172.32217138796</v>
      </c>
    </row>
    <row r="58" spans="1:25" s="433" customFormat="1" ht="15.75" thickTop="1">
      <c r="A58" s="606"/>
      <c r="B58" s="432"/>
      <c r="C58" s="432"/>
      <c r="D58" s="434"/>
      <c r="E58" s="561"/>
      <c r="F58" s="561"/>
      <c r="G58" s="561"/>
      <c r="H58" s="561"/>
      <c r="I58" s="561"/>
      <c r="J58" s="561"/>
      <c r="K58" s="561"/>
      <c r="L58" s="570"/>
      <c r="M58" s="453"/>
      <c r="N58" s="444"/>
      <c r="O58" s="444"/>
      <c r="P58" s="568"/>
      <c r="Q58" s="610"/>
      <c r="R58" s="611"/>
      <c r="S58" s="561"/>
      <c r="T58" s="561"/>
      <c r="U58" s="561"/>
      <c r="V58" s="561"/>
      <c r="W58" s="561"/>
      <c r="X58" s="561"/>
      <c r="Y58" s="610"/>
    </row>
    <row r="59" spans="1:25" s="433" customFormat="1" ht="15.75" customHeight="1">
      <c r="A59" s="638">
        <f t="shared" ref="A59:A73" ca="1" si="14">+MAX(OFFSET(A$1,0,0,ROW(A59)-ROW(A$1)))+1</f>
        <v>37</v>
      </c>
      <c r="B59" s="432" t="s">
        <v>41</v>
      </c>
      <c r="C59" s="432"/>
      <c r="D59" s="434"/>
      <c r="E59" s="561"/>
      <c r="F59" s="561"/>
      <c r="G59" s="561"/>
      <c r="H59" s="561"/>
      <c r="I59" s="561"/>
      <c r="J59" s="561"/>
      <c r="K59" s="561"/>
      <c r="L59" s="570"/>
      <c r="M59" s="453"/>
      <c r="N59" s="444"/>
      <c r="O59" s="444"/>
      <c r="P59" s="568"/>
      <c r="Q59" s="562"/>
      <c r="R59" s="561"/>
      <c r="S59" s="561"/>
      <c r="T59" s="561"/>
      <c r="U59" s="561"/>
      <c r="V59" s="561"/>
      <c r="W59" s="561"/>
      <c r="X59" s="561"/>
      <c r="Y59" s="584"/>
    </row>
    <row r="60" spans="1:25" s="433" customFormat="1" ht="15.75" customHeight="1">
      <c r="A60" s="638">
        <f t="shared" ca="1" si="14"/>
        <v>38</v>
      </c>
      <c r="B60" s="432" t="s">
        <v>104</v>
      </c>
      <c r="C60" s="432"/>
      <c r="D60" s="434"/>
      <c r="E60" s="561"/>
      <c r="F60" s="561"/>
      <c r="G60" s="561"/>
      <c r="H60" s="561"/>
      <c r="I60" s="612" t="s">
        <v>437</v>
      </c>
      <c r="J60" s="561"/>
      <c r="K60" s="561"/>
      <c r="L60" s="570"/>
      <c r="M60" s="438"/>
      <c r="N60" s="439"/>
      <c r="O60" s="439"/>
      <c r="P60" s="568"/>
      <c r="Q60" s="562"/>
      <c r="R60" s="561"/>
      <c r="S60" s="561"/>
      <c r="T60" s="561"/>
      <c r="U60" s="561"/>
      <c r="V60" s="561"/>
      <c r="W60" s="561"/>
      <c r="X60" s="561"/>
      <c r="Y60" s="562"/>
    </row>
    <row r="61" spans="1:25" s="433" customFormat="1" ht="15.75" customHeight="1">
      <c r="A61" s="638">
        <f t="shared" ca="1" si="14"/>
        <v>39</v>
      </c>
      <c r="B61" s="432"/>
      <c r="C61" s="432" t="s">
        <v>39</v>
      </c>
      <c r="D61" s="434"/>
      <c r="E61" s="722">
        <f>+'[6]Exh. No. BGM-3 4'!$AC$60</f>
        <v>156057</v>
      </c>
      <c r="F61" s="561"/>
      <c r="G61" s="561">
        <v>0</v>
      </c>
      <c r="H61" s="561">
        <v>0</v>
      </c>
      <c r="I61" s="571">
        <v>0</v>
      </c>
      <c r="J61" s="561">
        <f>+'[7]Attrition 12.2015 to 2018'!$I59</f>
        <v>0</v>
      </c>
      <c r="K61" s="561">
        <v>0</v>
      </c>
      <c r="L61" s="572">
        <f>SUM(E61:K61)</f>
        <v>156057</v>
      </c>
      <c r="M61" s="438"/>
      <c r="N61" s="509">
        <f ca="1">+'4.11'!B23*$N$6</f>
        <v>0.13752900000000001</v>
      </c>
      <c r="O61" s="439"/>
      <c r="P61" s="570">
        <f ca="1">L61*N61</f>
        <v>21462.363153000002</v>
      </c>
      <c r="Q61" s="562">
        <f ca="1">L61+P61</f>
        <v>177519.36315300001</v>
      </c>
      <c r="R61" s="561"/>
      <c r="S61" s="561"/>
      <c r="T61" s="561"/>
      <c r="U61" s="561"/>
      <c r="V61" s="561"/>
      <c r="W61" s="571">
        <v>0</v>
      </c>
      <c r="X61" s="571"/>
      <c r="Y61" s="582">
        <f ca="1">Q61+S61+T61+W61+V61</f>
        <v>177519.36315300001</v>
      </c>
    </row>
    <row r="62" spans="1:25" s="433" customFormat="1" ht="15.75" customHeight="1">
      <c r="A62" s="638">
        <f t="shared" ca="1" si="14"/>
        <v>40</v>
      </c>
      <c r="B62" s="432"/>
      <c r="C62" s="432" t="s">
        <v>38</v>
      </c>
      <c r="D62" s="434"/>
      <c r="E62" s="561">
        <f>+'[6]Exh. No. BGM-3 4'!$AC$61</f>
        <v>832833</v>
      </c>
      <c r="F62" s="561"/>
      <c r="G62" s="561">
        <v>0</v>
      </c>
      <c r="H62" s="561">
        <v>0</v>
      </c>
      <c r="I62" s="571">
        <v>0</v>
      </c>
      <c r="J62" s="561">
        <f>+'[7]Attrition 12.2015 to 2018'!$I60</f>
        <v>0</v>
      </c>
      <c r="K62" s="561">
        <v>0</v>
      </c>
      <c r="L62" s="572">
        <f>SUM(E62:K62)</f>
        <v>832833</v>
      </c>
      <c r="M62" s="438"/>
      <c r="N62" s="509">
        <f ca="1">+'4.12'!B23*$N$6</f>
        <v>2.3643000000000001E-2</v>
      </c>
      <c r="O62" s="439"/>
      <c r="P62" s="570">
        <f ca="1">L62*N62</f>
        <v>19690.670619</v>
      </c>
      <c r="Q62" s="562">
        <f ca="1">L62+P62</f>
        <v>852523.67061899998</v>
      </c>
      <c r="R62" s="561"/>
      <c r="S62" s="561"/>
      <c r="T62" s="561"/>
      <c r="U62" s="561"/>
      <c r="V62" s="571">
        <v>0</v>
      </c>
      <c r="W62" s="561"/>
      <c r="X62" s="561"/>
      <c r="Y62" s="582">
        <f ca="1">Q62+S62+T62+W62+V62</f>
        <v>852523.67061899998</v>
      </c>
    </row>
    <row r="63" spans="1:25" s="433" customFormat="1" ht="15.75" customHeight="1">
      <c r="A63" s="638">
        <f t="shared" ca="1" si="14"/>
        <v>41</v>
      </c>
      <c r="B63" s="432"/>
      <c r="C63" s="432" t="s">
        <v>37</v>
      </c>
      <c r="D63" s="434"/>
      <c r="E63" s="561">
        <f>+'[6]Exh. No. BGM-3 4'!$AC$62</f>
        <v>430613</v>
      </c>
      <c r="F63" s="561"/>
      <c r="G63" s="561">
        <v>0</v>
      </c>
      <c r="H63" s="561">
        <v>0</v>
      </c>
      <c r="I63" s="571">
        <v>0</v>
      </c>
      <c r="J63" s="561">
        <f>+'[7]Attrition 12.2015 to 2018'!$I61</f>
        <v>0</v>
      </c>
      <c r="K63" s="561">
        <v>0</v>
      </c>
      <c r="L63" s="572">
        <f>SUM(E63:K63)</f>
        <v>430613</v>
      </c>
      <c r="M63" s="438"/>
      <c r="N63" s="509">
        <f ca="1">+'4.13'!B23*$N$6</f>
        <v>0.13786200000000001</v>
      </c>
      <c r="O63" s="439"/>
      <c r="P63" s="570">
        <f ca="1">L63*N63</f>
        <v>59365.169406000008</v>
      </c>
      <c r="Q63" s="562">
        <f ca="1">L63+P63</f>
        <v>489978.169406</v>
      </c>
      <c r="R63" s="561"/>
      <c r="S63" s="561"/>
      <c r="T63" s="561"/>
      <c r="U63" s="561"/>
      <c r="V63" s="561"/>
      <c r="W63" s="561"/>
      <c r="X63" s="561"/>
      <c r="Y63" s="582">
        <f ca="1">Q63+S63+T63+W63+V63</f>
        <v>489978.169406</v>
      </c>
    </row>
    <row r="64" spans="1:25" s="433" customFormat="1" ht="15.75" customHeight="1">
      <c r="A64" s="638">
        <f t="shared" ca="1" si="14"/>
        <v>42</v>
      </c>
      <c r="B64" s="432"/>
      <c r="C64" s="432" t="s">
        <v>36</v>
      </c>
      <c r="D64" s="434"/>
      <c r="E64" s="561">
        <f>+'[6]Exh. No. BGM-3 4'!$AC$63</f>
        <v>970455</v>
      </c>
      <c r="F64" s="561"/>
      <c r="G64" s="561">
        <v>0</v>
      </c>
      <c r="H64" s="571">
        <v>0</v>
      </c>
      <c r="I64" s="571">
        <v>0</v>
      </c>
      <c r="J64" s="561">
        <f>+'[7]Attrition 12.2015 to 2018'!$I62</f>
        <v>0</v>
      </c>
      <c r="K64" s="561">
        <v>0</v>
      </c>
      <c r="L64" s="572">
        <f>SUM(E64:K64)</f>
        <v>970455</v>
      </c>
      <c r="M64" s="438"/>
      <c r="N64" s="509">
        <f ca="1">+'4.14'!B23*$N$6</f>
        <v>0.16816500000000001</v>
      </c>
      <c r="O64" s="439"/>
      <c r="P64" s="570">
        <f ca="1">L64*N64</f>
        <v>163196.56507500002</v>
      </c>
      <c r="Q64" s="562">
        <f ca="1">L64+P64</f>
        <v>1133651.565075</v>
      </c>
      <c r="R64" s="561"/>
      <c r="S64" s="561"/>
      <c r="T64" s="561"/>
      <c r="U64" s="561"/>
      <c r="V64" s="561"/>
      <c r="W64" s="571">
        <v>0</v>
      </c>
      <c r="X64" s="571"/>
      <c r="Y64" s="582">
        <f ca="1">Q64+S64+T64+W64+V64</f>
        <v>1133651.565075</v>
      </c>
    </row>
    <row r="65" spans="1:26" s="433" customFormat="1" ht="15.75" customHeight="1">
      <c r="A65" s="638">
        <f t="shared" ca="1" si="14"/>
        <v>43</v>
      </c>
      <c r="B65" s="432"/>
      <c r="C65" s="432" t="s">
        <v>35</v>
      </c>
      <c r="D65" s="434"/>
      <c r="E65" s="561">
        <f>+'[6]Exh. No. BGM-3 4'!$AC$64</f>
        <v>233266</v>
      </c>
      <c r="F65" s="564"/>
      <c r="G65" s="561">
        <v>0</v>
      </c>
      <c r="H65" s="561">
        <v>0</v>
      </c>
      <c r="I65" s="571">
        <v>0</v>
      </c>
      <c r="J65" s="561">
        <f>+'[7]Attrition 12.2015 to 2018'!$I63</f>
        <v>0</v>
      </c>
      <c r="K65" s="561">
        <v>0</v>
      </c>
      <c r="L65" s="572">
        <f>SUM(E65:K65)</f>
        <v>233266</v>
      </c>
      <c r="M65" s="453"/>
      <c r="N65" s="509">
        <f ca="1">+'4.15'!B23*$N$6</f>
        <v>0.276057</v>
      </c>
      <c r="O65" s="444"/>
      <c r="P65" s="567">
        <f ca="1">L65*N65</f>
        <v>64394.712161999996</v>
      </c>
      <c r="Q65" s="564">
        <f ca="1">L65+P65</f>
        <v>297660.71216200001</v>
      </c>
      <c r="R65" s="561"/>
      <c r="S65" s="564"/>
      <c r="T65" s="564"/>
      <c r="U65" s="561"/>
      <c r="V65" s="564"/>
      <c r="W65" s="571">
        <v>0</v>
      </c>
      <c r="X65" s="571"/>
      <c r="Y65" s="585">
        <f ca="1">Q65+S65+T65+W65+V65</f>
        <v>297660.71216200001</v>
      </c>
    </row>
    <row r="66" spans="1:26" s="433" customFormat="1" ht="15.75" customHeight="1">
      <c r="A66" s="638">
        <f t="shared" ca="1" si="14"/>
        <v>44</v>
      </c>
      <c r="B66" s="432"/>
      <c r="C66" s="432" t="s">
        <v>111</v>
      </c>
      <c r="D66" s="434"/>
      <c r="E66" s="566">
        <f>SUM(E61:E65)</f>
        <v>2623224</v>
      </c>
      <c r="F66" s="566">
        <f t="shared" ref="F66:K66" si="15">SUM(F61:F65)</f>
        <v>0</v>
      </c>
      <c r="G66" s="566">
        <f t="shared" si="15"/>
        <v>0</v>
      </c>
      <c r="H66" s="566">
        <f t="shared" si="15"/>
        <v>0</v>
      </c>
      <c r="I66" s="566">
        <f t="shared" si="15"/>
        <v>0</v>
      </c>
      <c r="J66" s="566">
        <f>SUM(J61:J65)</f>
        <v>0</v>
      </c>
      <c r="K66" s="566">
        <f t="shared" si="15"/>
        <v>0</v>
      </c>
      <c r="L66" s="565">
        <f>SUM(L61:L65)</f>
        <v>2623224</v>
      </c>
      <c r="M66" s="453"/>
      <c r="N66" s="447"/>
      <c r="O66" s="444"/>
      <c r="P66" s="570">
        <f ca="1">SUM(P61:P65)</f>
        <v>328109.48041500006</v>
      </c>
      <c r="Q66" s="570">
        <f ca="1">SUM(Q61:Q65)</f>
        <v>2951333.4804150001</v>
      </c>
      <c r="R66" s="561"/>
      <c r="S66" s="561"/>
      <c r="T66" s="561"/>
      <c r="U66" s="561"/>
      <c r="V66" s="570">
        <f>SUM(V61:V65)</f>
        <v>0</v>
      </c>
      <c r="W66" s="570">
        <f>SUM(W61:W65)</f>
        <v>0</v>
      </c>
      <c r="X66" s="570"/>
      <c r="Y66" s="570">
        <f ca="1">SUM(Y61:Y65)</f>
        <v>2951333.4804150001</v>
      </c>
    </row>
    <row r="67" spans="1:26" s="433" customFormat="1" ht="15.75" customHeight="1">
      <c r="A67" s="638">
        <f t="shared" ca="1" si="14"/>
        <v>45</v>
      </c>
      <c r="B67" s="432" t="s">
        <v>107</v>
      </c>
      <c r="C67" s="454"/>
      <c r="D67" s="434"/>
      <c r="E67" s="561"/>
      <c r="F67" s="561"/>
      <c r="G67" s="561"/>
      <c r="H67" s="561"/>
      <c r="I67" s="561"/>
      <c r="J67" s="561"/>
      <c r="K67" s="561"/>
      <c r="L67" s="570"/>
      <c r="M67" s="438"/>
      <c r="N67" s="439"/>
      <c r="O67" s="439"/>
      <c r="P67" s="568"/>
      <c r="Q67" s="562"/>
      <c r="R67" s="561"/>
      <c r="S67" s="561"/>
      <c r="T67" s="561"/>
      <c r="U67" s="561"/>
      <c r="V67" s="561"/>
      <c r="W67" s="561"/>
      <c r="X67" s="561"/>
      <c r="Y67" s="562">
        <f t="shared" ref="Y67" si="16">Q67</f>
        <v>0</v>
      </c>
    </row>
    <row r="68" spans="1:26" s="433" customFormat="1" ht="15.75" customHeight="1">
      <c r="A68" s="638">
        <f t="shared" ca="1" si="14"/>
        <v>46</v>
      </c>
      <c r="B68" s="432"/>
      <c r="C68" s="432" t="s">
        <v>39</v>
      </c>
      <c r="D68" s="442"/>
      <c r="E68" s="561">
        <f>+'[6]Exh. No. BGM-3 4'!$AC$67</f>
        <v>-30914</v>
      </c>
      <c r="F68" s="561"/>
      <c r="G68" s="561">
        <v>0</v>
      </c>
      <c r="H68" s="561">
        <v>0</v>
      </c>
      <c r="I68" s="571">
        <v>0</v>
      </c>
      <c r="J68" s="561">
        <f>+'[7]Attrition 12.2015 to 2018'!$I66</f>
        <v>0</v>
      </c>
      <c r="K68" s="561">
        <v>0</v>
      </c>
      <c r="L68" s="572">
        <f>SUM(E68:K68)</f>
        <v>-30914</v>
      </c>
      <c r="M68" s="438"/>
      <c r="N68" s="444">
        <f ca="1">+N61</f>
        <v>0.13752900000000001</v>
      </c>
      <c r="O68" s="439"/>
      <c r="P68" s="570">
        <f ca="1">L68*N68</f>
        <v>-4251.5715060000002</v>
      </c>
      <c r="Q68" s="562">
        <f ca="1">L68+P68</f>
        <v>-35165.571506</v>
      </c>
      <c r="R68" s="561"/>
      <c r="S68" s="561"/>
      <c r="T68" s="561"/>
      <c r="U68" s="561"/>
      <c r="V68" s="561"/>
      <c r="W68" s="571">
        <v>0</v>
      </c>
      <c r="X68" s="571"/>
      <c r="Y68" s="582">
        <f ca="1">Q68+S68+T68+W68+V68</f>
        <v>-35165.571506</v>
      </c>
    </row>
    <row r="69" spans="1:26" s="433" customFormat="1" ht="15.75" customHeight="1">
      <c r="A69" s="638">
        <f t="shared" ca="1" si="14"/>
        <v>47</v>
      </c>
      <c r="B69" s="432"/>
      <c r="C69" s="432" t="s">
        <v>38</v>
      </c>
      <c r="D69" s="434"/>
      <c r="E69" s="561">
        <f>+'[6]Exh. No. BGM-3 4'!$AC$68</f>
        <v>-351625</v>
      </c>
      <c r="F69" s="561"/>
      <c r="G69" s="561">
        <v>0</v>
      </c>
      <c r="H69" s="561">
        <v>0</v>
      </c>
      <c r="I69" s="571">
        <v>0</v>
      </c>
      <c r="J69" s="561">
        <f>+'[7]Attrition 12.2015 to 2018'!$I67</f>
        <v>0</v>
      </c>
      <c r="K69" s="561">
        <v>0</v>
      </c>
      <c r="L69" s="572">
        <f>SUM(E69:K69)</f>
        <v>-351625</v>
      </c>
      <c r="M69" s="438"/>
      <c r="N69" s="444">
        <f t="shared" ref="N69:N72" ca="1" si="17">+N62</f>
        <v>2.3643000000000001E-2</v>
      </c>
      <c r="O69" s="439"/>
      <c r="P69" s="570">
        <f ca="1">L69*N69</f>
        <v>-8313.4698750000007</v>
      </c>
      <c r="Q69" s="562">
        <f ca="1">L69+P69</f>
        <v>-359938.46987500001</v>
      </c>
      <c r="R69" s="561"/>
      <c r="S69" s="561"/>
      <c r="T69" s="561"/>
      <c r="U69" s="561"/>
      <c r="V69" s="571">
        <v>0</v>
      </c>
      <c r="W69" s="561"/>
      <c r="X69" s="561"/>
      <c r="Y69" s="582">
        <f ca="1">Q69+S69+T69+W69+V69</f>
        <v>-359938.46987500001</v>
      </c>
    </row>
    <row r="70" spans="1:26" s="433" customFormat="1" ht="15.75" customHeight="1">
      <c r="A70" s="638">
        <f t="shared" ca="1" si="14"/>
        <v>48</v>
      </c>
      <c r="B70" s="432"/>
      <c r="C70" s="432" t="s">
        <v>37</v>
      </c>
      <c r="D70" s="434"/>
      <c r="E70" s="561">
        <f>+'[6]Exh. No. BGM-3 4'!$AC$69</f>
        <v>-135624</v>
      </c>
      <c r="F70" s="561"/>
      <c r="G70" s="561">
        <v>0</v>
      </c>
      <c r="H70" s="561">
        <v>0</v>
      </c>
      <c r="I70" s="571">
        <v>0</v>
      </c>
      <c r="J70" s="561">
        <f>+'[7]Attrition 12.2015 to 2018'!$I68</f>
        <v>0</v>
      </c>
      <c r="K70" s="561">
        <v>0</v>
      </c>
      <c r="L70" s="572">
        <f>SUM(E70:K70)</f>
        <v>-135624</v>
      </c>
      <c r="M70" s="438"/>
      <c r="N70" s="444">
        <f t="shared" ca="1" si="17"/>
        <v>0.13786200000000001</v>
      </c>
      <c r="O70" s="439"/>
      <c r="P70" s="570">
        <f ca="1">L70*N70</f>
        <v>-18697.395888000003</v>
      </c>
      <c r="Q70" s="562">
        <f ca="1">L70+P70</f>
        <v>-154321.395888</v>
      </c>
      <c r="R70" s="561"/>
      <c r="S70" s="561"/>
      <c r="T70" s="561"/>
      <c r="U70" s="561"/>
      <c r="V70" s="561"/>
      <c r="W70" s="561"/>
      <c r="X70" s="561"/>
      <c r="Y70" s="582">
        <f ca="1">Q70+S70+T70+W70+V70</f>
        <v>-154321.395888</v>
      </c>
    </row>
    <row r="71" spans="1:26" s="433" customFormat="1" ht="15.75" customHeight="1">
      <c r="A71" s="638">
        <f t="shared" ca="1" si="14"/>
        <v>49</v>
      </c>
      <c r="B71" s="432"/>
      <c r="C71" s="432" t="s">
        <v>36</v>
      </c>
      <c r="D71" s="434"/>
      <c r="E71" s="561">
        <f>+'[6]Exh. No. BGM-3 4'!$AC$70</f>
        <v>-295383</v>
      </c>
      <c r="F71" s="561"/>
      <c r="G71" s="561">
        <v>0</v>
      </c>
      <c r="H71" s="561">
        <v>0</v>
      </c>
      <c r="I71" s="571">
        <v>0</v>
      </c>
      <c r="J71" s="561">
        <f>+'[7]Attrition 12.2015 to 2018'!$I69</f>
        <v>0</v>
      </c>
      <c r="K71" s="561">
        <v>0</v>
      </c>
      <c r="L71" s="572">
        <f>SUM(E71:K71)</f>
        <v>-295383</v>
      </c>
      <c r="M71" s="438"/>
      <c r="N71" s="444">
        <f t="shared" ca="1" si="17"/>
        <v>0.16816500000000001</v>
      </c>
      <c r="O71" s="439"/>
      <c r="P71" s="570">
        <f ca="1">L71*N71</f>
        <v>-49673.082195000003</v>
      </c>
      <c r="Q71" s="562">
        <f ca="1">L71+P71</f>
        <v>-345056.08219500002</v>
      </c>
      <c r="R71" s="561"/>
      <c r="S71" s="561"/>
      <c r="T71" s="561"/>
      <c r="U71" s="561"/>
      <c r="V71" s="561"/>
      <c r="W71" s="571">
        <v>0</v>
      </c>
      <c r="X71" s="571"/>
      <c r="Y71" s="582">
        <f ca="1">Q71+S71+T71+W71+V71</f>
        <v>-345056.08219500002</v>
      </c>
    </row>
    <row r="72" spans="1:26" s="433" customFormat="1" ht="15.75" customHeight="1">
      <c r="A72" s="638">
        <f t="shared" ca="1" si="14"/>
        <v>50</v>
      </c>
      <c r="B72" s="432"/>
      <c r="C72" s="432" t="s">
        <v>35</v>
      </c>
      <c r="D72" s="434"/>
      <c r="E72" s="561">
        <f>+'[6]Exh. No. BGM-3 4'!$AC$71</f>
        <v>-80093</v>
      </c>
      <c r="F72" s="567"/>
      <c r="G72" s="561">
        <v>0</v>
      </c>
      <c r="H72" s="561">
        <v>0</v>
      </c>
      <c r="I72" s="571">
        <v>0</v>
      </c>
      <c r="J72" s="561">
        <f>+'[7]Attrition 12.2015 to 2018'!$I70</f>
        <v>0</v>
      </c>
      <c r="K72" s="561">
        <v>0</v>
      </c>
      <c r="L72" s="572">
        <f>SUM(E72:K72)</f>
        <v>-80093</v>
      </c>
      <c r="M72" s="453"/>
      <c r="N72" s="444">
        <f t="shared" ca="1" si="17"/>
        <v>0.276057</v>
      </c>
      <c r="O72" s="444"/>
      <c r="P72" s="567">
        <f ca="1">L72*N72</f>
        <v>-22110.233301</v>
      </c>
      <c r="Q72" s="564">
        <f ca="1">L72+P72</f>
        <v>-102203.233301</v>
      </c>
      <c r="R72" s="561"/>
      <c r="S72" s="564"/>
      <c r="T72" s="564"/>
      <c r="U72" s="561"/>
      <c r="V72" s="564"/>
      <c r="W72" s="571">
        <v>0</v>
      </c>
      <c r="X72" s="571"/>
      <c r="Y72" s="585">
        <f ca="1">Q72+S72+T72+W72+V72</f>
        <v>-102203.233301</v>
      </c>
    </row>
    <row r="73" spans="1:26" s="636" customFormat="1" ht="30.75" customHeight="1">
      <c r="A73" s="638">
        <f t="shared" ca="1" si="14"/>
        <v>51</v>
      </c>
      <c r="B73" s="627"/>
      <c r="C73" s="628" t="s">
        <v>129</v>
      </c>
      <c r="D73" s="629"/>
      <c r="E73" s="630">
        <f>SUM(E68:E72)</f>
        <v>-893639</v>
      </c>
      <c r="F73" s="630">
        <f t="shared" ref="F73:K73" si="18">SUM(F68:F72)</f>
        <v>0</v>
      </c>
      <c r="G73" s="630">
        <f t="shared" si="18"/>
        <v>0</v>
      </c>
      <c r="H73" s="630">
        <f t="shared" si="18"/>
        <v>0</v>
      </c>
      <c r="I73" s="630">
        <f t="shared" si="18"/>
        <v>0</v>
      </c>
      <c r="J73" s="630">
        <f>SUM(J68:J72)</f>
        <v>0</v>
      </c>
      <c r="K73" s="630">
        <f t="shared" si="18"/>
        <v>0</v>
      </c>
      <c r="L73" s="631">
        <f>SUM(L68:L72)</f>
        <v>-893639</v>
      </c>
      <c r="M73" s="632"/>
      <c r="N73" s="633"/>
      <c r="O73" s="633"/>
      <c r="P73" s="634">
        <f ca="1">SUM(P68:P72)</f>
        <v>-103045.75276500001</v>
      </c>
      <c r="Q73" s="634">
        <f ca="1">SUM(Q68:Q72)</f>
        <v>-996684.75276499998</v>
      </c>
      <c r="R73" s="635"/>
      <c r="S73" s="635"/>
      <c r="T73" s="635"/>
      <c r="U73" s="635"/>
      <c r="V73" s="634">
        <f>SUM(V68:V72)</f>
        <v>0</v>
      </c>
      <c r="W73" s="634">
        <f>SUM(W68:W72)</f>
        <v>0</v>
      </c>
      <c r="X73" s="634"/>
      <c r="Y73" s="634">
        <f ca="1">SUM(Y68:Y72)</f>
        <v>-996684.75276499998</v>
      </c>
    </row>
    <row r="74" spans="1:26" s="433" customFormat="1" ht="15">
      <c r="A74" s="606"/>
      <c r="B74" s="432"/>
      <c r="C74" s="454"/>
      <c r="D74" s="455"/>
      <c r="E74" s="561"/>
      <c r="F74" s="572"/>
      <c r="G74" s="572"/>
      <c r="H74" s="572"/>
      <c r="I74" s="572"/>
      <c r="J74" s="561"/>
      <c r="K74" s="572"/>
      <c r="L74" s="570"/>
      <c r="M74" s="438"/>
      <c r="N74" s="439"/>
      <c r="O74" s="439"/>
      <c r="P74" s="570"/>
      <c r="Q74" s="562"/>
      <c r="R74" s="561"/>
      <c r="S74" s="561"/>
      <c r="T74" s="561"/>
      <c r="U74" s="561"/>
      <c r="V74" s="561"/>
      <c r="W74" s="561"/>
      <c r="X74" s="561"/>
      <c r="Y74" s="562"/>
    </row>
    <row r="75" spans="1:26" s="433" customFormat="1" ht="15.75" customHeight="1">
      <c r="A75" s="638">
        <f ca="1">+MAX(OFFSET(A$1,0,0,ROW(A75)-ROW(A$1)))+1</f>
        <v>52</v>
      </c>
      <c r="B75" s="432" t="s">
        <v>96</v>
      </c>
      <c r="C75" s="432"/>
      <c r="D75" s="434"/>
      <c r="E75" s="566">
        <f>E66+E73</f>
        <v>1729585</v>
      </c>
      <c r="F75" s="566">
        <f t="shared" ref="F75:W75" si="19">F66+F73</f>
        <v>0</v>
      </c>
      <c r="G75" s="566">
        <f t="shared" si="19"/>
        <v>0</v>
      </c>
      <c r="H75" s="566">
        <f t="shared" si="19"/>
        <v>0</v>
      </c>
      <c r="I75" s="566">
        <f t="shared" si="19"/>
        <v>0</v>
      </c>
      <c r="J75" s="566">
        <f>J66+J73</f>
        <v>0</v>
      </c>
      <c r="K75" s="566">
        <f t="shared" si="19"/>
        <v>0</v>
      </c>
      <c r="L75" s="566">
        <f t="shared" si="19"/>
        <v>1729585</v>
      </c>
      <c r="M75" s="438"/>
      <c r="N75" s="439"/>
      <c r="O75" s="439"/>
      <c r="P75" s="566">
        <f t="shared" ca="1" si="19"/>
        <v>225063.72765000004</v>
      </c>
      <c r="Q75" s="566">
        <f t="shared" ca="1" si="19"/>
        <v>1954648.7276500002</v>
      </c>
      <c r="R75" s="561">
        <f t="shared" si="19"/>
        <v>0</v>
      </c>
      <c r="S75" s="566"/>
      <c r="T75" s="566"/>
      <c r="U75" s="561"/>
      <c r="V75" s="566">
        <f t="shared" ref="V75" si="20">V66+V73</f>
        <v>0</v>
      </c>
      <c r="W75" s="566">
        <f t="shared" si="19"/>
        <v>0</v>
      </c>
      <c r="X75" s="566"/>
      <c r="Y75" s="566">
        <f ca="1">Y66+Y73</f>
        <v>1954648.7276500002</v>
      </c>
    </row>
    <row r="76" spans="1:26" s="433" customFormat="1" ht="13.5" customHeight="1">
      <c r="A76" s="638">
        <f t="shared" ref="A76:A81" ca="1" si="21">+MAX(OFFSET(A$1,0,0,ROW(A76)-ROW(A$1)))+1</f>
        <v>53</v>
      </c>
      <c r="B76" s="432" t="s">
        <v>108</v>
      </c>
      <c r="C76" s="432"/>
      <c r="D76" s="434"/>
      <c r="E76" s="575">
        <f>+'[6]Exh. No. BGM-3 4'!$AC$75</f>
        <v>-353901</v>
      </c>
      <c r="F76" s="561"/>
      <c r="G76" s="561">
        <v>0</v>
      </c>
      <c r="H76" s="561">
        <v>0</v>
      </c>
      <c r="I76" s="571">
        <v>0</v>
      </c>
      <c r="J76" s="575">
        <f>+'[7]Attrition 12.2015 to 2018'!$I75</f>
        <v>0</v>
      </c>
      <c r="K76" s="561">
        <v>0</v>
      </c>
      <c r="L76" s="572">
        <f>SUM(E76:K76)</f>
        <v>-353901</v>
      </c>
      <c r="M76" s="438"/>
      <c r="N76" s="509">
        <f ca="1">+'4.16'!B22*$N$6</f>
        <v>0.43056899999999998</v>
      </c>
      <c r="O76" s="444"/>
      <c r="P76" s="570">
        <f ca="1">N76*L76</f>
        <v>-152378.799669</v>
      </c>
      <c r="Q76" s="562">
        <f ca="1">P76+L76</f>
        <v>-506279.79966899997</v>
      </c>
      <c r="R76" s="561"/>
      <c r="S76" s="561"/>
      <c r="T76" s="561"/>
      <c r="U76" s="561"/>
      <c r="V76" s="571">
        <v>0</v>
      </c>
      <c r="W76" s="571">
        <v>0</v>
      </c>
      <c r="X76" s="571"/>
      <c r="Y76" s="585">
        <f ca="1">Q76+S76+T76+W76+V76</f>
        <v>-506279.79966899997</v>
      </c>
    </row>
    <row r="77" spans="1:26" s="433" customFormat="1" ht="15.75" customHeight="1">
      <c r="A77" s="638">
        <f t="shared" ca="1" si="21"/>
        <v>54</v>
      </c>
      <c r="B77" s="432"/>
      <c r="C77" s="432" t="s">
        <v>130</v>
      </c>
      <c r="D77" s="442"/>
      <c r="E77" s="566">
        <f t="shared" ref="E77:L77" si="22">E75+E76</f>
        <v>1375684</v>
      </c>
      <c r="F77" s="566">
        <f t="shared" si="22"/>
        <v>0</v>
      </c>
      <c r="G77" s="566">
        <f t="shared" si="22"/>
        <v>0</v>
      </c>
      <c r="H77" s="566">
        <f t="shared" si="22"/>
        <v>0</v>
      </c>
      <c r="I77" s="566">
        <f t="shared" si="22"/>
        <v>0</v>
      </c>
      <c r="J77" s="566">
        <f t="shared" si="22"/>
        <v>0</v>
      </c>
      <c r="K77" s="566">
        <f t="shared" si="22"/>
        <v>0</v>
      </c>
      <c r="L77" s="566">
        <f t="shared" si="22"/>
        <v>1375684</v>
      </c>
      <c r="M77" s="438"/>
      <c r="N77" s="439"/>
      <c r="O77" s="439"/>
      <c r="P77" s="566">
        <f ca="1">P75+P76</f>
        <v>72684.927981000044</v>
      </c>
      <c r="Q77" s="566">
        <f ca="1">Q75+Q76</f>
        <v>1448368.9279810004</v>
      </c>
      <c r="R77" s="561"/>
      <c r="S77" s="566"/>
      <c r="T77" s="566"/>
      <c r="U77" s="561"/>
      <c r="V77" s="566">
        <f>V75+V76</f>
        <v>0</v>
      </c>
      <c r="W77" s="566">
        <f>W75+W76</f>
        <v>0</v>
      </c>
      <c r="X77" s="566"/>
      <c r="Y77" s="566">
        <f ca="1">Y75+Y76</f>
        <v>1448368.9279810004</v>
      </c>
      <c r="Z77" s="613"/>
    </row>
    <row r="78" spans="1:26" s="433" customFormat="1" ht="15.75" customHeight="1">
      <c r="A78" s="638">
        <f t="shared" ca="1" si="21"/>
        <v>55</v>
      </c>
      <c r="B78" s="432" t="s">
        <v>109</v>
      </c>
      <c r="C78" s="432"/>
      <c r="D78" s="434"/>
      <c r="E78" s="575">
        <f>+'[6]Exh. No. BGM-3 4'!$AC$77</f>
        <v>4568</v>
      </c>
      <c r="F78" s="579"/>
      <c r="G78" s="561">
        <f>+'[6]Exh. No. BGM-3 4'!$AL$77</f>
        <v>-5346</v>
      </c>
      <c r="H78" s="571">
        <v>0</v>
      </c>
      <c r="I78" s="561"/>
      <c r="J78" s="575">
        <f>+'[7]Attrition 12.2015 to 2018'!$I77</f>
        <v>0</v>
      </c>
      <c r="K78" s="561"/>
      <c r="L78" s="572">
        <f>SUM(E78:K78)</f>
        <v>-778</v>
      </c>
      <c r="M78" s="438"/>
      <c r="N78" s="439"/>
      <c r="O78" s="439"/>
      <c r="P78" s="570">
        <f>N78*L78</f>
        <v>0</v>
      </c>
      <c r="Q78" s="562">
        <f>P78+L78</f>
        <v>-778</v>
      </c>
      <c r="R78" s="561"/>
      <c r="S78" s="561"/>
      <c r="T78" s="561"/>
      <c r="U78" s="561"/>
      <c r="V78" s="561"/>
      <c r="W78" s="561"/>
      <c r="X78" s="561"/>
      <c r="Y78" s="582">
        <f>Q78+S78+T78+W78+V78</f>
        <v>-778</v>
      </c>
    </row>
    <row r="79" spans="1:26" s="433" customFormat="1" ht="15.75" customHeight="1">
      <c r="A79" s="638">
        <f t="shared" ca="1" si="21"/>
        <v>56</v>
      </c>
      <c r="B79" s="432" t="s">
        <v>79</v>
      </c>
      <c r="C79" s="432"/>
      <c r="D79" s="434"/>
      <c r="E79" s="575">
        <f>+'[6]Exh. No. BGM-3 4'!$AC$78</f>
        <v>62474</v>
      </c>
      <c r="F79" s="561"/>
      <c r="G79" s="561">
        <v>0</v>
      </c>
      <c r="H79" s="561">
        <v>0</v>
      </c>
      <c r="I79" s="561"/>
      <c r="J79" s="575">
        <f>+'[7]Attrition 12.2015 to 2018'!$I78</f>
        <v>0</v>
      </c>
      <c r="K79" s="561"/>
      <c r="L79" s="572">
        <f>SUM(E79:K79)</f>
        <v>62474</v>
      </c>
      <c r="M79" s="438"/>
      <c r="N79" s="439"/>
      <c r="O79" s="439"/>
      <c r="P79" s="570">
        <f>N79*L79</f>
        <v>0</v>
      </c>
      <c r="Q79" s="562">
        <f>P79+L79</f>
        <v>62474</v>
      </c>
      <c r="R79" s="561"/>
      <c r="S79" s="561"/>
      <c r="T79" s="561"/>
      <c r="U79" s="561"/>
      <c r="V79" s="561"/>
      <c r="W79" s="561"/>
      <c r="X79" s="561"/>
      <c r="Y79" s="582">
        <f>Q79+S79+T79+W79+V79</f>
        <v>62474</v>
      </c>
      <c r="Z79" s="613"/>
    </row>
    <row r="80" spans="1:26" s="433" customFormat="1" ht="15.75" customHeight="1">
      <c r="A80" s="638">
        <f t="shared" ca="1" si="21"/>
        <v>57</v>
      </c>
      <c r="B80" s="524" t="s">
        <v>493</v>
      </c>
      <c r="C80" s="524"/>
      <c r="D80" s="434"/>
      <c r="E80" s="575"/>
      <c r="F80" s="561"/>
      <c r="G80" s="561"/>
      <c r="H80" s="561"/>
      <c r="I80" s="561"/>
      <c r="J80" s="575"/>
      <c r="K80" s="561"/>
      <c r="L80" s="572"/>
      <c r="M80" s="438"/>
      <c r="N80" s="439"/>
      <c r="O80" s="439"/>
      <c r="P80" s="570"/>
      <c r="Q80" s="562"/>
      <c r="R80" s="561"/>
      <c r="S80" s="561"/>
      <c r="T80" s="561"/>
      <c r="U80" s="561"/>
      <c r="V80" s="571"/>
      <c r="W80" s="571"/>
      <c r="X80" s="571"/>
      <c r="Y80" s="586">
        <f ca="1">-MAX(SUM(Y77:Y79)-'[10]Exh. No. BGM-13R'!$R$48*('1.01) 2018 Summary'!G17),0)</f>
        <v>-112744.42808283609</v>
      </c>
      <c r="Z80" s="613"/>
    </row>
    <row r="81" spans="1:27" s="433" customFormat="1" ht="15.75" customHeight="1" thickBot="1">
      <c r="A81" s="638">
        <f t="shared" ca="1" si="21"/>
        <v>58</v>
      </c>
      <c r="B81" s="432" t="s">
        <v>31</v>
      </c>
      <c r="C81" s="432"/>
      <c r="D81" s="434"/>
      <c r="E81" s="578">
        <f>SUM(E77:E79)</f>
        <v>1442726</v>
      </c>
      <c r="F81" s="578">
        <f t="shared" ref="F81:K81" si="23">SUM(F77:F79)</f>
        <v>0</v>
      </c>
      <c r="G81" s="578">
        <f t="shared" si="23"/>
        <v>-5346</v>
      </c>
      <c r="H81" s="578">
        <f t="shared" si="23"/>
        <v>0</v>
      </c>
      <c r="I81" s="578">
        <f t="shared" si="23"/>
        <v>0</v>
      </c>
      <c r="J81" s="578">
        <f>SUM(J77:J79)</f>
        <v>0</v>
      </c>
      <c r="K81" s="578">
        <f t="shared" si="23"/>
        <v>0</v>
      </c>
      <c r="L81" s="580">
        <f>L75+L76+L78+L79</f>
        <v>1437380</v>
      </c>
      <c r="M81" s="438"/>
      <c r="N81" s="439"/>
      <c r="O81" s="439"/>
      <c r="P81" s="580">
        <f ca="1">P75+P76+P78+P79</f>
        <v>72684.927981000044</v>
      </c>
      <c r="Q81" s="580">
        <f ca="1">Q75+Q76+Q78+Q79</f>
        <v>1510064.9279810004</v>
      </c>
      <c r="R81" s="561"/>
      <c r="S81" s="578"/>
      <c r="T81" s="578"/>
      <c r="U81" s="561"/>
      <c r="V81" s="578">
        <f>V75+V76+V78+V79</f>
        <v>0</v>
      </c>
      <c r="W81" s="578">
        <f>W75+W76+W78+W79</f>
        <v>0</v>
      </c>
      <c r="X81" s="561"/>
      <c r="Y81" s="580">
        <f ca="1">Y75+Y76+Y78+Y79+Y80</f>
        <v>1397320.4998981643</v>
      </c>
      <c r="Z81" s="608"/>
    </row>
    <row r="82" spans="1:27" s="433" customFormat="1" ht="15.75" thickTop="1">
      <c r="A82" s="606"/>
      <c r="B82" s="606"/>
      <c r="C82" s="606"/>
      <c r="D82" s="606"/>
      <c r="E82" s="606"/>
      <c r="F82" s="606"/>
      <c r="G82" s="606"/>
      <c r="H82" s="606"/>
      <c r="I82" s="606"/>
      <c r="J82" s="606"/>
      <c r="K82" s="606"/>
      <c r="L82" s="438"/>
      <c r="M82" s="438"/>
      <c r="N82" s="439"/>
      <c r="O82" s="439"/>
      <c r="P82" s="438"/>
      <c r="Q82" s="440"/>
      <c r="R82" s="437"/>
      <c r="S82" s="437"/>
      <c r="T82" s="437"/>
      <c r="U82" s="437"/>
      <c r="V82" s="437"/>
      <c r="W82" s="437"/>
      <c r="X82" s="437"/>
      <c r="Y82" s="440"/>
    </row>
    <row r="83" spans="1:27" s="433" customFormat="1" ht="15.75" customHeight="1">
      <c r="A83" s="638">
        <f ca="1">+MAX(OFFSET(A$1,0,0,ROW(A83)-ROW(A$1)))+1</f>
        <v>59</v>
      </c>
      <c r="B83" s="432" t="s">
        <v>30</v>
      </c>
      <c r="C83" s="432"/>
      <c r="D83" s="434"/>
      <c r="E83" s="444">
        <f>E57/E81</f>
        <v>7.4305872355526964E-2</v>
      </c>
      <c r="F83" s="456"/>
      <c r="G83" s="456"/>
      <c r="H83" s="456"/>
      <c r="I83" s="456"/>
      <c r="J83" s="456"/>
      <c r="K83" s="444"/>
      <c r="L83" s="233"/>
      <c r="M83" s="457"/>
      <c r="N83" s="439"/>
      <c r="O83" s="439"/>
      <c r="P83" s="439"/>
      <c r="Q83" s="458"/>
      <c r="R83" s="457"/>
      <c r="S83" s="444"/>
      <c r="T83" s="444"/>
      <c r="U83" s="444"/>
      <c r="V83" s="459">
        <f>((V81*Y86)-V57)/Y89</f>
        <v>0</v>
      </c>
      <c r="W83" s="459">
        <f>((W81*Y86)-W57)/Y89</f>
        <v>0</v>
      </c>
      <c r="X83" s="459"/>
      <c r="Y83" s="460">
        <f ca="1">Y57/Y81</f>
        <v>7.4551487778916833E-2</v>
      </c>
    </row>
    <row r="84" spans="1:27" s="468" customFormat="1" ht="15">
      <c r="A84" s="640"/>
      <c r="B84" s="445"/>
      <c r="C84" s="434"/>
      <c r="D84" s="434"/>
      <c r="E84" s="614"/>
      <c r="F84" s="641"/>
      <c r="G84" s="641"/>
      <c r="H84" s="641"/>
      <c r="I84" s="641"/>
      <c r="J84" s="641"/>
      <c r="K84" s="641"/>
      <c r="L84" s="640"/>
      <c r="M84" s="640"/>
      <c r="N84" s="614"/>
      <c r="O84" s="614"/>
      <c r="P84" s="445"/>
      <c r="Q84" s="642"/>
      <c r="R84" s="642"/>
      <c r="S84" s="437"/>
      <c r="T84" s="437"/>
      <c r="U84" s="437"/>
      <c r="V84" s="437"/>
      <c r="W84" s="437"/>
      <c r="X84" s="437"/>
      <c r="Y84" s="434"/>
      <c r="Z84" s="640"/>
      <c r="AA84" s="640"/>
    </row>
    <row r="85" spans="1:27" s="468" customFormat="1" ht="15.75" customHeight="1">
      <c r="A85" s="638">
        <f t="shared" ref="A85:A92" ca="1" si="24">+MAX(OFFSET(A$1,0,0,ROW(A85)-ROW(A$1)))+1</f>
        <v>60</v>
      </c>
      <c r="B85" s="655" t="s">
        <v>507</v>
      </c>
      <c r="C85" s="648"/>
      <c r="D85" s="648"/>
      <c r="E85" s="649"/>
      <c r="F85" s="650"/>
      <c r="G85" s="650"/>
      <c r="H85" s="650"/>
      <c r="I85" s="650"/>
      <c r="J85" s="650"/>
      <c r="K85" s="650"/>
      <c r="L85" s="651"/>
      <c r="M85" s="651"/>
      <c r="N85" s="652"/>
      <c r="O85" s="652"/>
      <c r="P85" s="652"/>
      <c r="Q85" s="648"/>
      <c r="R85" s="648"/>
      <c r="S85" s="653"/>
      <c r="T85" s="653"/>
      <c r="U85" s="653"/>
      <c r="V85" s="653"/>
      <c r="W85" s="653"/>
      <c r="X85" s="653"/>
      <c r="Y85" s="654"/>
      <c r="Z85" s="640"/>
      <c r="AA85" s="640"/>
    </row>
    <row r="86" spans="1:27" s="468" customFormat="1" ht="15.75" customHeight="1">
      <c r="A86" s="638">
        <f t="shared" ca="1" si="24"/>
        <v>61</v>
      </c>
      <c r="B86" s="644" t="s">
        <v>119</v>
      </c>
      <c r="C86" s="461"/>
      <c r="D86" s="462"/>
      <c r="E86" s="444"/>
      <c r="F86" s="463"/>
      <c r="G86" s="463"/>
      <c r="H86" s="463"/>
      <c r="I86" s="463"/>
      <c r="J86" s="463"/>
      <c r="K86" s="463"/>
      <c r="L86" s="463"/>
      <c r="M86" s="463"/>
      <c r="N86" s="463"/>
      <c r="O86" s="463"/>
      <c r="P86" s="463"/>
      <c r="Q86" s="463"/>
      <c r="R86" s="463"/>
      <c r="S86" s="463"/>
      <c r="T86" s="463"/>
      <c r="U86" s="463"/>
      <c r="V86" s="463"/>
      <c r="W86" s="463"/>
      <c r="X86" s="463"/>
      <c r="Y86" s="552">
        <f>'2) ROR'!F15</f>
        <v>7.0800000000000002E-2</v>
      </c>
      <c r="Z86" s="640"/>
      <c r="AA86" s="640"/>
    </row>
    <row r="87" spans="1:27" s="468" customFormat="1" ht="15.75" customHeight="1">
      <c r="A87" s="638">
        <f t="shared" ca="1" si="24"/>
        <v>62</v>
      </c>
      <c r="B87" s="644" t="s">
        <v>131</v>
      </c>
      <c r="C87" s="464"/>
      <c r="D87" s="462"/>
      <c r="E87" s="437"/>
      <c r="F87" s="463"/>
      <c r="G87" s="463"/>
      <c r="H87" s="463"/>
      <c r="I87" s="463"/>
      <c r="J87" s="463"/>
      <c r="K87" s="463"/>
      <c r="L87" s="463"/>
      <c r="M87" s="463"/>
      <c r="N87" s="463"/>
      <c r="O87" s="463"/>
      <c r="P87" s="463"/>
      <c r="Q87" s="463"/>
      <c r="R87" s="463"/>
      <c r="S87" s="463"/>
      <c r="T87" s="463"/>
      <c r="U87" s="463"/>
      <c r="V87" s="463"/>
      <c r="W87" s="463"/>
      <c r="X87" s="463"/>
      <c r="Y87" s="645">
        <f ca="1">Y86*Y81</f>
        <v>98930.291392790037</v>
      </c>
      <c r="Z87" s="640"/>
      <c r="AA87" s="640"/>
    </row>
    <row r="88" spans="1:27" s="468" customFormat="1" ht="15.75" customHeight="1">
      <c r="A88" s="638">
        <f t="shared" ca="1" si="24"/>
        <v>63</v>
      </c>
      <c r="B88" s="644" t="s">
        <v>121</v>
      </c>
      <c r="C88" s="461"/>
      <c r="D88" s="461"/>
      <c r="E88" s="437"/>
      <c r="F88" s="463"/>
      <c r="G88" s="463"/>
      <c r="H88" s="463"/>
      <c r="I88" s="463"/>
      <c r="J88" s="463"/>
      <c r="K88" s="463"/>
      <c r="L88" s="463"/>
      <c r="M88" s="463"/>
      <c r="N88" s="463"/>
      <c r="O88" s="463"/>
      <c r="P88" s="463"/>
      <c r="Q88" s="463"/>
      <c r="R88" s="463"/>
      <c r="S88" s="463"/>
      <c r="T88" s="463"/>
      <c r="U88" s="463"/>
      <c r="V88" s="463"/>
      <c r="W88" s="463"/>
      <c r="X88" s="463"/>
      <c r="Y88" s="645">
        <f ca="1">Y87-Y57</f>
        <v>-5242.0307785979239</v>
      </c>
      <c r="Z88" s="640"/>
      <c r="AA88" s="640"/>
    </row>
    <row r="89" spans="1:27" s="468" customFormat="1" ht="15.75" customHeight="1">
      <c r="A89" s="638">
        <f t="shared" ca="1" si="24"/>
        <v>64</v>
      </c>
      <c r="B89" s="644" t="s">
        <v>74</v>
      </c>
      <c r="C89" s="461"/>
      <c r="D89" s="461"/>
      <c r="E89" s="465"/>
      <c r="F89" s="463"/>
      <c r="G89" s="463"/>
      <c r="H89" s="463"/>
      <c r="I89" s="463"/>
      <c r="J89" s="463"/>
      <c r="K89" s="463"/>
      <c r="L89" s="463"/>
      <c r="M89" s="463"/>
      <c r="N89" s="463"/>
      <c r="O89" s="463"/>
      <c r="P89" s="463"/>
      <c r="Q89" s="463"/>
      <c r="R89" s="463"/>
      <c r="S89" s="463"/>
      <c r="T89" s="463"/>
      <c r="U89" s="463"/>
      <c r="V89" s="463"/>
      <c r="W89" s="463"/>
      <c r="X89" s="463"/>
      <c r="Y89" s="615">
        <f>'2) ROR'!N24</f>
        <v>0.61941299999999999</v>
      </c>
      <c r="Z89" s="640"/>
      <c r="AA89" s="640"/>
    </row>
    <row r="90" spans="1:27" s="468" customFormat="1" ht="15.75" customHeight="1">
      <c r="A90" s="638">
        <f t="shared" ca="1" si="24"/>
        <v>65</v>
      </c>
      <c r="B90" s="644" t="s">
        <v>29</v>
      </c>
      <c r="C90" s="461"/>
      <c r="D90" s="461"/>
      <c r="E90" s="437"/>
      <c r="F90" s="463"/>
      <c r="G90" s="463"/>
      <c r="H90" s="463"/>
      <c r="I90" s="463"/>
      <c r="J90" s="463"/>
      <c r="K90" s="463"/>
      <c r="L90" s="463"/>
      <c r="M90" s="463"/>
      <c r="N90" s="463"/>
      <c r="O90" s="463"/>
      <c r="P90" s="463"/>
      <c r="Q90" s="463"/>
      <c r="R90" s="463"/>
      <c r="S90" s="463"/>
      <c r="T90" s="463"/>
      <c r="U90" s="463"/>
      <c r="V90" s="463"/>
      <c r="W90" s="463"/>
      <c r="X90" s="463"/>
      <c r="Y90" s="645">
        <f ca="1">Y88/Y89</f>
        <v>-8462.9008086655012</v>
      </c>
      <c r="Z90" s="640"/>
      <c r="AA90" s="640"/>
    </row>
    <row r="91" spans="1:27" s="433" customFormat="1" ht="15.75" customHeight="1">
      <c r="A91" s="638">
        <f t="shared" ca="1" si="24"/>
        <v>66</v>
      </c>
      <c r="B91" s="644" t="s">
        <v>77</v>
      </c>
      <c r="C91" s="461"/>
      <c r="D91" s="461"/>
      <c r="E91" s="466"/>
      <c r="F91" s="463"/>
      <c r="G91" s="463"/>
      <c r="H91" s="463"/>
      <c r="I91" s="463"/>
      <c r="J91" s="463"/>
      <c r="K91" s="463"/>
      <c r="L91" s="463"/>
      <c r="M91" s="463"/>
      <c r="N91" s="463"/>
      <c r="O91" s="463"/>
      <c r="P91" s="463"/>
      <c r="Q91" s="463"/>
      <c r="R91" s="463"/>
      <c r="S91" s="463"/>
      <c r="T91" s="463"/>
      <c r="U91" s="463"/>
      <c r="V91" s="463"/>
      <c r="W91" s="463"/>
      <c r="X91" s="463"/>
      <c r="Y91" s="616">
        <f>+N9+1</f>
        <v>1.0146640496921451</v>
      </c>
      <c r="Z91" s="434"/>
      <c r="AA91" s="434"/>
    </row>
    <row r="92" spans="1:27" s="433" customFormat="1" ht="18" customHeight="1">
      <c r="A92" s="638">
        <f t="shared" ca="1" si="24"/>
        <v>67</v>
      </c>
      <c r="B92" s="646" t="s">
        <v>508</v>
      </c>
      <c r="C92" s="553"/>
      <c r="D92" s="554"/>
      <c r="E92" s="555"/>
      <c r="F92" s="556"/>
      <c r="G92" s="556"/>
      <c r="H92" s="556"/>
      <c r="I92" s="556"/>
      <c r="J92" s="556"/>
      <c r="K92" s="556"/>
      <c r="L92" s="556"/>
      <c r="M92" s="556"/>
      <c r="N92" s="556"/>
      <c r="O92" s="556"/>
      <c r="P92" s="556"/>
      <c r="Q92" s="556"/>
      <c r="R92" s="556"/>
      <c r="S92" s="556"/>
      <c r="T92" s="556"/>
      <c r="U92" s="556"/>
      <c r="V92" s="556"/>
      <c r="W92" s="556"/>
      <c r="X92" s="556"/>
      <c r="Y92" s="647">
        <f ca="1">Y90/Y91</f>
        <v>-8340.5939248889263</v>
      </c>
      <c r="Z92" s="434"/>
      <c r="AA92" s="434"/>
    </row>
    <row r="93" spans="1:27" ht="3.75" customHeight="1">
      <c r="A93" s="643"/>
      <c r="B93" s="461"/>
      <c r="C93" s="461"/>
      <c r="D93" s="461"/>
      <c r="E93" s="461"/>
      <c r="F93" s="444"/>
      <c r="G93" s="444"/>
      <c r="H93" s="444"/>
      <c r="I93" s="444"/>
      <c r="J93" s="444"/>
      <c r="K93" s="444"/>
      <c r="L93" s="467"/>
      <c r="M93" s="467"/>
      <c r="N93" s="444"/>
      <c r="O93" s="444"/>
      <c r="P93" s="444"/>
      <c r="Q93" s="434"/>
      <c r="R93" s="434"/>
      <c r="S93" s="434"/>
      <c r="T93" s="434"/>
      <c r="U93" s="434"/>
      <c r="V93" s="434"/>
      <c r="W93" s="434"/>
      <c r="X93" s="434"/>
      <c r="Y93" s="434"/>
      <c r="Z93" s="36"/>
      <c r="AA93" s="36"/>
    </row>
    <row r="94" spans="1:27" ht="11.1" customHeight="1">
      <c r="A94" s="643"/>
      <c r="B94" s="36"/>
      <c r="C94" s="36"/>
      <c r="E94" s="36"/>
      <c r="F94" s="36"/>
      <c r="G94" s="36"/>
      <c r="H94" s="36"/>
      <c r="I94" s="36"/>
      <c r="J94" s="36"/>
      <c r="K94" s="36"/>
      <c r="L94" s="62"/>
      <c r="M94" s="62"/>
      <c r="N94" s="36"/>
      <c r="O94" s="36"/>
      <c r="P94" s="36"/>
      <c r="Q94" s="36"/>
      <c r="R94" s="36"/>
      <c r="S94" s="36"/>
      <c r="T94" s="36"/>
      <c r="U94" s="36"/>
      <c r="V94" s="36"/>
      <c r="W94" s="36"/>
      <c r="X94" s="36"/>
      <c r="Y94" s="36"/>
      <c r="Z94" s="36"/>
      <c r="AA94" s="36"/>
    </row>
    <row r="95" spans="1:27" ht="15.6" customHeight="1">
      <c r="C95" s="39"/>
      <c r="E95" s="36"/>
      <c r="F95" s="39"/>
      <c r="G95" s="39"/>
      <c r="H95" s="39"/>
      <c r="I95" s="39"/>
      <c r="J95" s="39"/>
      <c r="K95" s="39"/>
      <c r="L95" s="105"/>
      <c r="M95" s="61"/>
      <c r="N95" s="36"/>
      <c r="O95" s="36"/>
      <c r="P95" s="36"/>
      <c r="Q95" s="39"/>
      <c r="R95" s="39"/>
      <c r="T95" s="39"/>
      <c r="U95" s="39"/>
      <c r="V95" s="39"/>
      <c r="W95" s="39"/>
      <c r="X95" s="39"/>
      <c r="Y95" s="106"/>
    </row>
    <row r="96" spans="1:27" ht="11.1" customHeight="1">
      <c r="C96" s="39"/>
      <c r="E96" s="36"/>
      <c r="F96" s="39"/>
      <c r="G96" s="39"/>
      <c r="H96" s="39"/>
      <c r="I96" s="39"/>
      <c r="J96" s="39"/>
      <c r="K96" s="39"/>
      <c r="L96" s="61"/>
      <c r="M96" s="61"/>
      <c r="N96" s="36"/>
      <c r="O96" s="36"/>
      <c r="P96" s="36"/>
      <c r="Q96" s="39"/>
      <c r="R96" s="39"/>
      <c r="T96" s="39"/>
      <c r="U96" s="39"/>
      <c r="V96" s="39"/>
      <c r="W96" s="39"/>
      <c r="X96" s="39"/>
      <c r="Y96" s="39"/>
    </row>
    <row r="97" spans="3:25" ht="15.75">
      <c r="C97" s="39"/>
      <c r="E97" s="36"/>
      <c r="F97" s="39"/>
      <c r="G97" s="39"/>
      <c r="H97" s="39"/>
      <c r="I97" s="39"/>
      <c r="J97" s="39"/>
      <c r="K97" s="39"/>
      <c r="L97" s="105"/>
      <c r="M97" s="61"/>
      <c r="N97" s="36"/>
      <c r="O97" s="36"/>
      <c r="P97" s="36"/>
      <c r="Q97" s="39"/>
      <c r="R97" s="39"/>
      <c r="T97" s="39"/>
      <c r="U97" s="39"/>
      <c r="V97" s="39"/>
      <c r="W97" s="39"/>
      <c r="X97" s="39"/>
      <c r="Y97" s="40"/>
    </row>
    <row r="98" spans="3:25" ht="15.75">
      <c r="C98" s="39"/>
      <c r="E98" s="36"/>
      <c r="F98" s="39"/>
      <c r="G98" s="39"/>
      <c r="H98" s="39"/>
      <c r="I98" s="39"/>
      <c r="J98" s="39"/>
      <c r="K98" s="39"/>
      <c r="L98" s="206"/>
      <c r="M98" s="61"/>
      <c r="N98" s="36"/>
      <c r="O98" s="36"/>
      <c r="P98" s="36"/>
      <c r="Q98" s="39"/>
      <c r="R98" s="39"/>
      <c r="T98" s="39"/>
      <c r="U98" s="39"/>
      <c r="V98" s="39"/>
      <c r="W98" s="39"/>
      <c r="X98" s="39"/>
      <c r="Y98" s="39"/>
    </row>
    <row r="99" spans="3:25" ht="15.75">
      <c r="C99" s="39"/>
      <c r="E99" s="36"/>
      <c r="F99" s="39"/>
      <c r="G99" s="39"/>
      <c r="H99" s="39"/>
      <c r="I99" s="39"/>
      <c r="J99" s="39"/>
      <c r="K99" s="39"/>
      <c r="L99" s="206"/>
      <c r="M99" s="61"/>
      <c r="N99" s="36"/>
      <c r="O99" s="36"/>
      <c r="P99" s="36"/>
      <c r="Q99" s="39"/>
      <c r="R99" s="39"/>
      <c r="T99" s="39"/>
      <c r="U99" s="39"/>
      <c r="V99" s="39"/>
      <c r="W99" s="39"/>
      <c r="X99" s="39"/>
      <c r="Y99" s="39"/>
    </row>
    <row r="100" spans="3:25" ht="15.75">
      <c r="C100" s="39"/>
      <c r="E100" s="36"/>
      <c r="F100" s="39"/>
      <c r="G100" s="39"/>
      <c r="H100" s="39"/>
      <c r="I100" s="39"/>
      <c r="J100" s="39"/>
      <c r="K100" s="39"/>
      <c r="L100" s="721"/>
      <c r="M100" s="61"/>
      <c r="N100" s="36"/>
      <c r="O100" s="36"/>
      <c r="P100" s="36"/>
      <c r="Q100" s="39"/>
      <c r="R100" s="39"/>
      <c r="T100" s="39"/>
      <c r="U100" s="39"/>
      <c r="V100" s="39"/>
      <c r="W100" s="39"/>
      <c r="X100" s="39"/>
      <c r="Y100" s="39"/>
    </row>
    <row r="101" spans="3:25" ht="15.75">
      <c r="C101" s="39"/>
      <c r="E101" s="36"/>
      <c r="F101" s="39"/>
      <c r="G101" s="39"/>
      <c r="H101" s="39"/>
      <c r="I101" s="39"/>
      <c r="J101" s="39"/>
      <c r="K101" s="39"/>
      <c r="L101" s="206"/>
      <c r="M101" s="61"/>
      <c r="N101" s="36"/>
      <c r="O101" s="36"/>
      <c r="P101" s="36"/>
      <c r="Q101" s="39"/>
      <c r="R101" s="39"/>
      <c r="T101" s="39"/>
      <c r="U101" s="39"/>
      <c r="V101" s="39"/>
      <c r="W101" s="39"/>
      <c r="X101" s="39"/>
      <c r="Y101" s="39"/>
    </row>
    <row r="102" spans="3:25" ht="11.1" customHeight="1">
      <c r="C102" s="39"/>
      <c r="E102" s="36"/>
      <c r="F102" s="39"/>
      <c r="G102" s="39"/>
      <c r="H102" s="39"/>
      <c r="I102" s="39"/>
      <c r="J102" s="39"/>
      <c r="K102" s="39"/>
      <c r="L102" s="61"/>
      <c r="M102" s="61"/>
      <c r="N102" s="36"/>
      <c r="O102" s="36"/>
      <c r="P102" s="36"/>
      <c r="Q102" s="39"/>
      <c r="R102" s="39"/>
      <c r="T102" s="39"/>
      <c r="U102" s="39"/>
      <c r="V102" s="39"/>
      <c r="W102" s="39"/>
      <c r="X102" s="39"/>
      <c r="Y102" s="39"/>
    </row>
    <row r="103" spans="3:25" ht="11.1" customHeight="1">
      <c r="C103" s="39"/>
      <c r="E103" s="36"/>
      <c r="F103" s="39"/>
      <c r="G103" s="39"/>
      <c r="H103" s="39"/>
      <c r="I103" s="39"/>
      <c r="J103" s="39"/>
      <c r="K103" s="39"/>
      <c r="L103" s="61"/>
      <c r="M103" s="61"/>
      <c r="N103" s="36"/>
      <c r="O103" s="36"/>
      <c r="P103" s="36"/>
      <c r="Q103" s="39"/>
      <c r="R103" s="39"/>
      <c r="T103" s="39"/>
      <c r="U103" s="39"/>
      <c r="V103" s="39"/>
      <c r="W103" s="39"/>
      <c r="X103" s="39"/>
      <c r="Y103" s="39"/>
    </row>
    <row r="104" spans="3:25" ht="11.1" customHeight="1">
      <c r="C104" s="39"/>
      <c r="E104" s="36"/>
      <c r="F104" s="39"/>
      <c r="G104" s="39"/>
      <c r="H104" s="39"/>
      <c r="I104" s="39"/>
      <c r="J104" s="39"/>
      <c r="K104" s="39"/>
      <c r="L104" s="61"/>
      <c r="M104" s="61"/>
      <c r="N104" s="36"/>
      <c r="O104" s="36"/>
      <c r="P104" s="36"/>
      <c r="Q104" s="39"/>
      <c r="R104" s="39"/>
      <c r="T104" s="39"/>
      <c r="U104" s="39"/>
      <c r="V104" s="39"/>
      <c r="W104" s="39"/>
      <c r="X104" s="39"/>
      <c r="Y104" s="39"/>
    </row>
    <row r="105" spans="3:25" ht="11.1" customHeight="1">
      <c r="C105" s="39"/>
      <c r="E105" s="36"/>
      <c r="F105" s="39"/>
      <c r="G105" s="39"/>
      <c r="H105" s="39"/>
      <c r="I105" s="39"/>
      <c r="J105" s="39"/>
      <c r="K105" s="39"/>
      <c r="L105" s="61"/>
      <c r="M105" s="61"/>
      <c r="N105" s="36"/>
      <c r="O105" s="36"/>
      <c r="P105" s="36"/>
      <c r="Q105" s="39"/>
      <c r="R105" s="39"/>
      <c r="T105" s="39"/>
      <c r="U105" s="39"/>
      <c r="V105" s="39"/>
      <c r="W105" s="39"/>
      <c r="X105" s="39"/>
      <c r="Y105" s="39"/>
    </row>
    <row r="106" spans="3:25" ht="11.1" customHeight="1">
      <c r="C106" s="39"/>
      <c r="E106" s="36"/>
      <c r="G106" s="76"/>
      <c r="H106" s="76"/>
      <c r="I106" s="76"/>
      <c r="J106" s="76"/>
      <c r="K106" s="76"/>
      <c r="L106" s="37"/>
      <c r="M106" s="37"/>
      <c r="N106" s="38"/>
      <c r="O106" s="38"/>
      <c r="P106" s="38"/>
      <c r="Q106" s="39"/>
      <c r="R106" s="39"/>
      <c r="T106" s="39"/>
      <c r="U106" s="39"/>
      <c r="V106" s="39"/>
      <c r="W106" s="39"/>
      <c r="X106" s="39"/>
      <c r="Y106" s="39"/>
    </row>
    <row r="107" spans="3:25" ht="11.1" customHeight="1">
      <c r="C107" s="39"/>
      <c r="E107" s="36"/>
      <c r="G107" s="76"/>
      <c r="H107" s="76"/>
      <c r="I107" s="76"/>
      <c r="J107" s="76"/>
      <c r="K107" s="76"/>
      <c r="L107" s="37"/>
      <c r="M107" s="37"/>
      <c r="N107" s="38"/>
      <c r="O107" s="38"/>
      <c r="P107" s="38"/>
      <c r="Q107" s="39"/>
      <c r="R107" s="39"/>
      <c r="T107" s="39"/>
      <c r="U107" s="39"/>
      <c r="V107" s="39"/>
      <c r="W107" s="39"/>
      <c r="X107" s="39"/>
      <c r="Y107" s="39"/>
    </row>
    <row r="108" spans="3:25" ht="11.1" customHeight="1">
      <c r="C108" s="39"/>
      <c r="E108" s="36"/>
      <c r="G108" s="76"/>
      <c r="H108" s="76"/>
      <c r="I108" s="76"/>
      <c r="J108" s="76"/>
      <c r="K108" s="76"/>
      <c r="L108" s="37"/>
      <c r="M108" s="37"/>
      <c r="N108" s="38"/>
      <c r="O108" s="38"/>
      <c r="P108" s="38"/>
      <c r="Q108" s="39"/>
      <c r="R108" s="39"/>
      <c r="T108" s="39"/>
      <c r="U108" s="39"/>
      <c r="V108" s="39"/>
      <c r="W108" s="39"/>
      <c r="X108" s="39"/>
      <c r="Y108" s="39"/>
    </row>
    <row r="109" spans="3:25" ht="11.1" customHeight="1">
      <c r="C109" s="39"/>
      <c r="E109" s="36"/>
      <c r="G109" s="76"/>
      <c r="H109" s="76"/>
      <c r="I109" s="76"/>
      <c r="J109" s="76"/>
      <c r="K109" s="76"/>
      <c r="L109" s="37"/>
      <c r="M109" s="37"/>
      <c r="N109" s="38"/>
      <c r="O109" s="38"/>
      <c r="P109" s="38"/>
      <c r="Q109" s="39"/>
      <c r="R109" s="39"/>
      <c r="T109" s="39"/>
      <c r="U109" s="39"/>
      <c r="V109" s="39"/>
      <c r="W109" s="39"/>
      <c r="X109" s="39"/>
      <c r="Y109" s="39"/>
    </row>
    <row r="110" spans="3:25" ht="11.1" customHeight="1">
      <c r="C110" s="39"/>
      <c r="E110" s="36"/>
      <c r="G110" s="76"/>
      <c r="H110" s="76"/>
      <c r="I110" s="76"/>
      <c r="J110" s="76"/>
      <c r="K110" s="76"/>
      <c r="L110" s="37"/>
      <c r="M110" s="37"/>
      <c r="N110" s="38"/>
      <c r="O110" s="38"/>
      <c r="P110" s="38"/>
      <c r="Q110" s="39"/>
      <c r="R110" s="39"/>
      <c r="T110" s="39"/>
      <c r="U110" s="39"/>
      <c r="V110" s="39"/>
      <c r="W110" s="39"/>
      <c r="X110" s="39"/>
      <c r="Y110" s="39"/>
    </row>
    <row r="111" spans="3:25" ht="11.1" customHeight="1">
      <c r="C111" s="39"/>
      <c r="E111" s="36"/>
      <c r="G111" s="76"/>
      <c r="H111" s="76"/>
      <c r="I111" s="76"/>
      <c r="J111" s="76"/>
      <c r="K111" s="76"/>
      <c r="L111" s="37"/>
      <c r="M111" s="37"/>
      <c r="N111" s="38"/>
      <c r="O111" s="38"/>
      <c r="P111" s="38"/>
      <c r="Q111" s="39"/>
      <c r="R111" s="39"/>
      <c r="T111" s="39"/>
      <c r="U111" s="39"/>
      <c r="V111" s="39"/>
      <c r="W111" s="39"/>
      <c r="X111" s="39"/>
      <c r="Y111" s="39"/>
    </row>
    <row r="112" spans="3:25" ht="11.1" customHeight="1">
      <c r="C112" s="39"/>
      <c r="E112" s="36"/>
      <c r="G112" s="76"/>
      <c r="H112" s="76"/>
      <c r="I112" s="76"/>
      <c r="J112" s="76"/>
      <c r="K112" s="76"/>
      <c r="L112" s="37"/>
      <c r="M112" s="37"/>
      <c r="N112" s="38"/>
      <c r="O112" s="38"/>
      <c r="P112" s="38"/>
      <c r="Q112" s="39"/>
      <c r="R112" s="39"/>
      <c r="T112" s="39"/>
      <c r="U112" s="39"/>
      <c r="V112" s="39"/>
      <c r="W112" s="39"/>
      <c r="X112" s="39"/>
      <c r="Y112" s="39"/>
    </row>
    <row r="113" spans="3:25" ht="11.1" customHeight="1">
      <c r="C113" s="39"/>
      <c r="E113" s="36"/>
      <c r="G113" s="76"/>
      <c r="H113" s="76"/>
      <c r="I113" s="76"/>
      <c r="J113" s="76"/>
      <c r="K113" s="76"/>
      <c r="L113" s="37"/>
      <c r="M113" s="37"/>
      <c r="N113" s="38"/>
      <c r="O113" s="38"/>
      <c r="P113" s="38"/>
      <c r="Q113" s="39"/>
      <c r="R113" s="39"/>
      <c r="T113" s="39"/>
      <c r="U113" s="39"/>
      <c r="V113" s="39"/>
      <c r="W113" s="39"/>
      <c r="X113" s="39"/>
      <c r="Y113" s="39"/>
    </row>
    <row r="114" spans="3:25" ht="11.1" customHeight="1">
      <c r="C114" s="39"/>
      <c r="E114" s="36"/>
      <c r="G114" s="76"/>
      <c r="H114" s="76"/>
      <c r="I114" s="76"/>
      <c r="J114" s="76"/>
      <c r="K114" s="76"/>
      <c r="L114" s="37"/>
      <c r="M114" s="37"/>
      <c r="N114" s="38"/>
      <c r="O114" s="38"/>
      <c r="P114" s="38"/>
      <c r="Q114" s="39"/>
      <c r="R114" s="39"/>
      <c r="T114" s="39"/>
      <c r="U114" s="39"/>
      <c r="V114" s="39"/>
      <c r="W114" s="39"/>
      <c r="X114" s="39"/>
      <c r="Y114" s="39"/>
    </row>
    <row r="115" spans="3:25" ht="11.1" customHeight="1">
      <c r="C115" s="39"/>
      <c r="E115" s="36"/>
      <c r="G115" s="76"/>
      <c r="H115" s="76"/>
      <c r="I115" s="76"/>
      <c r="J115" s="76"/>
      <c r="K115" s="76"/>
      <c r="L115" s="37"/>
      <c r="M115" s="37"/>
      <c r="N115" s="38"/>
      <c r="O115" s="38"/>
      <c r="P115" s="38"/>
      <c r="Q115" s="39"/>
      <c r="R115" s="39"/>
      <c r="T115" s="39"/>
      <c r="U115" s="39"/>
      <c r="V115" s="39"/>
      <c r="W115" s="39"/>
      <c r="X115" s="39"/>
      <c r="Y115" s="39"/>
    </row>
    <row r="116" spans="3:25" ht="11.1" customHeight="1">
      <c r="C116" s="39"/>
      <c r="E116" s="36"/>
      <c r="G116" s="76"/>
      <c r="H116" s="76"/>
      <c r="I116" s="76"/>
      <c r="J116" s="76"/>
      <c r="K116" s="76"/>
      <c r="L116" s="37"/>
      <c r="M116" s="37"/>
      <c r="N116" s="38"/>
      <c r="O116" s="38"/>
      <c r="P116" s="38"/>
      <c r="Q116" s="39"/>
      <c r="R116" s="39"/>
      <c r="T116" s="39"/>
      <c r="U116" s="39"/>
      <c r="V116" s="39"/>
      <c r="W116" s="39"/>
      <c r="X116" s="39"/>
      <c r="Y116" s="39"/>
    </row>
    <row r="117" spans="3:25" ht="11.1" customHeight="1">
      <c r="C117" s="39"/>
      <c r="E117" s="36"/>
      <c r="G117" s="76"/>
      <c r="H117" s="76"/>
      <c r="I117" s="76"/>
      <c r="J117" s="76"/>
      <c r="K117" s="76"/>
      <c r="L117" s="37"/>
      <c r="M117" s="37"/>
      <c r="N117" s="38"/>
      <c r="O117" s="38"/>
      <c r="P117" s="38"/>
      <c r="Q117" s="39"/>
      <c r="R117" s="39"/>
      <c r="T117" s="39"/>
      <c r="U117" s="39"/>
      <c r="V117" s="39"/>
      <c r="W117" s="39"/>
      <c r="X117" s="39"/>
      <c r="Y117" s="39"/>
    </row>
    <row r="118" spans="3:25" ht="11.1" customHeight="1">
      <c r="C118" s="39"/>
      <c r="E118" s="36"/>
      <c r="G118" s="76"/>
      <c r="H118" s="76"/>
      <c r="I118" s="76"/>
      <c r="J118" s="76"/>
      <c r="K118" s="76"/>
      <c r="L118" s="37"/>
      <c r="M118" s="37"/>
      <c r="N118" s="38"/>
      <c r="O118" s="38"/>
      <c r="P118" s="38"/>
      <c r="Q118" s="39"/>
      <c r="R118" s="39"/>
      <c r="T118" s="39"/>
      <c r="U118" s="39"/>
      <c r="V118" s="39"/>
      <c r="W118" s="39"/>
      <c r="X118" s="39"/>
      <c r="Y118" s="39"/>
    </row>
    <row r="119" spans="3:25" ht="11.1" customHeight="1">
      <c r="C119" s="39"/>
      <c r="E119" s="36"/>
      <c r="G119" s="76"/>
      <c r="H119" s="76"/>
      <c r="I119" s="76"/>
      <c r="J119" s="76"/>
      <c r="K119" s="76"/>
      <c r="L119" s="37"/>
      <c r="M119" s="37"/>
      <c r="N119" s="38"/>
      <c r="O119" s="38"/>
      <c r="P119" s="38"/>
      <c r="Q119" s="39"/>
      <c r="R119" s="39"/>
      <c r="T119" s="39"/>
      <c r="U119" s="39"/>
      <c r="V119" s="39"/>
      <c r="W119" s="39"/>
      <c r="X119" s="39"/>
      <c r="Y119" s="39"/>
    </row>
    <row r="120" spans="3:25" ht="11.1" customHeight="1">
      <c r="C120" s="39"/>
      <c r="E120" s="36"/>
      <c r="G120" s="76"/>
      <c r="H120" s="76"/>
      <c r="I120" s="76"/>
      <c r="J120" s="76"/>
      <c r="K120" s="76"/>
      <c r="L120" s="37"/>
      <c r="M120" s="37"/>
      <c r="N120" s="38"/>
      <c r="O120" s="38"/>
      <c r="P120" s="38"/>
      <c r="Q120" s="39"/>
      <c r="R120" s="39"/>
      <c r="T120" s="39"/>
      <c r="U120" s="39"/>
      <c r="V120" s="39"/>
      <c r="W120" s="39"/>
      <c r="X120" s="39"/>
      <c r="Y120" s="39"/>
    </row>
    <row r="121" spans="3:25" ht="11.1" customHeight="1">
      <c r="C121" s="39"/>
      <c r="E121" s="36"/>
      <c r="G121" s="76"/>
      <c r="H121" s="76"/>
      <c r="I121" s="76"/>
      <c r="J121" s="76"/>
      <c r="K121" s="76"/>
      <c r="L121" s="37"/>
      <c r="M121" s="37"/>
      <c r="N121" s="38"/>
      <c r="O121" s="38"/>
      <c r="P121" s="38"/>
      <c r="Q121" s="39"/>
      <c r="R121" s="39"/>
      <c r="T121" s="39"/>
      <c r="U121" s="39"/>
      <c r="V121" s="39"/>
      <c r="W121" s="39"/>
      <c r="X121" s="39"/>
      <c r="Y121" s="39"/>
    </row>
    <row r="122" spans="3:25" ht="11.1" customHeight="1">
      <c r="C122" s="39"/>
      <c r="E122" s="36"/>
      <c r="G122" s="76"/>
      <c r="H122" s="76"/>
      <c r="I122" s="76"/>
      <c r="J122" s="76"/>
      <c r="K122" s="76"/>
      <c r="L122" s="37"/>
      <c r="M122" s="37"/>
      <c r="N122" s="38"/>
      <c r="O122" s="38"/>
      <c r="P122" s="38"/>
      <c r="Q122" s="39"/>
      <c r="R122" s="39"/>
      <c r="T122" s="39"/>
      <c r="U122" s="39"/>
      <c r="V122" s="39"/>
      <c r="W122" s="39"/>
      <c r="X122" s="39"/>
      <c r="Y122" s="39"/>
    </row>
    <row r="123" spans="3:25" ht="11.1" customHeight="1">
      <c r="C123" s="39"/>
      <c r="E123" s="36"/>
      <c r="G123" s="76"/>
      <c r="H123" s="76"/>
      <c r="I123" s="76"/>
      <c r="J123" s="76"/>
      <c r="K123" s="76"/>
      <c r="L123" s="37"/>
      <c r="M123" s="37"/>
      <c r="N123" s="38"/>
      <c r="O123" s="38"/>
      <c r="P123" s="38"/>
      <c r="Q123" s="39"/>
      <c r="R123" s="39"/>
      <c r="T123" s="39"/>
      <c r="U123" s="39"/>
      <c r="V123" s="39"/>
      <c r="W123" s="39"/>
      <c r="X123" s="39"/>
      <c r="Y123" s="39"/>
    </row>
    <row r="124" spans="3:25" ht="11.1" customHeight="1">
      <c r="C124" s="39"/>
      <c r="E124" s="36"/>
      <c r="G124" s="76"/>
      <c r="H124" s="76"/>
      <c r="I124" s="76"/>
      <c r="J124" s="76"/>
      <c r="K124" s="76"/>
      <c r="L124" s="37"/>
      <c r="M124" s="37"/>
      <c r="N124" s="38"/>
      <c r="O124" s="38"/>
      <c r="P124" s="38"/>
      <c r="Q124" s="39"/>
      <c r="R124" s="39"/>
      <c r="T124" s="39"/>
      <c r="U124" s="39"/>
      <c r="V124" s="39"/>
      <c r="W124" s="39"/>
      <c r="X124" s="39"/>
      <c r="Y124" s="39"/>
    </row>
    <row r="125" spans="3:25" ht="11.1" customHeight="1">
      <c r="C125" s="39"/>
      <c r="E125" s="36"/>
      <c r="G125" s="76"/>
      <c r="H125" s="76"/>
      <c r="I125" s="76"/>
      <c r="J125" s="76"/>
      <c r="K125" s="76"/>
      <c r="L125" s="37"/>
      <c r="M125" s="37"/>
      <c r="N125" s="38"/>
      <c r="O125" s="38"/>
      <c r="P125" s="38"/>
      <c r="Q125" s="39"/>
      <c r="R125" s="39"/>
      <c r="T125" s="39"/>
      <c r="U125" s="39"/>
      <c r="V125" s="39"/>
      <c r="W125" s="39"/>
      <c r="X125" s="39"/>
      <c r="Y125" s="39"/>
    </row>
    <row r="126" spans="3:25" ht="11.1" customHeight="1">
      <c r="C126" s="39"/>
      <c r="E126" s="36"/>
      <c r="G126" s="76"/>
      <c r="H126" s="76"/>
      <c r="I126" s="76"/>
      <c r="J126" s="76"/>
      <c r="K126" s="76"/>
      <c r="L126" s="37"/>
      <c r="M126" s="37"/>
      <c r="N126" s="38"/>
      <c r="O126" s="38"/>
      <c r="P126" s="38"/>
      <c r="Q126" s="39"/>
      <c r="R126" s="39"/>
      <c r="T126" s="39"/>
      <c r="U126" s="39"/>
      <c r="V126" s="39"/>
      <c r="W126" s="39"/>
      <c r="X126" s="39"/>
      <c r="Y126" s="39"/>
    </row>
    <row r="127" spans="3:25" ht="11.1" customHeight="1">
      <c r="C127" s="39"/>
      <c r="E127" s="36"/>
      <c r="G127" s="76"/>
      <c r="H127" s="76"/>
      <c r="I127" s="76"/>
      <c r="J127" s="76"/>
      <c r="K127" s="76"/>
      <c r="L127" s="37"/>
      <c r="M127" s="37"/>
      <c r="N127" s="38"/>
      <c r="O127" s="38"/>
      <c r="P127" s="38"/>
      <c r="Q127" s="39"/>
      <c r="R127" s="39"/>
      <c r="T127" s="39"/>
      <c r="U127" s="39"/>
      <c r="V127" s="39"/>
      <c r="W127" s="39"/>
      <c r="X127" s="39"/>
      <c r="Y127" s="39"/>
    </row>
    <row r="128" spans="3:25" ht="11.1" customHeight="1">
      <c r="C128" s="39"/>
      <c r="E128" s="36"/>
      <c r="G128" s="76"/>
      <c r="H128" s="76"/>
      <c r="I128" s="76"/>
      <c r="J128" s="76"/>
      <c r="K128" s="76"/>
      <c r="L128" s="37"/>
      <c r="M128" s="37"/>
      <c r="N128" s="38"/>
      <c r="O128" s="38"/>
      <c r="P128" s="38"/>
      <c r="Q128" s="39"/>
      <c r="R128" s="39"/>
      <c r="T128" s="39"/>
      <c r="U128" s="39"/>
      <c r="V128" s="39"/>
      <c r="W128" s="39"/>
      <c r="X128" s="39"/>
      <c r="Y128" s="39"/>
    </row>
    <row r="129" spans="3:25" ht="11.1" customHeight="1">
      <c r="C129" s="39"/>
      <c r="E129" s="36"/>
      <c r="G129" s="76"/>
      <c r="H129" s="76"/>
      <c r="I129" s="76"/>
      <c r="J129" s="76"/>
      <c r="K129" s="76"/>
      <c r="L129" s="37"/>
      <c r="M129" s="37"/>
      <c r="N129" s="38"/>
      <c r="O129" s="38"/>
      <c r="P129" s="38"/>
      <c r="Q129" s="39"/>
      <c r="R129" s="39"/>
      <c r="T129" s="39"/>
      <c r="U129" s="39"/>
      <c r="V129" s="39"/>
      <c r="W129" s="39"/>
      <c r="X129" s="39"/>
      <c r="Y129" s="39"/>
    </row>
    <row r="130" spans="3:25" ht="11.1" customHeight="1">
      <c r="C130" s="39"/>
      <c r="E130" s="36"/>
      <c r="G130" s="76"/>
      <c r="H130" s="76"/>
      <c r="I130" s="76"/>
      <c r="J130" s="76"/>
      <c r="K130" s="76"/>
      <c r="L130" s="37"/>
      <c r="M130" s="37"/>
      <c r="N130" s="38"/>
      <c r="O130" s="38"/>
      <c r="P130" s="38"/>
      <c r="Q130" s="39"/>
      <c r="R130" s="39"/>
      <c r="T130" s="39"/>
      <c r="U130" s="39"/>
      <c r="V130" s="39"/>
      <c r="W130" s="39"/>
      <c r="X130" s="39"/>
      <c r="Y130" s="39"/>
    </row>
    <row r="131" spans="3:25" ht="11.1" customHeight="1">
      <c r="C131" s="39"/>
      <c r="E131" s="36"/>
      <c r="G131" s="76"/>
      <c r="H131" s="76"/>
      <c r="I131" s="76"/>
      <c r="J131" s="76"/>
      <c r="K131" s="76"/>
      <c r="L131" s="37"/>
      <c r="M131" s="37"/>
      <c r="N131" s="38"/>
      <c r="O131" s="38"/>
      <c r="P131" s="38"/>
      <c r="Q131" s="39"/>
      <c r="R131" s="39"/>
      <c r="T131" s="39"/>
      <c r="U131" s="39"/>
      <c r="V131" s="39"/>
      <c r="W131" s="39"/>
      <c r="X131" s="39"/>
      <c r="Y131" s="39"/>
    </row>
    <row r="132" spans="3:25" ht="11.1" customHeight="1">
      <c r="C132" s="39"/>
      <c r="E132" s="36"/>
      <c r="G132" s="76"/>
      <c r="H132" s="76"/>
      <c r="I132" s="76"/>
      <c r="J132" s="76"/>
      <c r="K132" s="76"/>
      <c r="L132" s="37"/>
      <c r="M132" s="37"/>
      <c r="N132" s="38"/>
      <c r="O132" s="38"/>
      <c r="P132" s="38"/>
      <c r="Q132" s="39"/>
      <c r="R132" s="39"/>
      <c r="T132" s="39"/>
      <c r="U132" s="39"/>
      <c r="V132" s="39"/>
      <c r="W132" s="39"/>
      <c r="X132" s="39"/>
      <c r="Y132" s="39"/>
    </row>
    <row r="133" spans="3:25" ht="11.1" customHeight="1">
      <c r="C133" s="39"/>
      <c r="E133" s="36"/>
      <c r="G133" s="76"/>
      <c r="H133" s="76"/>
      <c r="I133" s="76"/>
      <c r="J133" s="76"/>
      <c r="K133" s="76"/>
      <c r="L133" s="37"/>
      <c r="M133" s="37"/>
      <c r="N133" s="38"/>
      <c r="O133" s="38"/>
      <c r="P133" s="38"/>
      <c r="Q133" s="39"/>
      <c r="R133" s="39"/>
      <c r="T133" s="39"/>
      <c r="U133" s="39"/>
      <c r="V133" s="39"/>
      <c r="W133" s="39"/>
      <c r="X133" s="39"/>
      <c r="Y133" s="39"/>
    </row>
    <row r="134" spans="3:25" ht="11.1" customHeight="1">
      <c r="C134" s="39"/>
      <c r="E134" s="36"/>
      <c r="G134" s="76"/>
      <c r="H134" s="76"/>
      <c r="I134" s="76"/>
      <c r="J134" s="76"/>
      <c r="K134" s="76"/>
      <c r="L134" s="37"/>
      <c r="M134" s="37"/>
      <c r="N134" s="38"/>
      <c r="O134" s="38"/>
      <c r="P134" s="38"/>
      <c r="Q134" s="39"/>
      <c r="R134" s="39"/>
      <c r="T134" s="39"/>
      <c r="U134" s="39"/>
      <c r="V134" s="39"/>
      <c r="W134" s="39"/>
      <c r="X134" s="39"/>
      <c r="Y134" s="39"/>
    </row>
    <row r="135" spans="3:25" ht="11.1" customHeight="1">
      <c r="C135" s="39"/>
      <c r="E135" s="36"/>
      <c r="G135" s="76"/>
      <c r="H135" s="76"/>
      <c r="I135" s="76"/>
      <c r="J135" s="76"/>
      <c r="K135" s="76"/>
      <c r="L135" s="37"/>
      <c r="M135" s="37"/>
      <c r="N135" s="38"/>
      <c r="O135" s="38"/>
      <c r="P135" s="38"/>
      <c r="Q135" s="39"/>
      <c r="R135" s="39"/>
      <c r="T135" s="39"/>
      <c r="U135" s="39"/>
      <c r="V135" s="39"/>
      <c r="W135" s="39"/>
      <c r="X135" s="39"/>
      <c r="Y135" s="39"/>
    </row>
    <row r="136" spans="3:25" ht="11.1" customHeight="1">
      <c r="C136" s="39"/>
      <c r="E136" s="36"/>
      <c r="G136" s="76"/>
      <c r="H136" s="76"/>
      <c r="I136" s="76"/>
      <c r="J136" s="76"/>
      <c r="K136" s="76"/>
      <c r="L136" s="37"/>
      <c r="M136" s="37"/>
      <c r="N136" s="38"/>
      <c r="O136" s="38"/>
      <c r="P136" s="38"/>
      <c r="Q136" s="39"/>
      <c r="R136" s="39"/>
      <c r="T136" s="39"/>
      <c r="U136" s="39"/>
      <c r="V136" s="39"/>
      <c r="W136" s="39"/>
      <c r="X136" s="39"/>
      <c r="Y136" s="39"/>
    </row>
    <row r="137" spans="3:25" ht="11.1" customHeight="1">
      <c r="C137" s="39"/>
      <c r="E137" s="36"/>
      <c r="G137" s="76"/>
      <c r="H137" s="76"/>
      <c r="I137" s="76"/>
      <c r="J137" s="76"/>
      <c r="K137" s="76"/>
      <c r="L137" s="37"/>
      <c r="M137" s="37"/>
      <c r="N137" s="38"/>
      <c r="O137" s="38"/>
      <c r="P137" s="38"/>
      <c r="Q137" s="39"/>
      <c r="R137" s="39"/>
      <c r="T137" s="39"/>
      <c r="U137" s="39"/>
      <c r="V137" s="39"/>
      <c r="W137" s="39"/>
      <c r="X137" s="39"/>
      <c r="Y137" s="39"/>
    </row>
    <row r="138" spans="3:25" ht="11.1" customHeight="1">
      <c r="C138" s="39"/>
      <c r="E138" s="36"/>
      <c r="G138" s="76"/>
      <c r="H138" s="76"/>
      <c r="I138" s="76"/>
      <c r="J138" s="76"/>
      <c r="K138" s="76"/>
      <c r="L138" s="37"/>
      <c r="M138" s="37"/>
      <c r="N138" s="38"/>
      <c r="O138" s="38"/>
      <c r="P138" s="38"/>
      <c r="Q138" s="39"/>
      <c r="R138" s="39"/>
      <c r="T138" s="39"/>
      <c r="U138" s="39"/>
      <c r="V138" s="39"/>
      <c r="W138" s="39"/>
      <c r="X138" s="39"/>
      <c r="Y138" s="39"/>
    </row>
    <row r="139" spans="3:25" ht="11.1" customHeight="1">
      <c r="C139" s="39"/>
      <c r="E139" s="36"/>
      <c r="G139" s="76"/>
      <c r="H139" s="76"/>
      <c r="I139" s="76"/>
      <c r="J139" s="76"/>
      <c r="K139" s="76"/>
      <c r="L139" s="37"/>
      <c r="M139" s="37"/>
      <c r="N139" s="38"/>
      <c r="O139" s="38"/>
      <c r="P139" s="38"/>
      <c r="Q139" s="39"/>
      <c r="R139" s="39"/>
      <c r="T139" s="39"/>
      <c r="U139" s="39"/>
      <c r="V139" s="39"/>
      <c r="W139" s="39"/>
      <c r="X139" s="39"/>
      <c r="Y139" s="39"/>
    </row>
    <row r="140" spans="3:25" ht="11.1" customHeight="1">
      <c r="C140" s="39"/>
      <c r="E140" s="36"/>
      <c r="G140" s="76"/>
      <c r="H140" s="76"/>
      <c r="I140" s="76"/>
      <c r="J140" s="76"/>
      <c r="K140" s="76"/>
      <c r="L140" s="37"/>
      <c r="M140" s="37"/>
      <c r="N140" s="38"/>
      <c r="O140" s="38"/>
      <c r="P140" s="38"/>
      <c r="Q140" s="39"/>
      <c r="R140" s="39"/>
      <c r="T140" s="39"/>
      <c r="U140" s="39"/>
      <c r="V140" s="39"/>
      <c r="W140" s="39"/>
      <c r="X140" s="39"/>
      <c r="Y140" s="39"/>
    </row>
    <row r="141" spans="3:25" ht="11.1" customHeight="1">
      <c r="C141" s="39"/>
      <c r="E141" s="36"/>
      <c r="G141" s="76"/>
      <c r="H141" s="76"/>
      <c r="I141" s="76"/>
      <c r="J141" s="76"/>
      <c r="K141" s="76"/>
      <c r="L141" s="37"/>
      <c r="M141" s="37"/>
      <c r="N141" s="38"/>
      <c r="O141" s="38"/>
      <c r="P141" s="38"/>
      <c r="Q141" s="39"/>
      <c r="R141" s="39"/>
      <c r="T141" s="39"/>
      <c r="U141" s="39"/>
      <c r="V141" s="39"/>
      <c r="W141" s="39"/>
      <c r="X141" s="39"/>
      <c r="Y141" s="39"/>
    </row>
    <row r="142" spans="3:25" ht="11.1" customHeight="1">
      <c r="C142" s="39"/>
      <c r="E142" s="36"/>
      <c r="G142" s="76"/>
      <c r="H142" s="76"/>
      <c r="I142" s="76"/>
      <c r="J142" s="76"/>
      <c r="K142" s="76"/>
      <c r="L142" s="37"/>
      <c r="M142" s="37"/>
      <c r="N142" s="38"/>
      <c r="O142" s="38"/>
      <c r="P142" s="38"/>
      <c r="Q142" s="39"/>
      <c r="R142" s="39"/>
      <c r="T142" s="39"/>
      <c r="U142" s="39"/>
      <c r="V142" s="39"/>
      <c r="W142" s="39"/>
      <c r="X142" s="39"/>
      <c r="Y142" s="39"/>
    </row>
    <row r="143" spans="3:25" ht="11.1" customHeight="1">
      <c r="C143" s="39"/>
      <c r="E143" s="36"/>
      <c r="G143" s="76"/>
      <c r="H143" s="76"/>
      <c r="I143" s="76"/>
      <c r="J143" s="76"/>
      <c r="K143" s="76"/>
      <c r="L143" s="37"/>
      <c r="M143" s="37"/>
      <c r="N143" s="38"/>
      <c r="O143" s="38"/>
      <c r="P143" s="38"/>
      <c r="Q143" s="39"/>
      <c r="R143" s="39"/>
      <c r="T143" s="39"/>
      <c r="U143" s="39"/>
      <c r="V143" s="39"/>
      <c r="W143" s="39"/>
      <c r="X143" s="39"/>
      <c r="Y143" s="39"/>
    </row>
    <row r="144" spans="3:25" ht="11.1" customHeight="1">
      <c r="C144" s="39"/>
      <c r="E144" s="36"/>
      <c r="G144" s="76"/>
      <c r="H144" s="76"/>
      <c r="I144" s="76"/>
      <c r="J144" s="76"/>
      <c r="K144" s="76"/>
      <c r="L144" s="37"/>
      <c r="M144" s="37"/>
      <c r="N144" s="38"/>
      <c r="O144" s="38"/>
      <c r="P144" s="38"/>
      <c r="Q144" s="39"/>
      <c r="R144" s="39"/>
      <c r="T144" s="39"/>
      <c r="U144" s="39"/>
      <c r="V144" s="39"/>
      <c r="W144" s="39"/>
      <c r="X144" s="39"/>
      <c r="Y144" s="39"/>
    </row>
    <row r="145" spans="3:25" ht="11.1" customHeight="1">
      <c r="C145" s="39"/>
      <c r="E145" s="36"/>
      <c r="G145" s="76"/>
      <c r="H145" s="76"/>
      <c r="I145" s="76"/>
      <c r="J145" s="76"/>
      <c r="K145" s="76"/>
      <c r="L145" s="37"/>
      <c r="M145" s="37"/>
      <c r="N145" s="38"/>
      <c r="O145" s="38"/>
      <c r="P145" s="38"/>
      <c r="Q145" s="39"/>
      <c r="R145" s="39"/>
      <c r="T145" s="39"/>
      <c r="U145" s="39"/>
      <c r="V145" s="39"/>
      <c r="W145" s="39"/>
      <c r="X145" s="39"/>
      <c r="Y145" s="39"/>
    </row>
    <row r="146" spans="3:25" ht="11.1" customHeight="1">
      <c r="C146" s="39"/>
      <c r="E146" s="36"/>
      <c r="G146" s="76"/>
      <c r="H146" s="76"/>
      <c r="I146" s="76"/>
      <c r="J146" s="76"/>
      <c r="K146" s="76"/>
      <c r="L146" s="37"/>
      <c r="M146" s="37"/>
      <c r="N146" s="38"/>
      <c r="O146" s="38"/>
      <c r="P146" s="38"/>
      <c r="Q146" s="39"/>
      <c r="R146" s="39"/>
      <c r="T146" s="39"/>
      <c r="U146" s="39"/>
      <c r="V146" s="39"/>
      <c r="W146" s="39"/>
      <c r="X146" s="39"/>
      <c r="Y146" s="39"/>
    </row>
    <row r="147" spans="3:25" ht="11.1" customHeight="1">
      <c r="C147" s="39"/>
      <c r="E147" s="36"/>
      <c r="G147" s="76"/>
      <c r="H147" s="76"/>
      <c r="I147" s="76"/>
      <c r="J147" s="76"/>
      <c r="K147" s="76"/>
      <c r="L147" s="37"/>
      <c r="M147" s="37"/>
      <c r="N147" s="38"/>
      <c r="O147" s="38"/>
      <c r="P147" s="38"/>
      <c r="Q147" s="39"/>
      <c r="R147" s="39"/>
      <c r="T147" s="39"/>
      <c r="U147" s="39"/>
      <c r="V147" s="39"/>
      <c r="W147" s="39"/>
      <c r="X147" s="39"/>
      <c r="Y147" s="39"/>
    </row>
    <row r="148" spans="3:25" ht="11.1" customHeight="1">
      <c r="C148" s="39"/>
      <c r="E148" s="36"/>
      <c r="G148" s="76"/>
      <c r="H148" s="76"/>
      <c r="I148" s="76"/>
      <c r="J148" s="76"/>
      <c r="K148" s="76"/>
      <c r="L148" s="37"/>
      <c r="M148" s="37"/>
      <c r="N148" s="38"/>
      <c r="O148" s="38"/>
      <c r="P148" s="38"/>
      <c r="Q148" s="39"/>
      <c r="R148" s="39"/>
      <c r="T148" s="39"/>
      <c r="U148" s="39"/>
      <c r="V148" s="39"/>
      <c r="W148" s="39"/>
      <c r="X148" s="39"/>
      <c r="Y148" s="39"/>
    </row>
    <row r="149" spans="3:25" ht="11.1" customHeight="1">
      <c r="C149" s="39"/>
      <c r="E149" s="36"/>
      <c r="G149" s="76"/>
      <c r="H149" s="76"/>
      <c r="I149" s="76"/>
      <c r="J149" s="76"/>
      <c r="K149" s="76"/>
      <c r="L149" s="37"/>
      <c r="M149" s="37"/>
      <c r="N149" s="38"/>
      <c r="O149" s="38"/>
      <c r="P149" s="38"/>
      <c r="Q149" s="39"/>
      <c r="R149" s="39"/>
      <c r="T149" s="39"/>
      <c r="U149" s="39"/>
      <c r="V149" s="39"/>
      <c r="W149" s="39"/>
      <c r="X149" s="39"/>
      <c r="Y149" s="39"/>
    </row>
    <row r="150" spans="3:25" ht="11.1" customHeight="1">
      <c r="C150" s="39"/>
      <c r="E150" s="36"/>
      <c r="G150" s="76"/>
      <c r="H150" s="76"/>
      <c r="I150" s="76"/>
      <c r="J150" s="76"/>
      <c r="K150" s="76"/>
      <c r="L150" s="37"/>
      <c r="M150" s="37"/>
      <c r="N150" s="38"/>
      <c r="O150" s="38"/>
      <c r="P150" s="38"/>
      <c r="Q150" s="39"/>
      <c r="R150" s="39"/>
      <c r="T150" s="39"/>
      <c r="U150" s="39"/>
      <c r="V150" s="39"/>
      <c r="W150" s="39"/>
      <c r="X150" s="39"/>
      <c r="Y150" s="39"/>
    </row>
    <row r="151" spans="3:25" ht="11.1" customHeight="1">
      <c r="C151" s="39"/>
      <c r="E151" s="36"/>
      <c r="G151" s="76"/>
      <c r="H151" s="76"/>
      <c r="I151" s="76"/>
      <c r="J151" s="76"/>
      <c r="K151" s="76"/>
      <c r="L151" s="37"/>
      <c r="M151" s="37"/>
      <c r="N151" s="38"/>
      <c r="O151" s="38"/>
      <c r="P151" s="38"/>
      <c r="Q151" s="39"/>
      <c r="R151" s="39"/>
      <c r="T151" s="39"/>
      <c r="U151" s="39"/>
      <c r="V151" s="39"/>
      <c r="W151" s="39"/>
      <c r="X151" s="39"/>
      <c r="Y151" s="39"/>
    </row>
    <row r="152" spans="3:25" ht="11.1" customHeight="1">
      <c r="C152" s="39"/>
      <c r="E152" s="36"/>
      <c r="G152" s="76"/>
      <c r="H152" s="76"/>
      <c r="I152" s="76"/>
      <c r="J152" s="76"/>
      <c r="K152" s="76"/>
      <c r="L152" s="37"/>
      <c r="M152" s="37"/>
      <c r="N152" s="38"/>
      <c r="O152" s="38"/>
      <c r="P152" s="38"/>
      <c r="Q152" s="39"/>
      <c r="R152" s="39"/>
      <c r="T152" s="39"/>
      <c r="U152" s="39"/>
      <c r="V152" s="39"/>
      <c r="W152" s="39"/>
      <c r="X152" s="39"/>
      <c r="Y152" s="39"/>
    </row>
    <row r="153" spans="3:25" ht="11.1" customHeight="1">
      <c r="C153" s="39"/>
      <c r="E153" s="36"/>
      <c r="G153" s="76"/>
      <c r="H153" s="76"/>
      <c r="I153" s="76"/>
      <c r="J153" s="76"/>
      <c r="K153" s="76"/>
      <c r="L153" s="37"/>
      <c r="M153" s="37"/>
      <c r="N153" s="38"/>
      <c r="O153" s="38"/>
      <c r="P153" s="38"/>
      <c r="Q153" s="39"/>
      <c r="R153" s="39"/>
      <c r="T153" s="39"/>
      <c r="U153" s="39"/>
      <c r="V153" s="39"/>
      <c r="W153" s="39"/>
      <c r="X153" s="39"/>
      <c r="Y153" s="39"/>
    </row>
    <row r="154" spans="3:25" ht="11.1" customHeight="1">
      <c r="C154" s="39"/>
      <c r="E154" s="36"/>
      <c r="G154" s="76"/>
      <c r="H154" s="76"/>
      <c r="I154" s="76"/>
      <c r="J154" s="76"/>
      <c r="K154" s="76"/>
      <c r="L154" s="37"/>
      <c r="M154" s="37"/>
      <c r="N154" s="38"/>
      <c r="O154" s="38"/>
      <c r="P154" s="38"/>
      <c r="Q154" s="39"/>
      <c r="R154" s="39"/>
      <c r="T154" s="39"/>
      <c r="U154" s="39"/>
      <c r="V154" s="39"/>
      <c r="W154" s="39"/>
      <c r="X154" s="39"/>
      <c r="Y154" s="39"/>
    </row>
    <row r="155" spans="3:25" ht="11.1" customHeight="1">
      <c r="C155" s="39"/>
      <c r="E155" s="36"/>
      <c r="G155" s="76"/>
      <c r="H155" s="76"/>
      <c r="I155" s="76"/>
      <c r="J155" s="76"/>
      <c r="K155" s="76"/>
      <c r="L155" s="37"/>
      <c r="M155" s="37"/>
      <c r="N155" s="38"/>
      <c r="O155" s="38"/>
      <c r="P155" s="38"/>
      <c r="Q155" s="39"/>
      <c r="R155" s="39"/>
      <c r="T155" s="39"/>
      <c r="U155" s="39"/>
      <c r="V155" s="39"/>
      <c r="W155" s="39"/>
      <c r="X155" s="39"/>
      <c r="Y155" s="39"/>
    </row>
    <row r="156" spans="3:25" ht="11.1" customHeight="1">
      <c r="C156" s="39"/>
      <c r="E156" s="36"/>
      <c r="G156" s="76"/>
      <c r="H156" s="76"/>
      <c r="I156" s="76"/>
      <c r="J156" s="76"/>
      <c r="K156" s="76"/>
      <c r="L156" s="37"/>
      <c r="M156" s="37"/>
      <c r="N156" s="38"/>
      <c r="O156" s="38"/>
      <c r="P156" s="38"/>
      <c r="Q156" s="39"/>
      <c r="R156" s="39"/>
      <c r="T156" s="39"/>
      <c r="U156" s="39"/>
      <c r="V156" s="39"/>
      <c r="W156" s="39"/>
      <c r="X156" s="39"/>
      <c r="Y156" s="39"/>
    </row>
    <row r="157" spans="3:25" ht="11.1" customHeight="1">
      <c r="C157" s="39"/>
      <c r="E157" s="36"/>
      <c r="G157" s="76"/>
      <c r="H157" s="76"/>
      <c r="I157" s="76"/>
      <c r="J157" s="76"/>
      <c r="K157" s="76"/>
      <c r="L157" s="37"/>
      <c r="M157" s="37"/>
      <c r="N157" s="38"/>
      <c r="O157" s="38"/>
      <c r="P157" s="38"/>
      <c r="Q157" s="39"/>
      <c r="R157" s="39"/>
      <c r="T157" s="39"/>
      <c r="U157" s="39"/>
      <c r="V157" s="39"/>
      <c r="W157" s="39"/>
      <c r="X157" s="39"/>
      <c r="Y157" s="39"/>
    </row>
    <row r="158" spans="3:25" ht="11.1" customHeight="1">
      <c r="C158" s="39"/>
      <c r="E158" s="36"/>
      <c r="G158" s="76"/>
      <c r="H158" s="76"/>
      <c r="I158" s="76"/>
      <c r="J158" s="76"/>
      <c r="K158" s="76"/>
      <c r="L158" s="37"/>
      <c r="M158" s="37"/>
      <c r="N158" s="38"/>
      <c r="O158" s="38"/>
      <c r="P158" s="38"/>
      <c r="Q158" s="39"/>
      <c r="R158" s="39"/>
      <c r="T158" s="39"/>
      <c r="U158" s="39"/>
      <c r="V158" s="39"/>
      <c r="W158" s="39"/>
      <c r="X158" s="39"/>
      <c r="Y158" s="39"/>
    </row>
    <row r="159" spans="3:25" ht="11.1" customHeight="1">
      <c r="C159" s="39"/>
      <c r="E159" s="36"/>
      <c r="G159" s="76"/>
      <c r="H159" s="76"/>
      <c r="I159" s="76"/>
      <c r="J159" s="76"/>
      <c r="K159" s="76"/>
      <c r="L159" s="37"/>
      <c r="M159" s="37"/>
      <c r="N159" s="38"/>
      <c r="O159" s="38"/>
      <c r="P159" s="38"/>
      <c r="Q159" s="39"/>
      <c r="R159" s="39"/>
      <c r="T159" s="39"/>
      <c r="U159" s="39"/>
      <c r="V159" s="39"/>
      <c r="W159" s="39"/>
      <c r="X159" s="39"/>
      <c r="Y159" s="39"/>
    </row>
    <row r="160" spans="3:25" ht="11.1" customHeight="1">
      <c r="C160" s="39"/>
      <c r="E160" s="36"/>
      <c r="G160" s="76"/>
      <c r="H160" s="76"/>
      <c r="I160" s="76"/>
      <c r="J160" s="76"/>
      <c r="K160" s="76"/>
      <c r="L160" s="37"/>
      <c r="M160" s="37"/>
      <c r="N160" s="38"/>
      <c r="O160" s="38"/>
      <c r="P160" s="38"/>
      <c r="Q160" s="39"/>
      <c r="R160" s="39"/>
      <c r="T160" s="39"/>
      <c r="U160" s="39"/>
      <c r="V160" s="39"/>
      <c r="W160" s="39"/>
      <c r="X160" s="39"/>
      <c r="Y160" s="39"/>
    </row>
    <row r="161" spans="3:25" ht="11.1" customHeight="1">
      <c r="C161" s="39"/>
      <c r="E161" s="36"/>
      <c r="G161" s="76"/>
      <c r="H161" s="76"/>
      <c r="I161" s="76"/>
      <c r="J161" s="76"/>
      <c r="K161" s="76"/>
      <c r="L161" s="37"/>
      <c r="M161" s="37"/>
      <c r="N161" s="38"/>
      <c r="O161" s="38"/>
      <c r="P161" s="38"/>
      <c r="Q161" s="39"/>
      <c r="R161" s="39"/>
      <c r="T161" s="39"/>
      <c r="U161" s="39"/>
      <c r="V161" s="39"/>
      <c r="W161" s="39"/>
      <c r="X161" s="39"/>
      <c r="Y161" s="39"/>
    </row>
    <row r="162" spans="3:25" ht="11.1" customHeight="1">
      <c r="C162" s="39"/>
      <c r="E162" s="36"/>
      <c r="G162" s="76"/>
      <c r="H162" s="76"/>
      <c r="I162" s="76"/>
      <c r="J162" s="76"/>
      <c r="K162" s="76"/>
      <c r="L162" s="37"/>
      <c r="M162" s="37"/>
      <c r="N162" s="38"/>
      <c r="O162" s="38"/>
      <c r="P162" s="38"/>
      <c r="Q162" s="39"/>
      <c r="R162" s="39"/>
      <c r="T162" s="39"/>
      <c r="U162" s="39"/>
      <c r="V162" s="39"/>
      <c r="W162" s="39"/>
      <c r="X162" s="39"/>
      <c r="Y162" s="39"/>
    </row>
    <row r="163" spans="3:25" ht="11.1" customHeight="1">
      <c r="C163" s="39"/>
      <c r="E163" s="36"/>
      <c r="G163" s="76"/>
      <c r="H163" s="76"/>
      <c r="I163" s="76"/>
      <c r="J163" s="76"/>
      <c r="K163" s="76"/>
      <c r="L163" s="37"/>
      <c r="M163" s="37"/>
      <c r="N163" s="38"/>
      <c r="O163" s="38"/>
      <c r="P163" s="38"/>
      <c r="Q163" s="39"/>
      <c r="R163" s="39"/>
      <c r="T163" s="39"/>
      <c r="U163" s="39"/>
      <c r="V163" s="39"/>
      <c r="W163" s="39"/>
      <c r="X163" s="39"/>
      <c r="Y163" s="39"/>
    </row>
    <row r="164" spans="3:25" ht="11.1" customHeight="1">
      <c r="C164" s="39"/>
      <c r="E164" s="36"/>
      <c r="G164" s="76"/>
      <c r="H164" s="76"/>
      <c r="I164" s="76"/>
      <c r="J164" s="76"/>
      <c r="K164" s="76"/>
      <c r="L164" s="37"/>
      <c r="M164" s="37"/>
      <c r="N164" s="38"/>
      <c r="O164" s="38"/>
      <c r="P164" s="38"/>
      <c r="Q164" s="39"/>
      <c r="R164" s="39"/>
      <c r="T164" s="39"/>
      <c r="U164" s="39"/>
      <c r="V164" s="39"/>
      <c r="W164" s="39"/>
      <c r="X164" s="39"/>
      <c r="Y164" s="39"/>
    </row>
    <row r="165" spans="3:25" ht="11.1" customHeight="1">
      <c r="C165" s="39"/>
      <c r="E165" s="36"/>
      <c r="G165" s="76"/>
      <c r="H165" s="76"/>
      <c r="I165" s="76"/>
      <c r="J165" s="76"/>
      <c r="K165" s="76"/>
      <c r="L165" s="37"/>
      <c r="M165" s="37"/>
      <c r="N165" s="38"/>
      <c r="O165" s="38"/>
      <c r="P165" s="38"/>
      <c r="Q165" s="39"/>
      <c r="R165" s="39"/>
      <c r="T165" s="39"/>
      <c r="U165" s="39"/>
      <c r="V165" s="39"/>
      <c r="W165" s="39"/>
      <c r="X165" s="39"/>
      <c r="Y165" s="39"/>
    </row>
    <row r="166" spans="3:25" ht="11.1" customHeight="1">
      <c r="C166" s="39"/>
      <c r="E166" s="36"/>
      <c r="G166" s="76"/>
      <c r="H166" s="76"/>
      <c r="I166" s="76"/>
      <c r="J166" s="76"/>
      <c r="K166" s="76"/>
      <c r="L166" s="37"/>
      <c r="M166" s="37"/>
      <c r="N166" s="38"/>
      <c r="O166" s="38"/>
      <c r="P166" s="38"/>
      <c r="Q166" s="39"/>
      <c r="R166" s="39"/>
      <c r="T166" s="39"/>
      <c r="U166" s="39"/>
      <c r="V166" s="39"/>
      <c r="W166" s="39"/>
      <c r="X166" s="39"/>
      <c r="Y166" s="39"/>
    </row>
    <row r="167" spans="3:25" ht="11.1" customHeight="1">
      <c r="C167" s="39"/>
      <c r="E167" s="36"/>
      <c r="G167" s="76"/>
      <c r="H167" s="76"/>
      <c r="I167" s="76"/>
      <c r="J167" s="76"/>
      <c r="K167" s="76"/>
      <c r="L167" s="37"/>
      <c r="M167" s="37"/>
      <c r="N167" s="38"/>
      <c r="O167" s="38"/>
      <c r="P167" s="38"/>
      <c r="Q167" s="39"/>
      <c r="R167" s="39"/>
      <c r="T167" s="39"/>
      <c r="U167" s="39"/>
      <c r="V167" s="39"/>
      <c r="W167" s="39"/>
      <c r="X167" s="39"/>
      <c r="Y167" s="39"/>
    </row>
    <row r="168" spans="3:25" ht="11.1" customHeight="1">
      <c r="C168" s="39"/>
      <c r="E168" s="36"/>
      <c r="G168" s="76"/>
      <c r="H168" s="76"/>
      <c r="I168" s="76"/>
      <c r="J168" s="76"/>
      <c r="K168" s="76"/>
      <c r="L168" s="37"/>
      <c r="M168" s="37"/>
      <c r="N168" s="38"/>
      <c r="O168" s="38"/>
      <c r="P168" s="38"/>
      <c r="Q168" s="39"/>
      <c r="R168" s="39"/>
      <c r="T168" s="39"/>
      <c r="U168" s="39"/>
      <c r="V168" s="39"/>
      <c r="W168" s="39"/>
      <c r="X168" s="39"/>
      <c r="Y168" s="39"/>
    </row>
    <row r="169" spans="3:25" ht="11.1" customHeight="1">
      <c r="C169" s="39"/>
      <c r="E169" s="36"/>
      <c r="G169" s="76"/>
      <c r="H169" s="76"/>
      <c r="I169" s="76"/>
      <c r="J169" s="76"/>
      <c r="K169" s="76"/>
      <c r="L169" s="37"/>
      <c r="M169" s="37"/>
      <c r="N169" s="38"/>
      <c r="O169" s="38"/>
      <c r="P169" s="38"/>
      <c r="Q169" s="39"/>
      <c r="R169" s="39"/>
      <c r="T169" s="39"/>
      <c r="U169" s="39"/>
      <c r="V169" s="39"/>
      <c r="W169" s="39"/>
      <c r="X169" s="39"/>
      <c r="Y169" s="39"/>
    </row>
    <row r="170" spans="3:25" ht="11.1" customHeight="1">
      <c r="C170" s="39"/>
      <c r="E170" s="36"/>
      <c r="G170" s="76"/>
      <c r="H170" s="76"/>
      <c r="I170" s="76"/>
      <c r="J170" s="76"/>
      <c r="K170" s="76"/>
      <c r="L170" s="37"/>
      <c r="M170" s="37"/>
      <c r="N170" s="38"/>
      <c r="O170" s="38"/>
      <c r="P170" s="38"/>
      <c r="Q170" s="39"/>
      <c r="R170" s="39"/>
      <c r="T170" s="39"/>
      <c r="U170" s="39"/>
      <c r="V170" s="39"/>
      <c r="W170" s="39"/>
      <c r="X170" s="39"/>
      <c r="Y170" s="39"/>
    </row>
    <row r="171" spans="3:25" ht="11.1" customHeight="1">
      <c r="C171" s="39"/>
      <c r="E171" s="36"/>
      <c r="G171" s="76"/>
      <c r="H171" s="76"/>
      <c r="I171" s="76"/>
      <c r="J171" s="76"/>
      <c r="K171" s="76"/>
      <c r="L171" s="37"/>
      <c r="M171" s="37"/>
      <c r="N171" s="38"/>
      <c r="O171" s="38"/>
      <c r="P171" s="38"/>
      <c r="Q171" s="39"/>
      <c r="R171" s="39"/>
      <c r="T171" s="39"/>
      <c r="U171" s="39"/>
      <c r="V171" s="39"/>
      <c r="W171" s="39"/>
      <c r="X171" s="39"/>
      <c r="Y171" s="39"/>
    </row>
    <row r="172" spans="3:25" ht="11.1" customHeight="1">
      <c r="C172" s="39"/>
      <c r="E172" s="36"/>
      <c r="G172" s="76"/>
      <c r="H172" s="76"/>
      <c r="I172" s="76"/>
      <c r="J172" s="76"/>
      <c r="K172" s="76"/>
      <c r="L172" s="37"/>
      <c r="M172" s="37"/>
      <c r="N172" s="38"/>
      <c r="O172" s="38"/>
      <c r="P172" s="38"/>
      <c r="Q172" s="39"/>
      <c r="R172" s="39"/>
      <c r="T172" s="39"/>
      <c r="U172" s="39"/>
      <c r="V172" s="39"/>
      <c r="W172" s="39"/>
      <c r="X172" s="39"/>
      <c r="Y172" s="39"/>
    </row>
    <row r="173" spans="3:25" ht="11.1" customHeight="1">
      <c r="C173" s="39"/>
      <c r="E173" s="36"/>
      <c r="G173" s="76"/>
      <c r="H173" s="76"/>
      <c r="I173" s="76"/>
      <c r="J173" s="76"/>
      <c r="K173" s="76"/>
      <c r="L173" s="37"/>
      <c r="M173" s="37"/>
      <c r="N173" s="38"/>
      <c r="O173" s="38"/>
      <c r="P173" s="38"/>
      <c r="Q173" s="39"/>
      <c r="R173" s="39"/>
      <c r="T173" s="39"/>
      <c r="U173" s="39"/>
      <c r="V173" s="39"/>
      <c r="W173" s="39"/>
      <c r="X173" s="39"/>
      <c r="Y173" s="39"/>
    </row>
    <row r="174" spans="3:25" ht="11.1" customHeight="1">
      <c r="C174" s="39"/>
      <c r="E174" s="36"/>
      <c r="G174" s="76"/>
      <c r="H174" s="76"/>
      <c r="I174" s="76"/>
      <c r="J174" s="76"/>
      <c r="K174" s="76"/>
      <c r="L174" s="37"/>
      <c r="M174" s="37"/>
      <c r="N174" s="38"/>
      <c r="O174" s="38"/>
      <c r="P174" s="38"/>
      <c r="Q174" s="39"/>
      <c r="R174" s="39"/>
      <c r="T174" s="39"/>
      <c r="U174" s="39"/>
      <c r="V174" s="39"/>
      <c r="W174" s="39"/>
      <c r="X174" s="39"/>
      <c r="Y174" s="39"/>
    </row>
    <row r="175" spans="3:25" ht="11.1" customHeight="1">
      <c r="C175" s="39"/>
      <c r="E175" s="36"/>
      <c r="G175" s="76"/>
      <c r="H175" s="76"/>
      <c r="I175" s="76"/>
      <c r="J175" s="76"/>
      <c r="K175" s="76"/>
      <c r="L175" s="37"/>
      <c r="M175" s="37"/>
      <c r="N175" s="38"/>
      <c r="O175" s="38"/>
      <c r="P175" s="38"/>
      <c r="Q175" s="39"/>
      <c r="R175" s="39"/>
      <c r="T175" s="39"/>
      <c r="U175" s="39"/>
      <c r="V175" s="39"/>
      <c r="W175" s="39"/>
      <c r="X175" s="39"/>
      <c r="Y175" s="39"/>
    </row>
    <row r="176" spans="3:25" ht="11.1" customHeight="1">
      <c r="C176" s="39"/>
      <c r="E176" s="36"/>
      <c r="G176" s="76"/>
      <c r="H176" s="76"/>
      <c r="I176" s="76"/>
      <c r="J176" s="76"/>
      <c r="K176" s="76"/>
      <c r="L176" s="37"/>
      <c r="M176" s="37"/>
      <c r="N176" s="38"/>
      <c r="O176" s="38"/>
      <c r="P176" s="38"/>
      <c r="Q176" s="39"/>
      <c r="R176" s="39"/>
      <c r="T176" s="39"/>
      <c r="U176" s="39"/>
      <c r="V176" s="39"/>
      <c r="W176" s="39"/>
      <c r="X176" s="39"/>
      <c r="Y176" s="39"/>
    </row>
    <row r="177" spans="3:25" ht="11.1" customHeight="1">
      <c r="C177" s="39"/>
      <c r="E177" s="36"/>
      <c r="G177" s="76"/>
      <c r="H177" s="76"/>
      <c r="I177" s="76"/>
      <c r="J177" s="76"/>
      <c r="K177" s="76"/>
      <c r="L177" s="37"/>
      <c r="M177" s="37"/>
      <c r="N177" s="38"/>
      <c r="O177" s="38"/>
      <c r="P177" s="38"/>
      <c r="Q177" s="39"/>
      <c r="R177" s="39"/>
      <c r="T177" s="39"/>
      <c r="U177" s="39"/>
      <c r="V177" s="39"/>
      <c r="W177" s="39"/>
      <c r="X177" s="39"/>
      <c r="Y177" s="39"/>
    </row>
    <row r="178" spans="3:25" ht="11.1" customHeight="1">
      <c r="C178" s="39"/>
      <c r="E178" s="36"/>
      <c r="G178" s="76"/>
      <c r="H178" s="76"/>
      <c r="I178" s="76"/>
      <c r="J178" s="76"/>
      <c r="K178" s="76"/>
      <c r="L178" s="37"/>
      <c r="M178" s="37"/>
      <c r="N178" s="38"/>
      <c r="O178" s="38"/>
      <c r="P178" s="38"/>
      <c r="Q178" s="39"/>
      <c r="R178" s="39"/>
      <c r="T178" s="39"/>
      <c r="U178" s="39"/>
      <c r="V178" s="39"/>
      <c r="W178" s="39"/>
      <c r="X178" s="39"/>
      <c r="Y178" s="39"/>
    </row>
    <row r="179" spans="3:25" ht="11.1" customHeight="1">
      <c r="C179" s="39"/>
      <c r="E179" s="36"/>
      <c r="G179" s="76"/>
      <c r="H179" s="76"/>
      <c r="I179" s="76"/>
      <c r="J179" s="76"/>
      <c r="K179" s="76"/>
      <c r="L179" s="37"/>
      <c r="M179" s="37"/>
      <c r="N179" s="38"/>
      <c r="O179" s="38"/>
      <c r="P179" s="38"/>
      <c r="Q179" s="39"/>
      <c r="R179" s="39"/>
      <c r="T179" s="39"/>
      <c r="U179" s="39"/>
      <c r="V179" s="39"/>
      <c r="W179" s="39"/>
      <c r="X179" s="39"/>
      <c r="Y179" s="39"/>
    </row>
    <row r="180" spans="3:25" ht="11.1" customHeight="1">
      <c r="C180" s="39"/>
      <c r="E180" s="36"/>
      <c r="G180" s="76"/>
      <c r="H180" s="76"/>
      <c r="I180" s="76"/>
      <c r="J180" s="76"/>
      <c r="K180" s="76"/>
      <c r="L180" s="37"/>
      <c r="M180" s="37"/>
      <c r="N180" s="38"/>
      <c r="O180" s="38"/>
      <c r="P180" s="38"/>
      <c r="Q180" s="39"/>
      <c r="R180" s="39"/>
      <c r="T180" s="39"/>
      <c r="U180" s="39"/>
      <c r="V180" s="39"/>
      <c r="W180" s="39"/>
      <c r="X180" s="39"/>
      <c r="Y180" s="39"/>
    </row>
    <row r="181" spans="3:25" ht="11.1" customHeight="1">
      <c r="C181" s="39"/>
      <c r="E181" s="36"/>
      <c r="G181" s="76"/>
      <c r="H181" s="76"/>
      <c r="I181" s="76"/>
      <c r="J181" s="76"/>
      <c r="K181" s="76"/>
      <c r="L181" s="37"/>
      <c r="M181" s="37"/>
      <c r="N181" s="38"/>
      <c r="O181" s="38"/>
      <c r="P181" s="38"/>
      <c r="Q181" s="39"/>
      <c r="R181" s="39"/>
      <c r="T181" s="39"/>
      <c r="U181" s="39"/>
      <c r="V181" s="39"/>
      <c r="W181" s="39"/>
      <c r="X181" s="39"/>
      <c r="Y181" s="39"/>
    </row>
    <row r="182" spans="3:25" ht="11.1" customHeight="1">
      <c r="C182" s="39"/>
      <c r="E182" s="36"/>
      <c r="G182" s="76"/>
      <c r="H182" s="76"/>
      <c r="I182" s="76"/>
      <c r="J182" s="76"/>
      <c r="K182" s="76"/>
      <c r="L182" s="37"/>
      <c r="M182" s="37"/>
      <c r="N182" s="38"/>
      <c r="O182" s="38"/>
      <c r="P182" s="38"/>
      <c r="Q182" s="39"/>
      <c r="R182" s="39"/>
      <c r="T182" s="39"/>
      <c r="U182" s="39"/>
      <c r="V182" s="39"/>
      <c r="W182" s="39"/>
      <c r="X182" s="39"/>
      <c r="Y182" s="39"/>
    </row>
    <row r="183" spans="3:25" ht="11.1" customHeight="1">
      <c r="C183" s="39"/>
      <c r="E183" s="36"/>
      <c r="G183" s="76"/>
      <c r="H183" s="76"/>
      <c r="I183" s="76"/>
      <c r="J183" s="76"/>
      <c r="K183" s="76"/>
      <c r="L183" s="37"/>
      <c r="M183" s="37"/>
      <c r="N183" s="38"/>
      <c r="O183" s="38"/>
      <c r="P183" s="38"/>
      <c r="Q183" s="39"/>
      <c r="R183" s="39"/>
      <c r="T183" s="39"/>
      <c r="U183" s="39"/>
      <c r="V183" s="39"/>
      <c r="W183" s="39"/>
      <c r="X183" s="39"/>
      <c r="Y183" s="39"/>
    </row>
    <row r="184" spans="3:25" ht="11.1" customHeight="1">
      <c r="C184" s="39"/>
      <c r="E184" s="36"/>
      <c r="G184" s="76"/>
      <c r="H184" s="76"/>
      <c r="I184" s="76"/>
      <c r="J184" s="76"/>
      <c r="K184" s="76"/>
      <c r="L184" s="37"/>
      <c r="M184" s="37"/>
      <c r="N184" s="38"/>
      <c r="O184" s="38"/>
      <c r="P184" s="38"/>
      <c r="Q184" s="39"/>
      <c r="R184" s="39"/>
      <c r="T184" s="39"/>
      <c r="U184" s="39"/>
      <c r="V184" s="39"/>
      <c r="W184" s="39"/>
      <c r="X184" s="39"/>
      <c r="Y184" s="39"/>
    </row>
    <row r="185" spans="3:25" ht="11.1" customHeight="1">
      <c r="C185" s="39"/>
      <c r="E185" s="36"/>
      <c r="G185" s="76"/>
      <c r="H185" s="76"/>
      <c r="I185" s="76"/>
      <c r="J185" s="76"/>
      <c r="K185" s="76"/>
      <c r="L185" s="37"/>
      <c r="M185" s="37"/>
      <c r="N185" s="38"/>
      <c r="O185" s="38"/>
      <c r="P185" s="38"/>
      <c r="Q185" s="353"/>
      <c r="R185" s="353"/>
      <c r="S185" s="353"/>
      <c r="T185" s="353"/>
      <c r="U185" s="353"/>
      <c r="V185" s="353"/>
      <c r="W185" s="353"/>
      <c r="X185" s="353"/>
      <c r="Y185" s="353"/>
    </row>
    <row r="186" spans="3:25" ht="11.1" customHeight="1">
      <c r="C186" s="39"/>
      <c r="E186" s="36"/>
      <c r="G186" s="76"/>
      <c r="H186" s="76"/>
      <c r="I186" s="76"/>
      <c r="J186" s="76"/>
      <c r="K186" s="76"/>
      <c r="L186" s="37"/>
      <c r="M186" s="37"/>
      <c r="N186" s="38"/>
      <c r="O186" s="38"/>
      <c r="P186" s="38"/>
      <c r="Q186" s="39"/>
      <c r="R186" s="39"/>
      <c r="T186" s="39"/>
      <c r="U186" s="39"/>
      <c r="V186" s="39"/>
      <c r="W186" s="39"/>
      <c r="X186" s="39"/>
      <c r="Y186" s="39"/>
    </row>
    <row r="187" spans="3:25" ht="11.1" customHeight="1">
      <c r="C187" s="39"/>
      <c r="E187" s="36"/>
      <c r="G187" s="76"/>
      <c r="H187" s="76"/>
      <c r="I187" s="76"/>
      <c r="J187" s="76"/>
      <c r="K187" s="76"/>
      <c r="L187" s="37"/>
      <c r="M187" s="37"/>
      <c r="N187" s="38"/>
      <c r="O187" s="38"/>
      <c r="P187" s="38"/>
      <c r="Q187" s="39"/>
      <c r="R187" s="39"/>
      <c r="T187" s="39"/>
      <c r="U187" s="39"/>
      <c r="V187" s="39"/>
      <c r="W187" s="39"/>
      <c r="X187" s="39"/>
      <c r="Y187" s="39"/>
    </row>
    <row r="188" spans="3:25" ht="11.1" customHeight="1">
      <c r="C188" s="39"/>
      <c r="E188" s="36"/>
      <c r="G188" s="76"/>
      <c r="H188" s="76"/>
      <c r="I188" s="76"/>
      <c r="J188" s="76"/>
      <c r="K188" s="76"/>
      <c r="L188" s="37"/>
      <c r="M188" s="37"/>
      <c r="N188" s="38"/>
      <c r="O188" s="38"/>
      <c r="P188" s="38"/>
      <c r="Q188" s="39"/>
      <c r="R188" s="39"/>
      <c r="T188" s="39"/>
      <c r="U188" s="39"/>
      <c r="V188" s="39"/>
      <c r="W188" s="39"/>
      <c r="X188" s="39"/>
      <c r="Y188" s="39"/>
    </row>
    <row r="189" spans="3:25" ht="11.1" customHeight="1">
      <c r="C189" s="39"/>
      <c r="E189" s="36"/>
      <c r="G189" s="76"/>
      <c r="H189" s="76"/>
      <c r="I189" s="76"/>
      <c r="J189" s="76"/>
      <c r="K189" s="76"/>
      <c r="L189" s="37"/>
      <c r="M189" s="37"/>
      <c r="N189" s="38"/>
      <c r="O189" s="38"/>
      <c r="P189" s="38"/>
      <c r="Q189" s="39"/>
      <c r="R189" s="39"/>
      <c r="T189" s="39"/>
      <c r="U189" s="39"/>
      <c r="V189" s="39"/>
      <c r="W189" s="39"/>
      <c r="X189" s="39"/>
      <c r="Y189" s="39"/>
    </row>
    <row r="190" spans="3:25" ht="11.1" customHeight="1">
      <c r="C190" s="39"/>
      <c r="E190" s="36"/>
      <c r="G190" s="76"/>
      <c r="H190" s="76"/>
      <c r="I190" s="76"/>
      <c r="J190" s="76"/>
      <c r="K190" s="76"/>
      <c r="L190" s="37"/>
      <c r="M190" s="37"/>
      <c r="N190" s="38"/>
      <c r="O190" s="38"/>
      <c r="P190" s="38"/>
      <c r="Q190" s="39"/>
      <c r="R190" s="39"/>
      <c r="T190" s="39"/>
      <c r="U190" s="39"/>
      <c r="V190" s="39"/>
      <c r="W190" s="39"/>
      <c r="X190" s="39"/>
      <c r="Y190" s="39"/>
    </row>
    <row r="191" spans="3:25" ht="11.1" customHeight="1">
      <c r="C191" s="39"/>
      <c r="E191" s="36"/>
      <c r="G191" s="76"/>
      <c r="H191" s="76"/>
      <c r="I191" s="76"/>
      <c r="J191" s="76"/>
      <c r="K191" s="76"/>
      <c r="L191" s="37"/>
      <c r="M191" s="37"/>
      <c r="N191" s="38"/>
      <c r="O191" s="38"/>
      <c r="P191" s="38"/>
      <c r="Q191" s="39"/>
      <c r="R191" s="39"/>
      <c r="T191" s="39"/>
      <c r="U191" s="39"/>
      <c r="V191" s="39"/>
      <c r="W191" s="39"/>
      <c r="X191" s="39"/>
      <c r="Y191" s="39"/>
    </row>
    <row r="192" spans="3:25" ht="11.1" customHeight="1">
      <c r="C192" s="39"/>
      <c r="E192" s="36"/>
      <c r="G192" s="76"/>
      <c r="H192" s="76"/>
      <c r="I192" s="76"/>
      <c r="J192" s="76"/>
      <c r="K192" s="76"/>
      <c r="L192" s="37"/>
      <c r="M192" s="37"/>
      <c r="N192" s="38"/>
      <c r="O192" s="38"/>
      <c r="P192" s="38"/>
      <c r="Q192" s="39"/>
      <c r="R192" s="39"/>
      <c r="T192" s="39"/>
      <c r="U192" s="39"/>
      <c r="V192" s="39"/>
      <c r="W192" s="39"/>
      <c r="X192" s="39"/>
      <c r="Y192" s="39"/>
    </row>
    <row r="193" spans="3:25" ht="11.1" customHeight="1">
      <c r="C193" s="39"/>
      <c r="E193" s="36"/>
      <c r="G193" s="76"/>
      <c r="H193" s="76"/>
      <c r="I193" s="76"/>
      <c r="J193" s="76"/>
      <c r="K193" s="76"/>
      <c r="L193" s="37"/>
      <c r="M193" s="37"/>
      <c r="N193" s="38"/>
      <c r="O193" s="38"/>
      <c r="P193" s="38"/>
      <c r="Q193" s="39"/>
      <c r="R193" s="39"/>
      <c r="T193" s="39"/>
      <c r="U193" s="39"/>
      <c r="V193" s="39"/>
      <c r="W193" s="39"/>
      <c r="X193" s="39"/>
      <c r="Y193" s="39"/>
    </row>
    <row r="194" spans="3:25" ht="11.1" customHeight="1">
      <c r="C194" s="39"/>
      <c r="E194" s="36"/>
      <c r="G194" s="76"/>
      <c r="H194" s="76"/>
      <c r="I194" s="76"/>
      <c r="J194" s="76"/>
      <c r="K194" s="76"/>
      <c r="L194" s="37"/>
      <c r="M194" s="37"/>
      <c r="N194" s="38"/>
      <c r="O194" s="38"/>
      <c r="P194" s="38"/>
      <c r="Q194" s="39"/>
      <c r="R194" s="39"/>
      <c r="T194" s="39"/>
      <c r="U194" s="39"/>
      <c r="V194" s="39"/>
      <c r="W194" s="39"/>
      <c r="X194" s="39"/>
      <c r="Y194" s="39"/>
    </row>
    <row r="195" spans="3:25" ht="11.1" customHeight="1">
      <c r="C195" s="39"/>
      <c r="E195" s="36"/>
      <c r="G195" s="76"/>
      <c r="H195" s="76"/>
      <c r="I195" s="76"/>
      <c r="J195" s="76"/>
      <c r="K195" s="76"/>
      <c r="L195" s="37"/>
      <c r="M195" s="37"/>
      <c r="N195" s="38"/>
      <c r="O195" s="38"/>
      <c r="P195" s="38"/>
      <c r="Q195" s="39"/>
      <c r="R195" s="39"/>
      <c r="T195" s="39"/>
      <c r="U195" s="39"/>
      <c r="V195" s="39"/>
      <c r="W195" s="39"/>
      <c r="X195" s="39"/>
      <c r="Y195" s="39"/>
    </row>
    <row r="196" spans="3:25" ht="11.1" customHeight="1">
      <c r="C196" s="39"/>
      <c r="E196" s="36"/>
      <c r="G196" s="76"/>
      <c r="H196" s="76"/>
      <c r="I196" s="76"/>
      <c r="J196" s="76"/>
      <c r="K196" s="76"/>
      <c r="L196" s="37"/>
      <c r="M196" s="37"/>
      <c r="N196" s="38"/>
      <c r="O196" s="38"/>
      <c r="P196" s="38"/>
      <c r="Q196" s="39"/>
      <c r="R196" s="39"/>
      <c r="T196" s="39"/>
      <c r="U196" s="39"/>
      <c r="V196" s="39"/>
      <c r="W196" s="39"/>
      <c r="X196" s="39"/>
      <c r="Y196" s="39"/>
    </row>
    <row r="197" spans="3:25" ht="11.1" customHeight="1">
      <c r="C197" s="39"/>
      <c r="E197" s="36"/>
      <c r="G197" s="76"/>
      <c r="H197" s="76"/>
      <c r="I197" s="76"/>
      <c r="J197" s="76"/>
      <c r="K197" s="76"/>
      <c r="L197" s="37"/>
      <c r="M197" s="37"/>
      <c r="N197" s="38"/>
      <c r="O197" s="38"/>
      <c r="P197" s="38"/>
      <c r="Q197" s="39"/>
      <c r="R197" s="39"/>
      <c r="T197" s="39"/>
      <c r="U197" s="39"/>
      <c r="V197" s="39"/>
      <c r="W197" s="39"/>
      <c r="X197" s="39"/>
      <c r="Y197" s="39"/>
    </row>
    <row r="198" spans="3:25" ht="11.1" customHeight="1">
      <c r="C198" s="39"/>
      <c r="E198" s="36"/>
      <c r="G198" s="76"/>
      <c r="H198" s="76"/>
      <c r="I198" s="76"/>
      <c r="J198" s="76"/>
      <c r="K198" s="76"/>
      <c r="L198" s="37"/>
      <c r="M198" s="37"/>
      <c r="N198" s="38"/>
      <c r="O198" s="38"/>
      <c r="P198" s="38"/>
      <c r="Q198" s="39"/>
      <c r="R198" s="39"/>
      <c r="T198" s="39"/>
      <c r="U198" s="39"/>
      <c r="V198" s="39"/>
      <c r="W198" s="39"/>
      <c r="X198" s="39"/>
      <c r="Y198" s="39"/>
    </row>
    <row r="199" spans="3:25" ht="11.1" customHeight="1">
      <c r="C199" s="39"/>
      <c r="E199" s="36"/>
      <c r="G199" s="76"/>
      <c r="H199" s="76"/>
      <c r="I199" s="76"/>
      <c r="J199" s="76"/>
      <c r="K199" s="76"/>
      <c r="L199" s="37"/>
      <c r="M199" s="37"/>
      <c r="N199" s="38"/>
      <c r="O199" s="38"/>
      <c r="P199" s="38"/>
      <c r="Q199" s="39"/>
      <c r="R199" s="39"/>
      <c r="T199" s="39"/>
      <c r="U199" s="39"/>
      <c r="V199" s="39"/>
      <c r="W199" s="39"/>
      <c r="X199" s="39"/>
      <c r="Y199" s="39"/>
    </row>
    <row r="200" spans="3:25" ht="11.1" customHeight="1">
      <c r="C200" s="39"/>
      <c r="E200" s="36"/>
      <c r="G200" s="76"/>
      <c r="H200" s="76"/>
      <c r="I200" s="76"/>
      <c r="J200" s="76"/>
      <c r="K200" s="76"/>
      <c r="L200" s="37"/>
      <c r="M200" s="37"/>
      <c r="N200" s="38"/>
      <c r="O200" s="38"/>
      <c r="P200" s="38"/>
      <c r="Q200" s="39"/>
      <c r="R200" s="39"/>
      <c r="T200" s="39"/>
      <c r="U200" s="39"/>
      <c r="V200" s="39"/>
      <c r="W200" s="39"/>
      <c r="X200" s="39"/>
      <c r="Y200" s="39"/>
    </row>
    <row r="201" spans="3:25" ht="11.1" customHeight="1">
      <c r="C201" s="39"/>
      <c r="E201" s="36"/>
      <c r="G201" s="76"/>
      <c r="H201" s="76"/>
      <c r="I201" s="76"/>
      <c r="J201" s="76"/>
      <c r="K201" s="76"/>
      <c r="L201" s="37"/>
      <c r="M201" s="37"/>
      <c r="N201" s="38"/>
      <c r="O201" s="38"/>
      <c r="P201" s="38"/>
      <c r="Q201" s="39"/>
      <c r="R201" s="39"/>
      <c r="T201" s="39"/>
      <c r="U201" s="39"/>
      <c r="V201" s="39"/>
      <c r="W201" s="39"/>
      <c r="X201" s="39"/>
      <c r="Y201" s="39"/>
    </row>
    <row r="202" spans="3:25" ht="11.1" customHeight="1">
      <c r="C202" s="39"/>
      <c r="E202" s="36"/>
      <c r="G202" s="76"/>
      <c r="H202" s="76"/>
      <c r="I202" s="76"/>
      <c r="J202" s="76"/>
      <c r="K202" s="76"/>
      <c r="L202" s="37"/>
      <c r="M202" s="37"/>
      <c r="N202" s="38"/>
      <c r="O202" s="38"/>
      <c r="P202" s="38"/>
      <c r="Q202" s="39"/>
      <c r="R202" s="39"/>
      <c r="T202" s="39"/>
      <c r="U202" s="39"/>
      <c r="V202" s="39"/>
      <c r="W202" s="39"/>
      <c r="X202" s="39"/>
      <c r="Y202" s="39"/>
    </row>
    <row r="203" spans="3:25" ht="11.1" customHeight="1">
      <c r="C203" s="39"/>
      <c r="E203" s="36"/>
      <c r="G203" s="76"/>
      <c r="H203" s="76"/>
      <c r="I203" s="76"/>
      <c r="J203" s="76"/>
      <c r="K203" s="76"/>
      <c r="L203" s="37"/>
      <c r="M203" s="37"/>
      <c r="N203" s="38"/>
      <c r="O203" s="38"/>
      <c r="P203" s="38"/>
      <c r="Q203" s="39"/>
      <c r="R203" s="39"/>
      <c r="T203" s="39"/>
      <c r="U203" s="39"/>
      <c r="V203" s="39"/>
      <c r="W203" s="39"/>
      <c r="X203" s="39"/>
      <c r="Y203" s="39"/>
    </row>
    <row r="204" spans="3:25" ht="11.1" customHeight="1">
      <c r="C204" s="39"/>
      <c r="E204" s="36"/>
      <c r="G204" s="76"/>
      <c r="H204" s="76"/>
      <c r="I204" s="76"/>
      <c r="J204" s="76"/>
      <c r="K204" s="76"/>
      <c r="L204" s="37"/>
      <c r="M204" s="37"/>
      <c r="N204" s="38"/>
      <c r="O204" s="38"/>
      <c r="P204" s="38"/>
      <c r="Q204" s="39"/>
      <c r="R204" s="39"/>
      <c r="T204" s="39"/>
      <c r="U204" s="39"/>
      <c r="V204" s="39"/>
      <c r="W204" s="39"/>
      <c r="X204" s="39"/>
      <c r="Y204" s="39"/>
    </row>
    <row r="205" spans="3:25" ht="11.1" customHeight="1">
      <c r="C205" s="39"/>
      <c r="E205" s="36"/>
      <c r="G205" s="76"/>
      <c r="H205" s="76"/>
      <c r="I205" s="76"/>
      <c r="J205" s="76"/>
      <c r="K205" s="76"/>
      <c r="L205" s="37"/>
      <c r="M205" s="37"/>
      <c r="N205" s="38"/>
      <c r="O205" s="38"/>
      <c r="P205" s="38"/>
      <c r="Q205" s="39"/>
      <c r="R205" s="39"/>
      <c r="T205" s="39"/>
      <c r="U205" s="39"/>
      <c r="V205" s="39"/>
      <c r="W205" s="39"/>
      <c r="X205" s="39"/>
      <c r="Y205" s="39"/>
    </row>
    <row r="206" spans="3:25" ht="11.1" customHeight="1">
      <c r="C206" s="39"/>
      <c r="E206" s="36"/>
      <c r="G206" s="76"/>
      <c r="H206" s="76"/>
      <c r="I206" s="76"/>
      <c r="J206" s="76"/>
      <c r="K206" s="76"/>
      <c r="L206" s="37"/>
      <c r="M206" s="37"/>
      <c r="N206" s="38"/>
      <c r="O206" s="38"/>
      <c r="P206" s="38"/>
      <c r="Q206" s="39"/>
      <c r="R206" s="39"/>
      <c r="T206" s="39"/>
      <c r="U206" s="39"/>
      <c r="V206" s="39"/>
      <c r="W206" s="39"/>
      <c r="X206" s="39"/>
      <c r="Y206" s="39"/>
    </row>
    <row r="207" spans="3:25" ht="11.1" customHeight="1">
      <c r="C207" s="39"/>
      <c r="E207" s="36"/>
      <c r="G207" s="76"/>
      <c r="H207" s="76"/>
      <c r="I207" s="76"/>
      <c r="J207" s="76"/>
      <c r="K207" s="76"/>
      <c r="L207" s="37"/>
      <c r="M207" s="37"/>
      <c r="N207" s="38"/>
      <c r="O207" s="38"/>
      <c r="P207" s="38"/>
      <c r="Q207" s="39"/>
      <c r="R207" s="39"/>
      <c r="T207" s="39"/>
      <c r="U207" s="39"/>
      <c r="V207" s="39"/>
      <c r="W207" s="39"/>
      <c r="X207" s="39"/>
      <c r="Y207" s="39"/>
    </row>
    <row r="208" spans="3:25" ht="11.1" customHeight="1">
      <c r="C208" s="39"/>
      <c r="E208" s="36"/>
      <c r="G208" s="76"/>
      <c r="H208" s="76"/>
      <c r="I208" s="76"/>
      <c r="J208" s="76"/>
      <c r="K208" s="76"/>
      <c r="L208" s="37"/>
      <c r="M208" s="37"/>
      <c r="N208" s="38"/>
      <c r="O208" s="38"/>
      <c r="P208" s="38"/>
      <c r="Q208" s="39"/>
      <c r="R208" s="39"/>
      <c r="T208" s="39"/>
      <c r="U208" s="39"/>
      <c r="V208" s="39"/>
      <c r="W208" s="39"/>
      <c r="X208" s="39"/>
      <c r="Y208" s="39"/>
    </row>
    <row r="209" spans="3:25" ht="11.1" customHeight="1">
      <c r="C209" s="39"/>
      <c r="E209" s="36"/>
      <c r="G209" s="76"/>
      <c r="H209" s="76"/>
      <c r="I209" s="76"/>
      <c r="J209" s="76"/>
      <c r="K209" s="76"/>
      <c r="L209" s="37"/>
      <c r="M209" s="37"/>
      <c r="N209" s="38"/>
      <c r="O209" s="38"/>
      <c r="P209" s="38"/>
      <c r="Q209" s="39"/>
      <c r="R209" s="39"/>
      <c r="T209" s="39"/>
      <c r="U209" s="39"/>
      <c r="V209" s="39"/>
      <c r="W209" s="39"/>
      <c r="X209" s="39"/>
      <c r="Y209" s="39"/>
    </row>
    <row r="210" spans="3:25" ht="11.1" customHeight="1">
      <c r="C210" s="39"/>
      <c r="E210" s="36"/>
      <c r="G210" s="76"/>
      <c r="H210" s="76"/>
      <c r="I210" s="76"/>
      <c r="J210" s="76"/>
      <c r="K210" s="76"/>
      <c r="L210" s="37"/>
      <c r="M210" s="37"/>
      <c r="N210" s="38"/>
      <c r="O210" s="38"/>
      <c r="P210" s="38"/>
      <c r="Q210" s="39"/>
      <c r="R210" s="39"/>
      <c r="T210" s="39"/>
      <c r="U210" s="39"/>
      <c r="V210" s="39"/>
      <c r="W210" s="39"/>
      <c r="X210" s="39"/>
      <c r="Y210" s="39"/>
    </row>
    <row r="211" spans="3:25" ht="11.1" customHeight="1">
      <c r="C211" s="39"/>
      <c r="E211" s="36"/>
      <c r="G211" s="76"/>
      <c r="H211" s="76"/>
      <c r="I211" s="76"/>
      <c r="J211" s="76"/>
      <c r="K211" s="76"/>
      <c r="L211" s="37"/>
      <c r="M211" s="37"/>
      <c r="N211" s="38"/>
      <c r="O211" s="38"/>
      <c r="P211" s="38"/>
      <c r="Q211" s="39"/>
      <c r="R211" s="39"/>
      <c r="T211" s="39"/>
      <c r="U211" s="39"/>
      <c r="V211" s="39"/>
      <c r="W211" s="39"/>
      <c r="X211" s="39"/>
      <c r="Y211" s="39"/>
    </row>
    <row r="212" spans="3:25" ht="11.1" customHeight="1">
      <c r="C212" s="39"/>
      <c r="E212" s="36"/>
      <c r="G212" s="76"/>
      <c r="H212" s="76"/>
      <c r="I212" s="76"/>
      <c r="J212" s="76"/>
      <c r="K212" s="76"/>
      <c r="L212" s="37"/>
      <c r="M212" s="37"/>
      <c r="N212" s="38"/>
      <c r="O212" s="38"/>
      <c r="P212" s="38"/>
      <c r="Q212" s="39"/>
      <c r="R212" s="39"/>
      <c r="T212" s="39"/>
      <c r="U212" s="39"/>
      <c r="V212" s="39"/>
      <c r="W212" s="39"/>
      <c r="X212" s="39"/>
      <c r="Y212" s="39"/>
    </row>
    <row r="213" spans="3:25" ht="11.1" customHeight="1">
      <c r="C213" s="39"/>
      <c r="E213" s="36"/>
      <c r="G213" s="76"/>
      <c r="H213" s="76"/>
      <c r="I213" s="76"/>
      <c r="J213" s="76"/>
      <c r="K213" s="76"/>
      <c r="L213" s="37"/>
      <c r="M213" s="37"/>
      <c r="N213" s="38"/>
      <c r="O213" s="38"/>
      <c r="P213" s="38"/>
      <c r="Q213" s="39"/>
      <c r="R213" s="39"/>
      <c r="T213" s="39"/>
      <c r="U213" s="39"/>
      <c r="V213" s="39"/>
      <c r="W213" s="39"/>
      <c r="X213" s="39"/>
      <c r="Y213" s="39"/>
    </row>
    <row r="214" spans="3:25" ht="11.1" customHeight="1">
      <c r="C214" s="39"/>
      <c r="E214" s="36"/>
      <c r="G214" s="76"/>
      <c r="H214" s="76"/>
      <c r="I214" s="76"/>
      <c r="J214" s="76"/>
      <c r="K214" s="76"/>
      <c r="L214" s="37"/>
      <c r="M214" s="37"/>
      <c r="N214" s="38"/>
      <c r="O214" s="38"/>
      <c r="P214" s="38"/>
      <c r="Q214" s="39"/>
      <c r="R214" s="39"/>
      <c r="T214" s="39"/>
      <c r="U214" s="39"/>
      <c r="V214" s="39"/>
      <c r="W214" s="39"/>
      <c r="X214" s="39"/>
      <c r="Y214" s="39"/>
    </row>
    <row r="215" spans="3:25" ht="11.1" customHeight="1">
      <c r="C215" s="39"/>
      <c r="E215" s="36"/>
      <c r="G215" s="76"/>
      <c r="H215" s="76"/>
      <c r="I215" s="76"/>
      <c r="J215" s="76"/>
      <c r="K215" s="76"/>
      <c r="L215" s="37"/>
      <c r="M215" s="37"/>
      <c r="N215" s="38"/>
      <c r="O215" s="38"/>
      <c r="P215" s="38"/>
      <c r="Q215" s="39"/>
      <c r="R215" s="39"/>
      <c r="T215" s="39"/>
      <c r="U215" s="39"/>
      <c r="V215" s="39"/>
      <c r="W215" s="39"/>
      <c r="X215" s="39"/>
      <c r="Y215" s="39"/>
    </row>
    <row r="216" spans="3:25" ht="11.1" customHeight="1">
      <c r="C216" s="39"/>
      <c r="E216" s="36"/>
      <c r="G216" s="76"/>
      <c r="H216" s="76"/>
      <c r="I216" s="76"/>
      <c r="J216" s="76"/>
      <c r="K216" s="76"/>
      <c r="L216" s="37"/>
      <c r="M216" s="37"/>
      <c r="N216" s="38"/>
      <c r="O216" s="38"/>
      <c r="P216" s="38"/>
      <c r="Q216" s="39"/>
      <c r="R216" s="39"/>
      <c r="T216" s="39"/>
      <c r="U216" s="39"/>
      <c r="V216" s="39"/>
      <c r="W216" s="39"/>
      <c r="X216" s="39"/>
      <c r="Y216" s="39"/>
    </row>
    <row r="217" spans="3:25" ht="11.1" customHeight="1">
      <c r="C217" s="39"/>
      <c r="E217" s="36"/>
      <c r="G217" s="76"/>
      <c r="H217" s="76"/>
      <c r="I217" s="76"/>
      <c r="J217" s="76"/>
      <c r="K217" s="76"/>
      <c r="L217" s="37"/>
      <c r="M217" s="37"/>
      <c r="N217" s="38"/>
      <c r="O217" s="38"/>
      <c r="P217" s="38"/>
      <c r="Q217" s="39"/>
      <c r="R217" s="39"/>
      <c r="T217" s="39"/>
      <c r="U217" s="39"/>
      <c r="V217" s="39"/>
      <c r="W217" s="39"/>
      <c r="X217" s="39"/>
      <c r="Y217" s="39"/>
    </row>
    <row r="218" spans="3:25" ht="11.1" customHeight="1">
      <c r="C218" s="39"/>
      <c r="E218" s="36"/>
      <c r="G218" s="76"/>
      <c r="H218" s="76"/>
      <c r="I218" s="76"/>
      <c r="J218" s="76"/>
      <c r="K218" s="76"/>
      <c r="L218" s="37"/>
      <c r="M218" s="37"/>
      <c r="N218" s="38"/>
      <c r="O218" s="38"/>
      <c r="P218" s="38"/>
      <c r="Q218" s="39"/>
      <c r="R218" s="39"/>
      <c r="T218" s="39"/>
      <c r="U218" s="39"/>
      <c r="V218" s="39"/>
      <c r="W218" s="39"/>
      <c r="X218" s="39"/>
      <c r="Y218" s="39"/>
    </row>
    <row r="219" spans="3:25" ht="11.1" customHeight="1">
      <c r="C219" s="39"/>
      <c r="E219" s="36"/>
      <c r="G219" s="76"/>
      <c r="H219" s="76"/>
      <c r="I219" s="76"/>
      <c r="J219" s="76"/>
      <c r="K219" s="76"/>
      <c r="L219" s="37"/>
      <c r="M219" s="37"/>
      <c r="N219" s="38"/>
      <c r="O219" s="38"/>
      <c r="P219" s="38"/>
      <c r="Q219" s="39"/>
      <c r="R219" s="39"/>
      <c r="T219" s="39"/>
      <c r="U219" s="39"/>
      <c r="V219" s="39"/>
      <c r="W219" s="39"/>
      <c r="X219" s="39"/>
      <c r="Y219" s="39"/>
    </row>
    <row r="220" spans="3:25" ht="11.1" customHeight="1">
      <c r="C220" s="39"/>
      <c r="E220" s="36"/>
      <c r="G220" s="76"/>
      <c r="H220" s="76"/>
      <c r="I220" s="76"/>
      <c r="J220" s="76"/>
      <c r="K220" s="76"/>
      <c r="L220" s="37"/>
      <c r="M220" s="37"/>
      <c r="N220" s="38"/>
      <c r="O220" s="38"/>
      <c r="P220" s="38"/>
      <c r="Q220" s="39"/>
      <c r="R220" s="39"/>
      <c r="T220" s="39"/>
      <c r="U220" s="39"/>
      <c r="V220" s="39"/>
      <c r="W220" s="39"/>
      <c r="X220" s="39"/>
      <c r="Y220" s="39"/>
    </row>
    <row r="221" spans="3:25" ht="11.1" customHeight="1">
      <c r="C221" s="39"/>
      <c r="E221" s="36"/>
      <c r="G221" s="76"/>
      <c r="H221" s="76"/>
      <c r="I221" s="76"/>
      <c r="J221" s="76"/>
      <c r="K221" s="76"/>
      <c r="L221" s="37"/>
      <c r="M221" s="37"/>
      <c r="N221" s="38"/>
      <c r="O221" s="38"/>
      <c r="P221" s="38"/>
      <c r="Q221" s="39"/>
      <c r="R221" s="39"/>
      <c r="T221" s="39"/>
      <c r="U221" s="39"/>
      <c r="V221" s="39"/>
      <c r="W221" s="39"/>
      <c r="X221" s="39"/>
      <c r="Y221" s="39"/>
    </row>
    <row r="222" spans="3:25" ht="11.1" customHeight="1">
      <c r="C222" s="39"/>
      <c r="E222" s="36"/>
      <c r="G222" s="76"/>
      <c r="H222" s="76"/>
      <c r="I222" s="76"/>
      <c r="J222" s="76"/>
      <c r="K222" s="76"/>
      <c r="L222" s="37"/>
      <c r="M222" s="37"/>
      <c r="N222" s="38"/>
      <c r="O222" s="38"/>
      <c r="P222" s="38"/>
      <c r="Q222" s="39"/>
      <c r="R222" s="39"/>
      <c r="T222" s="39"/>
      <c r="U222" s="39"/>
      <c r="V222" s="39"/>
      <c r="W222" s="39"/>
      <c r="X222" s="39"/>
      <c r="Y222" s="39"/>
    </row>
    <row r="223" spans="3:25" ht="11.1" customHeight="1">
      <c r="C223" s="39"/>
      <c r="E223" s="36"/>
      <c r="G223" s="76"/>
      <c r="H223" s="76"/>
      <c r="I223" s="76"/>
      <c r="J223" s="76"/>
      <c r="K223" s="76"/>
      <c r="L223" s="37"/>
      <c r="M223" s="37"/>
      <c r="N223" s="38"/>
      <c r="O223" s="38"/>
      <c r="P223" s="38"/>
      <c r="Q223" s="39"/>
      <c r="R223" s="39"/>
      <c r="T223" s="39"/>
      <c r="U223" s="39"/>
      <c r="V223" s="39"/>
      <c r="W223" s="39"/>
      <c r="X223" s="39"/>
      <c r="Y223" s="39"/>
    </row>
    <row r="224" spans="3:25" ht="11.1" customHeight="1">
      <c r="C224" s="39"/>
      <c r="E224" s="36"/>
      <c r="G224" s="76"/>
      <c r="H224" s="76"/>
      <c r="I224" s="76"/>
      <c r="J224" s="76"/>
      <c r="K224" s="76"/>
      <c r="L224" s="37"/>
      <c r="M224" s="37"/>
      <c r="N224" s="38"/>
      <c r="O224" s="38"/>
      <c r="P224" s="38"/>
      <c r="Q224" s="39"/>
      <c r="R224" s="39"/>
      <c r="T224" s="39"/>
      <c r="U224" s="39"/>
      <c r="V224" s="39"/>
      <c r="W224" s="39"/>
      <c r="X224" s="39"/>
      <c r="Y224" s="39"/>
    </row>
    <row r="225" spans="3:25" ht="11.1" customHeight="1">
      <c r="C225" s="39"/>
      <c r="E225" s="36"/>
      <c r="G225" s="76"/>
      <c r="H225" s="76"/>
      <c r="I225" s="76"/>
      <c r="J225" s="76"/>
      <c r="K225" s="76"/>
      <c r="L225" s="37"/>
      <c r="M225" s="37"/>
      <c r="N225" s="38"/>
      <c r="O225" s="38"/>
      <c r="P225" s="38"/>
      <c r="Q225" s="39"/>
      <c r="R225" s="39"/>
      <c r="T225" s="39"/>
      <c r="U225" s="39"/>
      <c r="V225" s="39"/>
      <c r="W225" s="39"/>
      <c r="X225" s="39"/>
      <c r="Y225" s="39"/>
    </row>
    <row r="226" spans="3:25" ht="11.1" customHeight="1">
      <c r="C226" s="39"/>
      <c r="E226" s="36"/>
      <c r="G226" s="76"/>
      <c r="H226" s="76"/>
      <c r="I226" s="76"/>
      <c r="J226" s="76"/>
      <c r="K226" s="76"/>
      <c r="L226" s="37"/>
      <c r="M226" s="37"/>
      <c r="N226" s="38"/>
      <c r="O226" s="38"/>
      <c r="P226" s="38"/>
      <c r="Q226" s="39"/>
      <c r="R226" s="39"/>
      <c r="T226" s="39"/>
      <c r="U226" s="39"/>
      <c r="V226" s="39"/>
      <c r="W226" s="39"/>
      <c r="X226" s="39"/>
      <c r="Y226" s="39"/>
    </row>
    <row r="227" spans="3:25" ht="11.1" customHeight="1">
      <c r="C227" s="39"/>
      <c r="E227" s="36"/>
      <c r="G227" s="76"/>
      <c r="H227" s="76"/>
      <c r="I227" s="76"/>
      <c r="J227" s="76"/>
      <c r="K227" s="76"/>
      <c r="L227" s="37"/>
      <c r="M227" s="37"/>
      <c r="N227" s="38"/>
      <c r="O227" s="38"/>
      <c r="P227" s="38"/>
      <c r="Q227" s="39"/>
      <c r="R227" s="39"/>
      <c r="T227" s="39"/>
      <c r="U227" s="39"/>
      <c r="V227" s="39"/>
      <c r="W227" s="39"/>
      <c r="X227" s="39"/>
      <c r="Y227" s="39"/>
    </row>
    <row r="228" spans="3:25" ht="11.1" customHeight="1">
      <c r="C228" s="39"/>
      <c r="E228" s="36"/>
      <c r="G228" s="76"/>
      <c r="H228" s="76"/>
      <c r="I228" s="76"/>
      <c r="J228" s="76"/>
      <c r="K228" s="76"/>
      <c r="L228" s="37"/>
      <c r="M228" s="37"/>
      <c r="N228" s="38"/>
      <c r="O228" s="38"/>
      <c r="P228" s="38"/>
      <c r="Q228" s="39"/>
      <c r="R228" s="39"/>
      <c r="T228" s="39"/>
      <c r="U228" s="39"/>
      <c r="V228" s="39"/>
      <c r="W228" s="39"/>
      <c r="X228" s="39"/>
      <c r="Y228" s="39"/>
    </row>
    <row r="229" spans="3:25" ht="11.1" customHeight="1">
      <c r="C229" s="39"/>
      <c r="E229" s="36"/>
      <c r="G229" s="76"/>
      <c r="H229" s="76"/>
      <c r="I229" s="76"/>
      <c r="J229" s="76"/>
      <c r="K229" s="76"/>
      <c r="L229" s="37"/>
      <c r="M229" s="37"/>
      <c r="N229" s="38"/>
      <c r="O229" s="38"/>
      <c r="P229" s="38"/>
      <c r="Q229" s="39"/>
      <c r="R229" s="39"/>
      <c r="T229" s="39"/>
      <c r="U229" s="39"/>
      <c r="V229" s="39"/>
      <c r="W229" s="39"/>
      <c r="X229" s="39"/>
      <c r="Y229" s="39"/>
    </row>
    <row r="230" spans="3:25" ht="11.1" customHeight="1">
      <c r="C230" s="39"/>
      <c r="E230" s="36"/>
      <c r="G230" s="76"/>
      <c r="H230" s="76"/>
      <c r="I230" s="76"/>
      <c r="J230" s="76"/>
      <c r="K230" s="76"/>
      <c r="L230" s="37"/>
      <c r="M230" s="37"/>
      <c r="N230" s="38"/>
      <c r="O230" s="38"/>
      <c r="P230" s="38"/>
      <c r="Q230" s="39"/>
      <c r="R230" s="39"/>
      <c r="T230" s="39"/>
      <c r="U230" s="39"/>
      <c r="V230" s="39"/>
      <c r="W230" s="39"/>
      <c r="X230" s="39"/>
      <c r="Y230" s="39"/>
    </row>
    <row r="231" spans="3:25" ht="11.1" customHeight="1">
      <c r="C231" s="39"/>
      <c r="E231" s="36"/>
      <c r="G231" s="76"/>
      <c r="H231" s="76"/>
      <c r="I231" s="76"/>
      <c r="J231" s="76"/>
      <c r="K231" s="76"/>
      <c r="L231" s="37"/>
      <c r="M231" s="37"/>
      <c r="N231" s="38"/>
      <c r="O231" s="38"/>
      <c r="P231" s="38"/>
      <c r="Q231" s="39"/>
      <c r="R231" s="39"/>
      <c r="T231" s="39"/>
      <c r="U231" s="39"/>
      <c r="V231" s="39"/>
      <c r="W231" s="39"/>
      <c r="X231" s="39"/>
      <c r="Y231" s="39"/>
    </row>
    <row r="232" spans="3:25" ht="11.1" customHeight="1">
      <c r="C232" s="39"/>
      <c r="E232" s="36"/>
      <c r="G232" s="76"/>
      <c r="H232" s="76"/>
      <c r="I232" s="76"/>
      <c r="J232" s="76"/>
      <c r="K232" s="76"/>
      <c r="L232" s="37"/>
      <c r="M232" s="37"/>
      <c r="N232" s="38"/>
      <c r="O232" s="38"/>
      <c r="P232" s="38"/>
      <c r="Q232" s="39"/>
      <c r="R232" s="39"/>
      <c r="T232" s="39"/>
      <c r="U232" s="39"/>
      <c r="V232" s="39"/>
      <c r="W232" s="39"/>
      <c r="X232" s="39"/>
      <c r="Y232" s="39"/>
    </row>
    <row r="233" spans="3:25" ht="11.1" customHeight="1">
      <c r="C233" s="39"/>
      <c r="E233" s="36"/>
      <c r="G233" s="76"/>
      <c r="H233" s="76"/>
      <c r="I233" s="76"/>
      <c r="J233" s="76"/>
      <c r="K233" s="76"/>
      <c r="L233" s="37"/>
      <c r="M233" s="37"/>
      <c r="N233" s="38"/>
      <c r="O233" s="38"/>
      <c r="P233" s="38"/>
      <c r="Q233" s="39"/>
      <c r="R233" s="39"/>
      <c r="T233" s="39"/>
      <c r="U233" s="39"/>
      <c r="V233" s="39"/>
      <c r="W233" s="39"/>
      <c r="X233" s="39"/>
      <c r="Y233" s="39"/>
    </row>
    <row r="234" spans="3:25" ht="11.1" customHeight="1">
      <c r="C234" s="39"/>
      <c r="E234" s="36"/>
      <c r="G234" s="76"/>
      <c r="H234" s="76"/>
      <c r="I234" s="76"/>
      <c r="J234" s="76"/>
      <c r="K234" s="76"/>
      <c r="L234" s="37"/>
      <c r="M234" s="37"/>
      <c r="N234" s="38"/>
      <c r="O234" s="38"/>
      <c r="P234" s="38"/>
      <c r="Q234" s="39"/>
      <c r="R234" s="39"/>
      <c r="T234" s="39"/>
      <c r="U234" s="39"/>
      <c r="V234" s="39"/>
      <c r="W234" s="39"/>
      <c r="X234" s="39"/>
      <c r="Y234" s="39"/>
    </row>
    <row r="235" spans="3:25" ht="11.1" customHeight="1">
      <c r="C235" s="39"/>
      <c r="E235" s="36"/>
      <c r="G235" s="76"/>
      <c r="H235" s="76"/>
      <c r="I235" s="76"/>
      <c r="J235" s="76"/>
      <c r="K235" s="76"/>
      <c r="L235" s="37"/>
      <c r="M235" s="37"/>
      <c r="N235" s="38"/>
      <c r="O235" s="38"/>
      <c r="P235" s="38"/>
      <c r="Q235" s="39"/>
      <c r="R235" s="39"/>
      <c r="T235" s="39"/>
      <c r="U235" s="39"/>
      <c r="V235" s="39"/>
      <c r="W235" s="39"/>
      <c r="X235" s="39"/>
      <c r="Y235" s="39"/>
    </row>
    <row r="236" spans="3:25" ht="11.1" customHeight="1">
      <c r="C236" s="39"/>
      <c r="E236" s="36"/>
      <c r="G236" s="76"/>
      <c r="H236" s="76"/>
      <c r="I236" s="76"/>
      <c r="J236" s="76"/>
      <c r="K236" s="76"/>
      <c r="L236" s="37"/>
      <c r="M236" s="37"/>
      <c r="N236" s="38"/>
      <c r="O236" s="38"/>
      <c r="P236" s="38"/>
      <c r="Q236" s="39"/>
      <c r="R236" s="39"/>
      <c r="T236" s="39"/>
      <c r="U236" s="39"/>
      <c r="V236" s="39"/>
      <c r="W236" s="39"/>
      <c r="X236" s="39"/>
      <c r="Y236" s="39"/>
    </row>
    <row r="237" spans="3:25" ht="11.1" customHeight="1">
      <c r="C237" s="39"/>
      <c r="E237" s="36"/>
      <c r="G237" s="76"/>
      <c r="H237" s="76"/>
      <c r="I237" s="76"/>
      <c r="J237" s="76"/>
      <c r="K237" s="76"/>
      <c r="L237" s="37"/>
      <c r="M237" s="37"/>
      <c r="N237" s="38"/>
      <c r="O237" s="38"/>
      <c r="P237" s="38"/>
      <c r="Q237" s="39"/>
      <c r="R237" s="39"/>
      <c r="T237" s="39"/>
      <c r="U237" s="39"/>
      <c r="V237" s="39"/>
      <c r="W237" s="39"/>
      <c r="X237" s="39"/>
      <c r="Y237" s="39"/>
    </row>
    <row r="238" spans="3:25" ht="11.1" customHeight="1">
      <c r="C238" s="39"/>
      <c r="E238" s="36"/>
      <c r="G238" s="76"/>
      <c r="H238" s="76"/>
      <c r="I238" s="76"/>
      <c r="J238" s="76"/>
      <c r="K238" s="76"/>
      <c r="L238" s="37"/>
      <c r="M238" s="37"/>
      <c r="N238" s="38"/>
      <c r="O238" s="38"/>
      <c r="P238" s="38"/>
      <c r="Q238" s="39"/>
      <c r="R238" s="39"/>
      <c r="T238" s="39"/>
      <c r="U238" s="39"/>
      <c r="V238" s="39"/>
      <c r="W238" s="39"/>
      <c r="X238" s="39"/>
      <c r="Y238" s="39"/>
    </row>
    <row r="239" spans="3:25" ht="11.1" customHeight="1">
      <c r="C239" s="39"/>
      <c r="E239" s="36"/>
      <c r="G239" s="76"/>
      <c r="H239" s="76"/>
      <c r="I239" s="76"/>
      <c r="J239" s="76"/>
      <c r="K239" s="76"/>
      <c r="L239" s="37"/>
      <c r="M239" s="37"/>
      <c r="N239" s="38"/>
      <c r="O239" s="38"/>
      <c r="P239" s="38"/>
      <c r="Q239" s="39"/>
      <c r="R239" s="39"/>
      <c r="T239" s="39"/>
      <c r="U239" s="39"/>
      <c r="V239" s="39"/>
      <c r="W239" s="39"/>
      <c r="X239" s="39"/>
      <c r="Y239" s="39"/>
    </row>
    <row r="240" spans="3:25" ht="11.1" customHeight="1">
      <c r="C240" s="39"/>
      <c r="E240" s="36"/>
      <c r="G240" s="76"/>
      <c r="H240" s="76"/>
      <c r="I240" s="76"/>
      <c r="J240" s="76"/>
      <c r="K240" s="76"/>
      <c r="L240" s="37"/>
      <c r="M240" s="37"/>
      <c r="N240" s="38"/>
      <c r="O240" s="38"/>
      <c r="P240" s="38"/>
      <c r="Q240" s="39"/>
      <c r="R240" s="39"/>
      <c r="T240" s="39"/>
      <c r="U240" s="39"/>
      <c r="V240" s="39"/>
      <c r="W240" s="39"/>
      <c r="X240" s="39"/>
      <c r="Y240" s="39"/>
    </row>
    <row r="241" spans="3:25" ht="11.1" customHeight="1">
      <c r="C241" s="39"/>
      <c r="E241" s="36"/>
      <c r="G241" s="76"/>
      <c r="H241" s="76"/>
      <c r="I241" s="76"/>
      <c r="J241" s="76"/>
      <c r="K241" s="76"/>
      <c r="L241" s="37"/>
      <c r="M241" s="37"/>
      <c r="N241" s="38"/>
      <c r="O241" s="38"/>
      <c r="P241" s="38"/>
      <c r="Q241" s="39"/>
      <c r="R241" s="39"/>
      <c r="T241" s="39"/>
      <c r="U241" s="39"/>
      <c r="V241" s="39"/>
      <c r="W241" s="39"/>
      <c r="X241" s="39"/>
      <c r="Y241" s="39"/>
    </row>
    <row r="242" spans="3:25" ht="11.1" customHeight="1">
      <c r="C242" s="39"/>
      <c r="E242" s="36"/>
      <c r="G242" s="76"/>
      <c r="H242" s="76"/>
      <c r="I242" s="76"/>
      <c r="J242" s="76"/>
      <c r="K242" s="76"/>
      <c r="L242" s="37"/>
      <c r="M242" s="37"/>
      <c r="N242" s="38"/>
      <c r="O242" s="38"/>
      <c r="P242" s="38"/>
      <c r="Q242" s="39"/>
      <c r="R242" s="39"/>
      <c r="T242" s="39"/>
      <c r="U242" s="39"/>
      <c r="V242" s="39"/>
      <c r="W242" s="39"/>
      <c r="X242" s="39"/>
      <c r="Y242" s="39"/>
    </row>
    <row r="243" spans="3:25" ht="11.1" customHeight="1">
      <c r="C243" s="39"/>
      <c r="E243" s="36"/>
      <c r="G243" s="76"/>
      <c r="H243" s="76"/>
      <c r="I243" s="76"/>
      <c r="J243" s="76"/>
      <c r="K243" s="76"/>
      <c r="L243" s="37"/>
      <c r="M243" s="37"/>
      <c r="N243" s="38"/>
      <c r="O243" s="38"/>
      <c r="P243" s="38"/>
      <c r="Q243" s="39"/>
      <c r="R243" s="39"/>
      <c r="T243" s="39"/>
      <c r="U243" s="39"/>
      <c r="V243" s="39"/>
      <c r="W243" s="39"/>
      <c r="X243" s="39"/>
      <c r="Y243" s="39"/>
    </row>
    <row r="244" spans="3:25" ht="11.1" customHeight="1">
      <c r="C244" s="39"/>
      <c r="E244" s="36"/>
      <c r="G244" s="76"/>
      <c r="H244" s="76"/>
      <c r="I244" s="76"/>
      <c r="J244" s="76"/>
      <c r="K244" s="76"/>
      <c r="L244" s="37"/>
      <c r="M244" s="37"/>
      <c r="N244" s="38"/>
      <c r="O244" s="38"/>
      <c r="P244" s="38"/>
      <c r="Q244" s="39"/>
      <c r="R244" s="39"/>
      <c r="T244" s="39"/>
      <c r="U244" s="39"/>
      <c r="V244" s="39"/>
      <c r="W244" s="39"/>
      <c r="X244" s="39"/>
      <c r="Y244" s="39"/>
    </row>
    <row r="245" spans="3:25" ht="11.1" customHeight="1">
      <c r="C245" s="39"/>
      <c r="E245" s="36"/>
      <c r="G245" s="76"/>
      <c r="H245" s="76"/>
      <c r="I245" s="76"/>
      <c r="J245" s="76"/>
      <c r="K245" s="76"/>
      <c r="L245" s="37"/>
      <c r="M245" s="37"/>
      <c r="N245" s="38"/>
      <c r="O245" s="38"/>
      <c r="P245" s="38"/>
      <c r="Q245" s="39"/>
      <c r="R245" s="39"/>
      <c r="T245" s="39"/>
      <c r="U245" s="39"/>
      <c r="V245" s="39"/>
      <c r="W245" s="39"/>
      <c r="X245" s="39"/>
      <c r="Y245" s="39"/>
    </row>
    <row r="246" spans="3:25" ht="11.1" customHeight="1">
      <c r="C246" s="39"/>
      <c r="E246" s="36"/>
      <c r="G246" s="76"/>
      <c r="H246" s="76"/>
      <c r="I246" s="76"/>
      <c r="J246" s="76"/>
      <c r="K246" s="76"/>
      <c r="L246" s="37"/>
      <c r="M246" s="37"/>
      <c r="N246" s="38"/>
      <c r="O246" s="38"/>
      <c r="P246" s="38"/>
      <c r="Q246" s="39"/>
      <c r="R246" s="39"/>
      <c r="T246" s="39"/>
      <c r="U246" s="39"/>
      <c r="V246" s="39"/>
      <c r="W246" s="39"/>
      <c r="X246" s="39"/>
      <c r="Y246" s="39"/>
    </row>
    <row r="247" spans="3:25" ht="11.1" customHeight="1">
      <c r="C247" s="39"/>
      <c r="E247" s="36"/>
      <c r="G247" s="76"/>
      <c r="H247" s="76"/>
      <c r="I247" s="76"/>
      <c r="J247" s="76"/>
      <c r="K247" s="76"/>
      <c r="L247" s="37"/>
      <c r="M247" s="37"/>
      <c r="N247" s="38"/>
      <c r="O247" s="38"/>
      <c r="P247" s="38"/>
      <c r="Q247" s="39"/>
      <c r="R247" s="39"/>
      <c r="T247" s="39"/>
      <c r="U247" s="39"/>
      <c r="V247" s="39"/>
      <c r="W247" s="39"/>
      <c r="X247" s="39"/>
      <c r="Y247" s="39"/>
    </row>
    <row r="248" spans="3:25" ht="11.1" customHeight="1">
      <c r="C248" s="39"/>
      <c r="E248" s="36"/>
      <c r="G248" s="76"/>
      <c r="H248" s="76"/>
      <c r="I248" s="76"/>
      <c r="J248" s="76"/>
      <c r="K248" s="76"/>
      <c r="L248" s="37"/>
      <c r="M248" s="37"/>
      <c r="N248" s="38"/>
      <c r="O248" s="38"/>
      <c r="P248" s="38"/>
      <c r="Q248" s="39"/>
      <c r="R248" s="39"/>
      <c r="T248" s="39"/>
      <c r="U248" s="39"/>
      <c r="V248" s="39"/>
      <c r="W248" s="39"/>
      <c r="X248" s="39"/>
      <c r="Y248" s="39"/>
    </row>
    <row r="249" spans="3:25" ht="11.1" customHeight="1">
      <c r="C249" s="39"/>
      <c r="E249" s="36"/>
      <c r="G249" s="76"/>
      <c r="H249" s="76"/>
      <c r="I249" s="76"/>
      <c r="J249" s="76"/>
      <c r="K249" s="76"/>
      <c r="L249" s="37"/>
      <c r="M249" s="37"/>
      <c r="N249" s="38"/>
      <c r="O249" s="38"/>
      <c r="P249" s="38"/>
      <c r="Q249" s="39"/>
      <c r="R249" s="39"/>
      <c r="T249" s="39"/>
      <c r="U249" s="39"/>
      <c r="V249" s="39"/>
      <c r="W249" s="39"/>
      <c r="X249" s="39"/>
      <c r="Y249" s="39"/>
    </row>
    <row r="250" spans="3:25" ht="11.1" customHeight="1">
      <c r="C250" s="39"/>
      <c r="E250" s="36"/>
      <c r="G250" s="76"/>
      <c r="H250" s="76"/>
      <c r="I250" s="76"/>
      <c r="J250" s="76"/>
      <c r="K250" s="76"/>
      <c r="L250" s="37"/>
      <c r="M250" s="37"/>
      <c r="N250" s="38"/>
      <c r="O250" s="38"/>
      <c r="P250" s="38"/>
      <c r="Q250" s="39"/>
      <c r="R250" s="39"/>
      <c r="T250" s="39"/>
      <c r="U250" s="39"/>
      <c r="V250" s="39"/>
      <c r="W250" s="39"/>
      <c r="X250" s="39"/>
      <c r="Y250" s="39"/>
    </row>
    <row r="251" spans="3:25" ht="11.1" customHeight="1">
      <c r="C251" s="39"/>
      <c r="E251" s="36"/>
      <c r="G251" s="76"/>
      <c r="H251" s="76"/>
      <c r="I251" s="76"/>
      <c r="J251" s="76"/>
      <c r="K251" s="76"/>
      <c r="L251" s="37"/>
      <c r="M251" s="37"/>
      <c r="N251" s="38"/>
      <c r="O251" s="38"/>
      <c r="P251" s="38"/>
      <c r="Q251" s="39"/>
      <c r="R251" s="39"/>
      <c r="T251" s="39"/>
      <c r="U251" s="39"/>
      <c r="V251" s="39"/>
      <c r="W251" s="39"/>
      <c r="X251" s="39"/>
      <c r="Y251" s="39"/>
    </row>
    <row r="252" spans="3:25" ht="11.1" customHeight="1">
      <c r="C252" s="39"/>
      <c r="E252" s="36"/>
      <c r="G252" s="76"/>
      <c r="H252" s="76"/>
      <c r="I252" s="76"/>
      <c r="J252" s="76"/>
      <c r="K252" s="76"/>
      <c r="L252" s="37"/>
      <c r="M252" s="37"/>
      <c r="N252" s="38"/>
      <c r="O252" s="38"/>
      <c r="P252" s="38"/>
      <c r="Q252" s="39"/>
      <c r="R252" s="39"/>
      <c r="T252" s="39"/>
      <c r="U252" s="39"/>
      <c r="V252" s="39"/>
      <c r="W252" s="39"/>
      <c r="X252" s="39"/>
      <c r="Y252" s="39"/>
    </row>
    <row r="253" spans="3:25" ht="11.1" customHeight="1">
      <c r="C253" s="39"/>
      <c r="E253" s="36"/>
      <c r="G253" s="76"/>
      <c r="H253" s="76"/>
      <c r="I253" s="76"/>
      <c r="J253" s="76"/>
      <c r="K253" s="76"/>
      <c r="L253" s="37"/>
      <c r="M253" s="37"/>
      <c r="N253" s="38"/>
      <c r="O253" s="38"/>
      <c r="P253" s="38"/>
      <c r="Q253" s="39"/>
      <c r="R253" s="39"/>
      <c r="T253" s="39"/>
      <c r="U253" s="39"/>
      <c r="V253" s="39"/>
      <c r="W253" s="39"/>
      <c r="X253" s="39"/>
      <c r="Y253" s="39"/>
    </row>
    <row r="254" spans="3:25" ht="11.1" customHeight="1">
      <c r="C254" s="39"/>
      <c r="E254" s="36"/>
      <c r="G254" s="76"/>
      <c r="H254" s="76"/>
      <c r="I254" s="76"/>
      <c r="J254" s="76"/>
      <c r="K254" s="76"/>
      <c r="L254" s="37"/>
      <c r="M254" s="37"/>
      <c r="N254" s="38"/>
      <c r="O254" s="38"/>
      <c r="P254" s="38"/>
      <c r="Q254" s="39"/>
      <c r="R254" s="39"/>
      <c r="T254" s="39"/>
      <c r="U254" s="39"/>
      <c r="V254" s="39"/>
      <c r="W254" s="39"/>
      <c r="X254" s="39"/>
      <c r="Y254" s="39"/>
    </row>
    <row r="255" spans="3:25" ht="11.1" customHeight="1">
      <c r="C255" s="39"/>
      <c r="E255" s="36"/>
      <c r="G255" s="76"/>
      <c r="H255" s="76"/>
      <c r="I255" s="76"/>
      <c r="J255" s="76"/>
      <c r="K255" s="76"/>
      <c r="L255" s="37"/>
      <c r="M255" s="37"/>
      <c r="N255" s="38"/>
      <c r="O255" s="38"/>
      <c r="P255" s="38"/>
      <c r="Q255" s="39"/>
      <c r="R255" s="39"/>
      <c r="T255" s="39"/>
      <c r="U255" s="39"/>
      <c r="V255" s="39"/>
      <c r="W255" s="39"/>
      <c r="X255" s="39"/>
      <c r="Y255" s="39"/>
    </row>
    <row r="256" spans="3:25" ht="11.1" customHeight="1">
      <c r="C256" s="39"/>
      <c r="E256" s="36"/>
      <c r="G256" s="76"/>
      <c r="H256" s="76"/>
      <c r="I256" s="76"/>
      <c r="J256" s="76"/>
      <c r="K256" s="76"/>
      <c r="L256" s="37"/>
      <c r="M256" s="37"/>
      <c r="N256" s="38"/>
      <c r="O256" s="38"/>
      <c r="P256" s="38"/>
      <c r="Q256" s="39"/>
      <c r="R256" s="39"/>
      <c r="T256" s="39"/>
      <c r="U256" s="39"/>
      <c r="V256" s="39"/>
      <c r="W256" s="39"/>
      <c r="X256" s="39"/>
      <c r="Y256" s="39"/>
    </row>
    <row r="257" spans="3:25" ht="11.1" customHeight="1">
      <c r="C257" s="39"/>
      <c r="E257" s="36"/>
      <c r="G257" s="76"/>
      <c r="H257" s="76"/>
      <c r="I257" s="76"/>
      <c r="J257" s="76"/>
      <c r="K257" s="76"/>
      <c r="L257" s="37"/>
      <c r="M257" s="37"/>
      <c r="N257" s="38"/>
      <c r="O257" s="38"/>
      <c r="P257" s="38"/>
      <c r="Q257" s="39"/>
      <c r="R257" s="39"/>
      <c r="T257" s="39"/>
      <c r="U257" s="39"/>
      <c r="V257" s="39"/>
      <c r="W257" s="39"/>
      <c r="X257" s="39"/>
      <c r="Y257" s="39"/>
    </row>
    <row r="258" spans="3:25" ht="11.1" customHeight="1">
      <c r="C258" s="39"/>
      <c r="E258" s="36"/>
      <c r="G258" s="76"/>
      <c r="H258" s="76"/>
      <c r="I258" s="76"/>
      <c r="J258" s="76"/>
      <c r="K258" s="76"/>
      <c r="L258" s="37"/>
      <c r="M258" s="37"/>
      <c r="N258" s="38"/>
      <c r="O258" s="38"/>
      <c r="P258" s="38"/>
      <c r="Q258" s="39"/>
      <c r="R258" s="39"/>
      <c r="T258" s="39"/>
      <c r="U258" s="39"/>
      <c r="V258" s="39"/>
      <c r="W258" s="39"/>
      <c r="X258" s="39"/>
      <c r="Y258" s="39"/>
    </row>
    <row r="259" spans="3:25" ht="11.1" customHeight="1">
      <c r="C259" s="39"/>
      <c r="E259" s="36"/>
      <c r="G259" s="76"/>
      <c r="H259" s="76"/>
      <c r="I259" s="76"/>
      <c r="J259" s="76"/>
      <c r="K259" s="76"/>
      <c r="L259" s="37"/>
      <c r="M259" s="37"/>
      <c r="N259" s="38"/>
      <c r="O259" s="38"/>
      <c r="P259" s="38"/>
      <c r="Q259" s="39"/>
      <c r="R259" s="39"/>
      <c r="T259" s="39"/>
      <c r="U259" s="39"/>
      <c r="V259" s="39"/>
      <c r="W259" s="39"/>
      <c r="X259" s="39"/>
      <c r="Y259" s="39"/>
    </row>
    <row r="260" spans="3:25" ht="11.1" customHeight="1">
      <c r="C260" s="39"/>
      <c r="E260" s="36"/>
      <c r="G260" s="76"/>
      <c r="H260" s="76"/>
      <c r="I260" s="76"/>
      <c r="J260" s="76"/>
      <c r="K260" s="76"/>
      <c r="L260" s="37"/>
      <c r="M260" s="37"/>
      <c r="N260" s="38"/>
      <c r="O260" s="38"/>
      <c r="P260" s="38"/>
      <c r="Q260" s="39"/>
      <c r="R260" s="39"/>
      <c r="T260" s="39"/>
      <c r="U260" s="39"/>
      <c r="V260" s="39"/>
      <c r="W260" s="39"/>
      <c r="X260" s="39"/>
      <c r="Y260" s="39"/>
    </row>
    <row r="261" spans="3:25" ht="11.1" customHeight="1">
      <c r="C261" s="39"/>
      <c r="E261" s="36"/>
      <c r="G261" s="76"/>
      <c r="H261" s="76"/>
      <c r="I261" s="76"/>
      <c r="J261" s="76"/>
      <c r="K261" s="76"/>
      <c r="L261" s="37"/>
      <c r="M261" s="37"/>
      <c r="N261" s="38"/>
      <c r="O261" s="38"/>
      <c r="P261" s="38"/>
      <c r="Q261" s="39"/>
      <c r="R261" s="39"/>
      <c r="T261" s="39"/>
      <c r="U261" s="39"/>
      <c r="V261" s="39"/>
      <c r="W261" s="39"/>
      <c r="X261" s="39"/>
      <c r="Y261" s="39"/>
    </row>
    <row r="262" spans="3:25" ht="11.1" customHeight="1">
      <c r="C262" s="39"/>
      <c r="E262" s="36"/>
      <c r="G262" s="76"/>
      <c r="H262" s="76"/>
      <c r="I262" s="76"/>
      <c r="J262" s="76"/>
      <c r="K262" s="76"/>
      <c r="L262" s="37"/>
      <c r="M262" s="37"/>
      <c r="N262" s="38"/>
      <c r="O262" s="38"/>
      <c r="P262" s="38"/>
      <c r="Q262" s="39"/>
      <c r="R262" s="39"/>
      <c r="T262" s="39"/>
      <c r="U262" s="39"/>
      <c r="V262" s="39"/>
      <c r="W262" s="39"/>
      <c r="X262" s="39"/>
      <c r="Y262" s="39"/>
    </row>
    <row r="263" spans="3:25" ht="11.1" customHeight="1">
      <c r="C263" s="39"/>
      <c r="E263" s="36"/>
      <c r="G263" s="76"/>
      <c r="H263" s="76"/>
      <c r="I263" s="76"/>
      <c r="J263" s="76"/>
      <c r="K263" s="76"/>
      <c r="L263" s="37"/>
      <c r="M263" s="37"/>
      <c r="N263" s="38"/>
      <c r="O263" s="38"/>
      <c r="P263" s="38"/>
      <c r="Q263" s="39"/>
      <c r="R263" s="39"/>
      <c r="T263" s="39"/>
      <c r="U263" s="39"/>
      <c r="V263" s="39"/>
      <c r="W263" s="39"/>
      <c r="X263" s="39"/>
      <c r="Y263" s="39"/>
    </row>
  </sheetData>
  <mergeCells count="10">
    <mergeCell ref="Q4:Q6"/>
    <mergeCell ref="S4:S6"/>
    <mergeCell ref="T4:T6"/>
    <mergeCell ref="Y4:Y6"/>
    <mergeCell ref="E4:E6"/>
    <mergeCell ref="F4:F6"/>
    <mergeCell ref="G4:G6"/>
    <mergeCell ref="K4:K6"/>
    <mergeCell ref="L4:L6"/>
    <mergeCell ref="P4:P6"/>
  </mergeCells>
  <printOptions horizontalCentered="1" verticalCentered="1"/>
  <pageMargins left="0.25" right="0.25" top="0.25" bottom="0.25" header="0" footer="0"/>
  <pageSetup scale="70" fitToHeight="2" orientation="landscape" r:id="rId1"/>
  <headerFooter scaleWithDoc="0"/>
  <rowBreaks count="1" manualBreakCount="1">
    <brk id="45"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A263"/>
  <sheetViews>
    <sheetView showGridLines="0" zoomScaleNormal="100" zoomScaleSheetLayoutView="85" workbookViewId="0"/>
  </sheetViews>
  <sheetFormatPr defaultColWidth="12.42578125" defaultRowHeight="11.1" customHeight="1"/>
  <cols>
    <col min="1" max="1" width="7.42578125" style="637" customWidth="1"/>
    <col min="2" max="2" width="1.5703125" style="39" customWidth="1"/>
    <col min="3" max="3" width="33.7109375" style="101" customWidth="1"/>
    <col min="4" max="4" width="1.5703125" style="36" customWidth="1"/>
    <col min="5" max="5" width="11.85546875" style="99" customWidth="1"/>
    <col min="6" max="6" width="11.85546875" style="76" customWidth="1"/>
    <col min="7" max="7" width="11.85546875" style="103" customWidth="1"/>
    <col min="8" max="9" width="13.42578125" style="103" hidden="1" customWidth="1"/>
    <col min="10" max="10" width="11.85546875" style="103" hidden="1" customWidth="1"/>
    <col min="11" max="11" width="11.85546875" style="103" customWidth="1"/>
    <col min="12" max="12" width="11.85546875" style="104" customWidth="1"/>
    <col min="13" max="13" width="1.5703125" style="104" customWidth="1"/>
    <col min="14" max="14" width="7.42578125" style="102" customWidth="1"/>
    <col min="15" max="15" width="1.5703125" style="102" customWidth="1"/>
    <col min="16" max="16" width="11.85546875" style="102" customWidth="1"/>
    <col min="17" max="17" width="11.85546875" style="101" customWidth="1"/>
    <col min="18" max="18" width="1.5703125" style="101" customWidth="1"/>
    <col min="19" max="19" width="11.85546875" style="39" customWidth="1"/>
    <col min="20" max="20" width="11.85546875" style="101" customWidth="1"/>
    <col min="21" max="21" width="1.5703125" style="101" customWidth="1"/>
    <col min="22" max="22" width="9.5703125" style="101" hidden="1" customWidth="1"/>
    <col min="23" max="23" width="10.85546875" style="101" hidden="1" customWidth="1"/>
    <col min="24" max="24" width="1.5703125" style="101" hidden="1" customWidth="1"/>
    <col min="25" max="25" width="11.85546875" style="101" customWidth="1"/>
    <col min="26" max="16384" width="12.42578125" style="39"/>
  </cols>
  <sheetData>
    <row r="1" spans="1:27" s="38" customFormat="1" ht="18.75">
      <c r="A1" s="666" t="s">
        <v>75</v>
      </c>
      <c r="B1" s="669" t="s">
        <v>549</v>
      </c>
      <c r="C1" s="667"/>
      <c r="D1" s="667"/>
      <c r="E1" s="667"/>
      <c r="F1" s="667"/>
      <c r="G1" s="667"/>
      <c r="H1" s="667"/>
      <c r="I1" s="667"/>
      <c r="J1" s="667"/>
      <c r="K1" s="667"/>
      <c r="L1" s="667"/>
      <c r="M1" s="667"/>
      <c r="N1" s="667"/>
      <c r="O1" s="667"/>
      <c r="P1" s="667"/>
      <c r="Q1" s="667"/>
      <c r="R1" s="667"/>
      <c r="S1" s="667"/>
      <c r="T1" s="667"/>
      <c r="U1" s="667"/>
      <c r="V1" s="667"/>
      <c r="W1" s="667"/>
      <c r="X1" s="667"/>
      <c r="Y1" s="667"/>
    </row>
    <row r="2" spans="1:27" s="445" customFormat="1" ht="15">
      <c r="B2" s="449"/>
      <c r="C2" s="597"/>
      <c r="D2" s="598"/>
      <c r="E2" s="599"/>
      <c r="F2" s="599"/>
      <c r="G2" s="599"/>
      <c r="H2" s="599"/>
      <c r="I2" s="599"/>
      <c r="J2" s="599"/>
      <c r="K2" s="599"/>
      <c r="L2" s="599"/>
      <c r="M2" s="549"/>
      <c r="N2" s="449"/>
      <c r="O2" s="449"/>
      <c r="P2" s="597"/>
      <c r="Q2" s="600"/>
      <c r="R2" s="600"/>
      <c r="S2" s="449"/>
      <c r="T2" s="449"/>
      <c r="U2" s="449"/>
      <c r="V2" s="449"/>
      <c r="W2" s="601"/>
      <c r="X2" s="601"/>
      <c r="Y2" s="449"/>
    </row>
    <row r="3" spans="1:27" s="617" customFormat="1" ht="15">
      <c r="B3" s="618"/>
      <c r="C3" s="619" t="s">
        <v>304</v>
      </c>
      <c r="D3" s="598"/>
      <c r="E3" s="620" t="s">
        <v>497</v>
      </c>
      <c r="F3" s="621"/>
      <c r="G3" s="621"/>
      <c r="H3" s="621"/>
      <c r="I3" s="621"/>
      <c r="J3" s="621"/>
      <c r="K3" s="621"/>
      <c r="L3" s="602"/>
      <c r="M3" s="622"/>
      <c r="N3" s="600"/>
      <c r="O3" s="600"/>
      <c r="P3" s="620" t="s">
        <v>499</v>
      </c>
      <c r="Q3" s="602"/>
      <c r="R3" s="600"/>
      <c r="S3" s="620" t="s">
        <v>498</v>
      </c>
      <c r="T3" s="602"/>
      <c r="U3" s="623"/>
      <c r="V3" s="620" t="s">
        <v>500</v>
      </c>
      <c r="W3" s="624"/>
      <c r="X3" s="625"/>
      <c r="Y3" s="626" t="s">
        <v>501</v>
      </c>
    </row>
    <row r="4" spans="1:27" s="617" customFormat="1" ht="41.25" customHeight="1">
      <c r="B4" s="600"/>
      <c r="C4" s="724"/>
      <c r="D4" s="598"/>
      <c r="E4" s="758" t="s">
        <v>539</v>
      </c>
      <c r="F4" s="761" t="s">
        <v>536</v>
      </c>
      <c r="G4" s="764" t="s">
        <v>429</v>
      </c>
      <c r="H4" s="621"/>
      <c r="I4" s="621"/>
      <c r="J4" s="725"/>
      <c r="K4" s="761" t="s">
        <v>320</v>
      </c>
      <c r="L4" s="767" t="s">
        <v>538</v>
      </c>
      <c r="M4" s="622"/>
      <c r="N4" s="559" t="s">
        <v>524</v>
      </c>
      <c r="O4" s="600"/>
      <c r="P4" s="776" t="s">
        <v>432</v>
      </c>
      <c r="Q4" s="755" t="s">
        <v>433</v>
      </c>
      <c r="R4" s="600"/>
      <c r="S4" s="755" t="s">
        <v>537</v>
      </c>
      <c r="T4" s="749" t="s">
        <v>506</v>
      </c>
      <c r="U4" s="623"/>
      <c r="V4" s="725"/>
      <c r="W4" s="726"/>
      <c r="X4" s="625"/>
      <c r="Y4" s="755" t="s">
        <v>550</v>
      </c>
    </row>
    <row r="5" spans="1:27" s="617" customFormat="1" ht="18" customHeight="1">
      <c r="A5" s="603" t="s">
        <v>2</v>
      </c>
      <c r="B5" s="600"/>
      <c r="C5" s="724"/>
      <c r="D5" s="598"/>
      <c r="E5" s="759"/>
      <c r="F5" s="762"/>
      <c r="G5" s="765"/>
      <c r="H5" s="621"/>
      <c r="I5" s="621"/>
      <c r="J5" s="725"/>
      <c r="K5" s="762"/>
      <c r="L5" s="768"/>
      <c r="M5" s="622"/>
      <c r="N5" s="727" t="s">
        <v>544</v>
      </c>
      <c r="O5" s="600"/>
      <c r="P5" s="777"/>
      <c r="Q5" s="756"/>
      <c r="R5" s="600"/>
      <c r="S5" s="756"/>
      <c r="T5" s="750"/>
      <c r="U5" s="623"/>
      <c r="V5" s="725"/>
      <c r="W5" s="726"/>
      <c r="X5" s="625"/>
      <c r="Y5" s="756"/>
    </row>
    <row r="6" spans="1:27" s="432" customFormat="1" ht="16.5" customHeight="1">
      <c r="A6" s="603" t="s">
        <v>542</v>
      </c>
      <c r="B6" s="445"/>
      <c r="C6" s="596" t="s">
        <v>233</v>
      </c>
      <c r="D6" s="593"/>
      <c r="E6" s="760"/>
      <c r="F6" s="763"/>
      <c r="G6" s="766"/>
      <c r="H6" s="729" t="s">
        <v>431</v>
      </c>
      <c r="I6" s="560" t="s">
        <v>426</v>
      </c>
      <c r="J6" s="686" t="s">
        <v>521</v>
      </c>
      <c r="K6" s="763"/>
      <c r="L6" s="769"/>
      <c r="M6" s="594"/>
      <c r="N6" s="728">
        <v>4.33</v>
      </c>
      <c r="O6" s="595"/>
      <c r="P6" s="778"/>
      <c r="Q6" s="757"/>
      <c r="R6" s="551"/>
      <c r="S6" s="757"/>
      <c r="T6" s="751"/>
      <c r="U6" s="551"/>
      <c r="V6" s="448" t="s">
        <v>434</v>
      </c>
      <c r="W6" s="448" t="s">
        <v>435</v>
      </c>
      <c r="X6" s="448"/>
      <c r="Y6" s="757"/>
    </row>
    <row r="7" spans="1:27" s="433" customFormat="1" ht="15">
      <c r="D7" s="434"/>
      <c r="E7" s="450" t="s">
        <v>80</v>
      </c>
      <c r="F7" s="604" t="s">
        <v>81</v>
      </c>
      <c r="G7" s="604" t="s">
        <v>122</v>
      </c>
      <c r="H7" s="604" t="s">
        <v>82</v>
      </c>
      <c r="I7" s="449" t="s">
        <v>520</v>
      </c>
      <c r="J7" s="449" t="s">
        <v>123</v>
      </c>
      <c r="K7" s="449" t="s">
        <v>124</v>
      </c>
      <c r="L7" s="605" t="s">
        <v>125</v>
      </c>
      <c r="M7" s="438"/>
      <c r="N7" s="605" t="s">
        <v>126</v>
      </c>
      <c r="O7" s="439"/>
      <c r="P7" s="605" t="s">
        <v>127</v>
      </c>
      <c r="Q7" s="605" t="s">
        <v>128</v>
      </c>
      <c r="R7" s="434"/>
      <c r="S7" s="605" t="s">
        <v>225</v>
      </c>
      <c r="T7" s="605" t="s">
        <v>413</v>
      </c>
      <c r="U7" s="605"/>
      <c r="V7" s="605" t="s">
        <v>414</v>
      </c>
      <c r="W7" s="605" t="s">
        <v>430</v>
      </c>
      <c r="X7" s="605"/>
      <c r="Y7" s="605" t="s">
        <v>436</v>
      </c>
    </row>
    <row r="8" spans="1:27" s="433" customFormat="1" ht="15.75" customHeight="1">
      <c r="B8" s="432" t="s">
        <v>0</v>
      </c>
      <c r="D8" s="434"/>
      <c r="E8" s="435"/>
      <c r="F8" s="436"/>
      <c r="G8" s="436"/>
      <c r="H8" s="436"/>
      <c r="I8" s="436"/>
      <c r="J8" s="436"/>
      <c r="K8" s="436"/>
      <c r="L8" s="468"/>
      <c r="M8" s="438"/>
      <c r="N8" s="432"/>
      <c r="O8" s="439"/>
      <c r="P8" s="432"/>
      <c r="R8" s="434"/>
      <c r="U8" s="434"/>
    </row>
    <row r="9" spans="1:27" s="433" customFormat="1" ht="15.75" customHeight="1">
      <c r="A9" s="638">
        <f t="shared" ref="A9:A14" ca="1" si="0">+MAX(OFFSET(A$1,0,0,ROW(A9)-ROW(A$1)))+1</f>
        <v>1</v>
      </c>
      <c r="B9" s="432" t="s">
        <v>65</v>
      </c>
      <c r="C9" s="432"/>
      <c r="D9" s="434"/>
      <c r="E9" s="573">
        <f>+'[6]Exh. No. BGM-3 4'!$AC$14</f>
        <v>492413</v>
      </c>
      <c r="F9" s="573"/>
      <c r="G9" s="573"/>
      <c r="H9" s="573"/>
      <c r="I9" s="573"/>
      <c r="J9" s="573">
        <f>+'[7]Attrition 12.2015 to 2018'!$I7</f>
        <v>0</v>
      </c>
      <c r="K9" s="573">
        <f>+'[6]Exh. No. BGM-3 4'!$AK$14</f>
        <v>-1225</v>
      </c>
      <c r="L9" s="573">
        <f>SUM(E9:K9)</f>
        <v>491188</v>
      </c>
      <c r="M9" s="438"/>
      <c r="N9" s="509">
        <f>-'[8]ADJ DETAIL-INPUT-Restate'!$AJ$67*'2) ROR'!D19/2.33*N6</f>
        <v>1.906766821831473E-2</v>
      </c>
      <c r="O9" s="439"/>
      <c r="P9" s="573">
        <f>+L9*N9</f>
        <v>9365.8098168175766</v>
      </c>
      <c r="Q9" s="574">
        <f>L9+P9</f>
        <v>500553.80981681758</v>
      </c>
      <c r="R9" s="573"/>
      <c r="S9" s="573"/>
      <c r="T9" s="607"/>
      <c r="U9" s="573"/>
      <c r="V9" s="573"/>
      <c r="W9" s="573"/>
      <c r="X9" s="573"/>
      <c r="Y9" s="562">
        <f>Q9+S9+T9+W9+V9</f>
        <v>500553.80981681758</v>
      </c>
      <c r="AA9" s="608"/>
    </row>
    <row r="10" spans="1:27" s="433" customFormat="1" ht="15.75" customHeight="1">
      <c r="A10" s="638">
        <f t="shared" ca="1" si="0"/>
        <v>2</v>
      </c>
      <c r="B10" s="432" t="s">
        <v>64</v>
      </c>
      <c r="C10" s="432"/>
      <c r="D10" s="434"/>
      <c r="E10" s="561">
        <f>+'[6]Exh. No. BGM-3 4'!$AC$15</f>
        <v>946</v>
      </c>
      <c r="F10" s="561"/>
      <c r="G10" s="561"/>
      <c r="H10" s="561"/>
      <c r="I10" s="561"/>
      <c r="J10" s="561">
        <f>+'[7]Attrition 12.2015 to 2018'!$I8</f>
        <v>0</v>
      </c>
      <c r="K10" s="561">
        <v>0</v>
      </c>
      <c r="L10" s="570">
        <f>SUM(E10:K10)</f>
        <v>946</v>
      </c>
      <c r="M10" s="438"/>
      <c r="N10" s="509">
        <f>N9</f>
        <v>1.906766821831473E-2</v>
      </c>
      <c r="O10" s="439"/>
      <c r="P10" s="561">
        <f>+L10*N10</f>
        <v>18.038014134525735</v>
      </c>
      <c r="Q10" s="562">
        <f>L10+P10</f>
        <v>964.03801413452572</v>
      </c>
      <c r="R10" s="561"/>
      <c r="S10" s="562"/>
      <c r="T10" s="584"/>
      <c r="U10" s="561"/>
      <c r="V10" s="561"/>
      <c r="W10" s="561"/>
      <c r="X10" s="561"/>
      <c r="Y10" s="562">
        <f>Q10+S10+T10+W10+V10</f>
        <v>964.03801413452572</v>
      </c>
    </row>
    <row r="11" spans="1:27" s="433" customFormat="1" ht="15.75" customHeight="1">
      <c r="A11" s="638">
        <f t="shared" ca="1" si="0"/>
        <v>3</v>
      </c>
      <c r="B11" s="432" t="s">
        <v>63</v>
      </c>
      <c r="C11" s="432"/>
      <c r="D11" s="434"/>
      <c r="E11" s="561">
        <f>+'[6]Exh. No. BGM-3 4'!$AC$16</f>
        <v>57325</v>
      </c>
      <c r="F11" s="564">
        <f>-'[9]PF Power Supply Adjustments'!$F$13</f>
        <v>-78098</v>
      </c>
      <c r="G11" s="561"/>
      <c r="H11" s="561"/>
      <c r="I11" s="561"/>
      <c r="J11" s="561">
        <f>+'[7]Attrition 12.2015 to 2018'!$I9</f>
        <v>0</v>
      </c>
      <c r="K11" s="561">
        <v>0</v>
      </c>
      <c r="L11" s="570">
        <f>SUM(E11:K11)</f>
        <v>-20773</v>
      </c>
      <c r="M11" s="438"/>
      <c r="N11" s="441"/>
      <c r="O11" s="439"/>
      <c r="P11" s="563"/>
      <c r="Q11" s="564"/>
      <c r="R11" s="561"/>
      <c r="S11" s="564">
        <f>+'[9]PF Power Supply Adjustments'!$O$13</f>
        <v>57325</v>
      </c>
      <c r="T11" s="564">
        <v>0</v>
      </c>
      <c r="U11" s="561"/>
      <c r="V11" s="561"/>
      <c r="W11" s="564"/>
      <c r="X11" s="564"/>
      <c r="Y11" s="564">
        <f>Q11+S11+T11+W11+V11</f>
        <v>57325</v>
      </c>
    </row>
    <row r="12" spans="1:27" s="433" customFormat="1" ht="15.75" customHeight="1">
      <c r="A12" s="638">
        <f t="shared" ca="1" si="0"/>
        <v>4</v>
      </c>
      <c r="B12" s="432" t="s">
        <v>110</v>
      </c>
      <c r="C12" s="432"/>
      <c r="D12" s="434"/>
      <c r="E12" s="566">
        <f>SUM(E9:E11)</f>
        <v>550684</v>
      </c>
      <c r="F12" s="570">
        <f>F11+F10+F9</f>
        <v>-78098</v>
      </c>
      <c r="G12" s="565"/>
      <c r="H12" s="565"/>
      <c r="I12" s="565"/>
      <c r="J12" s="566">
        <f>SUM(J9:J11)</f>
        <v>0</v>
      </c>
      <c r="K12" s="565">
        <f>K11+K10+K9</f>
        <v>-1225</v>
      </c>
      <c r="L12" s="565">
        <f>L11+L10+L9</f>
        <v>471361</v>
      </c>
      <c r="M12" s="438"/>
      <c r="N12" s="439"/>
      <c r="O12" s="439"/>
      <c r="P12" s="565">
        <f>P11+P10+P9</f>
        <v>9383.8478309521015</v>
      </c>
      <c r="Q12" s="565">
        <f>Q11+Q10+Q9</f>
        <v>501517.84783095209</v>
      </c>
      <c r="R12" s="561"/>
      <c r="S12" s="562">
        <f>S9+S10+S11</f>
        <v>57325</v>
      </c>
      <c r="T12" s="562">
        <f>T9+T10+T11</f>
        <v>0</v>
      </c>
      <c r="U12" s="561"/>
      <c r="V12" s="566">
        <f>V9+V10+V11</f>
        <v>0</v>
      </c>
      <c r="W12" s="562"/>
      <c r="X12" s="562"/>
      <c r="Y12" s="562">
        <f>Y9+Y10+Y11</f>
        <v>558842.84783095215</v>
      </c>
    </row>
    <row r="13" spans="1:27" s="433" customFormat="1" ht="15.75" customHeight="1">
      <c r="A13" s="638">
        <f t="shared" ca="1" si="0"/>
        <v>5</v>
      </c>
      <c r="B13" s="432" t="s">
        <v>61</v>
      </c>
      <c r="C13" s="432"/>
      <c r="D13" s="434"/>
      <c r="E13" s="561">
        <f>+'[6]Exh. No. BGM-3 4'!$AC$18</f>
        <v>17116</v>
      </c>
      <c r="F13" s="564">
        <f>-'[9]PF Power Supply Adjustments'!$F$16-'[9]PF Power Supply Adjustments'!$F$19</f>
        <v>-67173</v>
      </c>
      <c r="G13" s="561"/>
      <c r="H13" s="561"/>
      <c r="I13" s="561"/>
      <c r="J13" s="561">
        <f>+'[7]Attrition 12.2015 to 2018'!$I11</f>
        <v>0</v>
      </c>
      <c r="K13" s="573">
        <f>+'[6]Exh. No. BGM-3 4'!$AK$18</f>
        <v>-3887</v>
      </c>
      <c r="L13" s="570">
        <f>SUM(E13:K13)</f>
        <v>-53944</v>
      </c>
      <c r="M13" s="438"/>
      <c r="N13" s="441">
        <v>0</v>
      </c>
      <c r="O13" s="439"/>
      <c r="P13" s="561">
        <f>+L13*N13</f>
        <v>0</v>
      </c>
      <c r="Q13" s="562">
        <f>L13+P13</f>
        <v>-53944</v>
      </c>
      <c r="R13" s="561"/>
      <c r="S13" s="564">
        <f>+'[9]PF Power Supply Adjustments'!$O$16</f>
        <v>10225</v>
      </c>
      <c r="T13" s="561">
        <v>0</v>
      </c>
      <c r="U13" s="561"/>
      <c r="V13" s="561"/>
      <c r="W13" s="564"/>
      <c r="X13" s="564"/>
      <c r="Y13" s="564">
        <f>L13+S13+T13+V13+W13</f>
        <v>-43719</v>
      </c>
    </row>
    <row r="14" spans="1:27" s="433" customFormat="1" ht="15">
      <c r="A14" s="638">
        <f t="shared" ca="1" si="0"/>
        <v>6</v>
      </c>
      <c r="B14" s="432" t="s">
        <v>60</v>
      </c>
      <c r="C14" s="432"/>
      <c r="D14" s="442"/>
      <c r="E14" s="566">
        <f>E12+E13</f>
        <v>567800</v>
      </c>
      <c r="F14" s="561">
        <f>F13+F12</f>
        <v>-145271</v>
      </c>
      <c r="G14" s="566">
        <f>G13+G12</f>
        <v>0</v>
      </c>
      <c r="H14" s="566">
        <f>H13+H12</f>
        <v>0</v>
      </c>
      <c r="I14" s="566">
        <f>I13+I12</f>
        <v>0</v>
      </c>
      <c r="J14" s="566">
        <f>J12+J13</f>
        <v>0</v>
      </c>
      <c r="K14" s="566">
        <f>K13+K12</f>
        <v>-5112</v>
      </c>
      <c r="L14" s="565">
        <f>L12+L13</f>
        <v>417417</v>
      </c>
      <c r="M14" s="438"/>
      <c r="N14" s="439"/>
      <c r="O14" s="439"/>
      <c r="P14" s="565">
        <f>P12+P13</f>
        <v>9383.8478309521015</v>
      </c>
      <c r="Q14" s="565">
        <f>Q12+Q13</f>
        <v>447573.84783095209</v>
      </c>
      <c r="R14" s="561"/>
      <c r="S14" s="561">
        <f>S13+S12</f>
        <v>67550</v>
      </c>
      <c r="T14" s="566">
        <f>T13+T12</f>
        <v>0</v>
      </c>
      <c r="U14" s="561"/>
      <c r="V14" s="566">
        <f>V13+V12</f>
        <v>0</v>
      </c>
      <c r="W14" s="561"/>
      <c r="X14" s="561"/>
      <c r="Y14" s="561">
        <f>Y13+Y12</f>
        <v>515123.84783095215</v>
      </c>
    </row>
    <row r="15" spans="1:27" s="433" customFormat="1" ht="15">
      <c r="A15" s="609"/>
      <c r="B15" s="432"/>
      <c r="C15" s="432"/>
      <c r="D15" s="442"/>
      <c r="E15" s="561"/>
      <c r="F15" s="561"/>
      <c r="G15" s="561"/>
      <c r="H15" s="561"/>
      <c r="I15" s="561"/>
      <c r="J15" s="561"/>
      <c r="K15" s="561"/>
      <c r="L15" s="570"/>
      <c r="M15" s="438"/>
      <c r="N15" s="439"/>
      <c r="O15" s="439"/>
      <c r="P15" s="568"/>
      <c r="Q15" s="562"/>
      <c r="R15" s="561"/>
      <c r="S15" s="561"/>
      <c r="T15" s="561"/>
      <c r="U15" s="561"/>
      <c r="V15" s="561"/>
      <c r="W15" s="561"/>
      <c r="X15" s="561"/>
      <c r="Y15" s="562"/>
    </row>
    <row r="16" spans="1:27" s="433" customFormat="1" ht="15.75" customHeight="1">
      <c r="A16" s="638">
        <f t="shared" ref="A16:A23" ca="1" si="1">+MAX(OFFSET(A$1,0,0,ROW(A16)-ROW(A$1)))+1</f>
        <v>7</v>
      </c>
      <c r="B16" s="432" t="s">
        <v>59</v>
      </c>
      <c r="C16" s="432"/>
      <c r="D16" s="442"/>
      <c r="E16" s="561"/>
      <c r="F16" s="561"/>
      <c r="G16" s="561"/>
      <c r="H16" s="561"/>
      <c r="I16" s="561"/>
      <c r="J16" s="561"/>
      <c r="K16" s="561"/>
      <c r="L16" s="570"/>
      <c r="M16" s="438"/>
      <c r="N16" s="439"/>
      <c r="O16" s="439"/>
      <c r="P16" s="568"/>
      <c r="Q16" s="562"/>
      <c r="R16" s="561"/>
      <c r="S16" s="561"/>
      <c r="T16" s="561"/>
      <c r="U16" s="561"/>
      <c r="V16" s="561"/>
      <c r="W16" s="561"/>
      <c r="X16" s="561"/>
      <c r="Y16" s="562"/>
    </row>
    <row r="17" spans="1:25" s="433" customFormat="1" ht="15.75" customHeight="1">
      <c r="A17" s="638">
        <f t="shared" ca="1" si="1"/>
        <v>8</v>
      </c>
      <c r="B17" s="432" t="s">
        <v>58</v>
      </c>
      <c r="C17" s="432"/>
      <c r="D17" s="442"/>
      <c r="E17" s="561"/>
      <c r="F17" s="561"/>
      <c r="G17" s="561"/>
      <c r="H17" s="561"/>
      <c r="I17" s="561"/>
      <c r="J17" s="561"/>
      <c r="K17" s="561"/>
      <c r="L17" s="570"/>
      <c r="M17" s="438"/>
      <c r="N17" s="439"/>
      <c r="O17" s="439"/>
      <c r="P17" s="569"/>
      <c r="Q17" s="562"/>
      <c r="R17" s="561"/>
      <c r="S17" s="561"/>
      <c r="T17" s="561"/>
      <c r="U17" s="561"/>
      <c r="V17" s="561"/>
      <c r="W17" s="561"/>
      <c r="X17" s="561"/>
      <c r="Y17" s="562"/>
    </row>
    <row r="18" spans="1:25" s="433" customFormat="1" ht="15.75" customHeight="1">
      <c r="A18" s="638">
        <f t="shared" ca="1" si="1"/>
        <v>9</v>
      </c>
      <c r="B18" s="432"/>
      <c r="C18" s="432" t="s">
        <v>519</v>
      </c>
      <c r="D18" s="442"/>
      <c r="E18" s="561">
        <f>+'[6]Exh. No. BGM-3 4'!$AC$23</f>
        <v>134600</v>
      </c>
      <c r="F18" s="561">
        <f>-'[9]PF Power Supply Adjustments'!$F$24-'[9]PF Power Supply Adjustments'!$F$26-'[9]PF Power Supply Adjustments'!$F$32-'[9]PF Power Supply Adjustments'!$F$33-'[9]PF Power Supply Adjustments'!$F$34</f>
        <v>-125275</v>
      </c>
      <c r="G18" s="561">
        <f>+'[6]Exh. No. BGM-3 4'!$AL$23</f>
        <v>-248</v>
      </c>
      <c r="H18" s="561"/>
      <c r="I18" s="561"/>
      <c r="J18" s="561">
        <f>+'[7]Attrition 12.2015 to 2018'!$I16</f>
        <v>0</v>
      </c>
      <c r="K18" s="561">
        <v>0</v>
      </c>
      <c r="L18" s="570">
        <f>SUM(E18:K18)</f>
        <v>9077</v>
      </c>
      <c r="M18" s="438"/>
      <c r="N18" s="509">
        <f ca="1">+'4.01'!$B$22*$N$6*'2) ROR'!D21</f>
        <v>0</v>
      </c>
      <c r="O18" s="444"/>
      <c r="P18" s="570">
        <f ca="1">N18*L18</f>
        <v>0</v>
      </c>
      <c r="Q18" s="562">
        <f ca="1">P18+L18</f>
        <v>9077</v>
      </c>
      <c r="R18" s="561"/>
      <c r="S18" s="561">
        <f>+'[9]PF Power Supply Adjustments'!$O$24+'[9]PF Power Supply Adjustments'!$O$26+'[9]PF Power Supply Adjustments'!$O$32+'[9]PF Power Supply Adjustments'!$O$33+'[9]PF Power Supply Adjustments'!$O$34</f>
        <v>79036</v>
      </c>
      <c r="T18" s="561">
        <v>0</v>
      </c>
      <c r="U18" s="561"/>
      <c r="V18" s="561"/>
      <c r="W18" s="561"/>
      <c r="X18" s="561"/>
      <c r="Y18" s="562">
        <f ca="1">Q18+S18+T18+W18+V18</f>
        <v>88113</v>
      </c>
    </row>
    <row r="19" spans="1:25" s="433" customFormat="1" ht="15.75" customHeight="1">
      <c r="A19" s="638">
        <f t="shared" ca="1" si="1"/>
        <v>10</v>
      </c>
      <c r="B19" s="432"/>
      <c r="C19" s="432" t="s">
        <v>57</v>
      </c>
      <c r="D19" s="442"/>
      <c r="E19" s="561">
        <f>+'[6]Exh. No. BGM-3 4'!$AC$24</f>
        <v>77131</v>
      </c>
      <c r="F19" s="561">
        <f>-'[9]PF Power Supply Adjustments'!$F$28</f>
        <v>-96773</v>
      </c>
      <c r="G19" s="561"/>
      <c r="H19" s="561"/>
      <c r="I19" s="561"/>
      <c r="J19" s="561">
        <f>+'[7]Attrition 12.2015 to 2018'!$I17</f>
        <v>0</v>
      </c>
      <c r="K19" s="561">
        <v>0</v>
      </c>
      <c r="L19" s="570">
        <f>SUM(E19:K19)</f>
        <v>-19642</v>
      </c>
      <c r="M19" s="438"/>
      <c r="N19" s="439"/>
      <c r="O19" s="439"/>
      <c r="P19" s="570">
        <f>N19*L19</f>
        <v>0</v>
      </c>
      <c r="Q19" s="562">
        <f>P19+L19</f>
        <v>-19642</v>
      </c>
      <c r="R19" s="561"/>
      <c r="S19" s="561">
        <f>+'[9]PF Power Supply Adjustments'!$O$28</f>
        <v>77131</v>
      </c>
      <c r="T19" s="561">
        <v>0</v>
      </c>
      <c r="U19" s="561"/>
      <c r="V19" s="561"/>
      <c r="W19" s="561"/>
      <c r="X19" s="561"/>
      <c r="Y19" s="562">
        <f>Q19+S19+T19+W19+V19</f>
        <v>57489</v>
      </c>
    </row>
    <row r="20" spans="1:25" s="433" customFormat="1" ht="15.75" customHeight="1">
      <c r="A20" s="638">
        <f t="shared" ca="1" si="1"/>
        <v>11</v>
      </c>
      <c r="B20" s="432"/>
      <c r="C20" s="432" t="s">
        <v>86</v>
      </c>
      <c r="D20" s="442"/>
      <c r="E20" s="561">
        <f>+'[6]Exh. No. BGM-3 4'!$AC$25</f>
        <v>26677</v>
      </c>
      <c r="F20" s="561"/>
      <c r="G20" s="561"/>
      <c r="H20" s="561"/>
      <c r="I20" s="571">
        <v>0</v>
      </c>
      <c r="J20" s="561">
        <f>+'[7]Attrition 12.2015 to 2018'!$I18</f>
        <v>0</v>
      </c>
      <c r="K20" s="561">
        <v>0</v>
      </c>
      <c r="L20" s="570">
        <f>SUM(E20:K20)</f>
        <v>26677</v>
      </c>
      <c r="M20" s="438"/>
      <c r="N20" s="509">
        <f ca="1">+'4.02'!B22*$N$6*'2) ROR'!D20</f>
        <v>0</v>
      </c>
      <c r="O20" s="444"/>
      <c r="P20" s="570">
        <f ca="1">N20*L20</f>
        <v>0</v>
      </c>
      <c r="Q20" s="562">
        <f ca="1">P20+L20</f>
        <v>26677</v>
      </c>
      <c r="R20" s="561"/>
      <c r="S20" s="561">
        <v>0</v>
      </c>
      <c r="T20" s="561"/>
      <c r="U20" s="561"/>
      <c r="V20" s="571">
        <v>0</v>
      </c>
      <c r="W20" s="561"/>
      <c r="X20" s="561"/>
      <c r="Y20" s="562">
        <f ca="1">Q20+S20+T20+W20+V20</f>
        <v>26677</v>
      </c>
    </row>
    <row r="21" spans="1:25" s="433" customFormat="1" ht="15.75" customHeight="1">
      <c r="A21" s="638">
        <f t="shared" ca="1" si="1"/>
        <v>12</v>
      </c>
      <c r="B21" s="432"/>
      <c r="C21" s="432" t="s">
        <v>87</v>
      </c>
      <c r="D21" s="442"/>
      <c r="E21" s="561">
        <f>+'[6]Exh. No. BGM-3 4'!$AC$26</f>
        <v>4705</v>
      </c>
      <c r="F21" s="561"/>
      <c r="G21" s="561">
        <f>+'[6]Exh. No. BGM-3 4'!$AL$26</f>
        <v>-1393</v>
      </c>
      <c r="H21" s="561"/>
      <c r="I21" s="561"/>
      <c r="J21" s="561">
        <f>+'[7]Attrition 12.2015 to 2018'!$I19</f>
        <v>0</v>
      </c>
      <c r="K21" s="561">
        <v>0</v>
      </c>
      <c r="L21" s="570">
        <f>SUM(E21:K21)</f>
        <v>3312</v>
      </c>
      <c r="M21" s="438"/>
      <c r="N21" s="444">
        <v>0</v>
      </c>
      <c r="O21" s="444"/>
      <c r="P21" s="570">
        <f>N21*L21</f>
        <v>0</v>
      </c>
      <c r="Q21" s="562">
        <f>P21+L21</f>
        <v>3312</v>
      </c>
      <c r="R21" s="561"/>
      <c r="S21" s="561">
        <v>0</v>
      </c>
      <c r="T21" s="561"/>
      <c r="U21" s="561"/>
      <c r="V21" s="561"/>
      <c r="W21" s="561"/>
      <c r="X21" s="561"/>
      <c r="Y21" s="562">
        <f>Q21+S21+T21+W21+V21</f>
        <v>3312</v>
      </c>
    </row>
    <row r="22" spans="1:25" s="433" customFormat="1" ht="15.75" customHeight="1">
      <c r="A22" s="638">
        <f t="shared" ca="1" si="1"/>
        <v>13</v>
      </c>
      <c r="B22" s="432"/>
      <c r="C22" s="445" t="s">
        <v>49</v>
      </c>
      <c r="D22" s="442"/>
      <c r="E22" s="561">
        <f>+'[6]Exh. No. BGM-3 4'!$AC$27</f>
        <v>14990</v>
      </c>
      <c r="F22" s="564"/>
      <c r="G22" s="561"/>
      <c r="H22" s="561"/>
      <c r="I22" s="561"/>
      <c r="J22" s="561">
        <f>+'[7]Attrition 12.2015 to 2018'!$I20</f>
        <v>0</v>
      </c>
      <c r="K22" s="561">
        <v>0</v>
      </c>
      <c r="L22" s="570">
        <f>SUM(E22:K22)</f>
        <v>14990</v>
      </c>
      <c r="M22" s="453"/>
      <c r="N22" s="509">
        <f ca="1">+'4.03'!B21*$N$6</f>
        <v>0.22819099999999998</v>
      </c>
      <c r="O22" s="444"/>
      <c r="P22" s="567">
        <f ca="1">N22*L22</f>
        <v>3420.5830899999996</v>
      </c>
      <c r="Q22" s="564">
        <f ca="1">P22+L22</f>
        <v>18410.58309</v>
      </c>
      <c r="R22" s="561"/>
      <c r="S22" s="564"/>
      <c r="T22" s="564"/>
      <c r="U22" s="561"/>
      <c r="V22" s="564"/>
      <c r="W22" s="564"/>
      <c r="X22" s="564"/>
      <c r="Y22" s="564">
        <f ca="1">Q22+S22+T22+W22+V22</f>
        <v>18410.58309</v>
      </c>
    </row>
    <row r="23" spans="1:25" s="433" customFormat="1" ht="15.75" customHeight="1">
      <c r="A23" s="638">
        <f t="shared" ca="1" si="1"/>
        <v>14</v>
      </c>
      <c r="B23" s="432"/>
      <c r="C23" s="446" t="s">
        <v>105</v>
      </c>
      <c r="D23" s="434"/>
      <c r="E23" s="566">
        <f>SUM(E18:E22)</f>
        <v>258103</v>
      </c>
      <c r="F23" s="570">
        <f t="shared" ref="F23:L23" si="2">F18+F19+F20+F21+F22</f>
        <v>-222048</v>
      </c>
      <c r="G23" s="565">
        <f t="shared" si="2"/>
        <v>-1641</v>
      </c>
      <c r="H23" s="565">
        <f t="shared" si="2"/>
        <v>0</v>
      </c>
      <c r="I23" s="565">
        <f t="shared" si="2"/>
        <v>0</v>
      </c>
      <c r="J23" s="566">
        <f>SUM(J18:J22)</f>
        <v>0</v>
      </c>
      <c r="K23" s="565">
        <f t="shared" si="2"/>
        <v>0</v>
      </c>
      <c r="L23" s="565">
        <f t="shared" si="2"/>
        <v>34414</v>
      </c>
      <c r="M23" s="453"/>
      <c r="N23" s="439"/>
      <c r="O23" s="444"/>
      <c r="P23" s="570">
        <f ca="1">P18+P19+P20+P21+P22</f>
        <v>3420.5830899999996</v>
      </c>
      <c r="Q23" s="570">
        <f ca="1">Q18+Q19+Q20+Q21+Q22</f>
        <v>37834.58309</v>
      </c>
      <c r="R23" s="572"/>
      <c r="S23" s="570">
        <f>S18+S19+S20+S21+S22</f>
        <v>156167</v>
      </c>
      <c r="T23" s="570">
        <f>T18+T19+T20+T21+T22</f>
        <v>0</v>
      </c>
      <c r="U23" s="572"/>
      <c r="V23" s="570">
        <f>V18+V19+V20+V21+V22</f>
        <v>0</v>
      </c>
      <c r="W23" s="570">
        <f>W18+W19+W20+W21+W22</f>
        <v>0</v>
      </c>
      <c r="X23" s="570"/>
      <c r="Y23" s="570">
        <f ca="1">Y18+Y19+Y20+Y21+Y22</f>
        <v>194001.58309</v>
      </c>
    </row>
    <row r="24" spans="1:25" s="433" customFormat="1" ht="15.75" customHeight="1">
      <c r="A24" s="606"/>
      <c r="B24" s="432"/>
      <c r="C24" s="445"/>
      <c r="D24" s="434"/>
      <c r="E24" s="561"/>
      <c r="F24" s="561"/>
      <c r="G24" s="561"/>
      <c r="H24" s="561"/>
      <c r="I24" s="561"/>
      <c r="J24" s="561"/>
      <c r="K24" s="561"/>
      <c r="L24" s="570"/>
      <c r="M24" s="453"/>
      <c r="N24" s="439"/>
      <c r="O24" s="439"/>
      <c r="P24" s="568"/>
      <c r="Q24" s="562"/>
      <c r="R24" s="561"/>
      <c r="S24" s="561"/>
      <c r="T24" s="561"/>
      <c r="U24" s="561"/>
      <c r="V24" s="561"/>
      <c r="W24" s="561"/>
      <c r="X24" s="561"/>
      <c r="Y24" s="562"/>
    </row>
    <row r="25" spans="1:25" s="433" customFormat="1" ht="15.75" customHeight="1">
      <c r="A25" s="638">
        <f t="shared" ref="A25:A30" ca="1" si="3">+MAX(OFFSET(A$1,0,0,ROW(A25)-ROW(A$1)))+1</f>
        <v>15</v>
      </c>
      <c r="B25" s="432" t="s">
        <v>36</v>
      </c>
      <c r="C25" s="445"/>
      <c r="D25" s="434"/>
      <c r="E25" s="561"/>
      <c r="F25" s="575"/>
      <c r="G25" s="575"/>
      <c r="H25" s="575"/>
      <c r="I25" s="575"/>
      <c r="J25" s="561"/>
      <c r="K25" s="575"/>
      <c r="L25" s="570"/>
      <c r="M25" s="438"/>
      <c r="N25" s="439"/>
      <c r="O25" s="439"/>
      <c r="P25" s="568"/>
      <c r="Q25" s="562"/>
      <c r="R25" s="561"/>
      <c r="S25" s="561"/>
      <c r="T25" s="561"/>
      <c r="U25" s="561"/>
      <c r="V25" s="561"/>
      <c r="W25" s="561"/>
      <c r="X25" s="561"/>
      <c r="Y25" s="562"/>
    </row>
    <row r="26" spans="1:25" s="433" customFormat="1" ht="15.75" customHeight="1">
      <c r="A26" s="638">
        <f t="shared" ca="1" si="3"/>
        <v>16</v>
      </c>
      <c r="B26" s="432"/>
      <c r="C26" s="432" t="s">
        <v>519</v>
      </c>
      <c r="D26" s="434"/>
      <c r="E26" s="561">
        <f>+'[6]Exh. No. BGM-3 4'!$AC$31</f>
        <v>21418</v>
      </c>
      <c r="F26" s="575"/>
      <c r="G26" s="561"/>
      <c r="H26" s="561"/>
      <c r="I26" s="561"/>
      <c r="J26" s="561">
        <v>0</v>
      </c>
      <c r="K26" s="561">
        <v>0</v>
      </c>
      <c r="L26" s="570">
        <f>SUM(E26:K26)</f>
        <v>21418</v>
      </c>
      <c r="M26" s="438"/>
      <c r="N26" s="509">
        <f ca="1">+'4.04'!B21*$N$6*'2) ROR'!D21</f>
        <v>0</v>
      </c>
      <c r="O26" s="439"/>
      <c r="P26" s="570">
        <f ca="1">N26*L26</f>
        <v>0</v>
      </c>
      <c r="Q26" s="562">
        <f ca="1">P26+L26</f>
        <v>21418</v>
      </c>
      <c r="R26" s="561"/>
      <c r="S26" s="561"/>
      <c r="T26" s="561"/>
      <c r="U26" s="561"/>
      <c r="V26" s="561"/>
      <c r="W26" s="561"/>
      <c r="X26" s="561"/>
      <c r="Y26" s="562">
        <f ca="1">Q26+S26+T26+W26+V26</f>
        <v>21418</v>
      </c>
    </row>
    <row r="27" spans="1:25" s="433" customFormat="1" ht="15.75" customHeight="1">
      <c r="A27" s="638">
        <f t="shared" ca="1" si="3"/>
        <v>17</v>
      </c>
      <c r="B27" s="432"/>
      <c r="C27" s="445" t="s">
        <v>88</v>
      </c>
      <c r="D27" s="434"/>
      <c r="E27" s="561">
        <f>+'[6]Exh. No. BGM-3 4'!$AC$32</f>
        <v>27819</v>
      </c>
      <c r="F27" s="575"/>
      <c r="G27" s="561"/>
      <c r="H27" s="571">
        <v>0</v>
      </c>
      <c r="I27" s="571">
        <v>0</v>
      </c>
      <c r="J27" s="561">
        <f>+'[7]Attrition 12.2015 to 2018'!$I25</f>
        <v>0</v>
      </c>
      <c r="K27" s="561">
        <v>0</v>
      </c>
      <c r="L27" s="570">
        <f>SUM(E27:K27)</f>
        <v>27819</v>
      </c>
      <c r="M27" s="438"/>
      <c r="N27" s="509">
        <f ca="1">+'4.05'!B21*$N$6*'2) ROR'!D20</f>
        <v>0</v>
      </c>
      <c r="O27" s="439"/>
      <c r="P27" s="570">
        <f ca="1">N27*L27</f>
        <v>0</v>
      </c>
      <c r="Q27" s="562">
        <f ca="1">P27+L27</f>
        <v>27819</v>
      </c>
      <c r="R27" s="561"/>
      <c r="S27" s="561"/>
      <c r="T27" s="561"/>
      <c r="U27" s="561"/>
      <c r="V27" s="561"/>
      <c r="W27" s="571">
        <v>0</v>
      </c>
      <c r="X27" s="571"/>
      <c r="Y27" s="562">
        <f ca="1">Q27+S27+T27+W27+V27</f>
        <v>27819</v>
      </c>
    </row>
    <row r="28" spans="1:25" s="433" customFormat="1" ht="15.75" customHeight="1">
      <c r="A28" s="638">
        <f t="shared" ca="1" si="3"/>
        <v>18</v>
      </c>
      <c r="B28" s="432"/>
      <c r="C28" s="445" t="s">
        <v>168</v>
      </c>
      <c r="D28" s="434"/>
      <c r="E28" s="561">
        <v>0</v>
      </c>
      <c r="F28" s="575"/>
      <c r="G28" s="561"/>
      <c r="H28" s="571">
        <v>0</v>
      </c>
      <c r="I28" s="561"/>
      <c r="J28" s="561">
        <f>+'[7]Attrition 12.2015 to 2018'!$I26</f>
        <v>0</v>
      </c>
      <c r="K28" s="561"/>
      <c r="L28" s="570">
        <f>SUM(E28:K28)</f>
        <v>0</v>
      </c>
      <c r="M28" s="438"/>
      <c r="N28" s="444"/>
      <c r="O28" s="439"/>
      <c r="P28" s="570">
        <v>0</v>
      </c>
      <c r="Q28" s="562">
        <f>P28+L28</f>
        <v>0</v>
      </c>
      <c r="R28" s="561"/>
      <c r="S28" s="561"/>
      <c r="T28" s="561"/>
      <c r="U28" s="561"/>
      <c r="V28" s="561"/>
      <c r="W28" s="561"/>
      <c r="X28" s="561"/>
      <c r="Y28" s="562">
        <f>Q28+S28+T28+W28+V28</f>
        <v>0</v>
      </c>
    </row>
    <row r="29" spans="1:25" s="433" customFormat="1" ht="15.75" customHeight="1">
      <c r="A29" s="638">
        <f t="shared" ca="1" si="3"/>
        <v>19</v>
      </c>
      <c r="B29" s="432"/>
      <c r="C29" s="445" t="s">
        <v>49</v>
      </c>
      <c r="D29" s="434"/>
      <c r="E29" s="561">
        <f>+'[6]Exh. No. BGM-3 4'!$AC$34</f>
        <v>26951</v>
      </c>
      <c r="F29" s="564"/>
      <c r="G29" s="561"/>
      <c r="H29" s="561"/>
      <c r="I29" s="561"/>
      <c r="J29" s="561">
        <f>+'[7]Attrition 12.2015 to 2018'!$I27</f>
        <v>0</v>
      </c>
      <c r="K29" s="561">
        <f>ROUND(K9*'2) ROR'!N16,0)</f>
        <v>-47</v>
      </c>
      <c r="L29" s="570">
        <f>SUM(E29:K29)</f>
        <v>26904</v>
      </c>
      <c r="M29" s="453"/>
      <c r="N29" s="509">
        <f ca="1">+'4.06'!B24*$N$6</f>
        <v>0.19658200000000001</v>
      </c>
      <c r="O29" s="444"/>
      <c r="P29" s="567">
        <f ca="1">N29*L29</f>
        <v>5288.8421280000002</v>
      </c>
      <c r="Q29" s="564">
        <f ca="1">P29+L29</f>
        <v>32192.842128</v>
      </c>
      <c r="R29" s="561"/>
      <c r="S29" s="564"/>
      <c r="T29" s="561">
        <v>0</v>
      </c>
      <c r="U29" s="561"/>
      <c r="V29" s="561"/>
      <c r="W29" s="564"/>
      <c r="X29" s="564"/>
      <c r="Y29" s="564">
        <f ca="1">Q29+S29+T29+W29+V29</f>
        <v>32192.842128</v>
      </c>
    </row>
    <row r="30" spans="1:25" s="433" customFormat="1" ht="15.75" customHeight="1">
      <c r="A30" s="638">
        <f t="shared" ca="1" si="3"/>
        <v>20</v>
      </c>
      <c r="B30" s="432"/>
      <c r="C30" s="445" t="s">
        <v>106</v>
      </c>
      <c r="D30" s="434"/>
      <c r="E30" s="566">
        <f>SUM(E26:E29)</f>
        <v>76188</v>
      </c>
      <c r="F30" s="565">
        <f>F26+F27+F29</f>
        <v>0</v>
      </c>
      <c r="G30" s="565">
        <f>G26+G27+G29</f>
        <v>0</v>
      </c>
      <c r="H30" s="565">
        <f>H26+H27+H29+H28</f>
        <v>0</v>
      </c>
      <c r="I30" s="565">
        <f>I26+I27+I29</f>
        <v>0</v>
      </c>
      <c r="J30" s="566">
        <f>SUM(J26:J29)</f>
        <v>0</v>
      </c>
      <c r="K30" s="565">
        <f>K26+K27+K29</f>
        <v>-47</v>
      </c>
      <c r="L30" s="565">
        <f>SUM(L26:L29)</f>
        <v>76141</v>
      </c>
      <c r="M30" s="453"/>
      <c r="N30" s="439"/>
      <c r="O30" s="444"/>
      <c r="P30" s="570">
        <f ca="1">P26+P27+P29+P28</f>
        <v>5288.8421280000002</v>
      </c>
      <c r="Q30" s="570">
        <f ca="1">Q26+Q27+Q29+Q28</f>
        <v>81429.842128000004</v>
      </c>
      <c r="R30" s="572"/>
      <c r="S30" s="570">
        <f>S26+S27+S29</f>
        <v>0</v>
      </c>
      <c r="T30" s="565">
        <f>T26+T27+T29</f>
        <v>0</v>
      </c>
      <c r="U30" s="572"/>
      <c r="V30" s="565">
        <f>V26+V27+V29</f>
        <v>0</v>
      </c>
      <c r="W30" s="565">
        <f>W26+W27+W29</f>
        <v>0</v>
      </c>
      <c r="X30" s="572"/>
      <c r="Y30" s="570">
        <f ca="1">Y26+Y27+Y29+Y28</f>
        <v>81429.842128000004</v>
      </c>
    </row>
    <row r="31" spans="1:25" s="433" customFormat="1" ht="15.75" customHeight="1">
      <c r="A31" s="606"/>
      <c r="B31" s="432"/>
      <c r="C31" s="445"/>
      <c r="D31" s="434"/>
      <c r="E31" s="561"/>
      <c r="F31" s="576"/>
      <c r="G31" s="576"/>
      <c r="H31" s="576"/>
      <c r="I31" s="576"/>
      <c r="J31" s="561"/>
      <c r="K31" s="576"/>
      <c r="L31" s="570"/>
      <c r="M31" s="438"/>
      <c r="N31" s="439"/>
      <c r="O31" s="439"/>
      <c r="P31" s="568"/>
      <c r="Q31" s="562"/>
      <c r="R31" s="561"/>
      <c r="S31" s="561"/>
      <c r="T31" s="561"/>
      <c r="U31" s="561"/>
      <c r="V31" s="561"/>
      <c r="W31" s="561"/>
      <c r="X31" s="561"/>
      <c r="Y31" s="562"/>
    </row>
    <row r="32" spans="1:25" s="433" customFormat="1" ht="15.75" customHeight="1">
      <c r="A32" s="638">
        <f ca="1">+MAX(OFFSET(A$1,0,0,ROW(A32)-ROW(A$1)))+1</f>
        <v>21</v>
      </c>
      <c r="B32" s="432" t="s">
        <v>54</v>
      </c>
      <c r="C32" s="445"/>
      <c r="D32" s="434"/>
      <c r="E32" s="561">
        <f>+'[6]Exh. No. BGM-3 4'!$AC$37</f>
        <v>13021</v>
      </c>
      <c r="F32" s="561"/>
      <c r="G32" s="561"/>
      <c r="H32" s="561"/>
      <c r="I32" s="561"/>
      <c r="J32" s="561">
        <f>+'[7]Attrition 12.2015 to 2018'!$I30</f>
        <v>0</v>
      </c>
      <c r="K32" s="561">
        <f>ROUND(K9*'2) ROR'!N12,0)</f>
        <v>-8</v>
      </c>
      <c r="L32" s="570">
        <f>SUM(E32:K32)</f>
        <v>13013</v>
      </c>
      <c r="M32" s="438"/>
      <c r="N32" s="509">
        <f ca="1">+'4.07'!B25*$N$6</f>
        <v>0.18575700000000001</v>
      </c>
      <c r="O32" s="439"/>
      <c r="P32" s="570">
        <f ca="1">N32*L32</f>
        <v>2417.2558410000001</v>
      </c>
      <c r="Q32" s="562">
        <f ca="1">P32+L32</f>
        <v>15430.255841</v>
      </c>
      <c r="R32" s="561"/>
      <c r="S32" s="561"/>
      <c r="T32" s="561">
        <v>0</v>
      </c>
      <c r="U32" s="561"/>
      <c r="V32" s="561"/>
      <c r="W32" s="561"/>
      <c r="X32" s="561"/>
      <c r="Y32" s="562">
        <f ca="1">Q32+S32+T32+W32+V32</f>
        <v>15430.255841</v>
      </c>
    </row>
    <row r="33" spans="1:25" s="433" customFormat="1" ht="15.75" customHeight="1">
      <c r="A33" s="638">
        <f ca="1">+MAX(OFFSET(A$1,0,0,ROW(A33)-ROW(A$1)))+1</f>
        <v>22</v>
      </c>
      <c r="B33" s="432" t="s">
        <v>53</v>
      </c>
      <c r="C33" s="445"/>
      <c r="D33" s="434"/>
      <c r="E33" s="561">
        <f>+'[6]Exh. No. BGM-3 4'!$AC$38</f>
        <v>1406</v>
      </c>
      <c r="F33" s="561"/>
      <c r="G33" s="561"/>
      <c r="H33" s="561"/>
      <c r="I33" s="561"/>
      <c r="J33" s="561">
        <f>+'[7]Attrition 12.2015 to 2018'!$I31</f>
        <v>0</v>
      </c>
      <c r="K33" s="561">
        <v>0</v>
      </c>
      <c r="L33" s="570">
        <f>SUM(E33:K33)</f>
        <v>1406</v>
      </c>
      <c r="M33" s="438"/>
      <c r="N33" s="509">
        <f>+'4.08'!B23*$N$6</f>
        <v>0</v>
      </c>
      <c r="O33" s="439"/>
      <c r="P33" s="570">
        <f>N33*L33</f>
        <v>0</v>
      </c>
      <c r="Q33" s="562">
        <f>P33+L33</f>
        <v>1406</v>
      </c>
      <c r="R33" s="561"/>
      <c r="S33" s="561"/>
      <c r="T33" s="561"/>
      <c r="U33" s="561"/>
      <c r="V33" s="561"/>
      <c r="W33" s="561"/>
      <c r="X33" s="561"/>
      <c r="Y33" s="562">
        <f>Q33+S33+T33+W33+V33</f>
        <v>1406</v>
      </c>
    </row>
    <row r="34" spans="1:25" s="433" customFormat="1" ht="15.75" customHeight="1">
      <c r="A34" s="638">
        <f ca="1">+MAX(OFFSET(A$1,0,0,ROW(A34)-ROW(A$1)))+1</f>
        <v>23</v>
      </c>
      <c r="B34" s="432" t="s">
        <v>52</v>
      </c>
      <c r="C34" s="445"/>
      <c r="D34" s="434"/>
      <c r="E34" s="561">
        <f>+'[7]Attrition 12.2015 to 2018'!$E32</f>
        <v>0</v>
      </c>
      <c r="F34" s="561"/>
      <c r="G34" s="561"/>
      <c r="H34" s="561"/>
      <c r="I34" s="561"/>
      <c r="J34" s="561">
        <f>+'[7]Attrition 12.2015 to 2018'!$I32</f>
        <v>0</v>
      </c>
      <c r="K34" s="561">
        <v>0</v>
      </c>
      <c r="L34" s="570">
        <f>SUM(E34:K34)</f>
        <v>0</v>
      </c>
      <c r="M34" s="438"/>
      <c r="N34" s="444"/>
      <c r="O34" s="439"/>
      <c r="P34" s="570">
        <f>N34*L34</f>
        <v>0</v>
      </c>
      <c r="Q34" s="562">
        <f>P34+L34</f>
        <v>0</v>
      </c>
      <c r="R34" s="561"/>
      <c r="S34" s="561"/>
      <c r="T34" s="561"/>
      <c r="U34" s="561"/>
      <c r="V34" s="561"/>
      <c r="W34" s="561"/>
      <c r="X34" s="561"/>
      <c r="Y34" s="562">
        <f>Q34+S34+T34+W34+V34</f>
        <v>0</v>
      </c>
    </row>
    <row r="35" spans="1:25" s="433" customFormat="1" ht="15.75" customHeight="1">
      <c r="A35" s="606"/>
      <c r="B35" s="432"/>
      <c r="C35" s="445"/>
      <c r="D35" s="434"/>
      <c r="E35" s="561"/>
      <c r="F35" s="561"/>
      <c r="G35" s="561"/>
      <c r="H35" s="561"/>
      <c r="I35" s="561"/>
      <c r="J35" s="561"/>
      <c r="K35" s="561"/>
      <c r="L35" s="570"/>
      <c r="M35" s="438"/>
      <c r="N35" s="439"/>
      <c r="O35" s="439"/>
      <c r="P35" s="568"/>
      <c r="Q35" s="562"/>
      <c r="R35" s="561"/>
      <c r="S35" s="561"/>
      <c r="T35" s="561"/>
      <c r="U35" s="561"/>
      <c r="V35" s="561"/>
      <c r="W35" s="561"/>
      <c r="X35" s="561"/>
      <c r="Y35" s="562"/>
    </row>
    <row r="36" spans="1:25" s="433" customFormat="1" ht="15.75" customHeight="1">
      <c r="A36" s="638">
        <f t="shared" ref="A36:A41" ca="1" si="4">+MAX(OFFSET(A$1,0,0,ROW(A36)-ROW(A$1)))+1</f>
        <v>24</v>
      </c>
      <c r="B36" s="432" t="s">
        <v>51</v>
      </c>
      <c r="C36" s="445"/>
      <c r="D36" s="434"/>
      <c r="E36" s="561"/>
      <c r="F36" s="561"/>
      <c r="G36" s="561"/>
      <c r="H36" s="561"/>
      <c r="I36" s="561"/>
      <c r="J36" s="561"/>
      <c r="K36" s="561"/>
      <c r="L36" s="570"/>
      <c r="M36" s="438"/>
      <c r="N36" s="439"/>
      <c r="O36" s="439"/>
      <c r="P36" s="568"/>
      <c r="Q36" s="562"/>
      <c r="R36" s="561"/>
      <c r="S36" s="561"/>
      <c r="T36" s="561"/>
      <c r="U36" s="561"/>
      <c r="V36" s="561"/>
      <c r="W36" s="561"/>
      <c r="X36" s="561"/>
      <c r="Y36" s="562"/>
    </row>
    <row r="37" spans="1:25" s="433" customFormat="1" ht="15.75" customHeight="1">
      <c r="A37" s="638">
        <f t="shared" ca="1" si="4"/>
        <v>25</v>
      </c>
      <c r="B37" s="432"/>
      <c r="C37" s="432" t="s">
        <v>519</v>
      </c>
      <c r="D37" s="434"/>
      <c r="E37" s="561">
        <f>+'[6]Exh. No. BGM-3 4'!$AC$42</f>
        <v>48989</v>
      </c>
      <c r="F37" s="561"/>
      <c r="G37" s="561"/>
      <c r="H37" s="561"/>
      <c r="I37" s="561"/>
      <c r="J37" s="561">
        <f>+'[7]Attrition 12.2015 to 2018'!$I35</f>
        <v>0</v>
      </c>
      <c r="K37" s="561">
        <f>ROUND(K9*'2) ROR'!N14,0)</f>
        <v>-2</v>
      </c>
      <c r="L37" s="570">
        <f>SUM(E37:K37)</f>
        <v>48987</v>
      </c>
      <c r="M37" s="438"/>
      <c r="N37" s="509">
        <f ca="1">+'4.09'!B23*$N$6*'2) ROR'!D21</f>
        <v>0</v>
      </c>
      <c r="O37" s="439"/>
      <c r="P37" s="570">
        <f ca="1">N37*L37</f>
        <v>0</v>
      </c>
      <c r="Q37" s="562">
        <f ca="1">P37+L37</f>
        <v>48987</v>
      </c>
      <c r="R37" s="561"/>
      <c r="S37" s="561"/>
      <c r="T37" s="561">
        <v>0</v>
      </c>
      <c r="U37" s="561"/>
      <c r="V37" s="561"/>
      <c r="W37" s="561"/>
      <c r="X37" s="561"/>
      <c r="Y37" s="562">
        <f ca="1">Q37+S37+T37+W37+V37</f>
        <v>48987</v>
      </c>
    </row>
    <row r="38" spans="1:25" s="433" customFormat="1" ht="15.75" customHeight="1">
      <c r="A38" s="638">
        <f t="shared" ca="1" si="4"/>
        <v>26</v>
      </c>
      <c r="B38" s="432"/>
      <c r="C38" s="445" t="s">
        <v>88</v>
      </c>
      <c r="D38" s="434"/>
      <c r="E38" s="561">
        <f>+'[6]Exh. No. BGM-3 4'!$AC$43</f>
        <v>23877</v>
      </c>
      <c r="F38" s="561"/>
      <c r="G38" s="561"/>
      <c r="H38" s="561"/>
      <c r="I38" s="571">
        <v>0</v>
      </c>
      <c r="J38" s="561">
        <f>+'[7]Attrition 12.2015 to 2018'!$I36</f>
        <v>0</v>
      </c>
      <c r="K38" s="561">
        <v>0</v>
      </c>
      <c r="L38" s="570">
        <f>SUM(E38:K38)</f>
        <v>23877</v>
      </c>
      <c r="M38" s="438"/>
      <c r="N38" s="509">
        <f ca="1">+'4.10'!B24*$N$6*'2) ROR'!D20</f>
        <v>0</v>
      </c>
      <c r="O38" s="439"/>
      <c r="P38" s="570">
        <f ca="1">N38*L38</f>
        <v>0</v>
      </c>
      <c r="Q38" s="562">
        <f ca="1">P38+L38</f>
        <v>23877</v>
      </c>
      <c r="R38" s="561"/>
      <c r="S38" s="561"/>
      <c r="T38" s="561"/>
      <c r="U38" s="561"/>
      <c r="V38" s="561"/>
      <c r="W38" s="571">
        <v>0</v>
      </c>
      <c r="X38" s="571"/>
      <c r="Y38" s="562">
        <f ca="1">Q38+S38+T38+W38+V38</f>
        <v>23877</v>
      </c>
    </row>
    <row r="39" spans="1:25" s="433" customFormat="1" ht="15.75" customHeight="1">
      <c r="A39" s="638">
        <f t="shared" ca="1" si="4"/>
        <v>27</v>
      </c>
      <c r="B39" s="432"/>
      <c r="C39" s="445" t="s">
        <v>49</v>
      </c>
      <c r="D39" s="434"/>
      <c r="E39" s="561">
        <v>0</v>
      </c>
      <c r="F39" s="564"/>
      <c r="G39" s="561"/>
      <c r="H39" s="561"/>
      <c r="I39" s="561"/>
      <c r="J39" s="561">
        <f>+'[7]Attrition 12.2015 to 2018'!$I37</f>
        <v>0</v>
      </c>
      <c r="K39" s="561">
        <v>0</v>
      </c>
      <c r="L39" s="570">
        <f>SUM(E39:K39)</f>
        <v>0</v>
      </c>
      <c r="M39" s="453"/>
      <c r="N39" s="444"/>
      <c r="O39" s="444"/>
      <c r="P39" s="567">
        <f>N39*L39</f>
        <v>0</v>
      </c>
      <c r="Q39" s="564">
        <f>P39+L39</f>
        <v>0</v>
      </c>
      <c r="R39" s="561"/>
      <c r="S39" s="564"/>
      <c r="T39" s="564"/>
      <c r="U39" s="561"/>
      <c r="V39" s="564"/>
      <c r="W39" s="564"/>
      <c r="X39" s="564"/>
      <c r="Y39" s="564">
        <f>Q39+S39+T39+W39+V39</f>
        <v>0</v>
      </c>
    </row>
    <row r="40" spans="1:25" s="433" customFormat="1" ht="15.75" customHeight="1">
      <c r="A40" s="638">
        <f t="shared" ca="1" si="4"/>
        <v>28</v>
      </c>
      <c r="B40" s="432"/>
      <c r="C40" s="446" t="s">
        <v>408</v>
      </c>
      <c r="D40" s="434"/>
      <c r="E40" s="566">
        <f>SUM(E37:E39)</f>
        <v>72866</v>
      </c>
      <c r="F40" s="570">
        <f t="shared" ref="F40:L40" si="5">F37+F38+F39</f>
        <v>0</v>
      </c>
      <c r="G40" s="577">
        <f t="shared" si="5"/>
        <v>0</v>
      </c>
      <c r="H40" s="577">
        <f t="shared" si="5"/>
        <v>0</v>
      </c>
      <c r="I40" s="577">
        <f t="shared" si="5"/>
        <v>0</v>
      </c>
      <c r="J40" s="566">
        <f>SUM(J37:J39)</f>
        <v>0</v>
      </c>
      <c r="K40" s="577">
        <f t="shared" si="5"/>
        <v>-2</v>
      </c>
      <c r="L40" s="577">
        <f t="shared" si="5"/>
        <v>72864</v>
      </c>
      <c r="M40" s="453"/>
      <c r="N40" s="444"/>
      <c r="O40" s="444"/>
      <c r="P40" s="570">
        <f ca="1">P37+P38+P39</f>
        <v>0</v>
      </c>
      <c r="Q40" s="570">
        <f ca="1">Q37+Q38+Q39</f>
        <v>72864</v>
      </c>
      <c r="R40" s="572"/>
      <c r="S40" s="570">
        <f>S37+S38+S39</f>
        <v>0</v>
      </c>
      <c r="T40" s="570">
        <f>T37+T38+T39</f>
        <v>0</v>
      </c>
      <c r="U40" s="572"/>
      <c r="V40" s="570">
        <f>V37+V38+V39</f>
        <v>0</v>
      </c>
      <c r="W40" s="570">
        <f>W37+W38+W39</f>
        <v>0</v>
      </c>
      <c r="X40" s="570"/>
      <c r="Y40" s="570">
        <f ca="1">Y37+Y38+Y39</f>
        <v>72864</v>
      </c>
    </row>
    <row r="41" spans="1:25" s="433" customFormat="1" ht="15.75" customHeight="1">
      <c r="A41" s="638">
        <f t="shared" ca="1" si="4"/>
        <v>29</v>
      </c>
      <c r="B41" s="432" t="s">
        <v>47</v>
      </c>
      <c r="C41" s="445"/>
      <c r="D41" s="434"/>
      <c r="E41" s="566">
        <f t="shared" ref="E41:L41" si="6">E23+E30+E32+E33+E34+E40</f>
        <v>421584</v>
      </c>
      <c r="F41" s="566">
        <f t="shared" si="6"/>
        <v>-222048</v>
      </c>
      <c r="G41" s="566">
        <f t="shared" si="6"/>
        <v>-1641</v>
      </c>
      <c r="H41" s="566">
        <f t="shared" si="6"/>
        <v>0</v>
      </c>
      <c r="I41" s="566">
        <f t="shared" si="6"/>
        <v>0</v>
      </c>
      <c r="J41" s="566">
        <f t="shared" si="6"/>
        <v>0</v>
      </c>
      <c r="K41" s="566">
        <f t="shared" si="6"/>
        <v>-57</v>
      </c>
      <c r="L41" s="566">
        <f t="shared" si="6"/>
        <v>197838</v>
      </c>
      <c r="M41" s="437"/>
      <c r="N41" s="444"/>
      <c r="O41" s="444"/>
      <c r="P41" s="566">
        <f ca="1">P23+P30+P32+P33+P34+P40</f>
        <v>11126.681059</v>
      </c>
      <c r="Q41" s="566">
        <f ca="1">Q23+Q30+Q32+Q33+Q34+Q40</f>
        <v>208964.681059</v>
      </c>
      <c r="R41" s="561"/>
      <c r="S41" s="566">
        <f>S23+S30+S32+S33+S34+S40</f>
        <v>156167</v>
      </c>
      <c r="T41" s="566">
        <f>T23+T30+T32+T33+T34+T40</f>
        <v>0</v>
      </c>
      <c r="U41" s="561"/>
      <c r="V41" s="566">
        <f>V23+V30+V32+V33+V34+V40</f>
        <v>0</v>
      </c>
      <c r="W41" s="566">
        <f>W23+W30+W32+W33+W34+W40</f>
        <v>0</v>
      </c>
      <c r="X41" s="566"/>
      <c r="Y41" s="566">
        <f ca="1">Y23+Y30+Y32+Y33+Y34+Y40</f>
        <v>365131.68105900002</v>
      </c>
    </row>
    <row r="42" spans="1:25" s="433" customFormat="1" ht="15.75" customHeight="1">
      <c r="A42" s="606"/>
      <c r="B42" s="432"/>
      <c r="C42" s="432"/>
      <c r="D42" s="434"/>
      <c r="E42" s="561"/>
      <c r="F42" s="561"/>
      <c r="G42" s="561"/>
      <c r="H42" s="561"/>
      <c r="I42" s="561"/>
      <c r="J42" s="561"/>
      <c r="K42" s="561"/>
      <c r="L42" s="570"/>
      <c r="M42" s="453"/>
      <c r="N42" s="444"/>
      <c r="O42" s="439"/>
      <c r="P42" s="568"/>
      <c r="Q42" s="562"/>
      <c r="R42" s="561"/>
      <c r="S42" s="561"/>
      <c r="T42" s="561"/>
      <c r="U42" s="561"/>
      <c r="V42" s="561"/>
      <c r="W42" s="561"/>
      <c r="X42" s="561"/>
      <c r="Y42" s="562"/>
    </row>
    <row r="43" spans="1:25" s="433" customFormat="1" ht="15.75" customHeight="1">
      <c r="A43" s="638">
        <f ca="1">+MAX(OFFSET(A$1,0,0,ROW(A43)-ROW(A$1)))+1</f>
        <v>30</v>
      </c>
      <c r="B43" s="432" t="s">
        <v>46</v>
      </c>
      <c r="C43" s="432"/>
      <c r="D43" s="434"/>
      <c r="E43" s="561">
        <f>E14-E41</f>
        <v>146216</v>
      </c>
      <c r="F43" s="561">
        <f t="shared" ref="F43:L43" si="7">F14-F41</f>
        <v>76777</v>
      </c>
      <c r="G43" s="561">
        <f t="shared" si="7"/>
        <v>1641</v>
      </c>
      <c r="H43" s="561">
        <f t="shared" si="7"/>
        <v>0</v>
      </c>
      <c r="I43" s="561">
        <f t="shared" si="7"/>
        <v>0</v>
      </c>
      <c r="J43" s="561">
        <f>J14-J41</f>
        <v>0</v>
      </c>
      <c r="K43" s="561">
        <f t="shared" si="7"/>
        <v>-5055</v>
      </c>
      <c r="L43" s="561">
        <f t="shared" si="7"/>
        <v>219579</v>
      </c>
      <c r="M43" s="437"/>
      <c r="N43" s="439"/>
      <c r="O43" s="437"/>
      <c r="P43" s="561">
        <f t="shared" ref="P43:T43" ca="1" si="8">P14-P41</f>
        <v>-1742.833228047899</v>
      </c>
      <c r="Q43" s="561">
        <f ca="1">Q14-Q41</f>
        <v>238609.16677195209</v>
      </c>
      <c r="R43" s="561">
        <f t="shared" si="8"/>
        <v>0</v>
      </c>
      <c r="S43" s="561">
        <f t="shared" si="8"/>
        <v>-88617</v>
      </c>
      <c r="T43" s="561">
        <f t="shared" si="8"/>
        <v>0</v>
      </c>
      <c r="U43" s="561"/>
      <c r="V43" s="561">
        <f t="shared" ref="V43" si="9">V14-V41</f>
        <v>0</v>
      </c>
      <c r="W43" s="561">
        <f>-W41</f>
        <v>0</v>
      </c>
      <c r="X43" s="561"/>
      <c r="Y43" s="561">
        <f ca="1">Y14-Y41</f>
        <v>149992.16677195212</v>
      </c>
    </row>
    <row r="44" spans="1:25" s="433" customFormat="1" ht="15">
      <c r="A44" s="606"/>
      <c r="B44" s="685"/>
      <c r="C44" s="606"/>
      <c r="D44" s="606"/>
      <c r="E44" s="606"/>
      <c r="F44" s="606"/>
      <c r="G44" s="606"/>
      <c r="H44" s="606"/>
      <c r="I44" s="606"/>
      <c r="J44" s="606"/>
      <c r="K44" s="606"/>
      <c r="L44" s="606"/>
      <c r="M44" s="606"/>
      <c r="N44" s="606"/>
      <c r="O44" s="606"/>
      <c r="P44" s="606"/>
      <c r="Q44" s="606"/>
      <c r="R44" s="606"/>
      <c r="S44" s="606"/>
      <c r="T44" s="606"/>
      <c r="U44" s="449"/>
      <c r="V44" s="606"/>
      <c r="W44" s="606"/>
      <c r="X44" s="606"/>
      <c r="Y44" s="437"/>
    </row>
    <row r="45" spans="1:25" s="433" customFormat="1" ht="15">
      <c r="A45" s="606"/>
      <c r="B45" s="606"/>
      <c r="C45" s="606"/>
      <c r="D45" s="606"/>
      <c r="E45" s="606"/>
      <c r="F45" s="606"/>
      <c r="G45" s="606"/>
      <c r="H45" s="606"/>
      <c r="I45" s="606"/>
      <c r="J45" s="606"/>
      <c r="K45" s="606"/>
      <c r="L45" s="606"/>
      <c r="M45" s="606"/>
      <c r="N45" s="606"/>
      <c r="O45" s="606"/>
      <c r="P45" s="606"/>
      <c r="Q45" s="606"/>
      <c r="R45" s="606"/>
      <c r="S45" s="606"/>
      <c r="T45" s="606"/>
      <c r="U45" s="449"/>
      <c r="V45" s="606"/>
      <c r="W45" s="606"/>
      <c r="X45" s="606"/>
      <c r="Y45" s="437"/>
    </row>
    <row r="46" spans="1:25" s="38" customFormat="1" ht="18.75">
      <c r="A46" s="668"/>
      <c r="B46" s="669" t="s">
        <v>535</v>
      </c>
      <c r="C46" s="669"/>
      <c r="D46" s="669"/>
      <c r="E46" s="669"/>
      <c r="F46" s="669"/>
      <c r="G46" s="669"/>
      <c r="H46" s="669"/>
      <c r="I46" s="669"/>
      <c r="J46" s="669"/>
      <c r="K46" s="669"/>
      <c r="L46" s="669"/>
      <c r="M46" s="669"/>
      <c r="N46" s="669"/>
      <c r="O46" s="669"/>
      <c r="P46" s="669"/>
      <c r="Q46" s="669"/>
      <c r="R46" s="669"/>
      <c r="S46" s="669"/>
      <c r="T46" s="669"/>
      <c r="U46" s="669"/>
      <c r="V46" s="669"/>
      <c r="W46" s="669"/>
      <c r="X46" s="669"/>
      <c r="Y46" s="669"/>
    </row>
    <row r="47" spans="1:25" s="445" customFormat="1" ht="15">
      <c r="B47" s="449"/>
      <c r="C47" s="597"/>
      <c r="D47" s="598"/>
      <c r="E47" s="599"/>
      <c r="F47" s="599"/>
      <c r="G47" s="599"/>
      <c r="H47" s="599"/>
      <c r="I47" s="599"/>
      <c r="J47" s="599"/>
      <c r="K47" s="599"/>
      <c r="L47" s="599"/>
      <c r="M47" s="549"/>
      <c r="N47" s="449"/>
      <c r="O47" s="449"/>
      <c r="P47" s="597"/>
      <c r="Q47" s="600"/>
      <c r="R47" s="600"/>
      <c r="S47" s="449"/>
      <c r="T47" s="449"/>
      <c r="U47" s="449"/>
      <c r="V47" s="449"/>
      <c r="W47" s="601"/>
      <c r="X47" s="601"/>
      <c r="Y47" s="449"/>
    </row>
    <row r="48" spans="1:25" s="617" customFormat="1" ht="15">
      <c r="B48" s="618"/>
      <c r="C48" s="619" t="s">
        <v>304</v>
      </c>
      <c r="D48" s="598"/>
      <c r="E48" s="620" t="s">
        <v>497</v>
      </c>
      <c r="F48" s="621"/>
      <c r="G48" s="621"/>
      <c r="H48" s="621"/>
      <c r="I48" s="621"/>
      <c r="J48" s="620" t="s">
        <v>497</v>
      </c>
      <c r="K48" s="621"/>
      <c r="L48" s="602"/>
      <c r="M48" s="622"/>
      <c r="N48" s="600"/>
      <c r="O48" s="600"/>
      <c r="P48" s="620" t="s">
        <v>499</v>
      </c>
      <c r="Q48" s="602"/>
      <c r="R48" s="600"/>
      <c r="S48" s="620" t="s">
        <v>498</v>
      </c>
      <c r="T48" s="602"/>
      <c r="U48" s="623"/>
      <c r="V48" s="620" t="s">
        <v>500</v>
      </c>
      <c r="W48" s="624"/>
      <c r="X48" s="625"/>
      <c r="Y48" s="626" t="s">
        <v>501</v>
      </c>
    </row>
    <row r="49" spans="1:25" s="432" customFormat="1" ht="94.5" customHeight="1">
      <c r="A49" s="603" t="s">
        <v>305</v>
      </c>
      <c r="B49" s="445"/>
      <c r="C49" s="596" t="s">
        <v>233</v>
      </c>
      <c r="D49" s="445"/>
      <c r="E49" s="560" t="str">
        <f>E4</f>
        <v>2016 Restated Results (BGM-3)</v>
      </c>
      <c r="F49" s="560" t="str">
        <f>F4</f>
        <v>(less)  Normalized Net Power Supply  Cost</v>
      </c>
      <c r="G49" s="560" t="str">
        <f>G4</f>
        <v>Deferred Dr/Cr; Reg. Amorts &amp; Misc Adjs</v>
      </c>
      <c r="H49" s="560" t="str">
        <f t="shared" ref="H49:R49" si="10">H6</f>
        <v>Net Retired Meter Deferral &amp; Amort Adjustment</v>
      </c>
      <c r="I49" s="560" t="str">
        <f t="shared" si="10"/>
        <v>Add 12.2015 Plant</v>
      </c>
      <c r="J49" s="560" t="str">
        <f t="shared" si="10"/>
        <v>Remove November 2015 Storm Expenses</v>
      </c>
      <c r="K49" s="560" t="str">
        <f>K4</f>
        <v>Pro Forma Revenue Normalization Adjustment</v>
      </c>
      <c r="L49" s="560" t="str">
        <f>L4</f>
        <v>2016 AMA Escalation Base</v>
      </c>
      <c r="M49" s="549">
        <f t="shared" si="10"/>
        <v>0</v>
      </c>
      <c r="N49" s="559" t="str">
        <f>N4</f>
        <v>Esc. Rate</v>
      </c>
      <c r="O49" s="549">
        <f t="shared" si="10"/>
        <v>0</v>
      </c>
      <c r="P49" s="558" t="str">
        <f>P4</f>
        <v xml:space="preserve"> Non-Energy Cost Escalation Amount [G]*[H]=[I]</v>
      </c>
      <c r="Q49" s="557" t="str">
        <f>Q4</f>
        <v>Trended 2017 Non-Energy Cost [G]+[I]=[J]</v>
      </c>
      <c r="R49" s="551">
        <f t="shared" si="10"/>
        <v>0</v>
      </c>
      <c r="S49" s="557" t="str">
        <f>S4</f>
        <v>Current Authorized Net Energy Cost</v>
      </c>
      <c r="T49" s="557" t="str">
        <f>T4</f>
        <v>Power Cost Incremental Load</v>
      </c>
      <c r="U49" s="551"/>
      <c r="V49" s="448" t="str">
        <f>V6</f>
        <v>After Attrition Adj. Spokane River Projects</v>
      </c>
      <c r="W49" s="448" t="str">
        <f>W6</f>
        <v>After Attrition Adj AMI Capital Project</v>
      </c>
      <c r="X49" s="448"/>
      <c r="Y49" s="557" t="str">
        <f>Y4</f>
        <v>2020 Results: [J]+[K]+[L] = [O]</v>
      </c>
    </row>
    <row r="50" spans="1:25" s="433" customFormat="1" ht="16.899999999999999" customHeight="1">
      <c r="D50" s="434"/>
      <c r="E50" s="450" t="str">
        <f>E7</f>
        <v>[A]</v>
      </c>
      <c r="F50" s="450" t="str">
        <f t="shared" ref="F50:Y52" si="11">F7</f>
        <v>[B]</v>
      </c>
      <c r="G50" s="450" t="str">
        <f t="shared" si="11"/>
        <v>[C]</v>
      </c>
      <c r="H50" s="450" t="str">
        <f t="shared" si="11"/>
        <v>[D]</v>
      </c>
      <c r="I50" s="450" t="str">
        <f t="shared" si="11"/>
        <v>[E']</v>
      </c>
      <c r="J50" s="450" t="str">
        <f>J7</f>
        <v>[E]</v>
      </c>
      <c r="K50" s="450" t="str">
        <f t="shared" si="11"/>
        <v>[F]</v>
      </c>
      <c r="L50" s="450" t="str">
        <f t="shared" si="11"/>
        <v>[G]</v>
      </c>
      <c r="M50" s="549">
        <f t="shared" si="11"/>
        <v>0</v>
      </c>
      <c r="N50" s="450" t="str">
        <f t="shared" si="11"/>
        <v>[H]</v>
      </c>
      <c r="O50" s="450">
        <f t="shared" si="11"/>
        <v>0</v>
      </c>
      <c r="P50" s="450" t="str">
        <f t="shared" si="11"/>
        <v>[I]</v>
      </c>
      <c r="Q50" s="450" t="str">
        <f t="shared" si="11"/>
        <v>[J]</v>
      </c>
      <c r="R50" s="450">
        <f t="shared" si="11"/>
        <v>0</v>
      </c>
      <c r="S50" s="450" t="str">
        <f t="shared" si="11"/>
        <v>[K]</v>
      </c>
      <c r="T50" s="450" t="str">
        <f t="shared" si="11"/>
        <v>[L]</v>
      </c>
      <c r="U50" s="450"/>
      <c r="V50" s="450" t="str">
        <f t="shared" si="11"/>
        <v>[M]</v>
      </c>
      <c r="W50" s="450" t="str">
        <f t="shared" si="11"/>
        <v>[N]</v>
      </c>
      <c r="X50" s="450"/>
      <c r="Y50" s="450" t="str">
        <f t="shared" si="11"/>
        <v>[O]</v>
      </c>
    </row>
    <row r="51" spans="1:25" s="433" customFormat="1" ht="15.75" customHeight="1">
      <c r="A51" s="638">
        <f ca="1">+MAX(OFFSET(A$1,0,0,ROW(A51)-ROW(A$1)))+1</f>
        <v>31</v>
      </c>
      <c r="B51" s="432" t="s">
        <v>25</v>
      </c>
      <c r="C51" s="432"/>
      <c r="D51" s="434"/>
      <c r="E51" s="437"/>
      <c r="F51" s="437"/>
      <c r="G51" s="437"/>
      <c r="H51" s="437"/>
      <c r="I51" s="437"/>
      <c r="J51" s="437"/>
      <c r="K51" s="437"/>
      <c r="L51" s="438"/>
      <c r="M51" s="549">
        <f t="shared" si="11"/>
        <v>0</v>
      </c>
      <c r="N51" s="439"/>
      <c r="O51" s="444"/>
      <c r="P51" s="443"/>
      <c r="Q51" s="451"/>
      <c r="R51" s="550"/>
      <c r="S51" s="437"/>
      <c r="T51" s="437"/>
      <c r="U51" s="437"/>
      <c r="V51" s="437"/>
      <c r="W51" s="437"/>
      <c r="X51" s="437"/>
      <c r="Y51" s="452"/>
    </row>
    <row r="52" spans="1:25" s="433" customFormat="1" ht="15.75" customHeight="1">
      <c r="A52" s="638">
        <f ca="1">+MAX(OFFSET(A$1,0,0,ROW(A52)-ROW(A$1)))+1</f>
        <v>32</v>
      </c>
      <c r="C52" s="432" t="s">
        <v>89</v>
      </c>
      <c r="D52" s="434"/>
      <c r="E52" s="573">
        <f>+'[6]Exh. No. BGM-3 4'!$AC$51</f>
        <v>-27872.649999999994</v>
      </c>
      <c r="F52" s="573">
        <f>+'[7]Attrition 12.2015 to 2018'!$F50</f>
        <v>40184</v>
      </c>
      <c r="G52" s="573">
        <f>ROUND(G43*0.35,0)</f>
        <v>574</v>
      </c>
      <c r="H52" s="573">
        <f>ROUND(H43*0.35,0)</f>
        <v>0</v>
      </c>
      <c r="I52" s="573">
        <v>0</v>
      </c>
      <c r="J52" s="573">
        <v>0</v>
      </c>
      <c r="K52" s="573">
        <f>ROUND(K43*0.35,0)</f>
        <v>-1769</v>
      </c>
      <c r="L52" s="573">
        <f>SUM(E52:K52)</f>
        <v>11116.350000000006</v>
      </c>
      <c r="M52" s="573">
        <f t="shared" si="11"/>
        <v>0</v>
      </c>
      <c r="N52" s="573"/>
      <c r="O52" s="573"/>
      <c r="P52" s="573">
        <f ca="1">P43*0.35</f>
        <v>-609.99162981676454</v>
      </c>
      <c r="Q52" s="573">
        <f ca="1">L52+P52</f>
        <v>10506.358370183241</v>
      </c>
      <c r="R52" s="573"/>
      <c r="S52" s="573">
        <f>0.35*S43</f>
        <v>-31015.949999999997</v>
      </c>
      <c r="T52" s="573">
        <f>0.35*T43</f>
        <v>0</v>
      </c>
      <c r="U52" s="573"/>
      <c r="V52" s="573">
        <f>0.35*V43</f>
        <v>0</v>
      </c>
      <c r="W52" s="573">
        <f>0.35*W43</f>
        <v>0</v>
      </c>
      <c r="X52" s="573"/>
      <c r="Y52" s="573">
        <f ca="1">Q52+S52+T52+W52+V52</f>
        <v>-20509.591629816758</v>
      </c>
    </row>
    <row r="53" spans="1:25" s="433" customFormat="1" ht="15.75" customHeight="1">
      <c r="A53" s="638">
        <f ca="1">+MAX(OFFSET(A$1,0,0,ROW(A53)-ROW(A$1)))+1</f>
        <v>33</v>
      </c>
      <c r="C53" s="432" t="s">
        <v>90</v>
      </c>
      <c r="D53" s="434"/>
      <c r="E53" s="561">
        <f>+'[6]Exh. No. BGM-3 4'!$AC$52</f>
        <v>20.635999999999999</v>
      </c>
      <c r="F53" s="561">
        <f>+'[7]Attrition 12.2015 to 2018'!$F51</f>
        <v>0</v>
      </c>
      <c r="G53" s="561">
        <f>G81*'2) ROR'!F11*-0.35</f>
        <v>50.145480000000006</v>
      </c>
      <c r="H53" s="561">
        <f>H81*'2) ROR'!G37*-0.35</f>
        <v>0</v>
      </c>
      <c r="I53" s="561">
        <f>I81*'2) ROR'!F37*-0.35</f>
        <v>0</v>
      </c>
      <c r="J53" s="561">
        <f>+'[7]Attrition 12.2015 to 2018'!$I51</f>
        <v>0</v>
      </c>
      <c r="K53" s="561">
        <f>K81*'2) ROR'!F37*-0.35</f>
        <v>0</v>
      </c>
      <c r="L53" s="570">
        <f>SUM(E53:K53)</f>
        <v>70.781480000000002</v>
      </c>
      <c r="M53" s="453"/>
      <c r="N53" s="444"/>
      <c r="O53" s="444"/>
      <c r="P53" s="581">
        <f ca="1">('2) ROR'!F11*-0.35*P81)+('2) ROR'!F11-'2) ROR'!F37)*L81*-0.35</f>
        <v>-549.45914192777957</v>
      </c>
      <c r="Q53" s="582">
        <f ca="1">L53+P53</f>
        <v>-478.67766192777958</v>
      </c>
      <c r="R53" s="583"/>
      <c r="S53" s="583"/>
      <c r="T53" s="583"/>
      <c r="U53" s="583"/>
      <c r="V53" s="571">
        <v>0</v>
      </c>
      <c r="W53" s="571">
        <v>0</v>
      </c>
      <c r="X53" s="571"/>
      <c r="Y53" s="582">
        <f ca="1">Q53+S53+T53+W53+V53</f>
        <v>-478.67766192777958</v>
      </c>
    </row>
    <row r="54" spans="1:25" s="433" customFormat="1" ht="15.75" customHeight="1">
      <c r="A54" s="638">
        <f ca="1">+MAX(OFFSET(A$1,0,0,ROW(A54)-ROW(A$1)))+1</f>
        <v>34</v>
      </c>
      <c r="C54" s="432" t="s">
        <v>44</v>
      </c>
      <c r="D54" s="434"/>
      <c r="E54" s="561">
        <f>+'[6]Exh. No. BGM-3 4'!$AC$53</f>
        <v>67191</v>
      </c>
      <c r="F54" s="561"/>
      <c r="G54" s="561">
        <v>0</v>
      </c>
      <c r="H54" s="561">
        <v>0</v>
      </c>
      <c r="I54" s="561">
        <v>0</v>
      </c>
      <c r="J54" s="561">
        <f>+'[7]Attrition 12.2015 to 2018'!$I52</f>
        <v>0</v>
      </c>
      <c r="K54" s="561">
        <v>0</v>
      </c>
      <c r="L54" s="570">
        <f>SUM(E54:K54)</f>
        <v>67191</v>
      </c>
      <c r="M54" s="453"/>
      <c r="N54" s="444"/>
      <c r="O54" s="444"/>
      <c r="P54" s="570">
        <f>N54*L54</f>
        <v>0</v>
      </c>
      <c r="Q54" s="562">
        <f>P54+L54</f>
        <v>67191</v>
      </c>
      <c r="R54" s="561"/>
      <c r="S54" s="561"/>
      <c r="T54" s="561"/>
      <c r="U54" s="561"/>
      <c r="V54" s="561"/>
      <c r="W54" s="561"/>
      <c r="X54" s="561"/>
      <c r="Y54" s="582">
        <f>Q54+S54+T54+W54+V54</f>
        <v>67191</v>
      </c>
    </row>
    <row r="55" spans="1:25" s="433" customFormat="1" ht="15.75" customHeight="1">
      <c r="A55" s="638">
        <f ca="1">+MAX(OFFSET(A$1,0,0,ROW(A55)-ROW(A$1)))+1</f>
        <v>35</v>
      </c>
      <c r="C55" s="432" t="s">
        <v>43</v>
      </c>
      <c r="D55" s="434"/>
      <c r="E55" s="561">
        <f>+'[6]Exh. No. BGM-3 4'!$AC$54</f>
        <v>-326</v>
      </c>
      <c r="F55" s="561"/>
      <c r="G55" s="561">
        <v>0</v>
      </c>
      <c r="H55" s="561">
        <v>0</v>
      </c>
      <c r="I55" s="561">
        <v>0</v>
      </c>
      <c r="J55" s="561">
        <f>+'[7]Attrition 12.2015 to 2018'!$I53</f>
        <v>0</v>
      </c>
      <c r="K55" s="561">
        <v>0</v>
      </c>
      <c r="L55" s="570">
        <f>SUM(E55:K55)</f>
        <v>-326</v>
      </c>
      <c r="M55" s="453"/>
      <c r="N55" s="444"/>
      <c r="O55" s="444"/>
      <c r="P55" s="570">
        <f>N55*L55</f>
        <v>0</v>
      </c>
      <c r="Q55" s="562">
        <f>P55+L55</f>
        <v>-326</v>
      </c>
      <c r="R55" s="561"/>
      <c r="S55" s="561"/>
      <c r="T55" s="561"/>
      <c r="U55" s="561"/>
      <c r="V55" s="571">
        <v>0</v>
      </c>
      <c r="W55" s="561">
        <v>0</v>
      </c>
      <c r="X55" s="561"/>
      <c r="Y55" s="582">
        <f>Q55+S55+T55+W55+V55</f>
        <v>-326</v>
      </c>
    </row>
    <row r="56" spans="1:25" s="433" customFormat="1" ht="15.75" customHeight="1">
      <c r="A56" s="606"/>
      <c r="B56" s="432"/>
      <c r="C56" s="432"/>
      <c r="D56" s="434"/>
      <c r="E56" s="561"/>
      <c r="F56" s="561"/>
      <c r="G56" s="561"/>
      <c r="H56" s="561"/>
      <c r="I56" s="561"/>
      <c r="J56" s="561"/>
      <c r="K56" s="561"/>
      <c r="L56" s="570"/>
      <c r="M56" s="453"/>
      <c r="N56" s="444"/>
      <c r="O56" s="444"/>
      <c r="P56" s="568"/>
      <c r="Q56" s="562"/>
      <c r="R56" s="561"/>
      <c r="S56" s="561"/>
      <c r="T56" s="561"/>
      <c r="U56" s="561"/>
      <c r="V56" s="561"/>
      <c r="W56" s="561"/>
      <c r="X56" s="561"/>
      <c r="Y56" s="562"/>
    </row>
    <row r="57" spans="1:25" s="433" customFormat="1" ht="15.75" customHeight="1" thickBot="1">
      <c r="A57" s="638">
        <f ca="1">+MAX(OFFSET(A$1,0,0,ROW(A57)-ROW(A$1)))+1</f>
        <v>36</v>
      </c>
      <c r="B57" s="432" t="s">
        <v>42</v>
      </c>
      <c r="C57" s="432"/>
      <c r="D57" s="434"/>
      <c r="E57" s="578">
        <f>E43-E52-E53-E54-E55</f>
        <v>107203.014</v>
      </c>
      <c r="F57" s="578">
        <f>F43-F52-F53-F54-F55</f>
        <v>36593</v>
      </c>
      <c r="G57" s="578">
        <f t="shared" ref="G57:L57" si="12">G43-G52-G53-G54-G55</f>
        <v>1016.85452</v>
      </c>
      <c r="H57" s="578">
        <f t="shared" si="12"/>
        <v>0</v>
      </c>
      <c r="I57" s="578">
        <f t="shared" si="12"/>
        <v>0</v>
      </c>
      <c r="J57" s="578">
        <f>J43-J52-J53-J54-J55</f>
        <v>0</v>
      </c>
      <c r="K57" s="578">
        <f t="shared" si="12"/>
        <v>-3286</v>
      </c>
      <c r="L57" s="578">
        <f t="shared" si="12"/>
        <v>141526.86851999999</v>
      </c>
      <c r="M57" s="437"/>
      <c r="N57" s="437"/>
      <c r="O57" s="437"/>
      <c r="P57" s="578">
        <f t="shared" ref="P57:T57" ca="1" si="13">P43-P52-P53-P54-P55</f>
        <v>-583.38245630335484</v>
      </c>
      <c r="Q57" s="578">
        <f t="shared" ca="1" si="13"/>
        <v>161716.48606369662</v>
      </c>
      <c r="R57" s="561"/>
      <c r="S57" s="578">
        <f t="shared" si="13"/>
        <v>-57601.05</v>
      </c>
      <c r="T57" s="578">
        <f t="shared" si="13"/>
        <v>0</v>
      </c>
      <c r="U57" s="561"/>
      <c r="V57" s="578">
        <f>V43-V52-V53-V54-V55</f>
        <v>0</v>
      </c>
      <c r="W57" s="578">
        <f>W43-W52-W53-W54-W55</f>
        <v>0</v>
      </c>
      <c r="X57" s="578"/>
      <c r="Y57" s="578">
        <f ca="1">Y43-Y52-Y53-Y54-Y55</f>
        <v>104115.43606369663</v>
      </c>
    </row>
    <row r="58" spans="1:25" s="433" customFormat="1" ht="15.75" thickTop="1">
      <c r="A58" s="606"/>
      <c r="B58" s="432"/>
      <c r="C58" s="432"/>
      <c r="D58" s="434"/>
      <c r="E58" s="561"/>
      <c r="F58" s="561"/>
      <c r="G58" s="561"/>
      <c r="H58" s="561"/>
      <c r="I58" s="561"/>
      <c r="J58" s="561"/>
      <c r="K58" s="561"/>
      <c r="L58" s="570"/>
      <c r="M58" s="453"/>
      <c r="N58" s="444"/>
      <c r="O58" s="444"/>
      <c r="P58" s="568"/>
      <c r="Q58" s="610"/>
      <c r="R58" s="611"/>
      <c r="S58" s="561"/>
      <c r="T58" s="561"/>
      <c r="U58" s="561"/>
      <c r="V58" s="561"/>
      <c r="W58" s="561"/>
      <c r="X58" s="561"/>
      <c r="Y58" s="610"/>
    </row>
    <row r="59" spans="1:25" s="433" customFormat="1" ht="15.75" customHeight="1">
      <c r="A59" s="638">
        <f t="shared" ref="A59:A73" ca="1" si="14">+MAX(OFFSET(A$1,0,0,ROW(A59)-ROW(A$1)))+1</f>
        <v>37</v>
      </c>
      <c r="B59" s="432" t="s">
        <v>41</v>
      </c>
      <c r="C59" s="432"/>
      <c r="D59" s="434"/>
      <c r="E59" s="561"/>
      <c r="F59" s="561"/>
      <c r="G59" s="561"/>
      <c r="H59" s="561"/>
      <c r="I59" s="561"/>
      <c r="J59" s="561"/>
      <c r="K59" s="561"/>
      <c r="L59" s="570"/>
      <c r="M59" s="453"/>
      <c r="N59" s="444"/>
      <c r="O59" s="444"/>
      <c r="P59" s="568"/>
      <c r="Q59" s="562"/>
      <c r="R59" s="561"/>
      <c r="S59" s="561"/>
      <c r="T59" s="561"/>
      <c r="U59" s="561"/>
      <c r="V59" s="561"/>
      <c r="W59" s="561"/>
      <c r="X59" s="561"/>
      <c r="Y59" s="584"/>
    </row>
    <row r="60" spans="1:25" s="433" customFormat="1" ht="15.75" customHeight="1">
      <c r="A60" s="638">
        <f t="shared" ca="1" si="14"/>
        <v>38</v>
      </c>
      <c r="B60" s="432" t="s">
        <v>104</v>
      </c>
      <c r="C60" s="432"/>
      <c r="D60" s="434"/>
      <c r="E60" s="561"/>
      <c r="F60" s="561"/>
      <c r="G60" s="561"/>
      <c r="H60" s="561"/>
      <c r="I60" s="612" t="s">
        <v>437</v>
      </c>
      <c r="J60" s="561"/>
      <c r="K60" s="561"/>
      <c r="L60" s="570"/>
      <c r="M60" s="438"/>
      <c r="N60" s="439"/>
      <c r="O60" s="439"/>
      <c r="P60" s="568"/>
      <c r="Q60" s="562"/>
      <c r="R60" s="561"/>
      <c r="S60" s="561"/>
      <c r="T60" s="561"/>
      <c r="U60" s="561"/>
      <c r="V60" s="561"/>
      <c r="W60" s="561"/>
      <c r="X60" s="561"/>
      <c r="Y60" s="562"/>
    </row>
    <row r="61" spans="1:25" s="433" customFormat="1" ht="15.75" customHeight="1">
      <c r="A61" s="638">
        <f t="shared" ca="1" si="14"/>
        <v>39</v>
      </c>
      <c r="B61" s="432"/>
      <c r="C61" s="432" t="s">
        <v>39</v>
      </c>
      <c r="D61" s="434"/>
      <c r="E61" s="722">
        <f>+'[6]Exh. No. BGM-3 4'!$AC$60</f>
        <v>156057</v>
      </c>
      <c r="F61" s="561"/>
      <c r="G61" s="561">
        <v>0</v>
      </c>
      <c r="H61" s="561">
        <v>0</v>
      </c>
      <c r="I61" s="571">
        <v>0</v>
      </c>
      <c r="J61" s="561">
        <f>+'[7]Attrition 12.2015 to 2018'!$I59</f>
        <v>0</v>
      </c>
      <c r="K61" s="561">
        <v>0</v>
      </c>
      <c r="L61" s="572">
        <f>SUM(E61:K61)</f>
        <v>156057</v>
      </c>
      <c r="M61" s="438"/>
      <c r="N61" s="509">
        <f ca="1">+'4.11'!B23*$N$6</f>
        <v>0.17882900000000002</v>
      </c>
      <c r="O61" s="439"/>
      <c r="P61" s="570">
        <f ca="1">L61*N61</f>
        <v>27907.517253000002</v>
      </c>
      <c r="Q61" s="562">
        <f ca="1">L61+P61</f>
        <v>183964.517253</v>
      </c>
      <c r="R61" s="561"/>
      <c r="S61" s="561"/>
      <c r="T61" s="561"/>
      <c r="U61" s="561"/>
      <c r="V61" s="561"/>
      <c r="W61" s="571">
        <v>0</v>
      </c>
      <c r="X61" s="571"/>
      <c r="Y61" s="582">
        <f ca="1">Q61+S61+T61+W61+V61</f>
        <v>183964.517253</v>
      </c>
    </row>
    <row r="62" spans="1:25" s="433" customFormat="1" ht="15.75" customHeight="1">
      <c r="A62" s="638">
        <f t="shared" ca="1" si="14"/>
        <v>40</v>
      </c>
      <c r="B62" s="432"/>
      <c r="C62" s="432" t="s">
        <v>38</v>
      </c>
      <c r="D62" s="434"/>
      <c r="E62" s="561">
        <f>+'[6]Exh. No. BGM-3 4'!$AC$61</f>
        <v>832833</v>
      </c>
      <c r="F62" s="561"/>
      <c r="G62" s="561">
        <v>0</v>
      </c>
      <c r="H62" s="561">
        <v>0</v>
      </c>
      <c r="I62" s="571">
        <v>0</v>
      </c>
      <c r="J62" s="561">
        <f>+'[7]Attrition 12.2015 to 2018'!$I60</f>
        <v>0</v>
      </c>
      <c r="K62" s="561">
        <v>0</v>
      </c>
      <c r="L62" s="572">
        <f>SUM(E62:K62)</f>
        <v>832833</v>
      </c>
      <c r="M62" s="438"/>
      <c r="N62" s="509">
        <f ca="1">+'4.12'!B23*$N$6</f>
        <v>3.0743000000000003E-2</v>
      </c>
      <c r="O62" s="439"/>
      <c r="P62" s="570">
        <f ca="1">L62*N62</f>
        <v>25603.784919000002</v>
      </c>
      <c r="Q62" s="562">
        <f ca="1">L62+P62</f>
        <v>858436.784919</v>
      </c>
      <c r="R62" s="561"/>
      <c r="S62" s="561"/>
      <c r="T62" s="561"/>
      <c r="U62" s="561"/>
      <c r="V62" s="571">
        <v>0</v>
      </c>
      <c r="W62" s="561"/>
      <c r="X62" s="561"/>
      <c r="Y62" s="582">
        <f ca="1">Q62+S62+T62+W62+V62</f>
        <v>858436.784919</v>
      </c>
    </row>
    <row r="63" spans="1:25" s="433" customFormat="1" ht="15.75" customHeight="1">
      <c r="A63" s="638">
        <f t="shared" ca="1" si="14"/>
        <v>41</v>
      </c>
      <c r="B63" s="432"/>
      <c r="C63" s="432" t="s">
        <v>37</v>
      </c>
      <c r="D63" s="434"/>
      <c r="E63" s="561">
        <f>+'[6]Exh. No. BGM-3 4'!$AC$62</f>
        <v>430613</v>
      </c>
      <c r="F63" s="561"/>
      <c r="G63" s="561">
        <v>0</v>
      </c>
      <c r="H63" s="561">
        <v>0</v>
      </c>
      <c r="I63" s="571">
        <v>0</v>
      </c>
      <c r="J63" s="561">
        <f>+'[7]Attrition 12.2015 to 2018'!$I61</f>
        <v>0</v>
      </c>
      <c r="K63" s="561">
        <v>0</v>
      </c>
      <c r="L63" s="572">
        <f>SUM(E63:K63)</f>
        <v>430613</v>
      </c>
      <c r="M63" s="438"/>
      <c r="N63" s="509">
        <f ca="1">+'4.13'!B23*$N$6</f>
        <v>0.179262</v>
      </c>
      <c r="O63" s="439"/>
      <c r="P63" s="570">
        <f ca="1">L63*N63</f>
        <v>77192.547606000007</v>
      </c>
      <c r="Q63" s="562">
        <f ca="1">L63+P63</f>
        <v>507805.54760599998</v>
      </c>
      <c r="R63" s="561"/>
      <c r="S63" s="561"/>
      <c r="T63" s="561"/>
      <c r="U63" s="561"/>
      <c r="V63" s="561"/>
      <c r="W63" s="561"/>
      <c r="X63" s="561"/>
      <c r="Y63" s="582">
        <f ca="1">Q63+S63+T63+W63+V63</f>
        <v>507805.54760599998</v>
      </c>
    </row>
    <row r="64" spans="1:25" s="433" customFormat="1" ht="15.75" customHeight="1">
      <c r="A64" s="638">
        <f t="shared" ca="1" si="14"/>
        <v>42</v>
      </c>
      <c r="B64" s="432"/>
      <c r="C64" s="432" t="s">
        <v>36</v>
      </c>
      <c r="D64" s="434"/>
      <c r="E64" s="561">
        <f>+'[6]Exh. No. BGM-3 4'!$AC$63</f>
        <v>970455</v>
      </c>
      <c r="F64" s="561"/>
      <c r="G64" s="561">
        <v>0</v>
      </c>
      <c r="H64" s="571">
        <v>0</v>
      </c>
      <c r="I64" s="571">
        <v>0</v>
      </c>
      <c r="J64" s="561">
        <f>+'[7]Attrition 12.2015 to 2018'!$I62</f>
        <v>0</v>
      </c>
      <c r="K64" s="561">
        <v>0</v>
      </c>
      <c r="L64" s="572">
        <f>SUM(E64:K64)</f>
        <v>970455</v>
      </c>
      <c r="M64" s="438"/>
      <c r="N64" s="509">
        <f ca="1">+'4.14'!B23*$N$6</f>
        <v>0.21866500000000003</v>
      </c>
      <c r="O64" s="439"/>
      <c r="P64" s="570">
        <f ca="1">L64*N64</f>
        <v>212204.54257500003</v>
      </c>
      <c r="Q64" s="562">
        <f ca="1">L64+P64</f>
        <v>1182659.5425750001</v>
      </c>
      <c r="R64" s="561"/>
      <c r="S64" s="561"/>
      <c r="T64" s="561"/>
      <c r="U64" s="561"/>
      <c r="V64" s="561"/>
      <c r="W64" s="571">
        <v>0</v>
      </c>
      <c r="X64" s="571"/>
      <c r="Y64" s="582">
        <f ca="1">Q64+S64+T64+W64+V64</f>
        <v>1182659.5425750001</v>
      </c>
    </row>
    <row r="65" spans="1:26" s="433" customFormat="1" ht="15.75" customHeight="1">
      <c r="A65" s="638">
        <f t="shared" ca="1" si="14"/>
        <v>43</v>
      </c>
      <c r="B65" s="432"/>
      <c r="C65" s="432" t="s">
        <v>35</v>
      </c>
      <c r="D65" s="434"/>
      <c r="E65" s="561">
        <f>+'[6]Exh. No. BGM-3 4'!$AC$64</f>
        <v>233266</v>
      </c>
      <c r="F65" s="564"/>
      <c r="G65" s="561">
        <v>0</v>
      </c>
      <c r="H65" s="561">
        <v>0</v>
      </c>
      <c r="I65" s="571">
        <v>0</v>
      </c>
      <c r="J65" s="561">
        <f>+'[7]Attrition 12.2015 to 2018'!$I63</f>
        <v>0</v>
      </c>
      <c r="K65" s="561">
        <v>0</v>
      </c>
      <c r="L65" s="572">
        <f>SUM(E65:K65)</f>
        <v>233266</v>
      </c>
      <c r="M65" s="453"/>
      <c r="N65" s="509">
        <f ca="1">+'4.15'!B23*$N$6</f>
        <v>0.35895700000000003</v>
      </c>
      <c r="O65" s="444"/>
      <c r="P65" s="567">
        <f ca="1">L65*N65</f>
        <v>83732.463562000004</v>
      </c>
      <c r="Q65" s="564">
        <f ca="1">L65+P65</f>
        <v>316998.46356200002</v>
      </c>
      <c r="R65" s="561"/>
      <c r="S65" s="564"/>
      <c r="T65" s="564"/>
      <c r="U65" s="561"/>
      <c r="V65" s="564"/>
      <c r="W65" s="571">
        <v>0</v>
      </c>
      <c r="X65" s="571"/>
      <c r="Y65" s="585">
        <f ca="1">Q65+S65+T65+W65+V65</f>
        <v>316998.46356200002</v>
      </c>
    </row>
    <row r="66" spans="1:26" s="433" customFormat="1" ht="15.75" customHeight="1">
      <c r="A66" s="638">
        <f t="shared" ca="1" si="14"/>
        <v>44</v>
      </c>
      <c r="B66" s="432"/>
      <c r="C66" s="432" t="s">
        <v>111</v>
      </c>
      <c r="D66" s="434"/>
      <c r="E66" s="566">
        <f>SUM(E61:E65)</f>
        <v>2623224</v>
      </c>
      <c r="F66" s="566">
        <f t="shared" ref="F66:K66" si="15">SUM(F61:F65)</f>
        <v>0</v>
      </c>
      <c r="G66" s="566">
        <f t="shared" si="15"/>
        <v>0</v>
      </c>
      <c r="H66" s="566">
        <f t="shared" si="15"/>
        <v>0</v>
      </c>
      <c r="I66" s="566">
        <f t="shared" si="15"/>
        <v>0</v>
      </c>
      <c r="J66" s="566">
        <f>SUM(J61:J65)</f>
        <v>0</v>
      </c>
      <c r="K66" s="566">
        <f t="shared" si="15"/>
        <v>0</v>
      </c>
      <c r="L66" s="565">
        <f>SUM(L61:L65)</f>
        <v>2623224</v>
      </c>
      <c r="M66" s="453"/>
      <c r="N66" s="447"/>
      <c r="O66" s="444"/>
      <c r="P66" s="570">
        <f ca="1">SUM(P61:P65)</f>
        <v>426640.85591500002</v>
      </c>
      <c r="Q66" s="570">
        <f ca="1">SUM(Q61:Q65)</f>
        <v>3049864.8559150002</v>
      </c>
      <c r="R66" s="561"/>
      <c r="S66" s="561"/>
      <c r="T66" s="561"/>
      <c r="U66" s="561"/>
      <c r="V66" s="570">
        <f>SUM(V61:V65)</f>
        <v>0</v>
      </c>
      <c r="W66" s="570">
        <f>SUM(W61:W65)</f>
        <v>0</v>
      </c>
      <c r="X66" s="570"/>
      <c r="Y66" s="570">
        <f ca="1">SUM(Y61:Y65)</f>
        <v>3049864.8559150002</v>
      </c>
    </row>
    <row r="67" spans="1:26" s="433" customFormat="1" ht="15.75" customHeight="1">
      <c r="A67" s="638">
        <f t="shared" ca="1" si="14"/>
        <v>45</v>
      </c>
      <c r="B67" s="432" t="s">
        <v>107</v>
      </c>
      <c r="C67" s="454"/>
      <c r="D67" s="434"/>
      <c r="E67" s="561"/>
      <c r="F67" s="561"/>
      <c r="G67" s="561"/>
      <c r="H67" s="561"/>
      <c r="I67" s="561"/>
      <c r="J67" s="561"/>
      <c r="K67" s="561"/>
      <c r="L67" s="570"/>
      <c r="M67" s="438"/>
      <c r="N67" s="439"/>
      <c r="O67" s="439"/>
      <c r="P67" s="568"/>
      <c r="Q67" s="562"/>
      <c r="R67" s="561"/>
      <c r="S67" s="561"/>
      <c r="T67" s="561"/>
      <c r="U67" s="561"/>
      <c r="V67" s="561"/>
      <c r="W67" s="561"/>
      <c r="X67" s="561"/>
      <c r="Y67" s="562">
        <f t="shared" ref="Y67" si="16">Q67</f>
        <v>0</v>
      </c>
    </row>
    <row r="68" spans="1:26" s="433" customFormat="1" ht="15.75" customHeight="1">
      <c r="A68" s="638">
        <f t="shared" ca="1" si="14"/>
        <v>46</v>
      </c>
      <c r="B68" s="432"/>
      <c r="C68" s="432" t="s">
        <v>39</v>
      </c>
      <c r="D68" s="442"/>
      <c r="E68" s="561">
        <f>+'[6]Exh. No. BGM-3 4'!$AC$67</f>
        <v>-30914</v>
      </c>
      <c r="F68" s="561"/>
      <c r="G68" s="561">
        <v>0</v>
      </c>
      <c r="H68" s="561">
        <v>0</v>
      </c>
      <c r="I68" s="571">
        <v>0</v>
      </c>
      <c r="J68" s="561">
        <f>+'[7]Attrition 12.2015 to 2018'!$I66</f>
        <v>0</v>
      </c>
      <c r="K68" s="561">
        <v>0</v>
      </c>
      <c r="L68" s="572">
        <f>SUM(E68:K68)</f>
        <v>-30914</v>
      </c>
      <c r="M68" s="438"/>
      <c r="N68" s="444">
        <f ca="1">+N61</f>
        <v>0.17882900000000002</v>
      </c>
      <c r="O68" s="439"/>
      <c r="P68" s="570">
        <f ca="1">L68*N68</f>
        <v>-5528.3197060000002</v>
      </c>
      <c r="Q68" s="562">
        <f ca="1">L68+P68</f>
        <v>-36442.319706000002</v>
      </c>
      <c r="R68" s="561"/>
      <c r="S68" s="561"/>
      <c r="T68" s="561"/>
      <c r="U68" s="561"/>
      <c r="V68" s="561"/>
      <c r="W68" s="571">
        <v>0</v>
      </c>
      <c r="X68" s="571"/>
      <c r="Y68" s="582">
        <f ca="1">Q68+S68+T68+W68+V68</f>
        <v>-36442.319706000002</v>
      </c>
    </row>
    <row r="69" spans="1:26" s="433" customFormat="1" ht="15.75" customHeight="1">
      <c r="A69" s="638">
        <f t="shared" ca="1" si="14"/>
        <v>47</v>
      </c>
      <c r="B69" s="432"/>
      <c r="C69" s="432" t="s">
        <v>38</v>
      </c>
      <c r="D69" s="434"/>
      <c r="E69" s="561">
        <f>+'[6]Exh. No. BGM-3 4'!$AC$68</f>
        <v>-351625</v>
      </c>
      <c r="F69" s="561"/>
      <c r="G69" s="561">
        <v>0</v>
      </c>
      <c r="H69" s="561">
        <v>0</v>
      </c>
      <c r="I69" s="571">
        <v>0</v>
      </c>
      <c r="J69" s="561">
        <f>+'[7]Attrition 12.2015 to 2018'!$I67</f>
        <v>0</v>
      </c>
      <c r="K69" s="561">
        <v>0</v>
      </c>
      <c r="L69" s="572">
        <f>SUM(E69:K69)</f>
        <v>-351625</v>
      </c>
      <c r="M69" s="438"/>
      <c r="N69" s="444">
        <f t="shared" ref="N69:N72" ca="1" si="17">+N62</f>
        <v>3.0743000000000003E-2</v>
      </c>
      <c r="O69" s="439"/>
      <c r="P69" s="570">
        <f ca="1">L69*N69</f>
        <v>-10810.007375000001</v>
      </c>
      <c r="Q69" s="562">
        <f ca="1">L69+P69</f>
        <v>-362435.00737499999</v>
      </c>
      <c r="R69" s="561"/>
      <c r="S69" s="561"/>
      <c r="T69" s="561"/>
      <c r="U69" s="561"/>
      <c r="V69" s="571">
        <v>0</v>
      </c>
      <c r="W69" s="561"/>
      <c r="X69" s="561"/>
      <c r="Y69" s="582">
        <f ca="1">Q69+S69+T69+W69+V69</f>
        <v>-362435.00737499999</v>
      </c>
    </row>
    <row r="70" spans="1:26" s="433" customFormat="1" ht="15.75" customHeight="1">
      <c r="A70" s="638">
        <f t="shared" ca="1" si="14"/>
        <v>48</v>
      </c>
      <c r="B70" s="432"/>
      <c r="C70" s="432" t="s">
        <v>37</v>
      </c>
      <c r="D70" s="434"/>
      <c r="E70" s="561">
        <f>+'[6]Exh. No. BGM-3 4'!$AC$69</f>
        <v>-135624</v>
      </c>
      <c r="F70" s="561"/>
      <c r="G70" s="561">
        <v>0</v>
      </c>
      <c r="H70" s="561">
        <v>0</v>
      </c>
      <c r="I70" s="571">
        <v>0</v>
      </c>
      <c r="J70" s="561">
        <f>+'[7]Attrition 12.2015 to 2018'!$I68</f>
        <v>0</v>
      </c>
      <c r="K70" s="561">
        <v>0</v>
      </c>
      <c r="L70" s="572">
        <f>SUM(E70:K70)</f>
        <v>-135624</v>
      </c>
      <c r="M70" s="438"/>
      <c r="N70" s="444">
        <f t="shared" ca="1" si="17"/>
        <v>0.179262</v>
      </c>
      <c r="O70" s="439"/>
      <c r="P70" s="570">
        <f ca="1">L70*N70</f>
        <v>-24312.229488000001</v>
      </c>
      <c r="Q70" s="562">
        <f ca="1">L70+P70</f>
        <v>-159936.22948800001</v>
      </c>
      <c r="R70" s="561"/>
      <c r="S70" s="561"/>
      <c r="T70" s="561"/>
      <c r="U70" s="561"/>
      <c r="V70" s="561"/>
      <c r="W70" s="561"/>
      <c r="X70" s="561"/>
      <c r="Y70" s="582">
        <f ca="1">Q70+S70+T70+W70+V70</f>
        <v>-159936.22948800001</v>
      </c>
    </row>
    <row r="71" spans="1:26" s="433" customFormat="1" ht="15.75" customHeight="1">
      <c r="A71" s="638">
        <f t="shared" ca="1" si="14"/>
        <v>49</v>
      </c>
      <c r="B71" s="432"/>
      <c r="C71" s="432" t="s">
        <v>36</v>
      </c>
      <c r="D71" s="434"/>
      <c r="E71" s="561">
        <f>+'[6]Exh. No. BGM-3 4'!$AC$70</f>
        <v>-295383</v>
      </c>
      <c r="F71" s="561"/>
      <c r="G71" s="561">
        <v>0</v>
      </c>
      <c r="H71" s="561">
        <v>0</v>
      </c>
      <c r="I71" s="571">
        <v>0</v>
      </c>
      <c r="J71" s="561">
        <f>+'[7]Attrition 12.2015 to 2018'!$I69</f>
        <v>0</v>
      </c>
      <c r="K71" s="561">
        <v>0</v>
      </c>
      <c r="L71" s="572">
        <f>SUM(E71:K71)</f>
        <v>-295383</v>
      </c>
      <c r="M71" s="438"/>
      <c r="N71" s="444">
        <f t="shared" ca="1" si="17"/>
        <v>0.21866500000000003</v>
      </c>
      <c r="O71" s="439"/>
      <c r="P71" s="570">
        <f ca="1">L71*N71</f>
        <v>-64589.923695000005</v>
      </c>
      <c r="Q71" s="562">
        <f ca="1">L71+P71</f>
        <v>-359972.923695</v>
      </c>
      <c r="R71" s="561"/>
      <c r="S71" s="561"/>
      <c r="T71" s="561"/>
      <c r="U71" s="561"/>
      <c r="V71" s="561"/>
      <c r="W71" s="571">
        <v>0</v>
      </c>
      <c r="X71" s="571"/>
      <c r="Y71" s="582">
        <f ca="1">Q71+S71+T71+W71+V71</f>
        <v>-359972.923695</v>
      </c>
    </row>
    <row r="72" spans="1:26" s="433" customFormat="1" ht="15.75" customHeight="1">
      <c r="A72" s="638">
        <f t="shared" ca="1" si="14"/>
        <v>50</v>
      </c>
      <c r="B72" s="432"/>
      <c r="C72" s="432" t="s">
        <v>35</v>
      </c>
      <c r="D72" s="434"/>
      <c r="E72" s="561">
        <f>+'[6]Exh. No. BGM-3 4'!$AC$71</f>
        <v>-80093</v>
      </c>
      <c r="F72" s="567"/>
      <c r="G72" s="561">
        <v>0</v>
      </c>
      <c r="H72" s="561">
        <v>0</v>
      </c>
      <c r="I72" s="571">
        <v>0</v>
      </c>
      <c r="J72" s="561">
        <f>+'[7]Attrition 12.2015 to 2018'!$I70</f>
        <v>0</v>
      </c>
      <c r="K72" s="561">
        <v>0</v>
      </c>
      <c r="L72" s="572">
        <f>SUM(E72:K72)</f>
        <v>-80093</v>
      </c>
      <c r="M72" s="453"/>
      <c r="N72" s="444">
        <f t="shared" ca="1" si="17"/>
        <v>0.35895700000000003</v>
      </c>
      <c r="O72" s="444"/>
      <c r="P72" s="567">
        <f ca="1">L72*N72</f>
        <v>-28749.943001000003</v>
      </c>
      <c r="Q72" s="564">
        <f ca="1">L72+P72</f>
        <v>-108842.94300100001</v>
      </c>
      <c r="R72" s="561"/>
      <c r="S72" s="564"/>
      <c r="T72" s="564"/>
      <c r="U72" s="561"/>
      <c r="V72" s="564"/>
      <c r="W72" s="571">
        <v>0</v>
      </c>
      <c r="X72" s="571"/>
      <c r="Y72" s="585">
        <f ca="1">Q72+S72+T72+W72+V72</f>
        <v>-108842.94300100001</v>
      </c>
    </row>
    <row r="73" spans="1:26" s="636" customFormat="1" ht="30.75" customHeight="1">
      <c r="A73" s="638">
        <f t="shared" ca="1" si="14"/>
        <v>51</v>
      </c>
      <c r="B73" s="627"/>
      <c r="C73" s="628" t="s">
        <v>129</v>
      </c>
      <c r="D73" s="629"/>
      <c r="E73" s="630">
        <f>SUM(E68:E72)</f>
        <v>-893639</v>
      </c>
      <c r="F73" s="630">
        <f t="shared" ref="F73:K73" si="18">SUM(F68:F72)</f>
        <v>0</v>
      </c>
      <c r="G73" s="630">
        <f t="shared" si="18"/>
        <v>0</v>
      </c>
      <c r="H73" s="630">
        <f t="shared" si="18"/>
        <v>0</v>
      </c>
      <c r="I73" s="630">
        <f t="shared" si="18"/>
        <v>0</v>
      </c>
      <c r="J73" s="630">
        <f>SUM(J68:J72)</f>
        <v>0</v>
      </c>
      <c r="K73" s="630">
        <f t="shared" si="18"/>
        <v>0</v>
      </c>
      <c r="L73" s="631">
        <f>SUM(L68:L72)</f>
        <v>-893639</v>
      </c>
      <c r="M73" s="632"/>
      <c r="N73" s="633"/>
      <c r="O73" s="633"/>
      <c r="P73" s="634">
        <f ca="1">SUM(P68:P72)</f>
        <v>-133990.42326500002</v>
      </c>
      <c r="Q73" s="634">
        <f ca="1">SUM(Q68:Q72)</f>
        <v>-1027629.423265</v>
      </c>
      <c r="R73" s="635"/>
      <c r="S73" s="635"/>
      <c r="T73" s="635"/>
      <c r="U73" s="635"/>
      <c r="V73" s="634">
        <f>SUM(V68:V72)</f>
        <v>0</v>
      </c>
      <c r="W73" s="634">
        <f>SUM(W68:W72)</f>
        <v>0</v>
      </c>
      <c r="X73" s="634"/>
      <c r="Y73" s="634">
        <f ca="1">SUM(Y68:Y72)</f>
        <v>-1027629.423265</v>
      </c>
    </row>
    <row r="74" spans="1:26" s="433" customFormat="1" ht="15">
      <c r="A74" s="606"/>
      <c r="B74" s="432"/>
      <c r="C74" s="454"/>
      <c r="D74" s="455"/>
      <c r="E74" s="561"/>
      <c r="F74" s="572"/>
      <c r="G74" s="572"/>
      <c r="H74" s="572"/>
      <c r="I74" s="572"/>
      <c r="J74" s="561"/>
      <c r="K74" s="572"/>
      <c r="L74" s="570"/>
      <c r="M74" s="438"/>
      <c r="N74" s="439"/>
      <c r="O74" s="439"/>
      <c r="P74" s="570"/>
      <c r="Q74" s="562"/>
      <c r="R74" s="561"/>
      <c r="S74" s="561"/>
      <c r="T74" s="561"/>
      <c r="U74" s="561"/>
      <c r="V74" s="561"/>
      <c r="W74" s="561"/>
      <c r="X74" s="561"/>
      <c r="Y74" s="562"/>
    </row>
    <row r="75" spans="1:26" s="433" customFormat="1" ht="15.75" customHeight="1">
      <c r="A75" s="638">
        <f ca="1">+MAX(OFFSET(A$1,0,0,ROW(A75)-ROW(A$1)))+1</f>
        <v>52</v>
      </c>
      <c r="B75" s="432" t="s">
        <v>96</v>
      </c>
      <c r="C75" s="432"/>
      <c r="D75" s="434"/>
      <c r="E75" s="566">
        <f>E66+E73</f>
        <v>1729585</v>
      </c>
      <c r="F75" s="566">
        <f t="shared" ref="F75:W75" si="19">F66+F73</f>
        <v>0</v>
      </c>
      <c r="G75" s="566">
        <f t="shared" si="19"/>
        <v>0</v>
      </c>
      <c r="H75" s="566">
        <f t="shared" si="19"/>
        <v>0</v>
      </c>
      <c r="I75" s="566">
        <f t="shared" si="19"/>
        <v>0</v>
      </c>
      <c r="J75" s="566">
        <f>J66+J73</f>
        <v>0</v>
      </c>
      <c r="K75" s="566">
        <f t="shared" si="19"/>
        <v>0</v>
      </c>
      <c r="L75" s="566">
        <f t="shared" si="19"/>
        <v>1729585</v>
      </c>
      <c r="M75" s="438"/>
      <c r="N75" s="439"/>
      <c r="O75" s="439"/>
      <c r="P75" s="566">
        <f t="shared" ca="1" si="19"/>
        <v>292650.43264999997</v>
      </c>
      <c r="Q75" s="566">
        <f t="shared" ca="1" si="19"/>
        <v>2022235.4326500003</v>
      </c>
      <c r="R75" s="561">
        <f t="shared" si="19"/>
        <v>0</v>
      </c>
      <c r="S75" s="566"/>
      <c r="T75" s="566"/>
      <c r="U75" s="561"/>
      <c r="V75" s="566">
        <f t="shared" ref="V75" si="20">V66+V73</f>
        <v>0</v>
      </c>
      <c r="W75" s="566">
        <f t="shared" si="19"/>
        <v>0</v>
      </c>
      <c r="X75" s="566"/>
      <c r="Y75" s="566">
        <f ca="1">Y66+Y73</f>
        <v>2022235.4326500003</v>
      </c>
    </row>
    <row r="76" spans="1:26" s="433" customFormat="1" ht="13.5" customHeight="1">
      <c r="A76" s="638">
        <f t="shared" ref="A76:A81" ca="1" si="21">+MAX(OFFSET(A$1,0,0,ROW(A76)-ROW(A$1)))+1</f>
        <v>53</v>
      </c>
      <c r="B76" s="432" t="s">
        <v>108</v>
      </c>
      <c r="C76" s="432"/>
      <c r="D76" s="434"/>
      <c r="E76" s="575">
        <f>+'[6]Exh. No. BGM-3 4'!$AC$75</f>
        <v>-353901</v>
      </c>
      <c r="F76" s="561"/>
      <c r="G76" s="561">
        <v>0</v>
      </c>
      <c r="H76" s="561">
        <v>0</v>
      </c>
      <c r="I76" s="571">
        <v>0</v>
      </c>
      <c r="J76" s="575">
        <f>+'[7]Attrition 12.2015 to 2018'!$I75</f>
        <v>0</v>
      </c>
      <c r="K76" s="561">
        <v>0</v>
      </c>
      <c r="L76" s="572">
        <f>SUM(E76:K76)</f>
        <v>-353901</v>
      </c>
      <c r="M76" s="438"/>
      <c r="N76" s="509">
        <f ca="1">+'4.16'!B22*$N$6</f>
        <v>0.55986899999999995</v>
      </c>
      <c r="O76" s="444"/>
      <c r="P76" s="570">
        <f ca="1">N76*L76</f>
        <v>-198138.19896899999</v>
      </c>
      <c r="Q76" s="562">
        <f ca="1">P76+L76</f>
        <v>-552039.19896900002</v>
      </c>
      <c r="R76" s="561"/>
      <c r="S76" s="561"/>
      <c r="T76" s="561"/>
      <c r="U76" s="561"/>
      <c r="V76" s="571">
        <v>0</v>
      </c>
      <c r="W76" s="571">
        <v>0</v>
      </c>
      <c r="X76" s="571"/>
      <c r="Y76" s="585">
        <f ca="1">Q76+S76+T76+W76+V76</f>
        <v>-552039.19896900002</v>
      </c>
    </row>
    <row r="77" spans="1:26" s="433" customFormat="1" ht="15.75" customHeight="1">
      <c r="A77" s="638">
        <f t="shared" ca="1" si="21"/>
        <v>54</v>
      </c>
      <c r="B77" s="432"/>
      <c r="C77" s="432" t="s">
        <v>130</v>
      </c>
      <c r="D77" s="442"/>
      <c r="E77" s="566">
        <f t="shared" ref="E77:L77" si="22">E75+E76</f>
        <v>1375684</v>
      </c>
      <c r="F77" s="566">
        <f t="shared" si="22"/>
        <v>0</v>
      </c>
      <c r="G77" s="566">
        <f t="shared" si="22"/>
        <v>0</v>
      </c>
      <c r="H77" s="566">
        <f t="shared" si="22"/>
        <v>0</v>
      </c>
      <c r="I77" s="566">
        <f t="shared" si="22"/>
        <v>0</v>
      </c>
      <c r="J77" s="566">
        <f t="shared" si="22"/>
        <v>0</v>
      </c>
      <c r="K77" s="566">
        <f t="shared" si="22"/>
        <v>0</v>
      </c>
      <c r="L77" s="566">
        <f t="shared" si="22"/>
        <v>1375684</v>
      </c>
      <c r="M77" s="438"/>
      <c r="N77" s="439"/>
      <c r="O77" s="439"/>
      <c r="P77" s="566">
        <f ca="1">P75+P76</f>
        <v>94512.233680999983</v>
      </c>
      <c r="Q77" s="566">
        <f ca="1">Q75+Q76</f>
        <v>1470196.2336810003</v>
      </c>
      <c r="R77" s="561"/>
      <c r="S77" s="566"/>
      <c r="T77" s="566"/>
      <c r="U77" s="561"/>
      <c r="V77" s="566">
        <f>V75+V76</f>
        <v>0</v>
      </c>
      <c r="W77" s="566">
        <f>W75+W76</f>
        <v>0</v>
      </c>
      <c r="X77" s="566"/>
      <c r="Y77" s="566">
        <f ca="1">Y75+Y76</f>
        <v>1470196.2336810003</v>
      </c>
      <c r="Z77" s="613"/>
    </row>
    <row r="78" spans="1:26" s="433" customFormat="1" ht="15.75" customHeight="1">
      <c r="A78" s="638">
        <f t="shared" ca="1" si="21"/>
        <v>55</v>
      </c>
      <c r="B78" s="432" t="s">
        <v>109</v>
      </c>
      <c r="C78" s="432"/>
      <c r="D78" s="434"/>
      <c r="E78" s="575">
        <f>+'[6]Exh. No. BGM-3 4'!$AC$77</f>
        <v>4568</v>
      </c>
      <c r="F78" s="579"/>
      <c r="G78" s="561">
        <f>+'[6]Exh. No. BGM-3 4'!$AL$77</f>
        <v>-5346</v>
      </c>
      <c r="H78" s="571">
        <v>0</v>
      </c>
      <c r="I78" s="561"/>
      <c r="J78" s="575">
        <f>+'[7]Attrition 12.2015 to 2018'!$I77</f>
        <v>0</v>
      </c>
      <c r="K78" s="561"/>
      <c r="L78" s="572">
        <f>SUM(E78:K78)</f>
        <v>-778</v>
      </c>
      <c r="M78" s="438"/>
      <c r="N78" s="439"/>
      <c r="O78" s="439"/>
      <c r="P78" s="570">
        <f>N78*L78</f>
        <v>0</v>
      </c>
      <c r="Q78" s="562">
        <f>P78+L78</f>
        <v>-778</v>
      </c>
      <c r="R78" s="561"/>
      <c r="S78" s="561"/>
      <c r="T78" s="561"/>
      <c r="U78" s="561"/>
      <c r="V78" s="561"/>
      <c r="W78" s="561"/>
      <c r="X78" s="561"/>
      <c r="Y78" s="582">
        <f>Q78+S78+T78+W78+V78</f>
        <v>-778</v>
      </c>
    </row>
    <row r="79" spans="1:26" s="433" customFormat="1" ht="15.75" customHeight="1">
      <c r="A79" s="638">
        <f t="shared" ca="1" si="21"/>
        <v>56</v>
      </c>
      <c r="B79" s="432" t="s">
        <v>79</v>
      </c>
      <c r="C79" s="432"/>
      <c r="D79" s="434"/>
      <c r="E79" s="575">
        <f>+'[6]Exh. No. BGM-3 4'!$AC$78</f>
        <v>62474</v>
      </c>
      <c r="F79" s="561"/>
      <c r="G79" s="561">
        <v>0</v>
      </c>
      <c r="H79" s="561">
        <v>0</v>
      </c>
      <c r="I79" s="561"/>
      <c r="J79" s="575">
        <f>+'[7]Attrition 12.2015 to 2018'!$I78</f>
        <v>0</v>
      </c>
      <c r="K79" s="561"/>
      <c r="L79" s="572">
        <f>SUM(E79:K79)</f>
        <v>62474</v>
      </c>
      <c r="M79" s="438"/>
      <c r="N79" s="439"/>
      <c r="O79" s="439"/>
      <c r="P79" s="570">
        <f>N79*L79</f>
        <v>0</v>
      </c>
      <c r="Q79" s="562">
        <f>P79+L79</f>
        <v>62474</v>
      </c>
      <c r="R79" s="561"/>
      <c r="S79" s="561"/>
      <c r="T79" s="561"/>
      <c r="U79" s="561"/>
      <c r="V79" s="561"/>
      <c r="W79" s="561"/>
      <c r="X79" s="561"/>
      <c r="Y79" s="582">
        <f>Q79+S79+T79+W79+V79</f>
        <v>62474</v>
      </c>
      <c r="Z79" s="613"/>
    </row>
    <row r="80" spans="1:26" s="433" customFormat="1" ht="15.75" customHeight="1">
      <c r="A80" s="638">
        <f t="shared" ca="1" si="21"/>
        <v>57</v>
      </c>
      <c r="B80" s="524" t="s">
        <v>493</v>
      </c>
      <c r="C80" s="524"/>
      <c r="D80" s="434"/>
      <c r="E80" s="575"/>
      <c r="F80" s="561"/>
      <c r="G80" s="561"/>
      <c r="H80" s="561"/>
      <c r="I80" s="561"/>
      <c r="J80" s="575"/>
      <c r="K80" s="561"/>
      <c r="L80" s="572"/>
      <c r="M80" s="438"/>
      <c r="N80" s="439"/>
      <c r="O80" s="439"/>
      <c r="P80" s="570"/>
      <c r="Q80" s="562"/>
      <c r="R80" s="561"/>
      <c r="S80" s="561"/>
      <c r="T80" s="561"/>
      <c r="U80" s="561"/>
      <c r="V80" s="571"/>
      <c r="W80" s="571"/>
      <c r="X80" s="571"/>
      <c r="Y80" s="586">
        <f ca="1">-MAX(SUM(Y77:Y79)-'[10]Exh. No. BGM-13R'!$R$48*('1.01) 2018 Summary'!G17),0)</f>
        <v>-134571.733782836</v>
      </c>
      <c r="Z80" s="613"/>
    </row>
    <row r="81" spans="1:27" s="433" customFormat="1" ht="15.75" customHeight="1" thickBot="1">
      <c r="A81" s="638">
        <f t="shared" ca="1" si="21"/>
        <v>58</v>
      </c>
      <c r="B81" s="432" t="s">
        <v>31</v>
      </c>
      <c r="C81" s="432"/>
      <c r="D81" s="434"/>
      <c r="E81" s="578">
        <f>SUM(E77:E79)</f>
        <v>1442726</v>
      </c>
      <c r="F81" s="578">
        <f t="shared" ref="F81:K81" si="23">SUM(F77:F79)</f>
        <v>0</v>
      </c>
      <c r="G81" s="578">
        <f t="shared" si="23"/>
        <v>-5346</v>
      </c>
      <c r="H81" s="578">
        <f t="shared" si="23"/>
        <v>0</v>
      </c>
      <c r="I81" s="578">
        <f t="shared" si="23"/>
        <v>0</v>
      </c>
      <c r="J81" s="578">
        <f>SUM(J77:J79)</f>
        <v>0</v>
      </c>
      <c r="K81" s="578">
        <f t="shared" si="23"/>
        <v>0</v>
      </c>
      <c r="L81" s="580">
        <f>L75+L76+L78+L79</f>
        <v>1437380</v>
      </c>
      <c r="M81" s="438"/>
      <c r="N81" s="439"/>
      <c r="O81" s="439"/>
      <c r="P81" s="580">
        <f ca="1">P75+P76+P78+P79</f>
        <v>94512.233680999983</v>
      </c>
      <c r="Q81" s="580">
        <f ca="1">Q75+Q76+Q78+Q79</f>
        <v>1531892.2336810003</v>
      </c>
      <c r="R81" s="561"/>
      <c r="S81" s="578"/>
      <c r="T81" s="578"/>
      <c r="U81" s="561"/>
      <c r="V81" s="578">
        <f>V75+V76+V78+V79</f>
        <v>0</v>
      </c>
      <c r="W81" s="578">
        <f>W75+W76+W78+W79</f>
        <v>0</v>
      </c>
      <c r="X81" s="561"/>
      <c r="Y81" s="580">
        <f ca="1">Y75+Y76+Y78+Y79+Y80</f>
        <v>1397320.4998981643</v>
      </c>
      <c r="Z81" s="608"/>
    </row>
    <row r="82" spans="1:27" s="433" customFormat="1" ht="15.75" thickTop="1">
      <c r="A82" s="606"/>
      <c r="B82" s="606"/>
      <c r="C82" s="606"/>
      <c r="D82" s="606"/>
      <c r="E82" s="606"/>
      <c r="F82" s="606"/>
      <c r="G82" s="606"/>
      <c r="H82" s="606"/>
      <c r="I82" s="606"/>
      <c r="J82" s="606"/>
      <c r="K82" s="606"/>
      <c r="L82" s="438"/>
      <c r="M82" s="438"/>
      <c r="N82" s="439"/>
      <c r="O82" s="439"/>
      <c r="P82" s="438"/>
      <c r="Q82" s="440"/>
      <c r="R82" s="437"/>
      <c r="S82" s="437"/>
      <c r="T82" s="437"/>
      <c r="U82" s="437"/>
      <c r="V82" s="437"/>
      <c r="W82" s="437"/>
      <c r="X82" s="437"/>
      <c r="Y82" s="440"/>
    </row>
    <row r="83" spans="1:27" s="433" customFormat="1" ht="15.75" customHeight="1">
      <c r="A83" s="638">
        <f ca="1">+MAX(OFFSET(A$1,0,0,ROW(A83)-ROW(A$1)))+1</f>
        <v>59</v>
      </c>
      <c r="B83" s="432" t="s">
        <v>30</v>
      </c>
      <c r="C83" s="432"/>
      <c r="D83" s="434"/>
      <c r="E83" s="444">
        <f>E57/E81</f>
        <v>7.4305872355526964E-2</v>
      </c>
      <c r="F83" s="456"/>
      <c r="G83" s="456"/>
      <c r="H83" s="456"/>
      <c r="I83" s="456"/>
      <c r="J83" s="456"/>
      <c r="K83" s="444"/>
      <c r="L83" s="233"/>
      <c r="M83" s="457"/>
      <c r="N83" s="439"/>
      <c r="O83" s="439"/>
      <c r="P83" s="439"/>
      <c r="Q83" s="458"/>
      <c r="R83" s="457"/>
      <c r="S83" s="444"/>
      <c r="T83" s="444"/>
      <c r="U83" s="444"/>
      <c r="V83" s="459">
        <f>((V81*Y86)-V57)/Y89</f>
        <v>0</v>
      </c>
      <c r="W83" s="459">
        <f>((W81*Y86)-W57)/Y89</f>
        <v>0</v>
      </c>
      <c r="X83" s="459"/>
      <c r="Y83" s="460">
        <f ca="1">Y57/Y81</f>
        <v>7.4510776927186342E-2</v>
      </c>
    </row>
    <row r="84" spans="1:27" s="468" customFormat="1" ht="15">
      <c r="A84" s="640"/>
      <c r="B84" s="445"/>
      <c r="C84" s="434"/>
      <c r="D84" s="434"/>
      <c r="E84" s="614"/>
      <c r="F84" s="641"/>
      <c r="G84" s="641"/>
      <c r="H84" s="641"/>
      <c r="I84" s="641"/>
      <c r="J84" s="641"/>
      <c r="K84" s="641"/>
      <c r="L84" s="640"/>
      <c r="M84" s="640"/>
      <c r="N84" s="614"/>
      <c r="O84" s="614"/>
      <c r="P84" s="445"/>
      <c r="Q84" s="642"/>
      <c r="R84" s="642"/>
      <c r="S84" s="437"/>
      <c r="T84" s="437"/>
      <c r="U84" s="437"/>
      <c r="V84" s="437"/>
      <c r="W84" s="437"/>
      <c r="X84" s="437"/>
      <c r="Y84" s="434"/>
      <c r="Z84" s="640"/>
      <c r="AA84" s="640"/>
    </row>
    <row r="85" spans="1:27" s="468" customFormat="1" ht="15.75" customHeight="1">
      <c r="A85" s="638">
        <f t="shared" ref="A85:A92" ca="1" si="24">+MAX(OFFSET(A$1,0,0,ROW(A85)-ROW(A$1)))+1</f>
        <v>60</v>
      </c>
      <c r="B85" s="655" t="s">
        <v>507</v>
      </c>
      <c r="C85" s="648"/>
      <c r="D85" s="648"/>
      <c r="E85" s="649"/>
      <c r="F85" s="650"/>
      <c r="G85" s="650"/>
      <c r="H85" s="650"/>
      <c r="I85" s="650"/>
      <c r="J85" s="650"/>
      <c r="K85" s="650"/>
      <c r="L85" s="651"/>
      <c r="M85" s="651"/>
      <c r="N85" s="652"/>
      <c r="O85" s="652"/>
      <c r="P85" s="652"/>
      <c r="Q85" s="648"/>
      <c r="R85" s="648"/>
      <c r="S85" s="653"/>
      <c r="T85" s="653"/>
      <c r="U85" s="653"/>
      <c r="V85" s="653"/>
      <c r="W85" s="653"/>
      <c r="X85" s="653"/>
      <c r="Y85" s="654"/>
      <c r="Z85" s="640"/>
      <c r="AA85" s="640"/>
    </row>
    <row r="86" spans="1:27" s="468" customFormat="1" ht="15.75" customHeight="1">
      <c r="A86" s="638">
        <f t="shared" ca="1" si="24"/>
        <v>61</v>
      </c>
      <c r="B86" s="644" t="s">
        <v>119</v>
      </c>
      <c r="C86" s="461"/>
      <c r="D86" s="462"/>
      <c r="E86" s="444"/>
      <c r="F86" s="463"/>
      <c r="G86" s="463"/>
      <c r="H86" s="463"/>
      <c r="I86" s="463"/>
      <c r="J86" s="463"/>
      <c r="K86" s="463"/>
      <c r="L86" s="463"/>
      <c r="M86" s="463"/>
      <c r="N86" s="463"/>
      <c r="O86" s="463"/>
      <c r="P86" s="463"/>
      <c r="Q86" s="463"/>
      <c r="R86" s="463"/>
      <c r="S86" s="463"/>
      <c r="T86" s="463"/>
      <c r="U86" s="463"/>
      <c r="V86" s="463"/>
      <c r="W86" s="463"/>
      <c r="X86" s="463"/>
      <c r="Y86" s="552">
        <f>'2) ROR'!F15</f>
        <v>7.0800000000000002E-2</v>
      </c>
      <c r="Z86" s="640"/>
      <c r="AA86" s="640"/>
    </row>
    <row r="87" spans="1:27" s="468" customFormat="1" ht="15.75" customHeight="1">
      <c r="A87" s="638">
        <f t="shared" ca="1" si="24"/>
        <v>62</v>
      </c>
      <c r="B87" s="644" t="s">
        <v>131</v>
      </c>
      <c r="C87" s="464"/>
      <c r="D87" s="462"/>
      <c r="E87" s="437"/>
      <c r="F87" s="463"/>
      <c r="G87" s="463"/>
      <c r="H87" s="463"/>
      <c r="I87" s="463"/>
      <c r="J87" s="463"/>
      <c r="K87" s="463"/>
      <c r="L87" s="463"/>
      <c r="M87" s="463"/>
      <c r="N87" s="463"/>
      <c r="O87" s="463"/>
      <c r="P87" s="463"/>
      <c r="Q87" s="463"/>
      <c r="R87" s="463"/>
      <c r="S87" s="463"/>
      <c r="T87" s="463"/>
      <c r="U87" s="463"/>
      <c r="V87" s="463"/>
      <c r="W87" s="463"/>
      <c r="X87" s="463"/>
      <c r="Y87" s="645">
        <f ca="1">Y86*Y81</f>
        <v>98930.291392790037</v>
      </c>
      <c r="Z87" s="640"/>
      <c r="AA87" s="640"/>
    </row>
    <row r="88" spans="1:27" s="468" customFormat="1" ht="15.75" customHeight="1">
      <c r="A88" s="638">
        <f t="shared" ca="1" si="24"/>
        <v>63</v>
      </c>
      <c r="B88" s="644" t="s">
        <v>121</v>
      </c>
      <c r="C88" s="461"/>
      <c r="D88" s="461"/>
      <c r="E88" s="437"/>
      <c r="F88" s="463"/>
      <c r="G88" s="463"/>
      <c r="H88" s="463"/>
      <c r="I88" s="463"/>
      <c r="J88" s="463"/>
      <c r="K88" s="463"/>
      <c r="L88" s="463"/>
      <c r="M88" s="463"/>
      <c r="N88" s="463"/>
      <c r="O88" s="463"/>
      <c r="P88" s="463"/>
      <c r="Q88" s="463"/>
      <c r="R88" s="463"/>
      <c r="S88" s="463"/>
      <c r="T88" s="463"/>
      <c r="U88" s="463"/>
      <c r="V88" s="463"/>
      <c r="W88" s="463"/>
      <c r="X88" s="463"/>
      <c r="Y88" s="645">
        <f ca="1">Y87-Y57</f>
        <v>-5185.1446709065931</v>
      </c>
      <c r="Z88" s="640"/>
      <c r="AA88" s="640"/>
    </row>
    <row r="89" spans="1:27" s="468" customFormat="1" ht="15.75" customHeight="1">
      <c r="A89" s="638">
        <f t="shared" ca="1" si="24"/>
        <v>64</v>
      </c>
      <c r="B89" s="644" t="s">
        <v>74</v>
      </c>
      <c r="C89" s="461"/>
      <c r="D89" s="461"/>
      <c r="E89" s="465"/>
      <c r="F89" s="463"/>
      <c r="G89" s="463"/>
      <c r="H89" s="463"/>
      <c r="I89" s="463"/>
      <c r="J89" s="463"/>
      <c r="K89" s="463"/>
      <c r="L89" s="463"/>
      <c r="M89" s="463"/>
      <c r="N89" s="463"/>
      <c r="O89" s="463"/>
      <c r="P89" s="463"/>
      <c r="Q89" s="463"/>
      <c r="R89" s="463"/>
      <c r="S89" s="463"/>
      <c r="T89" s="463"/>
      <c r="U89" s="463"/>
      <c r="V89" s="463"/>
      <c r="W89" s="463"/>
      <c r="X89" s="463"/>
      <c r="Y89" s="615">
        <f>'2) ROR'!N24</f>
        <v>0.61941299999999999</v>
      </c>
      <c r="Z89" s="640"/>
      <c r="AA89" s="640"/>
    </row>
    <row r="90" spans="1:27" s="468" customFormat="1" ht="15.75" customHeight="1">
      <c r="A90" s="638">
        <f t="shared" ca="1" si="24"/>
        <v>65</v>
      </c>
      <c r="B90" s="644" t="s">
        <v>29</v>
      </c>
      <c r="C90" s="461"/>
      <c r="D90" s="461"/>
      <c r="E90" s="437"/>
      <c r="F90" s="463"/>
      <c r="G90" s="463"/>
      <c r="H90" s="463"/>
      <c r="I90" s="463"/>
      <c r="J90" s="463"/>
      <c r="K90" s="463"/>
      <c r="L90" s="463"/>
      <c r="M90" s="463"/>
      <c r="N90" s="463"/>
      <c r="O90" s="463"/>
      <c r="P90" s="463"/>
      <c r="Q90" s="463"/>
      <c r="R90" s="463"/>
      <c r="S90" s="463"/>
      <c r="T90" s="463"/>
      <c r="U90" s="463"/>
      <c r="V90" s="463"/>
      <c r="W90" s="463"/>
      <c r="X90" s="463"/>
      <c r="Y90" s="645">
        <f ca="1">Y88/Y89</f>
        <v>-8371.062071520284</v>
      </c>
      <c r="Z90" s="640"/>
      <c r="AA90" s="640"/>
    </row>
    <row r="91" spans="1:27" s="433" customFormat="1" ht="15.75" customHeight="1">
      <c r="A91" s="638">
        <f t="shared" ca="1" si="24"/>
        <v>66</v>
      </c>
      <c r="B91" s="644" t="s">
        <v>77</v>
      </c>
      <c r="C91" s="461"/>
      <c r="D91" s="461"/>
      <c r="E91" s="466"/>
      <c r="F91" s="463"/>
      <c r="G91" s="463"/>
      <c r="H91" s="463"/>
      <c r="I91" s="463"/>
      <c r="J91" s="463"/>
      <c r="K91" s="463"/>
      <c r="L91" s="463"/>
      <c r="M91" s="463"/>
      <c r="N91" s="463"/>
      <c r="O91" s="463"/>
      <c r="P91" s="463"/>
      <c r="Q91" s="463"/>
      <c r="R91" s="463"/>
      <c r="S91" s="463"/>
      <c r="T91" s="463"/>
      <c r="U91" s="463"/>
      <c r="V91" s="463"/>
      <c r="W91" s="463"/>
      <c r="X91" s="463"/>
      <c r="Y91" s="616">
        <f>+N9+1</f>
        <v>1.0190676682183146</v>
      </c>
      <c r="Z91" s="434"/>
      <c r="AA91" s="434"/>
    </row>
    <row r="92" spans="1:27" s="433" customFormat="1" ht="18" customHeight="1">
      <c r="A92" s="638">
        <f t="shared" ca="1" si="24"/>
        <v>67</v>
      </c>
      <c r="B92" s="646" t="s">
        <v>508</v>
      </c>
      <c r="C92" s="553"/>
      <c r="D92" s="554"/>
      <c r="E92" s="555"/>
      <c r="F92" s="556"/>
      <c r="G92" s="556"/>
      <c r="H92" s="556"/>
      <c r="I92" s="556"/>
      <c r="J92" s="556"/>
      <c r="K92" s="556"/>
      <c r="L92" s="556"/>
      <c r="M92" s="556"/>
      <c r="N92" s="556"/>
      <c r="O92" s="556"/>
      <c r="P92" s="556"/>
      <c r="Q92" s="556"/>
      <c r="R92" s="556"/>
      <c r="S92" s="556"/>
      <c r="T92" s="556"/>
      <c r="U92" s="556"/>
      <c r="V92" s="556"/>
      <c r="W92" s="556"/>
      <c r="X92" s="556"/>
      <c r="Y92" s="647">
        <f ca="1">Y90/Y91</f>
        <v>-8214.4320074012521</v>
      </c>
      <c r="Z92" s="434"/>
      <c r="AA92" s="434"/>
    </row>
    <row r="93" spans="1:27" ht="3.75" customHeight="1">
      <c r="A93" s="643"/>
      <c r="B93" s="461"/>
      <c r="C93" s="461"/>
      <c r="D93" s="461"/>
      <c r="E93" s="461"/>
      <c r="F93" s="444"/>
      <c r="G93" s="444"/>
      <c r="H93" s="444"/>
      <c r="I93" s="444"/>
      <c r="J93" s="444"/>
      <c r="K93" s="444"/>
      <c r="L93" s="467"/>
      <c r="M93" s="467"/>
      <c r="N93" s="444"/>
      <c r="O93" s="444"/>
      <c r="P93" s="444"/>
      <c r="Q93" s="434"/>
      <c r="R93" s="434"/>
      <c r="S93" s="434"/>
      <c r="T93" s="434"/>
      <c r="U93" s="434"/>
      <c r="V93" s="434"/>
      <c r="W93" s="434"/>
      <c r="X93" s="434"/>
      <c r="Y93" s="434"/>
      <c r="Z93" s="36"/>
      <c r="AA93" s="36"/>
    </row>
    <row r="94" spans="1:27" ht="11.1" customHeight="1">
      <c r="A94" s="643"/>
      <c r="B94" s="36"/>
      <c r="C94" s="36"/>
      <c r="E94" s="36"/>
      <c r="F94" s="36"/>
      <c r="G94" s="36"/>
      <c r="H94" s="36"/>
      <c r="I94" s="36"/>
      <c r="J94" s="36"/>
      <c r="K94" s="36"/>
      <c r="L94" s="62"/>
      <c r="M94" s="62"/>
      <c r="N94" s="36"/>
      <c r="O94" s="36"/>
      <c r="P94" s="36"/>
      <c r="Q94" s="36"/>
      <c r="R94" s="36"/>
      <c r="S94" s="36"/>
      <c r="T94" s="36"/>
      <c r="U94" s="36"/>
      <c r="V94" s="36"/>
      <c r="W94" s="36"/>
      <c r="X94" s="36"/>
      <c r="Y94" s="36"/>
      <c r="Z94" s="36"/>
      <c r="AA94" s="36"/>
    </row>
    <row r="95" spans="1:27" ht="15.6" customHeight="1">
      <c r="C95" s="39"/>
      <c r="E95" s="36"/>
      <c r="F95" s="39"/>
      <c r="G95" s="39"/>
      <c r="H95" s="39"/>
      <c r="I95" s="39"/>
      <c r="J95" s="39"/>
      <c r="K95" s="39"/>
      <c r="L95" s="105"/>
      <c r="M95" s="61"/>
      <c r="N95" s="36"/>
      <c r="O95" s="36"/>
      <c r="P95" s="36"/>
      <c r="Q95" s="39"/>
      <c r="R95" s="39"/>
      <c r="T95" s="39"/>
      <c r="U95" s="39"/>
      <c r="V95" s="39"/>
      <c r="W95" s="39"/>
      <c r="X95" s="39"/>
      <c r="Y95" s="106"/>
    </row>
    <row r="96" spans="1:27" ht="11.1" customHeight="1">
      <c r="C96" s="39"/>
      <c r="E96" s="36"/>
      <c r="F96" s="39"/>
      <c r="G96" s="39"/>
      <c r="H96" s="39"/>
      <c r="I96" s="39"/>
      <c r="J96" s="39"/>
      <c r="K96" s="39"/>
      <c r="L96" s="61"/>
      <c r="M96" s="61"/>
      <c r="N96" s="36"/>
      <c r="O96" s="36"/>
      <c r="P96" s="36"/>
      <c r="Q96" s="39"/>
      <c r="R96" s="39"/>
      <c r="T96" s="39"/>
      <c r="U96" s="39"/>
      <c r="V96" s="39"/>
      <c r="W96" s="39"/>
      <c r="X96" s="39"/>
      <c r="Y96" s="39"/>
    </row>
    <row r="97" spans="3:25" ht="15.75">
      <c r="C97" s="39"/>
      <c r="E97" s="36"/>
      <c r="F97" s="39"/>
      <c r="G97" s="39"/>
      <c r="H97" s="39"/>
      <c r="I97" s="39"/>
      <c r="J97" s="39"/>
      <c r="K97" s="39"/>
      <c r="L97" s="105"/>
      <c r="M97" s="61"/>
      <c r="N97" s="36"/>
      <c r="O97" s="36"/>
      <c r="P97" s="36"/>
      <c r="Q97" s="39"/>
      <c r="R97" s="39"/>
      <c r="T97" s="39"/>
      <c r="U97" s="39"/>
      <c r="V97" s="39"/>
      <c r="W97" s="39"/>
      <c r="X97" s="39"/>
      <c r="Y97" s="40"/>
    </row>
    <row r="98" spans="3:25" ht="15.75">
      <c r="C98" s="39"/>
      <c r="E98" s="36"/>
      <c r="F98" s="39"/>
      <c r="G98" s="39"/>
      <c r="H98" s="39"/>
      <c r="I98" s="39"/>
      <c r="J98" s="39"/>
      <c r="K98" s="39"/>
      <c r="L98" s="206"/>
      <c r="M98" s="61"/>
      <c r="N98" s="36"/>
      <c r="O98" s="36"/>
      <c r="P98" s="36"/>
      <c r="Q98" s="39"/>
      <c r="R98" s="39"/>
      <c r="T98" s="39"/>
      <c r="U98" s="39"/>
      <c r="V98" s="39"/>
      <c r="W98" s="39"/>
      <c r="X98" s="39"/>
      <c r="Y98" s="39"/>
    </row>
    <row r="99" spans="3:25" ht="15.75">
      <c r="C99" s="39"/>
      <c r="E99" s="36"/>
      <c r="F99" s="39"/>
      <c r="G99" s="39"/>
      <c r="H99" s="39"/>
      <c r="I99" s="39"/>
      <c r="J99" s="39"/>
      <c r="K99" s="39"/>
      <c r="L99" s="206"/>
      <c r="M99" s="61"/>
      <c r="N99" s="36"/>
      <c r="O99" s="36"/>
      <c r="P99" s="36"/>
      <c r="Q99" s="39"/>
      <c r="R99" s="39"/>
      <c r="T99" s="39"/>
      <c r="U99" s="39"/>
      <c r="V99" s="39"/>
      <c r="W99" s="39"/>
      <c r="X99" s="39"/>
      <c r="Y99" s="39"/>
    </row>
    <row r="100" spans="3:25" ht="15.75">
      <c r="C100" s="39"/>
      <c r="E100" s="36"/>
      <c r="F100" s="39"/>
      <c r="G100" s="39"/>
      <c r="H100" s="39"/>
      <c r="I100" s="39"/>
      <c r="J100" s="39"/>
      <c r="K100" s="39"/>
      <c r="L100" s="721"/>
      <c r="M100" s="61"/>
      <c r="N100" s="36"/>
      <c r="O100" s="36"/>
      <c r="P100" s="36"/>
      <c r="Q100" s="39"/>
      <c r="R100" s="39"/>
      <c r="T100" s="39"/>
      <c r="U100" s="39"/>
      <c r="V100" s="39"/>
      <c r="W100" s="39"/>
      <c r="X100" s="39"/>
      <c r="Y100" s="39"/>
    </row>
    <row r="101" spans="3:25" ht="15.75">
      <c r="C101" s="39"/>
      <c r="E101" s="36"/>
      <c r="F101" s="39"/>
      <c r="G101" s="39"/>
      <c r="H101" s="39"/>
      <c r="I101" s="39"/>
      <c r="J101" s="39"/>
      <c r="K101" s="39"/>
      <c r="L101" s="206"/>
      <c r="M101" s="61"/>
      <c r="N101" s="36"/>
      <c r="O101" s="36"/>
      <c r="P101" s="36"/>
      <c r="Q101" s="39"/>
      <c r="R101" s="39"/>
      <c r="T101" s="39"/>
      <c r="U101" s="39"/>
      <c r="V101" s="39"/>
      <c r="W101" s="39"/>
      <c r="X101" s="39"/>
      <c r="Y101" s="39"/>
    </row>
    <row r="102" spans="3:25" ht="11.1" customHeight="1">
      <c r="C102" s="39"/>
      <c r="E102" s="36"/>
      <c r="F102" s="39"/>
      <c r="G102" s="39"/>
      <c r="H102" s="39"/>
      <c r="I102" s="39"/>
      <c r="J102" s="39"/>
      <c r="K102" s="39"/>
      <c r="L102" s="61"/>
      <c r="M102" s="61"/>
      <c r="N102" s="36"/>
      <c r="O102" s="36"/>
      <c r="P102" s="36"/>
      <c r="Q102" s="39"/>
      <c r="R102" s="39"/>
      <c r="T102" s="39"/>
      <c r="U102" s="39"/>
      <c r="V102" s="39"/>
      <c r="W102" s="39"/>
      <c r="X102" s="39"/>
      <c r="Y102" s="39"/>
    </row>
    <row r="103" spans="3:25" ht="11.1" customHeight="1">
      <c r="C103" s="39"/>
      <c r="E103" s="36"/>
      <c r="F103" s="39"/>
      <c r="G103" s="39"/>
      <c r="H103" s="39"/>
      <c r="I103" s="39"/>
      <c r="J103" s="39"/>
      <c r="K103" s="39"/>
      <c r="L103" s="61"/>
      <c r="M103" s="61"/>
      <c r="N103" s="36"/>
      <c r="O103" s="36"/>
      <c r="P103" s="36"/>
      <c r="Q103" s="39"/>
      <c r="R103" s="39"/>
      <c r="T103" s="39"/>
      <c r="U103" s="39"/>
      <c r="V103" s="39"/>
      <c r="W103" s="39"/>
      <c r="X103" s="39"/>
      <c r="Y103" s="39"/>
    </row>
    <row r="104" spans="3:25" ht="11.1" customHeight="1">
      <c r="C104" s="39"/>
      <c r="E104" s="36"/>
      <c r="F104" s="39"/>
      <c r="G104" s="39"/>
      <c r="H104" s="39"/>
      <c r="I104" s="39"/>
      <c r="J104" s="39"/>
      <c r="K104" s="39"/>
      <c r="L104" s="61"/>
      <c r="M104" s="61"/>
      <c r="N104" s="36"/>
      <c r="O104" s="36"/>
      <c r="P104" s="36"/>
      <c r="Q104" s="39"/>
      <c r="R104" s="39"/>
      <c r="T104" s="39"/>
      <c r="U104" s="39"/>
      <c r="V104" s="39"/>
      <c r="W104" s="39"/>
      <c r="X104" s="39"/>
      <c r="Y104" s="39"/>
    </row>
    <row r="105" spans="3:25" ht="11.1" customHeight="1">
      <c r="C105" s="39"/>
      <c r="E105" s="36"/>
      <c r="F105" s="39"/>
      <c r="G105" s="39"/>
      <c r="H105" s="39"/>
      <c r="I105" s="39"/>
      <c r="J105" s="39"/>
      <c r="K105" s="39"/>
      <c r="L105" s="61"/>
      <c r="M105" s="61"/>
      <c r="N105" s="36"/>
      <c r="O105" s="36"/>
      <c r="P105" s="36"/>
      <c r="Q105" s="39"/>
      <c r="R105" s="39"/>
      <c r="T105" s="39"/>
      <c r="U105" s="39"/>
      <c r="V105" s="39"/>
      <c r="W105" s="39"/>
      <c r="X105" s="39"/>
      <c r="Y105" s="39"/>
    </row>
    <row r="106" spans="3:25" ht="11.1" customHeight="1">
      <c r="C106" s="39"/>
      <c r="E106" s="36"/>
      <c r="G106" s="76"/>
      <c r="H106" s="76"/>
      <c r="I106" s="76"/>
      <c r="J106" s="76"/>
      <c r="K106" s="76"/>
      <c r="L106" s="37"/>
      <c r="M106" s="37"/>
      <c r="N106" s="38"/>
      <c r="O106" s="38"/>
      <c r="P106" s="38"/>
      <c r="Q106" s="39"/>
      <c r="R106" s="39"/>
      <c r="T106" s="39"/>
      <c r="U106" s="39"/>
      <c r="V106" s="39"/>
      <c r="W106" s="39"/>
      <c r="X106" s="39"/>
      <c r="Y106" s="39"/>
    </row>
    <row r="107" spans="3:25" ht="11.1" customHeight="1">
      <c r="C107" s="39"/>
      <c r="E107" s="36"/>
      <c r="G107" s="76"/>
      <c r="H107" s="76"/>
      <c r="I107" s="76"/>
      <c r="J107" s="76"/>
      <c r="K107" s="76"/>
      <c r="L107" s="37"/>
      <c r="M107" s="37"/>
      <c r="N107" s="38"/>
      <c r="O107" s="38"/>
      <c r="P107" s="38"/>
      <c r="Q107" s="39"/>
      <c r="R107" s="39"/>
      <c r="T107" s="39"/>
      <c r="U107" s="39"/>
      <c r="V107" s="39"/>
      <c r="W107" s="39"/>
      <c r="X107" s="39"/>
      <c r="Y107" s="39"/>
    </row>
    <row r="108" spans="3:25" ht="11.1" customHeight="1">
      <c r="C108" s="39"/>
      <c r="E108" s="36"/>
      <c r="G108" s="76"/>
      <c r="H108" s="76"/>
      <c r="I108" s="76"/>
      <c r="J108" s="76"/>
      <c r="K108" s="76"/>
      <c r="L108" s="37"/>
      <c r="M108" s="37"/>
      <c r="N108" s="38"/>
      <c r="O108" s="38"/>
      <c r="P108" s="38"/>
      <c r="Q108" s="39"/>
      <c r="R108" s="39"/>
      <c r="T108" s="39"/>
      <c r="U108" s="39"/>
      <c r="V108" s="39"/>
      <c r="W108" s="39"/>
      <c r="X108" s="39"/>
      <c r="Y108" s="39"/>
    </row>
    <row r="109" spans="3:25" ht="11.1" customHeight="1">
      <c r="C109" s="39"/>
      <c r="E109" s="36"/>
      <c r="G109" s="76"/>
      <c r="H109" s="76"/>
      <c r="I109" s="76"/>
      <c r="J109" s="76"/>
      <c r="K109" s="76"/>
      <c r="L109" s="37"/>
      <c r="M109" s="37"/>
      <c r="N109" s="38"/>
      <c r="O109" s="38"/>
      <c r="P109" s="38"/>
      <c r="Q109" s="39"/>
      <c r="R109" s="39"/>
      <c r="T109" s="39"/>
      <c r="U109" s="39"/>
      <c r="V109" s="39"/>
      <c r="W109" s="39"/>
      <c r="X109" s="39"/>
      <c r="Y109" s="39"/>
    </row>
    <row r="110" spans="3:25" ht="11.1" customHeight="1">
      <c r="C110" s="39"/>
      <c r="E110" s="36"/>
      <c r="G110" s="76"/>
      <c r="H110" s="76"/>
      <c r="I110" s="76"/>
      <c r="J110" s="76"/>
      <c r="K110" s="76"/>
      <c r="L110" s="37"/>
      <c r="M110" s="37"/>
      <c r="N110" s="38"/>
      <c r="O110" s="38"/>
      <c r="P110" s="38"/>
      <c r="Q110" s="39"/>
      <c r="R110" s="39"/>
      <c r="T110" s="39"/>
      <c r="U110" s="39"/>
      <c r="V110" s="39"/>
      <c r="W110" s="39"/>
      <c r="X110" s="39"/>
      <c r="Y110" s="39"/>
    </row>
    <row r="111" spans="3:25" ht="11.1" customHeight="1">
      <c r="C111" s="39"/>
      <c r="E111" s="36"/>
      <c r="G111" s="76"/>
      <c r="H111" s="76"/>
      <c r="I111" s="76"/>
      <c r="J111" s="76"/>
      <c r="K111" s="76"/>
      <c r="L111" s="37"/>
      <c r="M111" s="37"/>
      <c r="N111" s="38"/>
      <c r="O111" s="38"/>
      <c r="P111" s="38"/>
      <c r="Q111" s="39"/>
      <c r="R111" s="39"/>
      <c r="T111" s="39"/>
      <c r="U111" s="39"/>
      <c r="V111" s="39"/>
      <c r="W111" s="39"/>
      <c r="X111" s="39"/>
      <c r="Y111" s="39"/>
    </row>
    <row r="112" spans="3:25" ht="11.1" customHeight="1">
      <c r="C112" s="39"/>
      <c r="E112" s="36"/>
      <c r="G112" s="76"/>
      <c r="H112" s="76"/>
      <c r="I112" s="76"/>
      <c r="J112" s="76"/>
      <c r="K112" s="76"/>
      <c r="L112" s="37"/>
      <c r="M112" s="37"/>
      <c r="N112" s="38"/>
      <c r="O112" s="38"/>
      <c r="P112" s="38"/>
      <c r="Q112" s="39"/>
      <c r="R112" s="39"/>
      <c r="T112" s="39"/>
      <c r="U112" s="39"/>
      <c r="V112" s="39"/>
      <c r="W112" s="39"/>
      <c r="X112" s="39"/>
      <c r="Y112" s="39"/>
    </row>
    <row r="113" spans="3:25" ht="11.1" customHeight="1">
      <c r="C113" s="39"/>
      <c r="E113" s="36"/>
      <c r="G113" s="76"/>
      <c r="H113" s="76"/>
      <c r="I113" s="76"/>
      <c r="J113" s="76"/>
      <c r="K113" s="76"/>
      <c r="L113" s="37"/>
      <c r="M113" s="37"/>
      <c r="N113" s="38"/>
      <c r="O113" s="38"/>
      <c r="P113" s="38"/>
      <c r="Q113" s="39"/>
      <c r="R113" s="39"/>
      <c r="T113" s="39"/>
      <c r="U113" s="39"/>
      <c r="V113" s="39"/>
      <c r="W113" s="39"/>
      <c r="X113" s="39"/>
      <c r="Y113" s="39"/>
    </row>
    <row r="114" spans="3:25" ht="11.1" customHeight="1">
      <c r="C114" s="39"/>
      <c r="E114" s="36"/>
      <c r="G114" s="76"/>
      <c r="H114" s="76"/>
      <c r="I114" s="76"/>
      <c r="J114" s="76"/>
      <c r="K114" s="76"/>
      <c r="L114" s="37"/>
      <c r="M114" s="37"/>
      <c r="N114" s="38"/>
      <c r="O114" s="38"/>
      <c r="P114" s="38"/>
      <c r="Q114" s="39"/>
      <c r="R114" s="39"/>
      <c r="T114" s="39"/>
      <c r="U114" s="39"/>
      <c r="V114" s="39"/>
      <c r="W114" s="39"/>
      <c r="X114" s="39"/>
      <c r="Y114" s="39"/>
    </row>
    <row r="115" spans="3:25" ht="11.1" customHeight="1">
      <c r="C115" s="39"/>
      <c r="E115" s="36"/>
      <c r="G115" s="76"/>
      <c r="H115" s="76"/>
      <c r="I115" s="76"/>
      <c r="J115" s="76"/>
      <c r="K115" s="76"/>
      <c r="L115" s="37"/>
      <c r="M115" s="37"/>
      <c r="N115" s="38"/>
      <c r="O115" s="38"/>
      <c r="P115" s="38"/>
      <c r="Q115" s="39"/>
      <c r="R115" s="39"/>
      <c r="T115" s="39"/>
      <c r="U115" s="39"/>
      <c r="V115" s="39"/>
      <c r="W115" s="39"/>
      <c r="X115" s="39"/>
      <c r="Y115" s="39"/>
    </row>
    <row r="116" spans="3:25" ht="11.1" customHeight="1">
      <c r="C116" s="39"/>
      <c r="E116" s="36"/>
      <c r="G116" s="76"/>
      <c r="H116" s="76"/>
      <c r="I116" s="76"/>
      <c r="J116" s="76"/>
      <c r="K116" s="76"/>
      <c r="L116" s="37"/>
      <c r="M116" s="37"/>
      <c r="N116" s="38"/>
      <c r="O116" s="38"/>
      <c r="P116" s="38"/>
      <c r="Q116" s="39"/>
      <c r="R116" s="39"/>
      <c r="T116" s="39"/>
      <c r="U116" s="39"/>
      <c r="V116" s="39"/>
      <c r="W116" s="39"/>
      <c r="X116" s="39"/>
      <c r="Y116" s="39"/>
    </row>
    <row r="117" spans="3:25" ht="11.1" customHeight="1">
      <c r="C117" s="39"/>
      <c r="E117" s="36"/>
      <c r="G117" s="76"/>
      <c r="H117" s="76"/>
      <c r="I117" s="76"/>
      <c r="J117" s="76"/>
      <c r="K117" s="76"/>
      <c r="L117" s="37"/>
      <c r="M117" s="37"/>
      <c r="N117" s="38"/>
      <c r="O117" s="38"/>
      <c r="P117" s="38"/>
      <c r="Q117" s="39"/>
      <c r="R117" s="39"/>
      <c r="T117" s="39"/>
      <c r="U117" s="39"/>
      <c r="V117" s="39"/>
      <c r="W117" s="39"/>
      <c r="X117" s="39"/>
      <c r="Y117" s="39"/>
    </row>
    <row r="118" spans="3:25" ht="11.1" customHeight="1">
      <c r="C118" s="39"/>
      <c r="E118" s="36"/>
      <c r="G118" s="76"/>
      <c r="H118" s="76"/>
      <c r="I118" s="76"/>
      <c r="J118" s="76"/>
      <c r="K118" s="76"/>
      <c r="L118" s="37"/>
      <c r="M118" s="37"/>
      <c r="N118" s="38"/>
      <c r="O118" s="38"/>
      <c r="P118" s="38"/>
      <c r="Q118" s="39"/>
      <c r="R118" s="39"/>
      <c r="T118" s="39"/>
      <c r="U118" s="39"/>
      <c r="V118" s="39"/>
      <c r="W118" s="39"/>
      <c r="X118" s="39"/>
      <c r="Y118" s="39"/>
    </row>
    <row r="119" spans="3:25" ht="11.1" customHeight="1">
      <c r="C119" s="39"/>
      <c r="E119" s="36"/>
      <c r="G119" s="76"/>
      <c r="H119" s="76"/>
      <c r="I119" s="76"/>
      <c r="J119" s="76"/>
      <c r="K119" s="76"/>
      <c r="L119" s="37"/>
      <c r="M119" s="37"/>
      <c r="N119" s="38"/>
      <c r="O119" s="38"/>
      <c r="P119" s="38"/>
      <c r="Q119" s="39"/>
      <c r="R119" s="39"/>
      <c r="T119" s="39"/>
      <c r="U119" s="39"/>
      <c r="V119" s="39"/>
      <c r="W119" s="39"/>
      <c r="X119" s="39"/>
      <c r="Y119" s="39"/>
    </row>
    <row r="120" spans="3:25" ht="11.1" customHeight="1">
      <c r="C120" s="39"/>
      <c r="E120" s="36"/>
      <c r="G120" s="76"/>
      <c r="H120" s="76"/>
      <c r="I120" s="76"/>
      <c r="J120" s="76"/>
      <c r="K120" s="76"/>
      <c r="L120" s="37"/>
      <c r="M120" s="37"/>
      <c r="N120" s="38"/>
      <c r="O120" s="38"/>
      <c r="P120" s="38"/>
      <c r="Q120" s="39"/>
      <c r="R120" s="39"/>
      <c r="T120" s="39"/>
      <c r="U120" s="39"/>
      <c r="V120" s="39"/>
      <c r="W120" s="39"/>
      <c r="X120" s="39"/>
      <c r="Y120" s="39"/>
    </row>
    <row r="121" spans="3:25" ht="11.1" customHeight="1">
      <c r="C121" s="39"/>
      <c r="E121" s="36"/>
      <c r="G121" s="76"/>
      <c r="H121" s="76"/>
      <c r="I121" s="76"/>
      <c r="J121" s="76"/>
      <c r="K121" s="76"/>
      <c r="L121" s="37"/>
      <c r="M121" s="37"/>
      <c r="N121" s="38"/>
      <c r="O121" s="38"/>
      <c r="P121" s="38"/>
      <c r="Q121" s="39"/>
      <c r="R121" s="39"/>
      <c r="T121" s="39"/>
      <c r="U121" s="39"/>
      <c r="V121" s="39"/>
      <c r="W121" s="39"/>
      <c r="X121" s="39"/>
      <c r="Y121" s="39"/>
    </row>
    <row r="122" spans="3:25" ht="11.1" customHeight="1">
      <c r="C122" s="39"/>
      <c r="E122" s="36"/>
      <c r="G122" s="76"/>
      <c r="H122" s="76"/>
      <c r="I122" s="76"/>
      <c r="J122" s="76"/>
      <c r="K122" s="76"/>
      <c r="L122" s="37"/>
      <c r="M122" s="37"/>
      <c r="N122" s="38"/>
      <c r="O122" s="38"/>
      <c r="P122" s="38"/>
      <c r="Q122" s="39"/>
      <c r="R122" s="39"/>
      <c r="T122" s="39"/>
      <c r="U122" s="39"/>
      <c r="V122" s="39"/>
      <c r="W122" s="39"/>
      <c r="X122" s="39"/>
      <c r="Y122" s="39"/>
    </row>
    <row r="123" spans="3:25" ht="11.1" customHeight="1">
      <c r="C123" s="39"/>
      <c r="E123" s="36"/>
      <c r="G123" s="76"/>
      <c r="H123" s="76"/>
      <c r="I123" s="76"/>
      <c r="J123" s="76"/>
      <c r="K123" s="76"/>
      <c r="L123" s="37"/>
      <c r="M123" s="37"/>
      <c r="N123" s="38"/>
      <c r="O123" s="38"/>
      <c r="P123" s="38"/>
      <c r="Q123" s="39"/>
      <c r="R123" s="39"/>
      <c r="T123" s="39"/>
      <c r="U123" s="39"/>
      <c r="V123" s="39"/>
      <c r="W123" s="39"/>
      <c r="X123" s="39"/>
      <c r="Y123" s="39"/>
    </row>
    <row r="124" spans="3:25" ht="11.1" customHeight="1">
      <c r="C124" s="39"/>
      <c r="E124" s="36"/>
      <c r="G124" s="76"/>
      <c r="H124" s="76"/>
      <c r="I124" s="76"/>
      <c r="J124" s="76"/>
      <c r="K124" s="76"/>
      <c r="L124" s="37"/>
      <c r="M124" s="37"/>
      <c r="N124" s="38"/>
      <c r="O124" s="38"/>
      <c r="P124" s="38"/>
      <c r="Q124" s="39"/>
      <c r="R124" s="39"/>
      <c r="T124" s="39"/>
      <c r="U124" s="39"/>
      <c r="V124" s="39"/>
      <c r="W124" s="39"/>
      <c r="X124" s="39"/>
      <c r="Y124" s="39"/>
    </row>
    <row r="125" spans="3:25" ht="11.1" customHeight="1">
      <c r="C125" s="39"/>
      <c r="E125" s="36"/>
      <c r="G125" s="76"/>
      <c r="H125" s="76"/>
      <c r="I125" s="76"/>
      <c r="J125" s="76"/>
      <c r="K125" s="76"/>
      <c r="L125" s="37"/>
      <c r="M125" s="37"/>
      <c r="N125" s="38"/>
      <c r="O125" s="38"/>
      <c r="P125" s="38"/>
      <c r="Q125" s="39"/>
      <c r="R125" s="39"/>
      <c r="T125" s="39"/>
      <c r="U125" s="39"/>
      <c r="V125" s="39"/>
      <c r="W125" s="39"/>
      <c r="X125" s="39"/>
      <c r="Y125" s="39"/>
    </row>
    <row r="126" spans="3:25" ht="11.1" customHeight="1">
      <c r="C126" s="39"/>
      <c r="E126" s="36"/>
      <c r="G126" s="76"/>
      <c r="H126" s="76"/>
      <c r="I126" s="76"/>
      <c r="J126" s="76"/>
      <c r="K126" s="76"/>
      <c r="L126" s="37"/>
      <c r="M126" s="37"/>
      <c r="N126" s="38"/>
      <c r="O126" s="38"/>
      <c r="P126" s="38"/>
      <c r="Q126" s="39"/>
      <c r="R126" s="39"/>
      <c r="T126" s="39"/>
      <c r="U126" s="39"/>
      <c r="V126" s="39"/>
      <c r="W126" s="39"/>
      <c r="X126" s="39"/>
      <c r="Y126" s="39"/>
    </row>
    <row r="127" spans="3:25" ht="11.1" customHeight="1">
      <c r="C127" s="39"/>
      <c r="E127" s="36"/>
      <c r="G127" s="76"/>
      <c r="H127" s="76"/>
      <c r="I127" s="76"/>
      <c r="J127" s="76"/>
      <c r="K127" s="76"/>
      <c r="L127" s="37"/>
      <c r="M127" s="37"/>
      <c r="N127" s="38"/>
      <c r="O127" s="38"/>
      <c r="P127" s="38"/>
      <c r="Q127" s="39"/>
      <c r="R127" s="39"/>
      <c r="T127" s="39"/>
      <c r="U127" s="39"/>
      <c r="V127" s="39"/>
      <c r="W127" s="39"/>
      <c r="X127" s="39"/>
      <c r="Y127" s="39"/>
    </row>
    <row r="128" spans="3:25" ht="11.1" customHeight="1">
      <c r="C128" s="39"/>
      <c r="E128" s="36"/>
      <c r="G128" s="76"/>
      <c r="H128" s="76"/>
      <c r="I128" s="76"/>
      <c r="J128" s="76"/>
      <c r="K128" s="76"/>
      <c r="L128" s="37"/>
      <c r="M128" s="37"/>
      <c r="N128" s="38"/>
      <c r="O128" s="38"/>
      <c r="P128" s="38"/>
      <c r="Q128" s="39"/>
      <c r="R128" s="39"/>
      <c r="T128" s="39"/>
      <c r="U128" s="39"/>
      <c r="V128" s="39"/>
      <c r="W128" s="39"/>
      <c r="X128" s="39"/>
      <c r="Y128" s="39"/>
    </row>
    <row r="129" spans="3:25" ht="11.1" customHeight="1">
      <c r="C129" s="39"/>
      <c r="E129" s="36"/>
      <c r="G129" s="76"/>
      <c r="H129" s="76"/>
      <c r="I129" s="76"/>
      <c r="J129" s="76"/>
      <c r="K129" s="76"/>
      <c r="L129" s="37"/>
      <c r="M129" s="37"/>
      <c r="N129" s="38"/>
      <c r="O129" s="38"/>
      <c r="P129" s="38"/>
      <c r="Q129" s="39"/>
      <c r="R129" s="39"/>
      <c r="T129" s="39"/>
      <c r="U129" s="39"/>
      <c r="V129" s="39"/>
      <c r="W129" s="39"/>
      <c r="X129" s="39"/>
      <c r="Y129" s="39"/>
    </row>
    <row r="130" spans="3:25" ht="11.1" customHeight="1">
      <c r="C130" s="39"/>
      <c r="E130" s="36"/>
      <c r="G130" s="76"/>
      <c r="H130" s="76"/>
      <c r="I130" s="76"/>
      <c r="J130" s="76"/>
      <c r="K130" s="76"/>
      <c r="L130" s="37"/>
      <c r="M130" s="37"/>
      <c r="N130" s="38"/>
      <c r="O130" s="38"/>
      <c r="P130" s="38"/>
      <c r="Q130" s="39"/>
      <c r="R130" s="39"/>
      <c r="T130" s="39"/>
      <c r="U130" s="39"/>
      <c r="V130" s="39"/>
      <c r="W130" s="39"/>
      <c r="X130" s="39"/>
      <c r="Y130" s="39"/>
    </row>
    <row r="131" spans="3:25" ht="11.1" customHeight="1">
      <c r="C131" s="39"/>
      <c r="E131" s="36"/>
      <c r="G131" s="76"/>
      <c r="H131" s="76"/>
      <c r="I131" s="76"/>
      <c r="J131" s="76"/>
      <c r="K131" s="76"/>
      <c r="L131" s="37"/>
      <c r="M131" s="37"/>
      <c r="N131" s="38"/>
      <c r="O131" s="38"/>
      <c r="P131" s="38"/>
      <c r="Q131" s="39"/>
      <c r="R131" s="39"/>
      <c r="T131" s="39"/>
      <c r="U131" s="39"/>
      <c r="V131" s="39"/>
      <c r="W131" s="39"/>
      <c r="X131" s="39"/>
      <c r="Y131" s="39"/>
    </row>
    <row r="132" spans="3:25" ht="11.1" customHeight="1">
      <c r="C132" s="39"/>
      <c r="E132" s="36"/>
      <c r="G132" s="76"/>
      <c r="H132" s="76"/>
      <c r="I132" s="76"/>
      <c r="J132" s="76"/>
      <c r="K132" s="76"/>
      <c r="L132" s="37"/>
      <c r="M132" s="37"/>
      <c r="N132" s="38"/>
      <c r="O132" s="38"/>
      <c r="P132" s="38"/>
      <c r="Q132" s="39"/>
      <c r="R132" s="39"/>
      <c r="T132" s="39"/>
      <c r="U132" s="39"/>
      <c r="V132" s="39"/>
      <c r="W132" s="39"/>
      <c r="X132" s="39"/>
      <c r="Y132" s="39"/>
    </row>
    <row r="133" spans="3:25" ht="11.1" customHeight="1">
      <c r="C133" s="39"/>
      <c r="E133" s="36"/>
      <c r="G133" s="76"/>
      <c r="H133" s="76"/>
      <c r="I133" s="76"/>
      <c r="J133" s="76"/>
      <c r="K133" s="76"/>
      <c r="L133" s="37"/>
      <c r="M133" s="37"/>
      <c r="N133" s="38"/>
      <c r="O133" s="38"/>
      <c r="P133" s="38"/>
      <c r="Q133" s="39"/>
      <c r="R133" s="39"/>
      <c r="T133" s="39"/>
      <c r="U133" s="39"/>
      <c r="V133" s="39"/>
      <c r="W133" s="39"/>
      <c r="X133" s="39"/>
      <c r="Y133" s="39"/>
    </row>
    <row r="134" spans="3:25" ht="11.1" customHeight="1">
      <c r="C134" s="39"/>
      <c r="E134" s="36"/>
      <c r="G134" s="76"/>
      <c r="H134" s="76"/>
      <c r="I134" s="76"/>
      <c r="J134" s="76"/>
      <c r="K134" s="76"/>
      <c r="L134" s="37"/>
      <c r="M134" s="37"/>
      <c r="N134" s="38"/>
      <c r="O134" s="38"/>
      <c r="P134" s="38"/>
      <c r="Q134" s="39"/>
      <c r="R134" s="39"/>
      <c r="T134" s="39"/>
      <c r="U134" s="39"/>
      <c r="V134" s="39"/>
      <c r="W134" s="39"/>
      <c r="X134" s="39"/>
      <c r="Y134" s="39"/>
    </row>
    <row r="135" spans="3:25" ht="11.1" customHeight="1">
      <c r="C135" s="39"/>
      <c r="E135" s="36"/>
      <c r="G135" s="76"/>
      <c r="H135" s="76"/>
      <c r="I135" s="76"/>
      <c r="J135" s="76"/>
      <c r="K135" s="76"/>
      <c r="L135" s="37"/>
      <c r="M135" s="37"/>
      <c r="N135" s="38"/>
      <c r="O135" s="38"/>
      <c r="P135" s="38"/>
      <c r="Q135" s="39"/>
      <c r="R135" s="39"/>
      <c r="T135" s="39"/>
      <c r="U135" s="39"/>
      <c r="V135" s="39"/>
      <c r="W135" s="39"/>
      <c r="X135" s="39"/>
      <c r="Y135" s="39"/>
    </row>
    <row r="136" spans="3:25" ht="11.1" customHeight="1">
      <c r="C136" s="39"/>
      <c r="E136" s="36"/>
      <c r="G136" s="76"/>
      <c r="H136" s="76"/>
      <c r="I136" s="76"/>
      <c r="J136" s="76"/>
      <c r="K136" s="76"/>
      <c r="L136" s="37"/>
      <c r="M136" s="37"/>
      <c r="N136" s="38"/>
      <c r="O136" s="38"/>
      <c r="P136" s="38"/>
      <c r="Q136" s="39"/>
      <c r="R136" s="39"/>
      <c r="T136" s="39"/>
      <c r="U136" s="39"/>
      <c r="V136" s="39"/>
      <c r="W136" s="39"/>
      <c r="X136" s="39"/>
      <c r="Y136" s="39"/>
    </row>
    <row r="137" spans="3:25" ht="11.1" customHeight="1">
      <c r="C137" s="39"/>
      <c r="E137" s="36"/>
      <c r="G137" s="76"/>
      <c r="H137" s="76"/>
      <c r="I137" s="76"/>
      <c r="J137" s="76"/>
      <c r="K137" s="76"/>
      <c r="L137" s="37"/>
      <c r="M137" s="37"/>
      <c r="N137" s="38"/>
      <c r="O137" s="38"/>
      <c r="P137" s="38"/>
      <c r="Q137" s="39"/>
      <c r="R137" s="39"/>
      <c r="T137" s="39"/>
      <c r="U137" s="39"/>
      <c r="V137" s="39"/>
      <c r="W137" s="39"/>
      <c r="X137" s="39"/>
      <c r="Y137" s="39"/>
    </row>
    <row r="138" spans="3:25" ht="11.1" customHeight="1">
      <c r="C138" s="39"/>
      <c r="E138" s="36"/>
      <c r="G138" s="76"/>
      <c r="H138" s="76"/>
      <c r="I138" s="76"/>
      <c r="J138" s="76"/>
      <c r="K138" s="76"/>
      <c r="L138" s="37"/>
      <c r="M138" s="37"/>
      <c r="N138" s="38"/>
      <c r="O138" s="38"/>
      <c r="P138" s="38"/>
      <c r="Q138" s="39"/>
      <c r="R138" s="39"/>
      <c r="T138" s="39"/>
      <c r="U138" s="39"/>
      <c r="V138" s="39"/>
      <c r="W138" s="39"/>
      <c r="X138" s="39"/>
      <c r="Y138" s="39"/>
    </row>
    <row r="139" spans="3:25" ht="11.1" customHeight="1">
      <c r="C139" s="39"/>
      <c r="E139" s="36"/>
      <c r="G139" s="76"/>
      <c r="H139" s="76"/>
      <c r="I139" s="76"/>
      <c r="J139" s="76"/>
      <c r="K139" s="76"/>
      <c r="L139" s="37"/>
      <c r="M139" s="37"/>
      <c r="N139" s="38"/>
      <c r="O139" s="38"/>
      <c r="P139" s="38"/>
      <c r="Q139" s="39"/>
      <c r="R139" s="39"/>
      <c r="T139" s="39"/>
      <c r="U139" s="39"/>
      <c r="V139" s="39"/>
      <c r="W139" s="39"/>
      <c r="X139" s="39"/>
      <c r="Y139" s="39"/>
    </row>
    <row r="140" spans="3:25" ht="11.1" customHeight="1">
      <c r="C140" s="39"/>
      <c r="E140" s="36"/>
      <c r="G140" s="76"/>
      <c r="H140" s="76"/>
      <c r="I140" s="76"/>
      <c r="J140" s="76"/>
      <c r="K140" s="76"/>
      <c r="L140" s="37"/>
      <c r="M140" s="37"/>
      <c r="N140" s="38"/>
      <c r="O140" s="38"/>
      <c r="P140" s="38"/>
      <c r="Q140" s="39"/>
      <c r="R140" s="39"/>
      <c r="T140" s="39"/>
      <c r="U140" s="39"/>
      <c r="V140" s="39"/>
      <c r="W140" s="39"/>
      <c r="X140" s="39"/>
      <c r="Y140" s="39"/>
    </row>
    <row r="141" spans="3:25" ht="11.1" customHeight="1">
      <c r="C141" s="39"/>
      <c r="E141" s="36"/>
      <c r="G141" s="76"/>
      <c r="H141" s="76"/>
      <c r="I141" s="76"/>
      <c r="J141" s="76"/>
      <c r="K141" s="76"/>
      <c r="L141" s="37"/>
      <c r="M141" s="37"/>
      <c r="N141" s="38"/>
      <c r="O141" s="38"/>
      <c r="P141" s="38"/>
      <c r="Q141" s="39"/>
      <c r="R141" s="39"/>
      <c r="T141" s="39"/>
      <c r="U141" s="39"/>
      <c r="V141" s="39"/>
      <c r="W141" s="39"/>
      <c r="X141" s="39"/>
      <c r="Y141" s="39"/>
    </row>
    <row r="142" spans="3:25" ht="11.1" customHeight="1">
      <c r="C142" s="39"/>
      <c r="E142" s="36"/>
      <c r="G142" s="76"/>
      <c r="H142" s="76"/>
      <c r="I142" s="76"/>
      <c r="J142" s="76"/>
      <c r="K142" s="76"/>
      <c r="L142" s="37"/>
      <c r="M142" s="37"/>
      <c r="N142" s="38"/>
      <c r="O142" s="38"/>
      <c r="P142" s="38"/>
      <c r="Q142" s="39"/>
      <c r="R142" s="39"/>
      <c r="T142" s="39"/>
      <c r="U142" s="39"/>
      <c r="V142" s="39"/>
      <c r="W142" s="39"/>
      <c r="X142" s="39"/>
      <c r="Y142" s="39"/>
    </row>
    <row r="143" spans="3:25" ht="11.1" customHeight="1">
      <c r="C143" s="39"/>
      <c r="E143" s="36"/>
      <c r="G143" s="76"/>
      <c r="H143" s="76"/>
      <c r="I143" s="76"/>
      <c r="J143" s="76"/>
      <c r="K143" s="76"/>
      <c r="L143" s="37"/>
      <c r="M143" s="37"/>
      <c r="N143" s="38"/>
      <c r="O143" s="38"/>
      <c r="P143" s="38"/>
      <c r="Q143" s="39"/>
      <c r="R143" s="39"/>
      <c r="T143" s="39"/>
      <c r="U143" s="39"/>
      <c r="V143" s="39"/>
      <c r="W143" s="39"/>
      <c r="X143" s="39"/>
      <c r="Y143" s="39"/>
    </row>
    <row r="144" spans="3:25" ht="11.1" customHeight="1">
      <c r="C144" s="39"/>
      <c r="E144" s="36"/>
      <c r="G144" s="76"/>
      <c r="H144" s="76"/>
      <c r="I144" s="76"/>
      <c r="J144" s="76"/>
      <c r="K144" s="76"/>
      <c r="L144" s="37"/>
      <c r="M144" s="37"/>
      <c r="N144" s="38"/>
      <c r="O144" s="38"/>
      <c r="P144" s="38"/>
      <c r="Q144" s="39"/>
      <c r="R144" s="39"/>
      <c r="T144" s="39"/>
      <c r="U144" s="39"/>
      <c r="V144" s="39"/>
      <c r="W144" s="39"/>
      <c r="X144" s="39"/>
      <c r="Y144" s="39"/>
    </row>
    <row r="145" spans="3:25" ht="11.1" customHeight="1">
      <c r="C145" s="39"/>
      <c r="E145" s="36"/>
      <c r="G145" s="76"/>
      <c r="H145" s="76"/>
      <c r="I145" s="76"/>
      <c r="J145" s="76"/>
      <c r="K145" s="76"/>
      <c r="L145" s="37"/>
      <c r="M145" s="37"/>
      <c r="N145" s="38"/>
      <c r="O145" s="38"/>
      <c r="P145" s="38"/>
      <c r="Q145" s="39"/>
      <c r="R145" s="39"/>
      <c r="T145" s="39"/>
      <c r="U145" s="39"/>
      <c r="V145" s="39"/>
      <c r="W145" s="39"/>
      <c r="X145" s="39"/>
      <c r="Y145" s="39"/>
    </row>
    <row r="146" spans="3:25" ht="11.1" customHeight="1">
      <c r="C146" s="39"/>
      <c r="E146" s="36"/>
      <c r="G146" s="76"/>
      <c r="H146" s="76"/>
      <c r="I146" s="76"/>
      <c r="J146" s="76"/>
      <c r="K146" s="76"/>
      <c r="L146" s="37"/>
      <c r="M146" s="37"/>
      <c r="N146" s="38"/>
      <c r="O146" s="38"/>
      <c r="P146" s="38"/>
      <c r="Q146" s="39"/>
      <c r="R146" s="39"/>
      <c r="T146" s="39"/>
      <c r="U146" s="39"/>
      <c r="V146" s="39"/>
      <c r="W146" s="39"/>
      <c r="X146" s="39"/>
      <c r="Y146" s="39"/>
    </row>
    <row r="147" spans="3:25" ht="11.1" customHeight="1">
      <c r="C147" s="39"/>
      <c r="E147" s="36"/>
      <c r="G147" s="76"/>
      <c r="H147" s="76"/>
      <c r="I147" s="76"/>
      <c r="J147" s="76"/>
      <c r="K147" s="76"/>
      <c r="L147" s="37"/>
      <c r="M147" s="37"/>
      <c r="N147" s="38"/>
      <c r="O147" s="38"/>
      <c r="P147" s="38"/>
      <c r="Q147" s="39"/>
      <c r="R147" s="39"/>
      <c r="T147" s="39"/>
      <c r="U147" s="39"/>
      <c r="V147" s="39"/>
      <c r="W147" s="39"/>
      <c r="X147" s="39"/>
      <c r="Y147" s="39"/>
    </row>
    <row r="148" spans="3:25" ht="11.1" customHeight="1">
      <c r="C148" s="39"/>
      <c r="E148" s="36"/>
      <c r="G148" s="76"/>
      <c r="H148" s="76"/>
      <c r="I148" s="76"/>
      <c r="J148" s="76"/>
      <c r="K148" s="76"/>
      <c r="L148" s="37"/>
      <c r="M148" s="37"/>
      <c r="N148" s="38"/>
      <c r="O148" s="38"/>
      <c r="P148" s="38"/>
      <c r="Q148" s="39"/>
      <c r="R148" s="39"/>
      <c r="T148" s="39"/>
      <c r="U148" s="39"/>
      <c r="V148" s="39"/>
      <c r="W148" s="39"/>
      <c r="X148" s="39"/>
      <c r="Y148" s="39"/>
    </row>
    <row r="149" spans="3:25" ht="11.1" customHeight="1">
      <c r="C149" s="39"/>
      <c r="E149" s="36"/>
      <c r="G149" s="76"/>
      <c r="H149" s="76"/>
      <c r="I149" s="76"/>
      <c r="J149" s="76"/>
      <c r="K149" s="76"/>
      <c r="L149" s="37"/>
      <c r="M149" s="37"/>
      <c r="N149" s="38"/>
      <c r="O149" s="38"/>
      <c r="P149" s="38"/>
      <c r="Q149" s="39"/>
      <c r="R149" s="39"/>
      <c r="T149" s="39"/>
      <c r="U149" s="39"/>
      <c r="V149" s="39"/>
      <c r="W149" s="39"/>
      <c r="X149" s="39"/>
      <c r="Y149" s="39"/>
    </row>
    <row r="150" spans="3:25" ht="11.1" customHeight="1">
      <c r="C150" s="39"/>
      <c r="E150" s="36"/>
      <c r="G150" s="76"/>
      <c r="H150" s="76"/>
      <c r="I150" s="76"/>
      <c r="J150" s="76"/>
      <c r="K150" s="76"/>
      <c r="L150" s="37"/>
      <c r="M150" s="37"/>
      <c r="N150" s="38"/>
      <c r="O150" s="38"/>
      <c r="P150" s="38"/>
      <c r="Q150" s="39"/>
      <c r="R150" s="39"/>
      <c r="T150" s="39"/>
      <c r="U150" s="39"/>
      <c r="V150" s="39"/>
      <c r="W150" s="39"/>
      <c r="X150" s="39"/>
      <c r="Y150" s="39"/>
    </row>
    <row r="151" spans="3:25" ht="11.1" customHeight="1">
      <c r="C151" s="39"/>
      <c r="E151" s="36"/>
      <c r="G151" s="76"/>
      <c r="H151" s="76"/>
      <c r="I151" s="76"/>
      <c r="J151" s="76"/>
      <c r="K151" s="76"/>
      <c r="L151" s="37"/>
      <c r="M151" s="37"/>
      <c r="N151" s="38"/>
      <c r="O151" s="38"/>
      <c r="P151" s="38"/>
      <c r="Q151" s="39"/>
      <c r="R151" s="39"/>
      <c r="T151" s="39"/>
      <c r="U151" s="39"/>
      <c r="V151" s="39"/>
      <c r="W151" s="39"/>
      <c r="X151" s="39"/>
      <c r="Y151" s="39"/>
    </row>
    <row r="152" spans="3:25" ht="11.1" customHeight="1">
      <c r="C152" s="39"/>
      <c r="E152" s="36"/>
      <c r="G152" s="76"/>
      <c r="H152" s="76"/>
      <c r="I152" s="76"/>
      <c r="J152" s="76"/>
      <c r="K152" s="76"/>
      <c r="L152" s="37"/>
      <c r="M152" s="37"/>
      <c r="N152" s="38"/>
      <c r="O152" s="38"/>
      <c r="P152" s="38"/>
      <c r="Q152" s="39"/>
      <c r="R152" s="39"/>
      <c r="T152" s="39"/>
      <c r="U152" s="39"/>
      <c r="V152" s="39"/>
      <c r="W152" s="39"/>
      <c r="X152" s="39"/>
      <c r="Y152" s="39"/>
    </row>
    <row r="153" spans="3:25" ht="11.1" customHeight="1">
      <c r="C153" s="39"/>
      <c r="E153" s="36"/>
      <c r="G153" s="76"/>
      <c r="H153" s="76"/>
      <c r="I153" s="76"/>
      <c r="J153" s="76"/>
      <c r="K153" s="76"/>
      <c r="L153" s="37"/>
      <c r="M153" s="37"/>
      <c r="N153" s="38"/>
      <c r="O153" s="38"/>
      <c r="P153" s="38"/>
      <c r="Q153" s="39"/>
      <c r="R153" s="39"/>
      <c r="T153" s="39"/>
      <c r="U153" s="39"/>
      <c r="V153" s="39"/>
      <c r="W153" s="39"/>
      <c r="X153" s="39"/>
      <c r="Y153" s="39"/>
    </row>
    <row r="154" spans="3:25" ht="11.1" customHeight="1">
      <c r="C154" s="39"/>
      <c r="E154" s="36"/>
      <c r="G154" s="76"/>
      <c r="H154" s="76"/>
      <c r="I154" s="76"/>
      <c r="J154" s="76"/>
      <c r="K154" s="76"/>
      <c r="L154" s="37"/>
      <c r="M154" s="37"/>
      <c r="N154" s="38"/>
      <c r="O154" s="38"/>
      <c r="P154" s="38"/>
      <c r="Q154" s="39"/>
      <c r="R154" s="39"/>
      <c r="T154" s="39"/>
      <c r="U154" s="39"/>
      <c r="V154" s="39"/>
      <c r="W154" s="39"/>
      <c r="X154" s="39"/>
      <c r="Y154" s="39"/>
    </row>
    <row r="155" spans="3:25" ht="11.1" customHeight="1">
      <c r="C155" s="39"/>
      <c r="E155" s="36"/>
      <c r="G155" s="76"/>
      <c r="H155" s="76"/>
      <c r="I155" s="76"/>
      <c r="J155" s="76"/>
      <c r="K155" s="76"/>
      <c r="L155" s="37"/>
      <c r="M155" s="37"/>
      <c r="N155" s="38"/>
      <c r="O155" s="38"/>
      <c r="P155" s="38"/>
      <c r="Q155" s="39"/>
      <c r="R155" s="39"/>
      <c r="T155" s="39"/>
      <c r="U155" s="39"/>
      <c r="V155" s="39"/>
      <c r="W155" s="39"/>
      <c r="X155" s="39"/>
      <c r="Y155" s="39"/>
    </row>
    <row r="156" spans="3:25" ht="11.1" customHeight="1">
      <c r="C156" s="39"/>
      <c r="E156" s="36"/>
      <c r="G156" s="76"/>
      <c r="H156" s="76"/>
      <c r="I156" s="76"/>
      <c r="J156" s="76"/>
      <c r="K156" s="76"/>
      <c r="L156" s="37"/>
      <c r="M156" s="37"/>
      <c r="N156" s="38"/>
      <c r="O156" s="38"/>
      <c r="P156" s="38"/>
      <c r="Q156" s="39"/>
      <c r="R156" s="39"/>
      <c r="T156" s="39"/>
      <c r="U156" s="39"/>
      <c r="V156" s="39"/>
      <c r="W156" s="39"/>
      <c r="X156" s="39"/>
      <c r="Y156" s="39"/>
    </row>
    <row r="157" spans="3:25" ht="11.1" customHeight="1">
      <c r="C157" s="39"/>
      <c r="E157" s="36"/>
      <c r="G157" s="76"/>
      <c r="H157" s="76"/>
      <c r="I157" s="76"/>
      <c r="J157" s="76"/>
      <c r="K157" s="76"/>
      <c r="L157" s="37"/>
      <c r="M157" s="37"/>
      <c r="N157" s="38"/>
      <c r="O157" s="38"/>
      <c r="P157" s="38"/>
      <c r="Q157" s="39"/>
      <c r="R157" s="39"/>
      <c r="T157" s="39"/>
      <c r="U157" s="39"/>
      <c r="V157" s="39"/>
      <c r="W157" s="39"/>
      <c r="X157" s="39"/>
      <c r="Y157" s="39"/>
    </row>
    <row r="158" spans="3:25" ht="11.1" customHeight="1">
      <c r="C158" s="39"/>
      <c r="E158" s="36"/>
      <c r="G158" s="76"/>
      <c r="H158" s="76"/>
      <c r="I158" s="76"/>
      <c r="J158" s="76"/>
      <c r="K158" s="76"/>
      <c r="L158" s="37"/>
      <c r="M158" s="37"/>
      <c r="N158" s="38"/>
      <c r="O158" s="38"/>
      <c r="P158" s="38"/>
      <c r="Q158" s="39"/>
      <c r="R158" s="39"/>
      <c r="T158" s="39"/>
      <c r="U158" s="39"/>
      <c r="V158" s="39"/>
      <c r="W158" s="39"/>
      <c r="X158" s="39"/>
      <c r="Y158" s="39"/>
    </row>
    <row r="159" spans="3:25" ht="11.1" customHeight="1">
      <c r="C159" s="39"/>
      <c r="E159" s="36"/>
      <c r="G159" s="76"/>
      <c r="H159" s="76"/>
      <c r="I159" s="76"/>
      <c r="J159" s="76"/>
      <c r="K159" s="76"/>
      <c r="L159" s="37"/>
      <c r="M159" s="37"/>
      <c r="N159" s="38"/>
      <c r="O159" s="38"/>
      <c r="P159" s="38"/>
      <c r="Q159" s="39"/>
      <c r="R159" s="39"/>
      <c r="T159" s="39"/>
      <c r="U159" s="39"/>
      <c r="V159" s="39"/>
      <c r="W159" s="39"/>
      <c r="X159" s="39"/>
      <c r="Y159" s="39"/>
    </row>
    <row r="160" spans="3:25" ht="11.1" customHeight="1">
      <c r="C160" s="39"/>
      <c r="E160" s="36"/>
      <c r="G160" s="76"/>
      <c r="H160" s="76"/>
      <c r="I160" s="76"/>
      <c r="J160" s="76"/>
      <c r="K160" s="76"/>
      <c r="L160" s="37"/>
      <c r="M160" s="37"/>
      <c r="N160" s="38"/>
      <c r="O160" s="38"/>
      <c r="P160" s="38"/>
      <c r="Q160" s="39"/>
      <c r="R160" s="39"/>
      <c r="T160" s="39"/>
      <c r="U160" s="39"/>
      <c r="V160" s="39"/>
      <c r="W160" s="39"/>
      <c r="X160" s="39"/>
      <c r="Y160" s="39"/>
    </row>
    <row r="161" spans="3:25" ht="11.1" customHeight="1">
      <c r="C161" s="39"/>
      <c r="E161" s="36"/>
      <c r="G161" s="76"/>
      <c r="H161" s="76"/>
      <c r="I161" s="76"/>
      <c r="J161" s="76"/>
      <c r="K161" s="76"/>
      <c r="L161" s="37"/>
      <c r="M161" s="37"/>
      <c r="N161" s="38"/>
      <c r="O161" s="38"/>
      <c r="P161" s="38"/>
      <c r="Q161" s="39"/>
      <c r="R161" s="39"/>
      <c r="T161" s="39"/>
      <c r="U161" s="39"/>
      <c r="V161" s="39"/>
      <c r="W161" s="39"/>
      <c r="X161" s="39"/>
      <c r="Y161" s="39"/>
    </row>
    <row r="162" spans="3:25" ht="11.1" customHeight="1">
      <c r="C162" s="39"/>
      <c r="E162" s="36"/>
      <c r="G162" s="76"/>
      <c r="H162" s="76"/>
      <c r="I162" s="76"/>
      <c r="J162" s="76"/>
      <c r="K162" s="76"/>
      <c r="L162" s="37"/>
      <c r="M162" s="37"/>
      <c r="N162" s="38"/>
      <c r="O162" s="38"/>
      <c r="P162" s="38"/>
      <c r="Q162" s="39"/>
      <c r="R162" s="39"/>
      <c r="T162" s="39"/>
      <c r="U162" s="39"/>
      <c r="V162" s="39"/>
      <c r="W162" s="39"/>
      <c r="X162" s="39"/>
      <c r="Y162" s="39"/>
    </row>
    <row r="163" spans="3:25" ht="11.1" customHeight="1">
      <c r="C163" s="39"/>
      <c r="E163" s="36"/>
      <c r="G163" s="76"/>
      <c r="H163" s="76"/>
      <c r="I163" s="76"/>
      <c r="J163" s="76"/>
      <c r="K163" s="76"/>
      <c r="L163" s="37"/>
      <c r="M163" s="37"/>
      <c r="N163" s="38"/>
      <c r="O163" s="38"/>
      <c r="P163" s="38"/>
      <c r="Q163" s="39"/>
      <c r="R163" s="39"/>
      <c r="T163" s="39"/>
      <c r="U163" s="39"/>
      <c r="V163" s="39"/>
      <c r="W163" s="39"/>
      <c r="X163" s="39"/>
      <c r="Y163" s="39"/>
    </row>
    <row r="164" spans="3:25" ht="11.1" customHeight="1">
      <c r="C164" s="39"/>
      <c r="E164" s="36"/>
      <c r="G164" s="76"/>
      <c r="H164" s="76"/>
      <c r="I164" s="76"/>
      <c r="J164" s="76"/>
      <c r="K164" s="76"/>
      <c r="L164" s="37"/>
      <c r="M164" s="37"/>
      <c r="N164" s="38"/>
      <c r="O164" s="38"/>
      <c r="P164" s="38"/>
      <c r="Q164" s="39"/>
      <c r="R164" s="39"/>
      <c r="T164" s="39"/>
      <c r="U164" s="39"/>
      <c r="V164" s="39"/>
      <c r="W164" s="39"/>
      <c r="X164" s="39"/>
      <c r="Y164" s="39"/>
    </row>
    <row r="165" spans="3:25" ht="11.1" customHeight="1">
      <c r="C165" s="39"/>
      <c r="E165" s="36"/>
      <c r="G165" s="76"/>
      <c r="H165" s="76"/>
      <c r="I165" s="76"/>
      <c r="J165" s="76"/>
      <c r="K165" s="76"/>
      <c r="L165" s="37"/>
      <c r="M165" s="37"/>
      <c r="N165" s="38"/>
      <c r="O165" s="38"/>
      <c r="P165" s="38"/>
      <c r="Q165" s="39"/>
      <c r="R165" s="39"/>
      <c r="T165" s="39"/>
      <c r="U165" s="39"/>
      <c r="V165" s="39"/>
      <c r="W165" s="39"/>
      <c r="X165" s="39"/>
      <c r="Y165" s="39"/>
    </row>
    <row r="166" spans="3:25" ht="11.1" customHeight="1">
      <c r="C166" s="39"/>
      <c r="E166" s="36"/>
      <c r="G166" s="76"/>
      <c r="H166" s="76"/>
      <c r="I166" s="76"/>
      <c r="J166" s="76"/>
      <c r="K166" s="76"/>
      <c r="L166" s="37"/>
      <c r="M166" s="37"/>
      <c r="N166" s="38"/>
      <c r="O166" s="38"/>
      <c r="P166" s="38"/>
      <c r="Q166" s="39"/>
      <c r="R166" s="39"/>
      <c r="T166" s="39"/>
      <c r="U166" s="39"/>
      <c r="V166" s="39"/>
      <c r="W166" s="39"/>
      <c r="X166" s="39"/>
      <c r="Y166" s="39"/>
    </row>
    <row r="167" spans="3:25" ht="11.1" customHeight="1">
      <c r="C167" s="39"/>
      <c r="E167" s="36"/>
      <c r="G167" s="76"/>
      <c r="H167" s="76"/>
      <c r="I167" s="76"/>
      <c r="J167" s="76"/>
      <c r="K167" s="76"/>
      <c r="L167" s="37"/>
      <c r="M167" s="37"/>
      <c r="N167" s="38"/>
      <c r="O167" s="38"/>
      <c r="P167" s="38"/>
      <c r="Q167" s="39"/>
      <c r="R167" s="39"/>
      <c r="T167" s="39"/>
      <c r="U167" s="39"/>
      <c r="V167" s="39"/>
      <c r="W167" s="39"/>
      <c r="X167" s="39"/>
      <c r="Y167" s="39"/>
    </row>
    <row r="168" spans="3:25" ht="11.1" customHeight="1">
      <c r="C168" s="39"/>
      <c r="E168" s="36"/>
      <c r="G168" s="76"/>
      <c r="H168" s="76"/>
      <c r="I168" s="76"/>
      <c r="J168" s="76"/>
      <c r="K168" s="76"/>
      <c r="L168" s="37"/>
      <c r="M168" s="37"/>
      <c r="N168" s="38"/>
      <c r="O168" s="38"/>
      <c r="P168" s="38"/>
      <c r="Q168" s="39"/>
      <c r="R168" s="39"/>
      <c r="T168" s="39"/>
      <c r="U168" s="39"/>
      <c r="V168" s="39"/>
      <c r="W168" s="39"/>
      <c r="X168" s="39"/>
      <c r="Y168" s="39"/>
    </row>
    <row r="169" spans="3:25" ht="11.1" customHeight="1">
      <c r="C169" s="39"/>
      <c r="E169" s="36"/>
      <c r="G169" s="76"/>
      <c r="H169" s="76"/>
      <c r="I169" s="76"/>
      <c r="J169" s="76"/>
      <c r="K169" s="76"/>
      <c r="L169" s="37"/>
      <c r="M169" s="37"/>
      <c r="N169" s="38"/>
      <c r="O169" s="38"/>
      <c r="P169" s="38"/>
      <c r="Q169" s="39"/>
      <c r="R169" s="39"/>
      <c r="T169" s="39"/>
      <c r="U169" s="39"/>
      <c r="V169" s="39"/>
      <c r="W169" s="39"/>
      <c r="X169" s="39"/>
      <c r="Y169" s="39"/>
    </row>
    <row r="170" spans="3:25" ht="11.1" customHeight="1">
      <c r="C170" s="39"/>
      <c r="E170" s="36"/>
      <c r="G170" s="76"/>
      <c r="H170" s="76"/>
      <c r="I170" s="76"/>
      <c r="J170" s="76"/>
      <c r="K170" s="76"/>
      <c r="L170" s="37"/>
      <c r="M170" s="37"/>
      <c r="N170" s="38"/>
      <c r="O170" s="38"/>
      <c r="P170" s="38"/>
      <c r="Q170" s="39"/>
      <c r="R170" s="39"/>
      <c r="T170" s="39"/>
      <c r="U170" s="39"/>
      <c r="V170" s="39"/>
      <c r="W170" s="39"/>
      <c r="X170" s="39"/>
      <c r="Y170" s="39"/>
    </row>
    <row r="171" spans="3:25" ht="11.1" customHeight="1">
      <c r="C171" s="39"/>
      <c r="E171" s="36"/>
      <c r="G171" s="76"/>
      <c r="H171" s="76"/>
      <c r="I171" s="76"/>
      <c r="J171" s="76"/>
      <c r="K171" s="76"/>
      <c r="L171" s="37"/>
      <c r="M171" s="37"/>
      <c r="N171" s="38"/>
      <c r="O171" s="38"/>
      <c r="P171" s="38"/>
      <c r="Q171" s="39"/>
      <c r="R171" s="39"/>
      <c r="T171" s="39"/>
      <c r="U171" s="39"/>
      <c r="V171" s="39"/>
      <c r="W171" s="39"/>
      <c r="X171" s="39"/>
      <c r="Y171" s="39"/>
    </row>
    <row r="172" spans="3:25" ht="11.1" customHeight="1">
      <c r="C172" s="39"/>
      <c r="E172" s="36"/>
      <c r="G172" s="76"/>
      <c r="H172" s="76"/>
      <c r="I172" s="76"/>
      <c r="J172" s="76"/>
      <c r="K172" s="76"/>
      <c r="L172" s="37"/>
      <c r="M172" s="37"/>
      <c r="N172" s="38"/>
      <c r="O172" s="38"/>
      <c r="P172" s="38"/>
      <c r="Q172" s="39"/>
      <c r="R172" s="39"/>
      <c r="T172" s="39"/>
      <c r="U172" s="39"/>
      <c r="V172" s="39"/>
      <c r="W172" s="39"/>
      <c r="X172" s="39"/>
      <c r="Y172" s="39"/>
    </row>
    <row r="173" spans="3:25" ht="11.1" customHeight="1">
      <c r="C173" s="39"/>
      <c r="E173" s="36"/>
      <c r="G173" s="76"/>
      <c r="H173" s="76"/>
      <c r="I173" s="76"/>
      <c r="J173" s="76"/>
      <c r="K173" s="76"/>
      <c r="L173" s="37"/>
      <c r="M173" s="37"/>
      <c r="N173" s="38"/>
      <c r="O173" s="38"/>
      <c r="P173" s="38"/>
      <c r="Q173" s="39"/>
      <c r="R173" s="39"/>
      <c r="T173" s="39"/>
      <c r="U173" s="39"/>
      <c r="V173" s="39"/>
      <c r="W173" s="39"/>
      <c r="X173" s="39"/>
      <c r="Y173" s="39"/>
    </row>
    <row r="174" spans="3:25" ht="11.1" customHeight="1">
      <c r="C174" s="39"/>
      <c r="E174" s="36"/>
      <c r="G174" s="76"/>
      <c r="H174" s="76"/>
      <c r="I174" s="76"/>
      <c r="J174" s="76"/>
      <c r="K174" s="76"/>
      <c r="L174" s="37"/>
      <c r="M174" s="37"/>
      <c r="N174" s="38"/>
      <c r="O174" s="38"/>
      <c r="P174" s="38"/>
      <c r="Q174" s="39"/>
      <c r="R174" s="39"/>
      <c r="T174" s="39"/>
      <c r="U174" s="39"/>
      <c r="V174" s="39"/>
      <c r="W174" s="39"/>
      <c r="X174" s="39"/>
      <c r="Y174" s="39"/>
    </row>
    <row r="175" spans="3:25" ht="11.1" customHeight="1">
      <c r="C175" s="39"/>
      <c r="E175" s="36"/>
      <c r="G175" s="76"/>
      <c r="H175" s="76"/>
      <c r="I175" s="76"/>
      <c r="J175" s="76"/>
      <c r="K175" s="76"/>
      <c r="L175" s="37"/>
      <c r="M175" s="37"/>
      <c r="N175" s="38"/>
      <c r="O175" s="38"/>
      <c r="P175" s="38"/>
      <c r="Q175" s="39"/>
      <c r="R175" s="39"/>
      <c r="T175" s="39"/>
      <c r="U175" s="39"/>
      <c r="V175" s="39"/>
      <c r="W175" s="39"/>
      <c r="X175" s="39"/>
      <c r="Y175" s="39"/>
    </row>
    <row r="176" spans="3:25" ht="11.1" customHeight="1">
      <c r="C176" s="39"/>
      <c r="E176" s="36"/>
      <c r="G176" s="76"/>
      <c r="H176" s="76"/>
      <c r="I176" s="76"/>
      <c r="J176" s="76"/>
      <c r="K176" s="76"/>
      <c r="L176" s="37"/>
      <c r="M176" s="37"/>
      <c r="N176" s="38"/>
      <c r="O176" s="38"/>
      <c r="P176" s="38"/>
      <c r="Q176" s="39"/>
      <c r="R176" s="39"/>
      <c r="T176" s="39"/>
      <c r="U176" s="39"/>
      <c r="V176" s="39"/>
      <c r="W176" s="39"/>
      <c r="X176" s="39"/>
      <c r="Y176" s="39"/>
    </row>
    <row r="177" spans="3:25" ht="11.1" customHeight="1">
      <c r="C177" s="39"/>
      <c r="E177" s="36"/>
      <c r="G177" s="76"/>
      <c r="H177" s="76"/>
      <c r="I177" s="76"/>
      <c r="J177" s="76"/>
      <c r="K177" s="76"/>
      <c r="L177" s="37"/>
      <c r="M177" s="37"/>
      <c r="N177" s="38"/>
      <c r="O177" s="38"/>
      <c r="P177" s="38"/>
      <c r="Q177" s="39"/>
      <c r="R177" s="39"/>
      <c r="T177" s="39"/>
      <c r="U177" s="39"/>
      <c r="V177" s="39"/>
      <c r="W177" s="39"/>
      <c r="X177" s="39"/>
      <c r="Y177" s="39"/>
    </row>
    <row r="178" spans="3:25" ht="11.1" customHeight="1">
      <c r="C178" s="39"/>
      <c r="E178" s="36"/>
      <c r="G178" s="76"/>
      <c r="H178" s="76"/>
      <c r="I178" s="76"/>
      <c r="J178" s="76"/>
      <c r="K178" s="76"/>
      <c r="L178" s="37"/>
      <c r="M178" s="37"/>
      <c r="N178" s="38"/>
      <c r="O178" s="38"/>
      <c r="P178" s="38"/>
      <c r="Q178" s="39"/>
      <c r="R178" s="39"/>
      <c r="T178" s="39"/>
      <c r="U178" s="39"/>
      <c r="V178" s="39"/>
      <c r="W178" s="39"/>
      <c r="X178" s="39"/>
      <c r="Y178" s="39"/>
    </row>
    <row r="179" spans="3:25" ht="11.1" customHeight="1">
      <c r="C179" s="39"/>
      <c r="E179" s="36"/>
      <c r="G179" s="76"/>
      <c r="H179" s="76"/>
      <c r="I179" s="76"/>
      <c r="J179" s="76"/>
      <c r="K179" s="76"/>
      <c r="L179" s="37"/>
      <c r="M179" s="37"/>
      <c r="N179" s="38"/>
      <c r="O179" s="38"/>
      <c r="P179" s="38"/>
      <c r="Q179" s="39"/>
      <c r="R179" s="39"/>
      <c r="T179" s="39"/>
      <c r="U179" s="39"/>
      <c r="V179" s="39"/>
      <c r="W179" s="39"/>
      <c r="X179" s="39"/>
      <c r="Y179" s="39"/>
    </row>
    <row r="180" spans="3:25" ht="11.1" customHeight="1">
      <c r="C180" s="39"/>
      <c r="E180" s="36"/>
      <c r="G180" s="76"/>
      <c r="H180" s="76"/>
      <c r="I180" s="76"/>
      <c r="J180" s="76"/>
      <c r="K180" s="76"/>
      <c r="L180" s="37"/>
      <c r="M180" s="37"/>
      <c r="N180" s="38"/>
      <c r="O180" s="38"/>
      <c r="P180" s="38"/>
      <c r="Q180" s="39"/>
      <c r="R180" s="39"/>
      <c r="T180" s="39"/>
      <c r="U180" s="39"/>
      <c r="V180" s="39"/>
      <c r="W180" s="39"/>
      <c r="X180" s="39"/>
      <c r="Y180" s="39"/>
    </row>
    <row r="181" spans="3:25" ht="11.1" customHeight="1">
      <c r="C181" s="39"/>
      <c r="E181" s="36"/>
      <c r="G181" s="76"/>
      <c r="H181" s="76"/>
      <c r="I181" s="76"/>
      <c r="J181" s="76"/>
      <c r="K181" s="76"/>
      <c r="L181" s="37"/>
      <c r="M181" s="37"/>
      <c r="N181" s="38"/>
      <c r="O181" s="38"/>
      <c r="P181" s="38"/>
      <c r="Q181" s="39"/>
      <c r="R181" s="39"/>
      <c r="T181" s="39"/>
      <c r="U181" s="39"/>
      <c r="V181" s="39"/>
      <c r="W181" s="39"/>
      <c r="X181" s="39"/>
      <c r="Y181" s="39"/>
    </row>
    <row r="182" spans="3:25" ht="11.1" customHeight="1">
      <c r="C182" s="39"/>
      <c r="E182" s="36"/>
      <c r="G182" s="76"/>
      <c r="H182" s="76"/>
      <c r="I182" s="76"/>
      <c r="J182" s="76"/>
      <c r="K182" s="76"/>
      <c r="L182" s="37"/>
      <c r="M182" s="37"/>
      <c r="N182" s="38"/>
      <c r="O182" s="38"/>
      <c r="P182" s="38"/>
      <c r="Q182" s="39"/>
      <c r="R182" s="39"/>
      <c r="T182" s="39"/>
      <c r="U182" s="39"/>
      <c r="V182" s="39"/>
      <c r="W182" s="39"/>
      <c r="X182" s="39"/>
      <c r="Y182" s="39"/>
    </row>
    <row r="183" spans="3:25" ht="11.1" customHeight="1">
      <c r="C183" s="39"/>
      <c r="E183" s="36"/>
      <c r="G183" s="76"/>
      <c r="H183" s="76"/>
      <c r="I183" s="76"/>
      <c r="J183" s="76"/>
      <c r="K183" s="76"/>
      <c r="L183" s="37"/>
      <c r="M183" s="37"/>
      <c r="N183" s="38"/>
      <c r="O183" s="38"/>
      <c r="P183" s="38"/>
      <c r="Q183" s="39"/>
      <c r="R183" s="39"/>
      <c r="T183" s="39"/>
      <c r="U183" s="39"/>
      <c r="V183" s="39"/>
      <c r="W183" s="39"/>
      <c r="X183" s="39"/>
      <c r="Y183" s="39"/>
    </row>
    <row r="184" spans="3:25" ht="11.1" customHeight="1">
      <c r="C184" s="39"/>
      <c r="E184" s="36"/>
      <c r="G184" s="76"/>
      <c r="H184" s="76"/>
      <c r="I184" s="76"/>
      <c r="J184" s="76"/>
      <c r="K184" s="76"/>
      <c r="L184" s="37"/>
      <c r="M184" s="37"/>
      <c r="N184" s="38"/>
      <c r="O184" s="38"/>
      <c r="P184" s="38"/>
      <c r="Q184" s="39"/>
      <c r="R184" s="39"/>
      <c r="T184" s="39"/>
      <c r="U184" s="39"/>
      <c r="V184" s="39"/>
      <c r="W184" s="39"/>
      <c r="X184" s="39"/>
      <c r="Y184" s="39"/>
    </row>
    <row r="185" spans="3:25" ht="11.1" customHeight="1">
      <c r="C185" s="39"/>
      <c r="E185" s="36"/>
      <c r="G185" s="76"/>
      <c r="H185" s="76"/>
      <c r="I185" s="76"/>
      <c r="J185" s="76"/>
      <c r="K185" s="76"/>
      <c r="L185" s="37"/>
      <c r="M185" s="37"/>
      <c r="N185" s="38"/>
      <c r="O185" s="38"/>
      <c r="P185" s="38"/>
      <c r="Q185" s="353"/>
      <c r="R185" s="353"/>
      <c r="S185" s="353"/>
      <c r="T185" s="353"/>
      <c r="U185" s="353"/>
      <c r="V185" s="353"/>
      <c r="W185" s="353"/>
      <c r="X185" s="353"/>
      <c r="Y185" s="353"/>
    </row>
    <row r="186" spans="3:25" ht="11.1" customHeight="1">
      <c r="C186" s="39"/>
      <c r="E186" s="36"/>
      <c r="G186" s="76"/>
      <c r="H186" s="76"/>
      <c r="I186" s="76"/>
      <c r="J186" s="76"/>
      <c r="K186" s="76"/>
      <c r="L186" s="37"/>
      <c r="M186" s="37"/>
      <c r="N186" s="38"/>
      <c r="O186" s="38"/>
      <c r="P186" s="38"/>
      <c r="Q186" s="39"/>
      <c r="R186" s="39"/>
      <c r="T186" s="39"/>
      <c r="U186" s="39"/>
      <c r="V186" s="39"/>
      <c r="W186" s="39"/>
      <c r="X186" s="39"/>
      <c r="Y186" s="39"/>
    </row>
    <row r="187" spans="3:25" ht="11.1" customHeight="1">
      <c r="C187" s="39"/>
      <c r="E187" s="36"/>
      <c r="G187" s="76"/>
      <c r="H187" s="76"/>
      <c r="I187" s="76"/>
      <c r="J187" s="76"/>
      <c r="K187" s="76"/>
      <c r="L187" s="37"/>
      <c r="M187" s="37"/>
      <c r="N187" s="38"/>
      <c r="O187" s="38"/>
      <c r="P187" s="38"/>
      <c r="Q187" s="39"/>
      <c r="R187" s="39"/>
      <c r="T187" s="39"/>
      <c r="U187" s="39"/>
      <c r="V187" s="39"/>
      <c r="W187" s="39"/>
      <c r="X187" s="39"/>
      <c r="Y187" s="39"/>
    </row>
    <row r="188" spans="3:25" ht="11.1" customHeight="1">
      <c r="C188" s="39"/>
      <c r="E188" s="36"/>
      <c r="G188" s="76"/>
      <c r="H188" s="76"/>
      <c r="I188" s="76"/>
      <c r="J188" s="76"/>
      <c r="K188" s="76"/>
      <c r="L188" s="37"/>
      <c r="M188" s="37"/>
      <c r="N188" s="38"/>
      <c r="O188" s="38"/>
      <c r="P188" s="38"/>
      <c r="Q188" s="39"/>
      <c r="R188" s="39"/>
      <c r="T188" s="39"/>
      <c r="U188" s="39"/>
      <c r="V188" s="39"/>
      <c r="W188" s="39"/>
      <c r="X188" s="39"/>
      <c r="Y188" s="39"/>
    </row>
    <row r="189" spans="3:25" ht="11.1" customHeight="1">
      <c r="C189" s="39"/>
      <c r="E189" s="36"/>
      <c r="G189" s="76"/>
      <c r="H189" s="76"/>
      <c r="I189" s="76"/>
      <c r="J189" s="76"/>
      <c r="K189" s="76"/>
      <c r="L189" s="37"/>
      <c r="M189" s="37"/>
      <c r="N189" s="38"/>
      <c r="O189" s="38"/>
      <c r="P189" s="38"/>
      <c r="Q189" s="39"/>
      <c r="R189" s="39"/>
      <c r="T189" s="39"/>
      <c r="U189" s="39"/>
      <c r="V189" s="39"/>
      <c r="W189" s="39"/>
      <c r="X189" s="39"/>
      <c r="Y189" s="39"/>
    </row>
    <row r="190" spans="3:25" ht="11.1" customHeight="1">
      <c r="C190" s="39"/>
      <c r="E190" s="36"/>
      <c r="G190" s="76"/>
      <c r="H190" s="76"/>
      <c r="I190" s="76"/>
      <c r="J190" s="76"/>
      <c r="K190" s="76"/>
      <c r="L190" s="37"/>
      <c r="M190" s="37"/>
      <c r="N190" s="38"/>
      <c r="O190" s="38"/>
      <c r="P190" s="38"/>
      <c r="Q190" s="39"/>
      <c r="R190" s="39"/>
      <c r="T190" s="39"/>
      <c r="U190" s="39"/>
      <c r="V190" s="39"/>
      <c r="W190" s="39"/>
      <c r="X190" s="39"/>
      <c r="Y190" s="39"/>
    </row>
    <row r="191" spans="3:25" ht="11.1" customHeight="1">
      <c r="C191" s="39"/>
      <c r="E191" s="36"/>
      <c r="G191" s="76"/>
      <c r="H191" s="76"/>
      <c r="I191" s="76"/>
      <c r="J191" s="76"/>
      <c r="K191" s="76"/>
      <c r="L191" s="37"/>
      <c r="M191" s="37"/>
      <c r="N191" s="38"/>
      <c r="O191" s="38"/>
      <c r="P191" s="38"/>
      <c r="Q191" s="39"/>
      <c r="R191" s="39"/>
      <c r="T191" s="39"/>
      <c r="U191" s="39"/>
      <c r="V191" s="39"/>
      <c r="W191" s="39"/>
      <c r="X191" s="39"/>
      <c r="Y191" s="39"/>
    </row>
    <row r="192" spans="3:25" ht="11.1" customHeight="1">
      <c r="C192" s="39"/>
      <c r="E192" s="36"/>
      <c r="G192" s="76"/>
      <c r="H192" s="76"/>
      <c r="I192" s="76"/>
      <c r="J192" s="76"/>
      <c r="K192" s="76"/>
      <c r="L192" s="37"/>
      <c r="M192" s="37"/>
      <c r="N192" s="38"/>
      <c r="O192" s="38"/>
      <c r="P192" s="38"/>
      <c r="Q192" s="39"/>
      <c r="R192" s="39"/>
      <c r="T192" s="39"/>
      <c r="U192" s="39"/>
      <c r="V192" s="39"/>
      <c r="W192" s="39"/>
      <c r="X192" s="39"/>
      <c r="Y192" s="39"/>
    </row>
    <row r="193" spans="3:25" ht="11.1" customHeight="1">
      <c r="C193" s="39"/>
      <c r="E193" s="36"/>
      <c r="G193" s="76"/>
      <c r="H193" s="76"/>
      <c r="I193" s="76"/>
      <c r="J193" s="76"/>
      <c r="K193" s="76"/>
      <c r="L193" s="37"/>
      <c r="M193" s="37"/>
      <c r="N193" s="38"/>
      <c r="O193" s="38"/>
      <c r="P193" s="38"/>
      <c r="Q193" s="39"/>
      <c r="R193" s="39"/>
      <c r="T193" s="39"/>
      <c r="U193" s="39"/>
      <c r="V193" s="39"/>
      <c r="W193" s="39"/>
      <c r="X193" s="39"/>
      <c r="Y193" s="39"/>
    </row>
    <row r="194" spans="3:25" ht="11.1" customHeight="1">
      <c r="C194" s="39"/>
      <c r="E194" s="36"/>
      <c r="G194" s="76"/>
      <c r="H194" s="76"/>
      <c r="I194" s="76"/>
      <c r="J194" s="76"/>
      <c r="K194" s="76"/>
      <c r="L194" s="37"/>
      <c r="M194" s="37"/>
      <c r="N194" s="38"/>
      <c r="O194" s="38"/>
      <c r="P194" s="38"/>
      <c r="Q194" s="39"/>
      <c r="R194" s="39"/>
      <c r="T194" s="39"/>
      <c r="U194" s="39"/>
      <c r="V194" s="39"/>
      <c r="W194" s="39"/>
      <c r="X194" s="39"/>
      <c r="Y194" s="39"/>
    </row>
    <row r="195" spans="3:25" ht="11.1" customHeight="1">
      <c r="C195" s="39"/>
      <c r="E195" s="36"/>
      <c r="G195" s="76"/>
      <c r="H195" s="76"/>
      <c r="I195" s="76"/>
      <c r="J195" s="76"/>
      <c r="K195" s="76"/>
      <c r="L195" s="37"/>
      <c r="M195" s="37"/>
      <c r="N195" s="38"/>
      <c r="O195" s="38"/>
      <c r="P195" s="38"/>
      <c r="Q195" s="39"/>
      <c r="R195" s="39"/>
      <c r="T195" s="39"/>
      <c r="U195" s="39"/>
      <c r="V195" s="39"/>
      <c r="W195" s="39"/>
      <c r="X195" s="39"/>
      <c r="Y195" s="39"/>
    </row>
    <row r="196" spans="3:25" ht="11.1" customHeight="1">
      <c r="C196" s="39"/>
      <c r="E196" s="36"/>
      <c r="G196" s="76"/>
      <c r="H196" s="76"/>
      <c r="I196" s="76"/>
      <c r="J196" s="76"/>
      <c r="K196" s="76"/>
      <c r="L196" s="37"/>
      <c r="M196" s="37"/>
      <c r="N196" s="38"/>
      <c r="O196" s="38"/>
      <c r="P196" s="38"/>
      <c r="Q196" s="39"/>
      <c r="R196" s="39"/>
      <c r="T196" s="39"/>
      <c r="U196" s="39"/>
      <c r="V196" s="39"/>
      <c r="W196" s="39"/>
      <c r="X196" s="39"/>
      <c r="Y196" s="39"/>
    </row>
    <row r="197" spans="3:25" ht="11.1" customHeight="1">
      <c r="C197" s="39"/>
      <c r="E197" s="36"/>
      <c r="G197" s="76"/>
      <c r="H197" s="76"/>
      <c r="I197" s="76"/>
      <c r="J197" s="76"/>
      <c r="K197" s="76"/>
      <c r="L197" s="37"/>
      <c r="M197" s="37"/>
      <c r="N197" s="38"/>
      <c r="O197" s="38"/>
      <c r="P197" s="38"/>
      <c r="Q197" s="39"/>
      <c r="R197" s="39"/>
      <c r="T197" s="39"/>
      <c r="U197" s="39"/>
      <c r="V197" s="39"/>
      <c r="W197" s="39"/>
      <c r="X197" s="39"/>
      <c r="Y197" s="39"/>
    </row>
    <row r="198" spans="3:25" ht="11.1" customHeight="1">
      <c r="C198" s="39"/>
      <c r="E198" s="36"/>
      <c r="G198" s="76"/>
      <c r="H198" s="76"/>
      <c r="I198" s="76"/>
      <c r="J198" s="76"/>
      <c r="K198" s="76"/>
      <c r="L198" s="37"/>
      <c r="M198" s="37"/>
      <c r="N198" s="38"/>
      <c r="O198" s="38"/>
      <c r="P198" s="38"/>
      <c r="Q198" s="39"/>
      <c r="R198" s="39"/>
      <c r="T198" s="39"/>
      <c r="U198" s="39"/>
      <c r="V198" s="39"/>
      <c r="W198" s="39"/>
      <c r="X198" s="39"/>
      <c r="Y198" s="39"/>
    </row>
    <row r="199" spans="3:25" ht="11.1" customHeight="1">
      <c r="C199" s="39"/>
      <c r="E199" s="36"/>
      <c r="G199" s="76"/>
      <c r="H199" s="76"/>
      <c r="I199" s="76"/>
      <c r="J199" s="76"/>
      <c r="K199" s="76"/>
      <c r="L199" s="37"/>
      <c r="M199" s="37"/>
      <c r="N199" s="38"/>
      <c r="O199" s="38"/>
      <c r="P199" s="38"/>
      <c r="Q199" s="39"/>
      <c r="R199" s="39"/>
      <c r="T199" s="39"/>
      <c r="U199" s="39"/>
      <c r="V199" s="39"/>
      <c r="W199" s="39"/>
      <c r="X199" s="39"/>
      <c r="Y199" s="39"/>
    </row>
    <row r="200" spans="3:25" ht="11.1" customHeight="1">
      <c r="C200" s="39"/>
      <c r="E200" s="36"/>
      <c r="G200" s="76"/>
      <c r="H200" s="76"/>
      <c r="I200" s="76"/>
      <c r="J200" s="76"/>
      <c r="K200" s="76"/>
      <c r="L200" s="37"/>
      <c r="M200" s="37"/>
      <c r="N200" s="38"/>
      <c r="O200" s="38"/>
      <c r="P200" s="38"/>
      <c r="Q200" s="39"/>
      <c r="R200" s="39"/>
      <c r="T200" s="39"/>
      <c r="U200" s="39"/>
      <c r="V200" s="39"/>
      <c r="W200" s="39"/>
      <c r="X200" s="39"/>
      <c r="Y200" s="39"/>
    </row>
    <row r="201" spans="3:25" ht="11.1" customHeight="1">
      <c r="C201" s="39"/>
      <c r="E201" s="36"/>
      <c r="G201" s="76"/>
      <c r="H201" s="76"/>
      <c r="I201" s="76"/>
      <c r="J201" s="76"/>
      <c r="K201" s="76"/>
      <c r="L201" s="37"/>
      <c r="M201" s="37"/>
      <c r="N201" s="38"/>
      <c r="O201" s="38"/>
      <c r="P201" s="38"/>
      <c r="Q201" s="39"/>
      <c r="R201" s="39"/>
      <c r="T201" s="39"/>
      <c r="U201" s="39"/>
      <c r="V201" s="39"/>
      <c r="W201" s="39"/>
      <c r="X201" s="39"/>
      <c r="Y201" s="39"/>
    </row>
    <row r="202" spans="3:25" ht="11.1" customHeight="1">
      <c r="C202" s="39"/>
      <c r="E202" s="36"/>
      <c r="G202" s="76"/>
      <c r="H202" s="76"/>
      <c r="I202" s="76"/>
      <c r="J202" s="76"/>
      <c r="K202" s="76"/>
      <c r="L202" s="37"/>
      <c r="M202" s="37"/>
      <c r="N202" s="38"/>
      <c r="O202" s="38"/>
      <c r="P202" s="38"/>
      <c r="Q202" s="39"/>
      <c r="R202" s="39"/>
      <c r="T202" s="39"/>
      <c r="U202" s="39"/>
      <c r="V202" s="39"/>
      <c r="W202" s="39"/>
      <c r="X202" s="39"/>
      <c r="Y202" s="39"/>
    </row>
    <row r="203" spans="3:25" ht="11.1" customHeight="1">
      <c r="C203" s="39"/>
      <c r="E203" s="36"/>
      <c r="G203" s="76"/>
      <c r="H203" s="76"/>
      <c r="I203" s="76"/>
      <c r="J203" s="76"/>
      <c r="K203" s="76"/>
      <c r="L203" s="37"/>
      <c r="M203" s="37"/>
      <c r="N203" s="38"/>
      <c r="O203" s="38"/>
      <c r="P203" s="38"/>
      <c r="Q203" s="39"/>
      <c r="R203" s="39"/>
      <c r="T203" s="39"/>
      <c r="U203" s="39"/>
      <c r="V203" s="39"/>
      <c r="W203" s="39"/>
      <c r="X203" s="39"/>
      <c r="Y203" s="39"/>
    </row>
    <row r="204" spans="3:25" ht="11.1" customHeight="1">
      <c r="C204" s="39"/>
      <c r="E204" s="36"/>
      <c r="G204" s="76"/>
      <c r="H204" s="76"/>
      <c r="I204" s="76"/>
      <c r="J204" s="76"/>
      <c r="K204" s="76"/>
      <c r="L204" s="37"/>
      <c r="M204" s="37"/>
      <c r="N204" s="38"/>
      <c r="O204" s="38"/>
      <c r="P204" s="38"/>
      <c r="Q204" s="39"/>
      <c r="R204" s="39"/>
      <c r="T204" s="39"/>
      <c r="U204" s="39"/>
      <c r="V204" s="39"/>
      <c r="W204" s="39"/>
      <c r="X204" s="39"/>
      <c r="Y204" s="39"/>
    </row>
    <row r="205" spans="3:25" ht="11.1" customHeight="1">
      <c r="C205" s="39"/>
      <c r="E205" s="36"/>
      <c r="G205" s="76"/>
      <c r="H205" s="76"/>
      <c r="I205" s="76"/>
      <c r="J205" s="76"/>
      <c r="K205" s="76"/>
      <c r="L205" s="37"/>
      <c r="M205" s="37"/>
      <c r="N205" s="38"/>
      <c r="O205" s="38"/>
      <c r="P205" s="38"/>
      <c r="Q205" s="39"/>
      <c r="R205" s="39"/>
      <c r="T205" s="39"/>
      <c r="U205" s="39"/>
      <c r="V205" s="39"/>
      <c r="W205" s="39"/>
      <c r="X205" s="39"/>
      <c r="Y205" s="39"/>
    </row>
    <row r="206" spans="3:25" ht="11.1" customHeight="1">
      <c r="C206" s="39"/>
      <c r="E206" s="36"/>
      <c r="G206" s="76"/>
      <c r="H206" s="76"/>
      <c r="I206" s="76"/>
      <c r="J206" s="76"/>
      <c r="K206" s="76"/>
      <c r="L206" s="37"/>
      <c r="M206" s="37"/>
      <c r="N206" s="38"/>
      <c r="O206" s="38"/>
      <c r="P206" s="38"/>
      <c r="Q206" s="39"/>
      <c r="R206" s="39"/>
      <c r="T206" s="39"/>
      <c r="U206" s="39"/>
      <c r="V206" s="39"/>
      <c r="W206" s="39"/>
      <c r="X206" s="39"/>
      <c r="Y206" s="39"/>
    </row>
    <row r="207" spans="3:25" ht="11.1" customHeight="1">
      <c r="C207" s="39"/>
      <c r="E207" s="36"/>
      <c r="G207" s="76"/>
      <c r="H207" s="76"/>
      <c r="I207" s="76"/>
      <c r="J207" s="76"/>
      <c r="K207" s="76"/>
      <c r="L207" s="37"/>
      <c r="M207" s="37"/>
      <c r="N207" s="38"/>
      <c r="O207" s="38"/>
      <c r="P207" s="38"/>
      <c r="Q207" s="39"/>
      <c r="R207" s="39"/>
      <c r="T207" s="39"/>
      <c r="U207" s="39"/>
      <c r="V207" s="39"/>
      <c r="W207" s="39"/>
      <c r="X207" s="39"/>
      <c r="Y207" s="39"/>
    </row>
    <row r="208" spans="3:25" ht="11.1" customHeight="1">
      <c r="C208" s="39"/>
      <c r="E208" s="36"/>
      <c r="G208" s="76"/>
      <c r="H208" s="76"/>
      <c r="I208" s="76"/>
      <c r="J208" s="76"/>
      <c r="K208" s="76"/>
      <c r="L208" s="37"/>
      <c r="M208" s="37"/>
      <c r="N208" s="38"/>
      <c r="O208" s="38"/>
      <c r="P208" s="38"/>
      <c r="Q208" s="39"/>
      <c r="R208" s="39"/>
      <c r="T208" s="39"/>
      <c r="U208" s="39"/>
      <c r="V208" s="39"/>
      <c r="W208" s="39"/>
      <c r="X208" s="39"/>
      <c r="Y208" s="39"/>
    </row>
    <row r="209" spans="3:25" ht="11.1" customHeight="1">
      <c r="C209" s="39"/>
      <c r="E209" s="36"/>
      <c r="G209" s="76"/>
      <c r="H209" s="76"/>
      <c r="I209" s="76"/>
      <c r="J209" s="76"/>
      <c r="K209" s="76"/>
      <c r="L209" s="37"/>
      <c r="M209" s="37"/>
      <c r="N209" s="38"/>
      <c r="O209" s="38"/>
      <c r="P209" s="38"/>
      <c r="Q209" s="39"/>
      <c r="R209" s="39"/>
      <c r="T209" s="39"/>
      <c r="U209" s="39"/>
      <c r="V209" s="39"/>
      <c r="W209" s="39"/>
      <c r="X209" s="39"/>
      <c r="Y209" s="39"/>
    </row>
    <row r="210" spans="3:25" ht="11.1" customHeight="1">
      <c r="C210" s="39"/>
      <c r="E210" s="36"/>
      <c r="G210" s="76"/>
      <c r="H210" s="76"/>
      <c r="I210" s="76"/>
      <c r="J210" s="76"/>
      <c r="K210" s="76"/>
      <c r="L210" s="37"/>
      <c r="M210" s="37"/>
      <c r="N210" s="38"/>
      <c r="O210" s="38"/>
      <c r="P210" s="38"/>
      <c r="Q210" s="39"/>
      <c r="R210" s="39"/>
      <c r="T210" s="39"/>
      <c r="U210" s="39"/>
      <c r="V210" s="39"/>
      <c r="W210" s="39"/>
      <c r="X210" s="39"/>
      <c r="Y210" s="39"/>
    </row>
    <row r="211" spans="3:25" ht="11.1" customHeight="1">
      <c r="C211" s="39"/>
      <c r="E211" s="36"/>
      <c r="G211" s="76"/>
      <c r="H211" s="76"/>
      <c r="I211" s="76"/>
      <c r="J211" s="76"/>
      <c r="K211" s="76"/>
      <c r="L211" s="37"/>
      <c r="M211" s="37"/>
      <c r="N211" s="38"/>
      <c r="O211" s="38"/>
      <c r="P211" s="38"/>
      <c r="Q211" s="39"/>
      <c r="R211" s="39"/>
      <c r="T211" s="39"/>
      <c r="U211" s="39"/>
      <c r="V211" s="39"/>
      <c r="W211" s="39"/>
      <c r="X211" s="39"/>
      <c r="Y211" s="39"/>
    </row>
    <row r="212" spans="3:25" ht="11.1" customHeight="1">
      <c r="C212" s="39"/>
      <c r="E212" s="36"/>
      <c r="G212" s="76"/>
      <c r="H212" s="76"/>
      <c r="I212" s="76"/>
      <c r="J212" s="76"/>
      <c r="K212" s="76"/>
      <c r="L212" s="37"/>
      <c r="M212" s="37"/>
      <c r="N212" s="38"/>
      <c r="O212" s="38"/>
      <c r="P212" s="38"/>
      <c r="Q212" s="39"/>
      <c r="R212" s="39"/>
      <c r="T212" s="39"/>
      <c r="U212" s="39"/>
      <c r="V212" s="39"/>
      <c r="W212" s="39"/>
      <c r="X212" s="39"/>
      <c r="Y212" s="39"/>
    </row>
    <row r="213" spans="3:25" ht="11.1" customHeight="1">
      <c r="C213" s="39"/>
      <c r="E213" s="36"/>
      <c r="G213" s="76"/>
      <c r="H213" s="76"/>
      <c r="I213" s="76"/>
      <c r="J213" s="76"/>
      <c r="K213" s="76"/>
      <c r="L213" s="37"/>
      <c r="M213" s="37"/>
      <c r="N213" s="38"/>
      <c r="O213" s="38"/>
      <c r="P213" s="38"/>
      <c r="Q213" s="39"/>
      <c r="R213" s="39"/>
      <c r="T213" s="39"/>
      <c r="U213" s="39"/>
      <c r="V213" s="39"/>
      <c r="W213" s="39"/>
      <c r="X213" s="39"/>
      <c r="Y213" s="39"/>
    </row>
    <row r="214" spans="3:25" ht="11.1" customHeight="1">
      <c r="C214" s="39"/>
      <c r="E214" s="36"/>
      <c r="G214" s="76"/>
      <c r="H214" s="76"/>
      <c r="I214" s="76"/>
      <c r="J214" s="76"/>
      <c r="K214" s="76"/>
      <c r="L214" s="37"/>
      <c r="M214" s="37"/>
      <c r="N214" s="38"/>
      <c r="O214" s="38"/>
      <c r="P214" s="38"/>
      <c r="Q214" s="39"/>
      <c r="R214" s="39"/>
      <c r="T214" s="39"/>
      <c r="U214" s="39"/>
      <c r="V214" s="39"/>
      <c r="W214" s="39"/>
      <c r="X214" s="39"/>
      <c r="Y214" s="39"/>
    </row>
    <row r="215" spans="3:25" ht="11.1" customHeight="1">
      <c r="C215" s="39"/>
      <c r="E215" s="36"/>
      <c r="G215" s="76"/>
      <c r="H215" s="76"/>
      <c r="I215" s="76"/>
      <c r="J215" s="76"/>
      <c r="K215" s="76"/>
      <c r="L215" s="37"/>
      <c r="M215" s="37"/>
      <c r="N215" s="38"/>
      <c r="O215" s="38"/>
      <c r="P215" s="38"/>
      <c r="Q215" s="39"/>
      <c r="R215" s="39"/>
      <c r="T215" s="39"/>
      <c r="U215" s="39"/>
      <c r="V215" s="39"/>
      <c r="W215" s="39"/>
      <c r="X215" s="39"/>
      <c r="Y215" s="39"/>
    </row>
    <row r="216" spans="3:25" ht="11.1" customHeight="1">
      <c r="C216" s="39"/>
      <c r="E216" s="36"/>
      <c r="G216" s="76"/>
      <c r="H216" s="76"/>
      <c r="I216" s="76"/>
      <c r="J216" s="76"/>
      <c r="K216" s="76"/>
      <c r="L216" s="37"/>
      <c r="M216" s="37"/>
      <c r="N216" s="38"/>
      <c r="O216" s="38"/>
      <c r="P216" s="38"/>
      <c r="Q216" s="39"/>
      <c r="R216" s="39"/>
      <c r="T216" s="39"/>
      <c r="U216" s="39"/>
      <c r="V216" s="39"/>
      <c r="W216" s="39"/>
      <c r="X216" s="39"/>
      <c r="Y216" s="39"/>
    </row>
    <row r="217" spans="3:25" ht="11.1" customHeight="1">
      <c r="C217" s="39"/>
      <c r="E217" s="36"/>
      <c r="G217" s="76"/>
      <c r="H217" s="76"/>
      <c r="I217" s="76"/>
      <c r="J217" s="76"/>
      <c r="K217" s="76"/>
      <c r="L217" s="37"/>
      <c r="M217" s="37"/>
      <c r="N217" s="38"/>
      <c r="O217" s="38"/>
      <c r="P217" s="38"/>
      <c r="Q217" s="39"/>
      <c r="R217" s="39"/>
      <c r="T217" s="39"/>
      <c r="U217" s="39"/>
      <c r="V217" s="39"/>
      <c r="W217" s="39"/>
      <c r="X217" s="39"/>
      <c r="Y217" s="39"/>
    </row>
    <row r="218" spans="3:25" ht="11.1" customHeight="1">
      <c r="C218" s="39"/>
      <c r="E218" s="36"/>
      <c r="G218" s="76"/>
      <c r="H218" s="76"/>
      <c r="I218" s="76"/>
      <c r="J218" s="76"/>
      <c r="K218" s="76"/>
      <c r="L218" s="37"/>
      <c r="M218" s="37"/>
      <c r="N218" s="38"/>
      <c r="O218" s="38"/>
      <c r="P218" s="38"/>
      <c r="Q218" s="39"/>
      <c r="R218" s="39"/>
      <c r="T218" s="39"/>
      <c r="U218" s="39"/>
      <c r="V218" s="39"/>
      <c r="W218" s="39"/>
      <c r="X218" s="39"/>
      <c r="Y218" s="39"/>
    </row>
    <row r="219" spans="3:25" ht="11.1" customHeight="1">
      <c r="C219" s="39"/>
      <c r="E219" s="36"/>
      <c r="G219" s="76"/>
      <c r="H219" s="76"/>
      <c r="I219" s="76"/>
      <c r="J219" s="76"/>
      <c r="K219" s="76"/>
      <c r="L219" s="37"/>
      <c r="M219" s="37"/>
      <c r="N219" s="38"/>
      <c r="O219" s="38"/>
      <c r="P219" s="38"/>
      <c r="Q219" s="39"/>
      <c r="R219" s="39"/>
      <c r="T219" s="39"/>
      <c r="U219" s="39"/>
      <c r="V219" s="39"/>
      <c r="W219" s="39"/>
      <c r="X219" s="39"/>
      <c r="Y219" s="39"/>
    </row>
    <row r="220" spans="3:25" ht="11.1" customHeight="1">
      <c r="C220" s="39"/>
      <c r="E220" s="36"/>
      <c r="G220" s="76"/>
      <c r="H220" s="76"/>
      <c r="I220" s="76"/>
      <c r="J220" s="76"/>
      <c r="K220" s="76"/>
      <c r="L220" s="37"/>
      <c r="M220" s="37"/>
      <c r="N220" s="38"/>
      <c r="O220" s="38"/>
      <c r="P220" s="38"/>
      <c r="Q220" s="39"/>
      <c r="R220" s="39"/>
      <c r="T220" s="39"/>
      <c r="U220" s="39"/>
      <c r="V220" s="39"/>
      <c r="W220" s="39"/>
      <c r="X220" s="39"/>
      <c r="Y220" s="39"/>
    </row>
    <row r="221" spans="3:25" ht="11.1" customHeight="1">
      <c r="C221" s="39"/>
      <c r="E221" s="36"/>
      <c r="G221" s="76"/>
      <c r="H221" s="76"/>
      <c r="I221" s="76"/>
      <c r="J221" s="76"/>
      <c r="K221" s="76"/>
      <c r="L221" s="37"/>
      <c r="M221" s="37"/>
      <c r="N221" s="38"/>
      <c r="O221" s="38"/>
      <c r="P221" s="38"/>
      <c r="Q221" s="39"/>
      <c r="R221" s="39"/>
      <c r="T221" s="39"/>
      <c r="U221" s="39"/>
      <c r="V221" s="39"/>
      <c r="W221" s="39"/>
      <c r="X221" s="39"/>
      <c r="Y221" s="39"/>
    </row>
    <row r="222" spans="3:25" ht="11.1" customHeight="1">
      <c r="C222" s="39"/>
      <c r="E222" s="36"/>
      <c r="G222" s="76"/>
      <c r="H222" s="76"/>
      <c r="I222" s="76"/>
      <c r="J222" s="76"/>
      <c r="K222" s="76"/>
      <c r="L222" s="37"/>
      <c r="M222" s="37"/>
      <c r="N222" s="38"/>
      <c r="O222" s="38"/>
      <c r="P222" s="38"/>
      <c r="Q222" s="39"/>
      <c r="R222" s="39"/>
      <c r="T222" s="39"/>
      <c r="U222" s="39"/>
      <c r="V222" s="39"/>
      <c r="W222" s="39"/>
      <c r="X222" s="39"/>
      <c r="Y222" s="39"/>
    </row>
    <row r="223" spans="3:25" ht="11.1" customHeight="1">
      <c r="C223" s="39"/>
      <c r="E223" s="36"/>
      <c r="G223" s="76"/>
      <c r="H223" s="76"/>
      <c r="I223" s="76"/>
      <c r="J223" s="76"/>
      <c r="K223" s="76"/>
      <c r="L223" s="37"/>
      <c r="M223" s="37"/>
      <c r="N223" s="38"/>
      <c r="O223" s="38"/>
      <c r="P223" s="38"/>
      <c r="Q223" s="39"/>
      <c r="R223" s="39"/>
      <c r="T223" s="39"/>
      <c r="U223" s="39"/>
      <c r="V223" s="39"/>
      <c r="W223" s="39"/>
      <c r="X223" s="39"/>
      <c r="Y223" s="39"/>
    </row>
    <row r="224" spans="3:25" ht="11.1" customHeight="1">
      <c r="C224" s="39"/>
      <c r="E224" s="36"/>
      <c r="G224" s="76"/>
      <c r="H224" s="76"/>
      <c r="I224" s="76"/>
      <c r="J224" s="76"/>
      <c r="K224" s="76"/>
      <c r="L224" s="37"/>
      <c r="M224" s="37"/>
      <c r="N224" s="38"/>
      <c r="O224" s="38"/>
      <c r="P224" s="38"/>
      <c r="Q224" s="39"/>
      <c r="R224" s="39"/>
      <c r="T224" s="39"/>
      <c r="U224" s="39"/>
      <c r="V224" s="39"/>
      <c r="W224" s="39"/>
      <c r="X224" s="39"/>
      <c r="Y224" s="39"/>
    </row>
    <row r="225" spans="3:25" ht="11.1" customHeight="1">
      <c r="C225" s="39"/>
      <c r="E225" s="36"/>
      <c r="G225" s="76"/>
      <c r="H225" s="76"/>
      <c r="I225" s="76"/>
      <c r="J225" s="76"/>
      <c r="K225" s="76"/>
      <c r="L225" s="37"/>
      <c r="M225" s="37"/>
      <c r="N225" s="38"/>
      <c r="O225" s="38"/>
      <c r="P225" s="38"/>
      <c r="Q225" s="39"/>
      <c r="R225" s="39"/>
      <c r="T225" s="39"/>
      <c r="U225" s="39"/>
      <c r="V225" s="39"/>
      <c r="W225" s="39"/>
      <c r="X225" s="39"/>
      <c r="Y225" s="39"/>
    </row>
    <row r="226" spans="3:25" ht="11.1" customHeight="1">
      <c r="C226" s="39"/>
      <c r="E226" s="36"/>
      <c r="G226" s="76"/>
      <c r="H226" s="76"/>
      <c r="I226" s="76"/>
      <c r="J226" s="76"/>
      <c r="K226" s="76"/>
      <c r="L226" s="37"/>
      <c r="M226" s="37"/>
      <c r="N226" s="38"/>
      <c r="O226" s="38"/>
      <c r="P226" s="38"/>
      <c r="Q226" s="39"/>
      <c r="R226" s="39"/>
      <c r="T226" s="39"/>
      <c r="U226" s="39"/>
      <c r="V226" s="39"/>
      <c r="W226" s="39"/>
      <c r="X226" s="39"/>
      <c r="Y226" s="39"/>
    </row>
    <row r="227" spans="3:25" ht="11.1" customHeight="1">
      <c r="C227" s="39"/>
      <c r="E227" s="36"/>
      <c r="G227" s="76"/>
      <c r="H227" s="76"/>
      <c r="I227" s="76"/>
      <c r="J227" s="76"/>
      <c r="K227" s="76"/>
      <c r="L227" s="37"/>
      <c r="M227" s="37"/>
      <c r="N227" s="38"/>
      <c r="O227" s="38"/>
      <c r="P227" s="38"/>
      <c r="Q227" s="39"/>
      <c r="R227" s="39"/>
      <c r="T227" s="39"/>
      <c r="U227" s="39"/>
      <c r="V227" s="39"/>
      <c r="W227" s="39"/>
      <c r="X227" s="39"/>
      <c r="Y227" s="39"/>
    </row>
    <row r="228" spans="3:25" ht="11.1" customHeight="1">
      <c r="C228" s="39"/>
      <c r="E228" s="36"/>
      <c r="G228" s="76"/>
      <c r="H228" s="76"/>
      <c r="I228" s="76"/>
      <c r="J228" s="76"/>
      <c r="K228" s="76"/>
      <c r="L228" s="37"/>
      <c r="M228" s="37"/>
      <c r="N228" s="38"/>
      <c r="O228" s="38"/>
      <c r="P228" s="38"/>
      <c r="Q228" s="39"/>
      <c r="R228" s="39"/>
      <c r="T228" s="39"/>
      <c r="U228" s="39"/>
      <c r="V228" s="39"/>
      <c r="W228" s="39"/>
      <c r="X228" s="39"/>
      <c r="Y228" s="39"/>
    </row>
    <row r="229" spans="3:25" ht="11.1" customHeight="1">
      <c r="C229" s="39"/>
      <c r="E229" s="36"/>
      <c r="G229" s="76"/>
      <c r="H229" s="76"/>
      <c r="I229" s="76"/>
      <c r="J229" s="76"/>
      <c r="K229" s="76"/>
      <c r="L229" s="37"/>
      <c r="M229" s="37"/>
      <c r="N229" s="38"/>
      <c r="O229" s="38"/>
      <c r="P229" s="38"/>
      <c r="Q229" s="39"/>
      <c r="R229" s="39"/>
      <c r="T229" s="39"/>
      <c r="U229" s="39"/>
      <c r="V229" s="39"/>
      <c r="W229" s="39"/>
      <c r="X229" s="39"/>
      <c r="Y229" s="39"/>
    </row>
    <row r="230" spans="3:25" ht="11.1" customHeight="1">
      <c r="C230" s="39"/>
      <c r="E230" s="36"/>
      <c r="G230" s="76"/>
      <c r="H230" s="76"/>
      <c r="I230" s="76"/>
      <c r="J230" s="76"/>
      <c r="K230" s="76"/>
      <c r="L230" s="37"/>
      <c r="M230" s="37"/>
      <c r="N230" s="38"/>
      <c r="O230" s="38"/>
      <c r="P230" s="38"/>
      <c r="Q230" s="39"/>
      <c r="R230" s="39"/>
      <c r="T230" s="39"/>
      <c r="U230" s="39"/>
      <c r="V230" s="39"/>
      <c r="W230" s="39"/>
      <c r="X230" s="39"/>
      <c r="Y230" s="39"/>
    </row>
    <row r="231" spans="3:25" ht="11.1" customHeight="1">
      <c r="C231" s="39"/>
      <c r="E231" s="36"/>
      <c r="G231" s="76"/>
      <c r="H231" s="76"/>
      <c r="I231" s="76"/>
      <c r="J231" s="76"/>
      <c r="K231" s="76"/>
      <c r="L231" s="37"/>
      <c r="M231" s="37"/>
      <c r="N231" s="38"/>
      <c r="O231" s="38"/>
      <c r="P231" s="38"/>
      <c r="Q231" s="39"/>
      <c r="R231" s="39"/>
      <c r="T231" s="39"/>
      <c r="U231" s="39"/>
      <c r="V231" s="39"/>
      <c r="W231" s="39"/>
      <c r="X231" s="39"/>
      <c r="Y231" s="39"/>
    </row>
    <row r="232" spans="3:25" ht="11.1" customHeight="1">
      <c r="C232" s="39"/>
      <c r="E232" s="36"/>
      <c r="G232" s="76"/>
      <c r="H232" s="76"/>
      <c r="I232" s="76"/>
      <c r="J232" s="76"/>
      <c r="K232" s="76"/>
      <c r="L232" s="37"/>
      <c r="M232" s="37"/>
      <c r="N232" s="38"/>
      <c r="O232" s="38"/>
      <c r="P232" s="38"/>
      <c r="Q232" s="39"/>
      <c r="R232" s="39"/>
      <c r="T232" s="39"/>
      <c r="U232" s="39"/>
      <c r="V232" s="39"/>
      <c r="W232" s="39"/>
      <c r="X232" s="39"/>
      <c r="Y232" s="39"/>
    </row>
    <row r="233" spans="3:25" ht="11.1" customHeight="1">
      <c r="C233" s="39"/>
      <c r="E233" s="36"/>
      <c r="G233" s="76"/>
      <c r="H233" s="76"/>
      <c r="I233" s="76"/>
      <c r="J233" s="76"/>
      <c r="K233" s="76"/>
      <c r="L233" s="37"/>
      <c r="M233" s="37"/>
      <c r="N233" s="38"/>
      <c r="O233" s="38"/>
      <c r="P233" s="38"/>
      <c r="Q233" s="39"/>
      <c r="R233" s="39"/>
      <c r="T233" s="39"/>
      <c r="U233" s="39"/>
      <c r="V233" s="39"/>
      <c r="W233" s="39"/>
      <c r="X233" s="39"/>
      <c r="Y233" s="39"/>
    </row>
    <row r="234" spans="3:25" ht="11.1" customHeight="1">
      <c r="C234" s="39"/>
      <c r="E234" s="36"/>
      <c r="G234" s="76"/>
      <c r="H234" s="76"/>
      <c r="I234" s="76"/>
      <c r="J234" s="76"/>
      <c r="K234" s="76"/>
      <c r="L234" s="37"/>
      <c r="M234" s="37"/>
      <c r="N234" s="38"/>
      <c r="O234" s="38"/>
      <c r="P234" s="38"/>
      <c r="Q234" s="39"/>
      <c r="R234" s="39"/>
      <c r="T234" s="39"/>
      <c r="U234" s="39"/>
      <c r="V234" s="39"/>
      <c r="W234" s="39"/>
      <c r="X234" s="39"/>
      <c r="Y234" s="39"/>
    </row>
    <row r="235" spans="3:25" ht="11.1" customHeight="1">
      <c r="C235" s="39"/>
      <c r="E235" s="36"/>
      <c r="G235" s="76"/>
      <c r="H235" s="76"/>
      <c r="I235" s="76"/>
      <c r="J235" s="76"/>
      <c r="K235" s="76"/>
      <c r="L235" s="37"/>
      <c r="M235" s="37"/>
      <c r="N235" s="38"/>
      <c r="O235" s="38"/>
      <c r="P235" s="38"/>
      <c r="Q235" s="39"/>
      <c r="R235" s="39"/>
      <c r="T235" s="39"/>
      <c r="U235" s="39"/>
      <c r="V235" s="39"/>
      <c r="W235" s="39"/>
      <c r="X235" s="39"/>
      <c r="Y235" s="39"/>
    </row>
    <row r="236" spans="3:25" ht="11.1" customHeight="1">
      <c r="C236" s="39"/>
      <c r="E236" s="36"/>
      <c r="G236" s="76"/>
      <c r="H236" s="76"/>
      <c r="I236" s="76"/>
      <c r="J236" s="76"/>
      <c r="K236" s="76"/>
      <c r="L236" s="37"/>
      <c r="M236" s="37"/>
      <c r="N236" s="38"/>
      <c r="O236" s="38"/>
      <c r="P236" s="38"/>
      <c r="Q236" s="39"/>
      <c r="R236" s="39"/>
      <c r="T236" s="39"/>
      <c r="U236" s="39"/>
      <c r="V236" s="39"/>
      <c r="W236" s="39"/>
      <c r="X236" s="39"/>
      <c r="Y236" s="39"/>
    </row>
    <row r="237" spans="3:25" ht="11.1" customHeight="1">
      <c r="C237" s="39"/>
      <c r="E237" s="36"/>
      <c r="G237" s="76"/>
      <c r="H237" s="76"/>
      <c r="I237" s="76"/>
      <c r="J237" s="76"/>
      <c r="K237" s="76"/>
      <c r="L237" s="37"/>
      <c r="M237" s="37"/>
      <c r="N237" s="38"/>
      <c r="O237" s="38"/>
      <c r="P237" s="38"/>
      <c r="Q237" s="39"/>
      <c r="R237" s="39"/>
      <c r="T237" s="39"/>
      <c r="U237" s="39"/>
      <c r="V237" s="39"/>
      <c r="W237" s="39"/>
      <c r="X237" s="39"/>
      <c r="Y237" s="39"/>
    </row>
    <row r="238" spans="3:25" ht="11.1" customHeight="1">
      <c r="C238" s="39"/>
      <c r="E238" s="36"/>
      <c r="G238" s="76"/>
      <c r="H238" s="76"/>
      <c r="I238" s="76"/>
      <c r="J238" s="76"/>
      <c r="K238" s="76"/>
      <c r="L238" s="37"/>
      <c r="M238" s="37"/>
      <c r="N238" s="38"/>
      <c r="O238" s="38"/>
      <c r="P238" s="38"/>
      <c r="Q238" s="39"/>
      <c r="R238" s="39"/>
      <c r="T238" s="39"/>
      <c r="U238" s="39"/>
      <c r="V238" s="39"/>
      <c r="W238" s="39"/>
      <c r="X238" s="39"/>
      <c r="Y238" s="39"/>
    </row>
    <row r="239" spans="3:25" ht="11.1" customHeight="1">
      <c r="C239" s="39"/>
      <c r="E239" s="36"/>
      <c r="G239" s="76"/>
      <c r="H239" s="76"/>
      <c r="I239" s="76"/>
      <c r="J239" s="76"/>
      <c r="K239" s="76"/>
      <c r="L239" s="37"/>
      <c r="M239" s="37"/>
      <c r="N239" s="38"/>
      <c r="O239" s="38"/>
      <c r="P239" s="38"/>
      <c r="Q239" s="39"/>
      <c r="R239" s="39"/>
      <c r="T239" s="39"/>
      <c r="U239" s="39"/>
      <c r="V239" s="39"/>
      <c r="W239" s="39"/>
      <c r="X239" s="39"/>
      <c r="Y239" s="39"/>
    </row>
    <row r="240" spans="3:25" ht="11.1" customHeight="1">
      <c r="C240" s="39"/>
      <c r="E240" s="36"/>
      <c r="G240" s="76"/>
      <c r="H240" s="76"/>
      <c r="I240" s="76"/>
      <c r="J240" s="76"/>
      <c r="K240" s="76"/>
      <c r="L240" s="37"/>
      <c r="M240" s="37"/>
      <c r="N240" s="38"/>
      <c r="O240" s="38"/>
      <c r="P240" s="38"/>
      <c r="Q240" s="39"/>
      <c r="R240" s="39"/>
      <c r="T240" s="39"/>
      <c r="U240" s="39"/>
      <c r="V240" s="39"/>
      <c r="W240" s="39"/>
      <c r="X240" s="39"/>
      <c r="Y240" s="39"/>
    </row>
    <row r="241" spans="3:25" ht="11.1" customHeight="1">
      <c r="C241" s="39"/>
      <c r="E241" s="36"/>
      <c r="G241" s="76"/>
      <c r="H241" s="76"/>
      <c r="I241" s="76"/>
      <c r="J241" s="76"/>
      <c r="K241" s="76"/>
      <c r="L241" s="37"/>
      <c r="M241" s="37"/>
      <c r="N241" s="38"/>
      <c r="O241" s="38"/>
      <c r="P241" s="38"/>
      <c r="Q241" s="39"/>
      <c r="R241" s="39"/>
      <c r="T241" s="39"/>
      <c r="U241" s="39"/>
      <c r="V241" s="39"/>
      <c r="W241" s="39"/>
      <c r="X241" s="39"/>
      <c r="Y241" s="39"/>
    </row>
    <row r="242" spans="3:25" ht="11.1" customHeight="1">
      <c r="C242" s="39"/>
      <c r="E242" s="36"/>
      <c r="G242" s="76"/>
      <c r="H242" s="76"/>
      <c r="I242" s="76"/>
      <c r="J242" s="76"/>
      <c r="K242" s="76"/>
      <c r="L242" s="37"/>
      <c r="M242" s="37"/>
      <c r="N242" s="38"/>
      <c r="O242" s="38"/>
      <c r="P242" s="38"/>
      <c r="Q242" s="39"/>
      <c r="R242" s="39"/>
      <c r="T242" s="39"/>
      <c r="U242" s="39"/>
      <c r="V242" s="39"/>
      <c r="W242" s="39"/>
      <c r="X242" s="39"/>
      <c r="Y242" s="39"/>
    </row>
    <row r="243" spans="3:25" ht="11.1" customHeight="1">
      <c r="C243" s="39"/>
      <c r="E243" s="36"/>
      <c r="G243" s="76"/>
      <c r="H243" s="76"/>
      <c r="I243" s="76"/>
      <c r="J243" s="76"/>
      <c r="K243" s="76"/>
      <c r="L243" s="37"/>
      <c r="M243" s="37"/>
      <c r="N243" s="38"/>
      <c r="O243" s="38"/>
      <c r="P243" s="38"/>
      <c r="Q243" s="39"/>
      <c r="R243" s="39"/>
      <c r="T243" s="39"/>
      <c r="U243" s="39"/>
      <c r="V243" s="39"/>
      <c r="W243" s="39"/>
      <c r="X243" s="39"/>
      <c r="Y243" s="39"/>
    </row>
    <row r="244" spans="3:25" ht="11.1" customHeight="1">
      <c r="C244" s="39"/>
      <c r="E244" s="36"/>
      <c r="G244" s="76"/>
      <c r="H244" s="76"/>
      <c r="I244" s="76"/>
      <c r="J244" s="76"/>
      <c r="K244" s="76"/>
      <c r="L244" s="37"/>
      <c r="M244" s="37"/>
      <c r="N244" s="38"/>
      <c r="O244" s="38"/>
      <c r="P244" s="38"/>
      <c r="Q244" s="39"/>
      <c r="R244" s="39"/>
      <c r="T244" s="39"/>
      <c r="U244" s="39"/>
      <c r="V244" s="39"/>
      <c r="W244" s="39"/>
      <c r="X244" s="39"/>
      <c r="Y244" s="39"/>
    </row>
    <row r="245" spans="3:25" ht="11.1" customHeight="1">
      <c r="C245" s="39"/>
      <c r="E245" s="36"/>
      <c r="G245" s="76"/>
      <c r="H245" s="76"/>
      <c r="I245" s="76"/>
      <c r="J245" s="76"/>
      <c r="K245" s="76"/>
      <c r="L245" s="37"/>
      <c r="M245" s="37"/>
      <c r="N245" s="38"/>
      <c r="O245" s="38"/>
      <c r="P245" s="38"/>
      <c r="Q245" s="39"/>
      <c r="R245" s="39"/>
      <c r="T245" s="39"/>
      <c r="U245" s="39"/>
      <c r="V245" s="39"/>
      <c r="W245" s="39"/>
      <c r="X245" s="39"/>
      <c r="Y245" s="39"/>
    </row>
    <row r="246" spans="3:25" ht="11.1" customHeight="1">
      <c r="C246" s="39"/>
      <c r="E246" s="36"/>
      <c r="G246" s="76"/>
      <c r="H246" s="76"/>
      <c r="I246" s="76"/>
      <c r="J246" s="76"/>
      <c r="K246" s="76"/>
      <c r="L246" s="37"/>
      <c r="M246" s="37"/>
      <c r="N246" s="38"/>
      <c r="O246" s="38"/>
      <c r="P246" s="38"/>
      <c r="Q246" s="39"/>
      <c r="R246" s="39"/>
      <c r="T246" s="39"/>
      <c r="U246" s="39"/>
      <c r="V246" s="39"/>
      <c r="W246" s="39"/>
      <c r="X246" s="39"/>
      <c r="Y246" s="39"/>
    </row>
    <row r="247" spans="3:25" ht="11.1" customHeight="1">
      <c r="C247" s="39"/>
      <c r="E247" s="36"/>
      <c r="G247" s="76"/>
      <c r="H247" s="76"/>
      <c r="I247" s="76"/>
      <c r="J247" s="76"/>
      <c r="K247" s="76"/>
      <c r="L247" s="37"/>
      <c r="M247" s="37"/>
      <c r="N247" s="38"/>
      <c r="O247" s="38"/>
      <c r="P247" s="38"/>
      <c r="Q247" s="39"/>
      <c r="R247" s="39"/>
      <c r="T247" s="39"/>
      <c r="U247" s="39"/>
      <c r="V247" s="39"/>
      <c r="W247" s="39"/>
      <c r="X247" s="39"/>
      <c r="Y247" s="39"/>
    </row>
    <row r="248" spans="3:25" ht="11.1" customHeight="1">
      <c r="C248" s="39"/>
      <c r="E248" s="36"/>
      <c r="G248" s="76"/>
      <c r="H248" s="76"/>
      <c r="I248" s="76"/>
      <c r="J248" s="76"/>
      <c r="K248" s="76"/>
      <c r="L248" s="37"/>
      <c r="M248" s="37"/>
      <c r="N248" s="38"/>
      <c r="O248" s="38"/>
      <c r="P248" s="38"/>
      <c r="Q248" s="39"/>
      <c r="R248" s="39"/>
      <c r="T248" s="39"/>
      <c r="U248" s="39"/>
      <c r="V248" s="39"/>
      <c r="W248" s="39"/>
      <c r="X248" s="39"/>
      <c r="Y248" s="39"/>
    </row>
    <row r="249" spans="3:25" ht="11.1" customHeight="1">
      <c r="C249" s="39"/>
      <c r="E249" s="36"/>
      <c r="G249" s="76"/>
      <c r="H249" s="76"/>
      <c r="I249" s="76"/>
      <c r="J249" s="76"/>
      <c r="K249" s="76"/>
      <c r="L249" s="37"/>
      <c r="M249" s="37"/>
      <c r="N249" s="38"/>
      <c r="O249" s="38"/>
      <c r="P249" s="38"/>
      <c r="Q249" s="39"/>
      <c r="R249" s="39"/>
      <c r="T249" s="39"/>
      <c r="U249" s="39"/>
      <c r="V249" s="39"/>
      <c r="W249" s="39"/>
      <c r="X249" s="39"/>
      <c r="Y249" s="39"/>
    </row>
    <row r="250" spans="3:25" ht="11.1" customHeight="1">
      <c r="C250" s="39"/>
      <c r="E250" s="36"/>
      <c r="G250" s="76"/>
      <c r="H250" s="76"/>
      <c r="I250" s="76"/>
      <c r="J250" s="76"/>
      <c r="K250" s="76"/>
      <c r="L250" s="37"/>
      <c r="M250" s="37"/>
      <c r="N250" s="38"/>
      <c r="O250" s="38"/>
      <c r="P250" s="38"/>
      <c r="Q250" s="39"/>
      <c r="R250" s="39"/>
      <c r="T250" s="39"/>
      <c r="U250" s="39"/>
      <c r="V250" s="39"/>
      <c r="W250" s="39"/>
      <c r="X250" s="39"/>
      <c r="Y250" s="39"/>
    </row>
    <row r="251" spans="3:25" ht="11.1" customHeight="1">
      <c r="C251" s="39"/>
      <c r="E251" s="36"/>
      <c r="G251" s="76"/>
      <c r="H251" s="76"/>
      <c r="I251" s="76"/>
      <c r="J251" s="76"/>
      <c r="K251" s="76"/>
      <c r="L251" s="37"/>
      <c r="M251" s="37"/>
      <c r="N251" s="38"/>
      <c r="O251" s="38"/>
      <c r="P251" s="38"/>
      <c r="Q251" s="39"/>
      <c r="R251" s="39"/>
      <c r="T251" s="39"/>
      <c r="U251" s="39"/>
      <c r="V251" s="39"/>
      <c r="W251" s="39"/>
      <c r="X251" s="39"/>
      <c r="Y251" s="39"/>
    </row>
    <row r="252" spans="3:25" ht="11.1" customHeight="1">
      <c r="C252" s="39"/>
      <c r="E252" s="36"/>
      <c r="G252" s="76"/>
      <c r="H252" s="76"/>
      <c r="I252" s="76"/>
      <c r="J252" s="76"/>
      <c r="K252" s="76"/>
      <c r="L252" s="37"/>
      <c r="M252" s="37"/>
      <c r="N252" s="38"/>
      <c r="O252" s="38"/>
      <c r="P252" s="38"/>
      <c r="Q252" s="39"/>
      <c r="R252" s="39"/>
      <c r="T252" s="39"/>
      <c r="U252" s="39"/>
      <c r="V252" s="39"/>
      <c r="W252" s="39"/>
      <c r="X252" s="39"/>
      <c r="Y252" s="39"/>
    </row>
    <row r="253" spans="3:25" ht="11.1" customHeight="1">
      <c r="C253" s="39"/>
      <c r="E253" s="36"/>
      <c r="G253" s="76"/>
      <c r="H253" s="76"/>
      <c r="I253" s="76"/>
      <c r="J253" s="76"/>
      <c r="K253" s="76"/>
      <c r="L253" s="37"/>
      <c r="M253" s="37"/>
      <c r="N253" s="38"/>
      <c r="O253" s="38"/>
      <c r="P253" s="38"/>
      <c r="Q253" s="39"/>
      <c r="R253" s="39"/>
      <c r="T253" s="39"/>
      <c r="U253" s="39"/>
      <c r="V253" s="39"/>
      <c r="W253" s="39"/>
      <c r="X253" s="39"/>
      <c r="Y253" s="39"/>
    </row>
    <row r="254" spans="3:25" ht="11.1" customHeight="1">
      <c r="C254" s="39"/>
      <c r="E254" s="36"/>
      <c r="G254" s="76"/>
      <c r="H254" s="76"/>
      <c r="I254" s="76"/>
      <c r="J254" s="76"/>
      <c r="K254" s="76"/>
      <c r="L254" s="37"/>
      <c r="M254" s="37"/>
      <c r="N254" s="38"/>
      <c r="O254" s="38"/>
      <c r="P254" s="38"/>
      <c r="Q254" s="39"/>
      <c r="R254" s="39"/>
      <c r="T254" s="39"/>
      <c r="U254" s="39"/>
      <c r="V254" s="39"/>
      <c r="W254" s="39"/>
      <c r="X254" s="39"/>
      <c r="Y254" s="39"/>
    </row>
    <row r="255" spans="3:25" ht="11.1" customHeight="1">
      <c r="C255" s="39"/>
      <c r="E255" s="36"/>
      <c r="G255" s="76"/>
      <c r="H255" s="76"/>
      <c r="I255" s="76"/>
      <c r="J255" s="76"/>
      <c r="K255" s="76"/>
      <c r="L255" s="37"/>
      <c r="M255" s="37"/>
      <c r="N255" s="38"/>
      <c r="O255" s="38"/>
      <c r="P255" s="38"/>
      <c r="Q255" s="39"/>
      <c r="R255" s="39"/>
      <c r="T255" s="39"/>
      <c r="U255" s="39"/>
      <c r="V255" s="39"/>
      <c r="W255" s="39"/>
      <c r="X255" s="39"/>
      <c r="Y255" s="39"/>
    </row>
    <row r="256" spans="3:25" ht="11.1" customHeight="1">
      <c r="C256" s="39"/>
      <c r="E256" s="36"/>
      <c r="G256" s="76"/>
      <c r="H256" s="76"/>
      <c r="I256" s="76"/>
      <c r="J256" s="76"/>
      <c r="K256" s="76"/>
      <c r="L256" s="37"/>
      <c r="M256" s="37"/>
      <c r="N256" s="38"/>
      <c r="O256" s="38"/>
      <c r="P256" s="38"/>
      <c r="Q256" s="39"/>
      <c r="R256" s="39"/>
      <c r="T256" s="39"/>
      <c r="U256" s="39"/>
      <c r="V256" s="39"/>
      <c r="W256" s="39"/>
      <c r="X256" s="39"/>
      <c r="Y256" s="39"/>
    </row>
    <row r="257" spans="3:25" ht="11.1" customHeight="1">
      <c r="C257" s="39"/>
      <c r="E257" s="36"/>
      <c r="G257" s="76"/>
      <c r="H257" s="76"/>
      <c r="I257" s="76"/>
      <c r="J257" s="76"/>
      <c r="K257" s="76"/>
      <c r="L257" s="37"/>
      <c r="M257" s="37"/>
      <c r="N257" s="38"/>
      <c r="O257" s="38"/>
      <c r="P257" s="38"/>
      <c r="Q257" s="39"/>
      <c r="R257" s="39"/>
      <c r="T257" s="39"/>
      <c r="U257" s="39"/>
      <c r="V257" s="39"/>
      <c r="W257" s="39"/>
      <c r="X257" s="39"/>
      <c r="Y257" s="39"/>
    </row>
    <row r="258" spans="3:25" ht="11.1" customHeight="1">
      <c r="C258" s="39"/>
      <c r="E258" s="36"/>
      <c r="G258" s="76"/>
      <c r="H258" s="76"/>
      <c r="I258" s="76"/>
      <c r="J258" s="76"/>
      <c r="K258" s="76"/>
      <c r="L258" s="37"/>
      <c r="M258" s="37"/>
      <c r="N258" s="38"/>
      <c r="O258" s="38"/>
      <c r="P258" s="38"/>
      <c r="Q258" s="39"/>
      <c r="R258" s="39"/>
      <c r="T258" s="39"/>
      <c r="U258" s="39"/>
      <c r="V258" s="39"/>
      <c r="W258" s="39"/>
      <c r="X258" s="39"/>
      <c r="Y258" s="39"/>
    </row>
    <row r="259" spans="3:25" ht="11.1" customHeight="1">
      <c r="C259" s="39"/>
      <c r="E259" s="36"/>
      <c r="G259" s="76"/>
      <c r="H259" s="76"/>
      <c r="I259" s="76"/>
      <c r="J259" s="76"/>
      <c r="K259" s="76"/>
      <c r="L259" s="37"/>
      <c r="M259" s="37"/>
      <c r="N259" s="38"/>
      <c r="O259" s="38"/>
      <c r="P259" s="38"/>
      <c r="Q259" s="39"/>
      <c r="R259" s="39"/>
      <c r="T259" s="39"/>
      <c r="U259" s="39"/>
      <c r="V259" s="39"/>
      <c r="W259" s="39"/>
      <c r="X259" s="39"/>
      <c r="Y259" s="39"/>
    </row>
    <row r="260" spans="3:25" ht="11.1" customHeight="1">
      <c r="C260" s="39"/>
      <c r="E260" s="36"/>
      <c r="G260" s="76"/>
      <c r="H260" s="76"/>
      <c r="I260" s="76"/>
      <c r="J260" s="76"/>
      <c r="K260" s="76"/>
      <c r="L260" s="37"/>
      <c r="M260" s="37"/>
      <c r="N260" s="38"/>
      <c r="O260" s="38"/>
      <c r="P260" s="38"/>
      <c r="Q260" s="39"/>
      <c r="R260" s="39"/>
      <c r="T260" s="39"/>
      <c r="U260" s="39"/>
      <c r="V260" s="39"/>
      <c r="W260" s="39"/>
      <c r="X260" s="39"/>
      <c r="Y260" s="39"/>
    </row>
    <row r="261" spans="3:25" ht="11.1" customHeight="1">
      <c r="C261" s="39"/>
      <c r="E261" s="36"/>
      <c r="G261" s="76"/>
      <c r="H261" s="76"/>
      <c r="I261" s="76"/>
      <c r="J261" s="76"/>
      <c r="K261" s="76"/>
      <c r="L261" s="37"/>
      <c r="M261" s="37"/>
      <c r="N261" s="38"/>
      <c r="O261" s="38"/>
      <c r="P261" s="38"/>
      <c r="Q261" s="39"/>
      <c r="R261" s="39"/>
      <c r="T261" s="39"/>
      <c r="U261" s="39"/>
      <c r="V261" s="39"/>
      <c r="W261" s="39"/>
      <c r="X261" s="39"/>
      <c r="Y261" s="39"/>
    </row>
    <row r="262" spans="3:25" ht="11.1" customHeight="1">
      <c r="C262" s="39"/>
      <c r="E262" s="36"/>
      <c r="G262" s="76"/>
      <c r="H262" s="76"/>
      <c r="I262" s="76"/>
      <c r="J262" s="76"/>
      <c r="K262" s="76"/>
      <c r="L262" s="37"/>
      <c r="M262" s="37"/>
      <c r="N262" s="38"/>
      <c r="O262" s="38"/>
      <c r="P262" s="38"/>
      <c r="Q262" s="39"/>
      <c r="R262" s="39"/>
      <c r="T262" s="39"/>
      <c r="U262" s="39"/>
      <c r="V262" s="39"/>
      <c r="W262" s="39"/>
      <c r="X262" s="39"/>
      <c r="Y262" s="39"/>
    </row>
    <row r="263" spans="3:25" ht="11.1" customHeight="1">
      <c r="C263" s="39"/>
      <c r="E263" s="36"/>
      <c r="G263" s="76"/>
      <c r="H263" s="76"/>
      <c r="I263" s="76"/>
      <c r="J263" s="76"/>
      <c r="K263" s="76"/>
      <c r="L263" s="37"/>
      <c r="M263" s="37"/>
      <c r="N263" s="38"/>
      <c r="O263" s="38"/>
      <c r="P263" s="38"/>
      <c r="Q263" s="39"/>
      <c r="R263" s="39"/>
      <c r="T263" s="39"/>
      <c r="U263" s="39"/>
      <c r="V263" s="39"/>
      <c r="W263" s="39"/>
      <c r="X263" s="39"/>
      <c r="Y263" s="39"/>
    </row>
  </sheetData>
  <mergeCells count="10">
    <mergeCell ref="Q4:Q6"/>
    <mergeCell ref="S4:S6"/>
    <mergeCell ref="T4:T6"/>
    <mergeCell ref="Y4:Y6"/>
    <mergeCell ref="E4:E6"/>
    <mergeCell ref="F4:F6"/>
    <mergeCell ref="G4:G6"/>
    <mergeCell ref="K4:K6"/>
    <mergeCell ref="L4:L6"/>
    <mergeCell ref="P4:P6"/>
  </mergeCells>
  <printOptions horizontalCentered="1" verticalCentered="1"/>
  <pageMargins left="0.25" right="0.25" top="0.25" bottom="0.25" header="0" footer="0"/>
  <pageSetup scale="70" fitToHeight="2" orientation="landscape" r:id="rId1"/>
  <headerFooter scaleWithDoc="0"/>
  <rowBreaks count="1" manualBreakCount="1">
    <brk id="45"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87"/>
  <sheetViews>
    <sheetView showGridLines="0" zoomScale="70" zoomScaleNormal="70" zoomScaleSheetLayoutView="55" workbookViewId="0"/>
  </sheetViews>
  <sheetFormatPr defaultRowHeight="12.75"/>
  <cols>
    <col min="1" max="1" width="36.5703125" style="470" customWidth="1"/>
    <col min="2" max="16" width="11.28515625" style="470" customWidth="1"/>
    <col min="17" max="17" width="11.28515625" style="719" customWidth="1"/>
    <col min="18" max="18" width="11.28515625" style="470" customWidth="1"/>
    <col min="19" max="21" width="9.140625" style="473"/>
    <col min="22" max="16384" width="9.140625" style="470"/>
  </cols>
  <sheetData>
    <row r="1" spans="1:21" s="472" customFormat="1" ht="15.75">
      <c r="A1" s="656" t="s">
        <v>540</v>
      </c>
      <c r="S1" s="590"/>
      <c r="T1" s="590"/>
      <c r="U1" s="590"/>
    </row>
    <row r="2" spans="1:21" s="472" customFormat="1" ht="15.75">
      <c r="A2" s="338" t="s">
        <v>495</v>
      </c>
      <c r="S2" s="590"/>
      <c r="T2" s="590"/>
      <c r="U2" s="590"/>
    </row>
    <row r="3" spans="1:21" s="472" customFormat="1" ht="15.75">
      <c r="A3" s="338"/>
      <c r="S3" s="590"/>
      <c r="T3" s="590"/>
      <c r="U3" s="590"/>
    </row>
    <row r="4" spans="1:21" s="472" customFormat="1" ht="15.75">
      <c r="A4" s="589" t="s">
        <v>438</v>
      </c>
      <c r="B4" s="587" t="s">
        <v>513</v>
      </c>
      <c r="C4" s="587"/>
      <c r="D4" s="587"/>
      <c r="E4" s="587"/>
      <c r="F4" s="587"/>
      <c r="G4" s="587"/>
      <c r="H4" s="587"/>
      <c r="I4" s="587"/>
      <c r="S4" s="590"/>
      <c r="T4" s="590"/>
      <c r="U4" s="590"/>
    </row>
    <row r="5" spans="1:21" s="472" customFormat="1" ht="15">
      <c r="A5" s="588"/>
      <c r="S5" s="590"/>
      <c r="T5" s="590"/>
      <c r="U5" s="590"/>
    </row>
    <row r="6" spans="1:21" s="472" customFormat="1" ht="15">
      <c r="A6" s="592" t="s">
        <v>505</v>
      </c>
      <c r="S6" s="590"/>
      <c r="T6" s="590"/>
      <c r="U6" s="590"/>
    </row>
    <row r="8" spans="1:21">
      <c r="A8" s="474"/>
      <c r="B8" s="475"/>
      <c r="C8" s="475"/>
      <c r="D8" s="475"/>
      <c r="E8" s="475"/>
      <c r="F8" s="475"/>
      <c r="G8" s="475"/>
      <c r="H8" s="475"/>
      <c r="I8" s="475"/>
      <c r="J8" s="476"/>
      <c r="K8" s="476"/>
      <c r="L8" s="476"/>
      <c r="M8" s="476"/>
      <c r="N8" s="477"/>
      <c r="O8" s="477"/>
      <c r="P8" s="478"/>
      <c r="Q8" s="478"/>
      <c r="R8" s="477"/>
    </row>
    <row r="9" spans="1:21">
      <c r="B9" s="479">
        <f t="shared" ref="B9:H9" si="0">+C9-1</f>
        <v>2000</v>
      </c>
      <c r="C9" s="479">
        <f t="shared" si="0"/>
        <v>2001</v>
      </c>
      <c r="D9" s="479">
        <f t="shared" si="0"/>
        <v>2002</v>
      </c>
      <c r="E9" s="479">
        <f t="shared" si="0"/>
        <v>2003</v>
      </c>
      <c r="F9" s="479">
        <f t="shared" si="0"/>
        <v>2004</v>
      </c>
      <c r="G9" s="479">
        <f t="shared" si="0"/>
        <v>2005</v>
      </c>
      <c r="H9" s="479">
        <f t="shared" si="0"/>
        <v>2006</v>
      </c>
      <c r="I9" s="479">
        <f>+J9-1</f>
        <v>2007</v>
      </c>
      <c r="J9" s="479">
        <v>2008</v>
      </c>
      <c r="K9" s="480">
        <v>2009</v>
      </c>
      <c r="L9" s="480">
        <v>2010</v>
      </c>
      <c r="M9" s="480">
        <v>2011</v>
      </c>
      <c r="N9" s="480">
        <v>2012</v>
      </c>
      <c r="O9" s="480">
        <v>2013</v>
      </c>
      <c r="P9" s="480">
        <v>2014</v>
      </c>
      <c r="Q9" s="480">
        <v>2015</v>
      </c>
      <c r="R9" s="480">
        <v>2016</v>
      </c>
    </row>
    <row r="10" spans="1:21" ht="8.25" customHeight="1">
      <c r="B10" s="481" t="s">
        <v>439</v>
      </c>
      <c r="C10" s="481" t="s">
        <v>439</v>
      </c>
      <c r="D10" s="481" t="s">
        <v>439</v>
      </c>
      <c r="E10" s="481" t="s">
        <v>439</v>
      </c>
      <c r="F10" s="481" t="s">
        <v>439</v>
      </c>
      <c r="G10" s="481" t="s">
        <v>439</v>
      </c>
      <c r="H10" s="481" t="s">
        <v>439</v>
      </c>
      <c r="I10" s="481" t="s">
        <v>439</v>
      </c>
      <c r="J10" s="481" t="s">
        <v>439</v>
      </c>
      <c r="K10" s="481" t="s">
        <v>439</v>
      </c>
      <c r="L10" s="481" t="s">
        <v>439</v>
      </c>
      <c r="M10" s="481" t="s">
        <v>439</v>
      </c>
      <c r="N10" s="481" t="s">
        <v>439</v>
      </c>
      <c r="O10" s="481" t="s">
        <v>439</v>
      </c>
      <c r="P10" s="481" t="s">
        <v>439</v>
      </c>
      <c r="Q10" s="481" t="s">
        <v>439</v>
      </c>
      <c r="R10" s="481" t="s">
        <v>439</v>
      </c>
    </row>
    <row r="11" spans="1:21">
      <c r="A11" s="482" t="s">
        <v>440</v>
      </c>
      <c r="B11" s="97">
        <f>+'Cost Trends'!F19</f>
        <v>78721</v>
      </c>
      <c r="C11" s="97">
        <f>+'Cost Trends'!G19</f>
        <v>47157</v>
      </c>
      <c r="D11" s="97">
        <f>+'Cost Trends'!H19</f>
        <v>101475</v>
      </c>
      <c r="E11" s="97">
        <f>+'Cost Trends'!I19</f>
        <v>132098</v>
      </c>
      <c r="F11" s="97">
        <f>+'Cost Trends'!J19</f>
        <v>101545</v>
      </c>
      <c r="G11" s="97">
        <f>+'Cost Trends'!K19</f>
        <v>105374</v>
      </c>
      <c r="H11" s="97">
        <f>+'Cost Trends'!L19</f>
        <v>104260</v>
      </c>
      <c r="I11" s="97">
        <f>+'Cost Trends'!M19</f>
        <v>102890</v>
      </c>
      <c r="J11" s="97">
        <f>+'Cost Trends'!N19</f>
        <v>117123</v>
      </c>
      <c r="K11" s="97">
        <f>+'Cost Trends'!O19</f>
        <v>87599</v>
      </c>
      <c r="L11" s="97">
        <f>+'Cost Trends'!P19</f>
        <v>147107</v>
      </c>
      <c r="M11" s="97">
        <f>+'Cost Trends'!Q19</f>
        <v>145634</v>
      </c>
      <c r="N11" s="97">
        <f>+'Cost Trends'!R19</f>
        <v>131795</v>
      </c>
      <c r="O11" s="97">
        <f>+'Cost Trends'!S19</f>
        <v>143904</v>
      </c>
      <c r="P11" s="97">
        <f>+'Cost Trends'!T19</f>
        <v>120307</v>
      </c>
      <c r="Q11" s="97">
        <f>+'Cost Trends'!U19</f>
        <v>140485</v>
      </c>
      <c r="R11" s="97">
        <f>+'Cost Trends'!V19</f>
        <v>136385</v>
      </c>
    </row>
    <row r="12" spans="1:21">
      <c r="A12" s="470" t="s">
        <v>441</v>
      </c>
      <c r="B12" s="97">
        <f>+'Cost Trends'!F100+'Cost Trends'!F93</f>
        <v>-53596.259099999996</v>
      </c>
      <c r="C12" s="97">
        <f>+'Cost Trends'!G100+'Cost Trends'!G93</f>
        <v>-24026</v>
      </c>
      <c r="D12" s="97">
        <f>+'Cost Trends'!H100+'Cost Trends'!H93</f>
        <v>-73610</v>
      </c>
      <c r="E12" s="97">
        <f>+'Cost Trends'!I100+'Cost Trends'!I93</f>
        <v>-107691</v>
      </c>
      <c r="F12" s="97">
        <f>+'Cost Trends'!J100+'Cost Trends'!J93</f>
        <v>-71757</v>
      </c>
      <c r="G12" s="97">
        <f>+'Cost Trends'!K100+'Cost Trends'!K93</f>
        <v>-78074.121699999989</v>
      </c>
      <c r="H12" s="97">
        <f>+'Cost Trends'!L100+'Cost Trends'!L93</f>
        <v>-72978</v>
      </c>
      <c r="I12" s="97">
        <f>+'Cost Trends'!M100+'Cost Trends'!M93</f>
        <v>-70079</v>
      </c>
      <c r="J12" s="97">
        <f>+'Cost Trends'!N100+'Cost Trends'!N93</f>
        <v>-80476</v>
      </c>
      <c r="K12" s="97">
        <f>+'Cost Trends'!O100+'Cost Trends'!O93</f>
        <v>-46101.086500000005</v>
      </c>
      <c r="L12" s="97">
        <f>+'Cost Trends'!P100+'Cost Trends'!P93</f>
        <v>-107171.62319999994</v>
      </c>
      <c r="M12" s="97">
        <f>+'Cost Trends'!Q100+'Cost Trends'!Q93</f>
        <v>-97441.396399999969</v>
      </c>
      <c r="N12" s="97">
        <f>+'Cost Trends'!R100+'Cost Trends'!R93</f>
        <v>-79550.766300000018</v>
      </c>
      <c r="O12" s="97">
        <f>+'Cost Trends'!S100+'Cost Trends'!S93</f>
        <v>-92437</v>
      </c>
      <c r="P12" s="97">
        <f>+'Cost Trends'!T100+'Cost Trends'!T93</f>
        <v>-69474</v>
      </c>
      <c r="Q12" s="97">
        <f>+'Cost Trends'!U100+'Cost Trends'!U93</f>
        <v>-89988</v>
      </c>
      <c r="R12" s="97">
        <f>+'Cost Trends'!V100+'Cost Trends'!V93</f>
        <v>-81468</v>
      </c>
    </row>
    <row r="13" spans="1:21" ht="8.25" customHeight="1">
      <c r="B13" s="481" t="s">
        <v>439</v>
      </c>
      <c r="C13" s="481" t="s">
        <v>439</v>
      </c>
      <c r="D13" s="481" t="s">
        <v>439</v>
      </c>
      <c r="E13" s="481" t="s">
        <v>439</v>
      </c>
      <c r="F13" s="481" t="s">
        <v>439</v>
      </c>
      <c r="G13" s="481" t="s">
        <v>439</v>
      </c>
      <c r="H13" s="481" t="s">
        <v>439</v>
      </c>
      <c r="I13" s="481" t="s">
        <v>439</v>
      </c>
      <c r="J13" s="481" t="s">
        <v>439</v>
      </c>
      <c r="K13" s="481" t="s">
        <v>439</v>
      </c>
      <c r="L13" s="481" t="s">
        <v>439</v>
      </c>
      <c r="M13" s="481" t="s">
        <v>439</v>
      </c>
      <c r="N13" s="481" t="s">
        <v>439</v>
      </c>
      <c r="O13" s="481" t="s">
        <v>439</v>
      </c>
      <c r="P13" s="481" t="s">
        <v>439</v>
      </c>
      <c r="Q13" s="481" t="s">
        <v>439</v>
      </c>
      <c r="R13" s="481" t="s">
        <v>439</v>
      </c>
    </row>
    <row r="14" spans="1:21" ht="26.25" customHeight="1">
      <c r="A14" s="483" t="str">
        <f>+"Total "&amp;B4</f>
        <v>Total Production &amp; Transmission O&amp;M Expense</v>
      </c>
      <c r="B14" s="484">
        <f t="shared" ref="B14:P14" si="1">+SUM(B10:B13)</f>
        <v>25124.740900000004</v>
      </c>
      <c r="C14" s="484">
        <f t="shared" si="1"/>
        <v>23131</v>
      </c>
      <c r="D14" s="484">
        <f t="shared" si="1"/>
        <v>27865</v>
      </c>
      <c r="E14" s="484">
        <f t="shared" si="1"/>
        <v>24407</v>
      </c>
      <c r="F14" s="484">
        <f t="shared" si="1"/>
        <v>29788</v>
      </c>
      <c r="G14" s="484">
        <f t="shared" si="1"/>
        <v>27299.878300000011</v>
      </c>
      <c r="H14" s="484">
        <f t="shared" si="1"/>
        <v>31282</v>
      </c>
      <c r="I14" s="484">
        <f t="shared" si="1"/>
        <v>32811</v>
      </c>
      <c r="J14" s="484">
        <f t="shared" si="1"/>
        <v>36647</v>
      </c>
      <c r="K14" s="484">
        <f t="shared" si="1"/>
        <v>41497.913499999995</v>
      </c>
      <c r="L14" s="484">
        <f t="shared" si="1"/>
        <v>39935.376800000056</v>
      </c>
      <c r="M14" s="484">
        <f t="shared" si="1"/>
        <v>48192.603600000031</v>
      </c>
      <c r="N14" s="484">
        <f t="shared" si="1"/>
        <v>52244.233699999982</v>
      </c>
      <c r="O14" s="484">
        <f t="shared" si="1"/>
        <v>51467</v>
      </c>
      <c r="P14" s="484">
        <f t="shared" si="1"/>
        <v>50833</v>
      </c>
      <c r="Q14" s="484">
        <f t="shared" ref="Q14:R14" si="2">+SUM(Q10:Q13)</f>
        <v>50497</v>
      </c>
      <c r="R14" s="484">
        <f t="shared" si="2"/>
        <v>54917</v>
      </c>
    </row>
    <row r="15" spans="1:21">
      <c r="P15" s="327"/>
      <c r="Q15" s="327"/>
    </row>
    <row r="16" spans="1:21">
      <c r="P16" s="327"/>
      <c r="Q16" s="327"/>
    </row>
    <row r="17" spans="1:20">
      <c r="A17" s="485" t="s">
        <v>442</v>
      </c>
      <c r="B17" s="486"/>
      <c r="C17" s="487"/>
      <c r="D17" s="485" t="s">
        <v>504</v>
      </c>
      <c r="E17" s="485"/>
      <c r="F17" s="486"/>
      <c r="G17" s="486"/>
      <c r="H17" s="486"/>
      <c r="I17" s="486"/>
      <c r="J17" s="486"/>
      <c r="K17" s="486"/>
      <c r="L17" s="486"/>
      <c r="M17" s="486"/>
      <c r="N17" s="486"/>
      <c r="O17" s="486"/>
      <c r="P17" s="488"/>
      <c r="Q17" s="488"/>
      <c r="R17" s="486"/>
    </row>
    <row r="18" spans="1:20" ht="19.5" customHeight="1">
      <c r="A18" s="473"/>
      <c r="B18" s="489"/>
      <c r="C18" s="489"/>
      <c r="D18" s="489"/>
      <c r="E18" s="489"/>
      <c r="F18" s="489"/>
      <c r="G18" s="489"/>
      <c r="H18" s="489"/>
      <c r="I18" s="489"/>
    </row>
    <row r="19" spans="1:20" ht="19.5" customHeight="1">
      <c r="A19" s="470" t="s">
        <v>502</v>
      </c>
      <c r="B19" s="490">
        <f ca="1">+LINEST(
OFFSET($B$75,0,0,1,SUM($B$69:$R$69)),
OFFSET($B$74,0,0,1,SUM($B$69:$R$69)),
,
1)</f>
        <v>792.75088285714003</v>
      </c>
      <c r="C19" s="489"/>
      <c r="D19" s="489"/>
      <c r="E19" s="489"/>
      <c r="F19" s="489"/>
      <c r="G19" s="489"/>
      <c r="H19" s="489"/>
      <c r="I19" s="489"/>
    </row>
    <row r="20" spans="1:20" ht="19.5" customHeight="1">
      <c r="A20" s="473" t="s">
        <v>503</v>
      </c>
      <c r="B20" s="489">
        <f ca="1">RSQ(
OFFSET($B$75,0,0,1,SUM($B$69:$R$69)),
OFFSET($B$74,0,0,1,SUM($B$69:$R$69))
)</f>
        <v>0.44888742050760194</v>
      </c>
      <c r="C20" s="490"/>
      <c r="D20" s="490"/>
      <c r="E20" s="490"/>
      <c r="F20" s="490"/>
      <c r="G20" s="490"/>
      <c r="H20" s="490"/>
      <c r="I20" s="490"/>
    </row>
    <row r="21" spans="1:20" ht="19.5" customHeight="1">
      <c r="A21" s="470" t="s">
        <v>443</v>
      </c>
      <c r="B21" s="491">
        <f ca="1">+B19/R14</f>
        <v>1.4435436802031066E-2</v>
      </c>
      <c r="C21" s="489"/>
      <c r="D21" s="489"/>
      <c r="E21" s="489"/>
      <c r="F21" s="489"/>
      <c r="G21" s="489"/>
      <c r="H21" s="489"/>
      <c r="I21" s="489"/>
    </row>
    <row r="22" spans="1:20" ht="19.5" customHeight="1">
      <c r="A22" s="327" t="str">
        <f>+'2) ROR'!$D$19&amp;"-year Growth Rate"</f>
        <v>1-year Growth Rate</v>
      </c>
      <c r="B22" s="530">
        <f ca="1">ROUND(B21*'2) ROR'!$D$19,4)</f>
        <v>1.44E-2</v>
      </c>
      <c r="C22" s="491"/>
      <c r="D22" s="491"/>
      <c r="E22" s="491"/>
      <c r="F22" s="491"/>
      <c r="G22" s="491"/>
      <c r="H22" s="491"/>
      <c r="I22" s="491"/>
    </row>
    <row r="23" spans="1:20" ht="19.5" customHeight="1">
      <c r="C23" s="492"/>
      <c r="D23" s="492"/>
      <c r="E23" s="492"/>
      <c r="F23" s="492"/>
      <c r="G23" s="492"/>
      <c r="H23" s="492"/>
      <c r="I23" s="492"/>
      <c r="L23" s="362"/>
    </row>
    <row r="25" spans="1:20">
      <c r="S25" s="493"/>
      <c r="T25" s="493"/>
    </row>
    <row r="26" spans="1:20">
      <c r="S26" s="494"/>
      <c r="T26" s="494"/>
    </row>
    <row r="27" spans="1:20">
      <c r="S27" s="494"/>
      <c r="T27" s="494"/>
    </row>
    <row r="28" spans="1:20">
      <c r="S28" s="494"/>
      <c r="T28" s="494"/>
    </row>
    <row r="29" spans="1:20">
      <c r="S29" s="494"/>
      <c r="T29" s="494"/>
    </row>
    <row r="30" spans="1:20">
      <c r="S30" s="494"/>
      <c r="T30" s="494"/>
    </row>
    <row r="33" spans="19:21">
      <c r="S33" s="495"/>
      <c r="T33" s="495"/>
      <c r="U33" s="495"/>
    </row>
    <row r="34" spans="19:21">
      <c r="S34" s="494"/>
      <c r="T34" s="494"/>
      <c r="U34" s="494"/>
    </row>
    <row r="35" spans="19:21">
      <c r="S35" s="494"/>
      <c r="T35" s="494"/>
      <c r="U35" s="494"/>
    </row>
    <row r="36" spans="19:21">
      <c r="S36" s="494"/>
      <c r="T36" s="494"/>
      <c r="U36" s="494"/>
    </row>
    <row r="37" spans="19:21">
      <c r="S37" s="494"/>
      <c r="T37" s="494"/>
      <c r="U37" s="494"/>
    </row>
    <row r="38" spans="19:21">
      <c r="S38" s="494"/>
      <c r="T38" s="494"/>
      <c r="U38" s="494"/>
    </row>
    <row r="39" spans="19:21">
      <c r="S39" s="494"/>
      <c r="T39" s="494"/>
      <c r="U39" s="494"/>
    </row>
    <row r="40" spans="19:21">
      <c r="S40" s="494"/>
      <c r="T40" s="494"/>
      <c r="U40" s="494"/>
    </row>
    <row r="41" spans="19:21">
      <c r="S41" s="494"/>
      <c r="T41" s="494"/>
      <c r="U41" s="494"/>
    </row>
    <row r="42" spans="19:21">
      <c r="S42" s="494"/>
      <c r="T42" s="494"/>
      <c r="U42" s="494"/>
    </row>
    <row r="43" spans="19:21">
      <c r="S43" s="494"/>
      <c r="T43" s="494"/>
      <c r="U43" s="494"/>
    </row>
    <row r="44" spans="19:21">
      <c r="S44" s="494"/>
      <c r="T44" s="494"/>
      <c r="U44" s="494"/>
    </row>
    <row r="45" spans="19:21">
      <c r="S45" s="494"/>
      <c r="T45" s="494"/>
      <c r="U45" s="494"/>
    </row>
    <row r="46" spans="19:21">
      <c r="S46" s="494"/>
      <c r="T46" s="494"/>
      <c r="U46" s="494"/>
    </row>
    <row r="47" spans="19:21">
      <c r="S47" s="494"/>
      <c r="T47" s="494"/>
      <c r="U47" s="494"/>
    </row>
    <row r="48" spans="19:21">
      <c r="S48" s="494"/>
      <c r="T48" s="494"/>
      <c r="U48" s="494"/>
    </row>
    <row r="49" spans="19:21">
      <c r="S49" s="494"/>
      <c r="T49" s="494"/>
      <c r="U49" s="494"/>
    </row>
    <row r="50" spans="19:21">
      <c r="S50" s="494"/>
      <c r="T50" s="494"/>
      <c r="U50" s="494"/>
    </row>
    <row r="51" spans="19:21">
      <c r="S51" s="494"/>
      <c r="T51" s="494"/>
      <c r="U51" s="494"/>
    </row>
    <row r="52" spans="19:21">
      <c r="S52" s="494"/>
      <c r="T52" s="494"/>
      <c r="U52" s="494"/>
    </row>
    <row r="53" spans="19:21">
      <c r="S53" s="494"/>
      <c r="T53" s="494"/>
      <c r="U53" s="494"/>
    </row>
    <row r="54" spans="19:21">
      <c r="S54" s="494"/>
      <c r="T54" s="494"/>
      <c r="U54" s="494"/>
    </row>
    <row r="55" spans="19:21">
      <c r="S55" s="494"/>
      <c r="T55" s="494"/>
      <c r="U55" s="494"/>
    </row>
    <row r="56" spans="19:21">
      <c r="S56" s="494"/>
      <c r="T56" s="494"/>
      <c r="U56" s="494"/>
    </row>
    <row r="58" spans="19:21">
      <c r="S58" s="495"/>
      <c r="T58" s="495"/>
      <c r="U58" s="495"/>
    </row>
    <row r="59" spans="19:21">
      <c r="S59" s="494"/>
      <c r="T59" s="494"/>
      <c r="U59" s="494"/>
    </row>
    <row r="60" spans="19:21">
      <c r="S60" s="494"/>
      <c r="T60" s="494"/>
      <c r="U60" s="494"/>
    </row>
    <row r="66" spans="1:21">
      <c r="S66" s="495"/>
      <c r="T66" s="495"/>
      <c r="U66" s="495"/>
    </row>
    <row r="67" spans="1:21">
      <c r="A67" s="496" t="s">
        <v>444</v>
      </c>
      <c r="S67" s="494"/>
      <c r="T67" s="494"/>
      <c r="U67" s="494"/>
    </row>
    <row r="68" spans="1:21">
      <c r="A68" s="496" t="s">
        <v>445</v>
      </c>
      <c r="B68" s="496">
        <f t="shared" ref="B68:O68" si="3">+B9</f>
        <v>2000</v>
      </c>
      <c r="C68" s="496">
        <f t="shared" si="3"/>
        <v>2001</v>
      </c>
      <c r="D68" s="496">
        <f t="shared" si="3"/>
        <v>2002</v>
      </c>
      <c r="E68" s="496">
        <f t="shared" si="3"/>
        <v>2003</v>
      </c>
      <c r="F68" s="496">
        <f t="shared" si="3"/>
        <v>2004</v>
      </c>
      <c r="G68" s="496">
        <f t="shared" si="3"/>
        <v>2005</v>
      </c>
      <c r="H68" s="496">
        <f t="shared" si="3"/>
        <v>2006</v>
      </c>
      <c r="I68" s="496">
        <f t="shared" si="3"/>
        <v>2007</v>
      </c>
      <c r="J68" s="496">
        <f t="shared" si="3"/>
        <v>2008</v>
      </c>
      <c r="K68" s="496">
        <f t="shared" si="3"/>
        <v>2009</v>
      </c>
      <c r="L68" s="496">
        <f t="shared" si="3"/>
        <v>2010</v>
      </c>
      <c r="M68" s="496">
        <f t="shared" si="3"/>
        <v>2011</v>
      </c>
      <c r="N68" s="496">
        <f t="shared" si="3"/>
        <v>2012</v>
      </c>
      <c r="O68" s="496">
        <f t="shared" si="3"/>
        <v>2013</v>
      </c>
      <c r="P68" s="496">
        <f t="shared" ref="P68:R68" si="4">+P9</f>
        <v>2014</v>
      </c>
      <c r="Q68" s="496">
        <f t="shared" si="4"/>
        <v>2015</v>
      </c>
      <c r="R68" s="496">
        <f t="shared" si="4"/>
        <v>2016</v>
      </c>
    </row>
    <row r="69" spans="1:21">
      <c r="A69" s="497" t="s">
        <v>446</v>
      </c>
      <c r="B69" s="497"/>
      <c r="C69" s="497"/>
      <c r="D69" s="497"/>
      <c r="E69" s="497"/>
      <c r="F69" s="497"/>
      <c r="G69" s="497"/>
      <c r="H69" s="497"/>
      <c r="I69" s="497"/>
      <c r="J69" s="497"/>
      <c r="K69" s="497"/>
      <c r="L69" s="497"/>
      <c r="M69" s="497">
        <v>1</v>
      </c>
      <c r="N69" s="497">
        <v>1</v>
      </c>
      <c r="O69" s="497">
        <v>1</v>
      </c>
      <c r="P69" s="497">
        <v>1</v>
      </c>
      <c r="Q69" s="497">
        <v>1</v>
      </c>
      <c r="R69" s="497">
        <v>1</v>
      </c>
    </row>
    <row r="70" spans="1:21">
      <c r="A70" s="490"/>
      <c r="B70" s="490"/>
      <c r="C70" s="490"/>
      <c r="D70" s="490"/>
      <c r="E70" s="490"/>
      <c r="F70" s="490"/>
      <c r="G70" s="490"/>
      <c r="H70" s="490"/>
      <c r="I70" s="490"/>
      <c r="J70" s="490"/>
      <c r="K70" s="490"/>
      <c r="L70" s="490"/>
      <c r="M70" s="490"/>
      <c r="N70" s="490"/>
      <c r="O70" s="490"/>
      <c r="P70" s="490"/>
      <c r="Q70" s="490"/>
      <c r="R70" s="490"/>
      <c r="S70" s="490"/>
      <c r="T70" s="490"/>
      <c r="U70" s="490"/>
    </row>
    <row r="71" spans="1:21">
      <c r="A71" s="490"/>
      <c r="B71" s="490"/>
      <c r="C71" s="490"/>
      <c r="D71" s="490"/>
      <c r="E71" s="490"/>
      <c r="F71" s="490"/>
      <c r="G71" s="490"/>
      <c r="H71" s="490"/>
      <c r="I71" s="490"/>
      <c r="J71" s="490"/>
      <c r="K71" s="490"/>
      <c r="L71" s="490"/>
      <c r="M71" s="490"/>
      <c r="N71" s="490"/>
      <c r="O71" s="490"/>
      <c r="P71" s="490"/>
      <c r="Q71" s="490"/>
      <c r="R71" s="490"/>
      <c r="S71" s="490"/>
      <c r="T71" s="490"/>
      <c r="U71" s="490"/>
    </row>
    <row r="72" spans="1:21">
      <c r="A72" s="498" t="s">
        <v>447</v>
      </c>
      <c r="B72" s="499">
        <f>+SUM($B69:B$69)</f>
        <v>0</v>
      </c>
      <c r="C72" s="499">
        <f>+SUM($B69:C$69)</f>
        <v>0</v>
      </c>
      <c r="D72" s="499">
        <f>+SUM($B69:D$69)</f>
        <v>0</v>
      </c>
      <c r="E72" s="499">
        <f>+SUM($B69:E$69)</f>
        <v>0</v>
      </c>
      <c r="F72" s="499">
        <f>+SUM($B69:F$69)</f>
        <v>0</v>
      </c>
      <c r="G72" s="499">
        <f>+SUM($B69:G$69)</f>
        <v>0</v>
      </c>
      <c r="H72" s="499">
        <f>+SUM($B69:H$69)</f>
        <v>0</v>
      </c>
      <c r="I72" s="499">
        <f>+SUM($B69:I$69)</f>
        <v>0</v>
      </c>
      <c r="J72" s="499">
        <f>+SUM($B69:J$69)</f>
        <v>0</v>
      </c>
      <c r="K72" s="499">
        <f>+SUM($B69:K$69)</f>
        <v>0</v>
      </c>
      <c r="L72" s="499">
        <f>+SUM($B69:L$69)</f>
        <v>0</v>
      </c>
      <c r="M72" s="499">
        <f>+SUM($B69:M$69)</f>
        <v>1</v>
      </c>
      <c r="N72" s="499">
        <f>+SUM($B69:N$69)</f>
        <v>2</v>
      </c>
      <c r="O72" s="499">
        <f>+SUM($B69:O$69)</f>
        <v>3</v>
      </c>
      <c r="P72" s="499">
        <f>+SUM($B69:P$69)</f>
        <v>4</v>
      </c>
      <c r="Q72" s="499">
        <f>+SUM($B69:Q$69)</f>
        <v>5</v>
      </c>
      <c r="R72" s="499">
        <f>+SUM($B69:R$69)</f>
        <v>6</v>
      </c>
      <c r="S72" s="490"/>
      <c r="T72" s="490"/>
      <c r="U72" s="490"/>
    </row>
    <row r="73" spans="1:21">
      <c r="A73" s="498" t="s">
        <v>448</v>
      </c>
      <c r="B73" s="500">
        <v>1</v>
      </c>
      <c r="C73" s="500">
        <f t="shared" ref="C73:K73" si="5">+B73+1</f>
        <v>2</v>
      </c>
      <c r="D73" s="500">
        <f t="shared" si="5"/>
        <v>3</v>
      </c>
      <c r="E73" s="500">
        <f t="shared" si="5"/>
        <v>4</v>
      </c>
      <c r="F73" s="500">
        <f t="shared" si="5"/>
        <v>5</v>
      </c>
      <c r="G73" s="500">
        <f t="shared" si="5"/>
        <v>6</v>
      </c>
      <c r="H73" s="500">
        <f t="shared" si="5"/>
        <v>7</v>
      </c>
      <c r="I73" s="500">
        <f t="shared" si="5"/>
        <v>8</v>
      </c>
      <c r="J73" s="500">
        <f t="shared" si="5"/>
        <v>9</v>
      </c>
      <c r="K73" s="500">
        <f t="shared" si="5"/>
        <v>10</v>
      </c>
      <c r="L73" s="500">
        <f>+K73+1</f>
        <v>11</v>
      </c>
      <c r="M73" s="500">
        <f t="shared" ref="M73:O73" si="6">+L73+1</f>
        <v>12</v>
      </c>
      <c r="N73" s="500">
        <f t="shared" si="6"/>
        <v>13</v>
      </c>
      <c r="O73" s="500">
        <f t="shared" si="6"/>
        <v>14</v>
      </c>
      <c r="P73" s="500">
        <f t="shared" ref="P73" si="7">+O73+1</f>
        <v>15</v>
      </c>
      <c r="Q73" s="500">
        <f t="shared" ref="Q73" si="8">+P73+1</f>
        <v>16</v>
      </c>
      <c r="R73" s="500">
        <f t="shared" ref="R73" si="9">+Q73+1</f>
        <v>17</v>
      </c>
    </row>
    <row r="74" spans="1:21">
      <c r="A74" s="498" t="s">
        <v>449</v>
      </c>
      <c r="B74" s="500">
        <f t="shared" ref="B74:O74" ca="1" si="10">+OFFSET($A$68,0,MATCH(B$73,$B$72:$R$72,0))</f>
        <v>2011</v>
      </c>
      <c r="C74" s="500">
        <f t="shared" ca="1" si="10"/>
        <v>2012</v>
      </c>
      <c r="D74" s="500">
        <f t="shared" ca="1" si="10"/>
        <v>2013</v>
      </c>
      <c r="E74" s="500">
        <f t="shared" ca="1" si="10"/>
        <v>2014</v>
      </c>
      <c r="F74" s="500">
        <f t="shared" ca="1" si="10"/>
        <v>2015</v>
      </c>
      <c r="G74" s="500">
        <f t="shared" ca="1" si="10"/>
        <v>2016</v>
      </c>
      <c r="H74" s="500" t="e">
        <f t="shared" ca="1" si="10"/>
        <v>#N/A</v>
      </c>
      <c r="I74" s="500" t="e">
        <f t="shared" ca="1" si="10"/>
        <v>#N/A</v>
      </c>
      <c r="J74" s="500" t="e">
        <f t="shared" ca="1" si="10"/>
        <v>#N/A</v>
      </c>
      <c r="K74" s="500" t="e">
        <f t="shared" ca="1" si="10"/>
        <v>#N/A</v>
      </c>
      <c r="L74" s="500" t="e">
        <f t="shared" ca="1" si="10"/>
        <v>#N/A</v>
      </c>
      <c r="M74" s="500" t="e">
        <f t="shared" ca="1" si="10"/>
        <v>#N/A</v>
      </c>
      <c r="N74" s="500" t="e">
        <f t="shared" ca="1" si="10"/>
        <v>#N/A</v>
      </c>
      <c r="O74" s="500" t="e">
        <f t="shared" ca="1" si="10"/>
        <v>#N/A</v>
      </c>
      <c r="P74" s="500" t="e">
        <f t="shared" ref="P74:R74" ca="1" si="11">+OFFSET($A$68,0,MATCH(P$73,$B$72:$R$72,0))</f>
        <v>#N/A</v>
      </c>
      <c r="Q74" s="500" t="e">
        <f t="shared" ca="1" si="11"/>
        <v>#N/A</v>
      </c>
      <c r="R74" s="500" t="e">
        <f t="shared" ca="1" si="11"/>
        <v>#N/A</v>
      </c>
    </row>
    <row r="75" spans="1:21">
      <c r="A75" s="498" t="s">
        <v>450</v>
      </c>
      <c r="B75" s="498">
        <f t="shared" ref="B75:O75" ca="1" si="12">+INDEX(14:14,1,MATCH(B$74,9:9,0))</f>
        <v>48192.603600000031</v>
      </c>
      <c r="C75" s="498">
        <f t="shared" ca="1" si="12"/>
        <v>52244.233699999982</v>
      </c>
      <c r="D75" s="498">
        <f t="shared" ca="1" si="12"/>
        <v>51467</v>
      </c>
      <c r="E75" s="498">
        <f t="shared" ca="1" si="12"/>
        <v>50833</v>
      </c>
      <c r="F75" s="498">
        <f t="shared" ca="1" si="12"/>
        <v>50497</v>
      </c>
      <c r="G75" s="498">
        <f t="shared" ca="1" si="12"/>
        <v>54917</v>
      </c>
      <c r="H75" s="498" t="e">
        <f t="shared" ca="1" si="12"/>
        <v>#N/A</v>
      </c>
      <c r="I75" s="498" t="e">
        <f t="shared" ca="1" si="12"/>
        <v>#N/A</v>
      </c>
      <c r="J75" s="498" t="e">
        <f t="shared" ca="1" si="12"/>
        <v>#N/A</v>
      </c>
      <c r="K75" s="498" t="e">
        <f t="shared" ca="1" si="12"/>
        <v>#N/A</v>
      </c>
      <c r="L75" s="498" t="e">
        <f t="shared" ca="1" si="12"/>
        <v>#N/A</v>
      </c>
      <c r="M75" s="498" t="e">
        <f t="shared" ca="1" si="12"/>
        <v>#N/A</v>
      </c>
      <c r="N75" s="498" t="e">
        <f t="shared" ca="1" si="12"/>
        <v>#N/A</v>
      </c>
      <c r="O75" s="498" t="e">
        <f t="shared" ca="1" si="12"/>
        <v>#N/A</v>
      </c>
      <c r="P75" s="498" t="e">
        <f t="shared" ref="P75:R75" ca="1" si="13">+INDEX(14:14,1,MATCH(P$74,9:9,0))</f>
        <v>#N/A</v>
      </c>
      <c r="Q75" s="498" t="e">
        <f t="shared" ca="1" si="13"/>
        <v>#N/A</v>
      </c>
      <c r="R75" s="498" t="e">
        <f t="shared" ca="1" si="13"/>
        <v>#N/A</v>
      </c>
    </row>
    <row r="78" spans="1:21">
      <c r="A78" s="501"/>
      <c r="B78" s="502" t="s">
        <v>451</v>
      </c>
      <c r="C78" s="503"/>
    </row>
    <row r="79" spans="1:21">
      <c r="A79" s="501" t="s">
        <v>452</v>
      </c>
      <c r="B79" s="504">
        <f t="array" aca="1" ref="B79:C83" ca="1">+LINEST(
OFFSET($B75,0,0,1,SUM($B69:$R69)),
OFFSET($B74,0,0,1,SUM($B69:$R69)),
,
1)</f>
        <v>792.75088285714003</v>
      </c>
      <c r="C79" s="504">
        <f ca="1"/>
        <v>-1544845.4297495182</v>
      </c>
      <c r="D79" s="470" t="s">
        <v>453</v>
      </c>
    </row>
    <row r="80" spans="1:21">
      <c r="A80" s="501" t="s">
        <v>454</v>
      </c>
      <c r="B80" s="504">
        <f ca="1"/>
        <v>439.19580499391935</v>
      </c>
      <c r="C80" s="504">
        <f ca="1"/>
        <v>884321.07145496702</v>
      </c>
      <c r="D80" s="470" t="s">
        <v>455</v>
      </c>
    </row>
    <row r="81" spans="1:4">
      <c r="A81" s="501" t="s">
        <v>456</v>
      </c>
      <c r="B81" s="504">
        <f ca="1"/>
        <v>0.44888742050760183</v>
      </c>
      <c r="C81" s="504">
        <f ca="1"/>
        <v>1837.2878692993361</v>
      </c>
      <c r="D81" s="470" t="s">
        <v>457</v>
      </c>
    </row>
    <row r="82" spans="1:4">
      <c r="A82" s="505" t="s">
        <v>458</v>
      </c>
      <c r="B82" s="504">
        <f ca="1"/>
        <v>3.2580451777823636</v>
      </c>
      <c r="C82" s="504">
        <f ca="1"/>
        <v>4</v>
      </c>
      <c r="D82" s="470" t="s">
        <v>459</v>
      </c>
    </row>
    <row r="83" spans="1:4">
      <c r="A83" s="505" t="s">
        <v>460</v>
      </c>
      <c r="B83" s="504">
        <f ca="1"/>
        <v>10997944.339738559</v>
      </c>
      <c r="C83" s="504">
        <f ca="1"/>
        <v>13502506.858697977</v>
      </c>
      <c r="D83" s="470" t="s">
        <v>461</v>
      </c>
    </row>
    <row r="84" spans="1:4">
      <c r="A84" s="501"/>
    </row>
    <row r="85" spans="1:4">
      <c r="A85" s="501"/>
    </row>
    <row r="86" spans="1:4">
      <c r="A86" s="501" t="s">
        <v>462</v>
      </c>
      <c r="B86" s="470">
        <f ca="1">+B79/B80</f>
        <v>1.8050055894047432</v>
      </c>
    </row>
    <row r="87" spans="1:4">
      <c r="A87" s="505" t="s">
        <v>463</v>
      </c>
      <c r="B87" s="506">
        <f ca="1">+TDIST(B86,C82,2)</f>
        <v>0.14538926046934864</v>
      </c>
    </row>
  </sheetData>
  <conditionalFormatting sqref="B14:H14 J14:R14">
    <cfRule type="expression" dxfId="31" priority="2">
      <formula>B$69=1</formula>
    </cfRule>
  </conditionalFormatting>
  <conditionalFormatting sqref="B14:I14">
    <cfRule type="expression" dxfId="30" priority="1">
      <formula>B$69=1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88"/>
  <sheetViews>
    <sheetView showGridLines="0" zoomScale="70" zoomScaleNormal="70" zoomScaleSheetLayoutView="55" workbookViewId="0"/>
  </sheetViews>
  <sheetFormatPr defaultRowHeight="12.75"/>
  <cols>
    <col min="1" max="1" width="36.5703125" style="470" customWidth="1"/>
    <col min="2" max="16" width="11.28515625" style="470" customWidth="1"/>
    <col min="17" max="17" width="11.28515625" style="719" customWidth="1"/>
    <col min="18" max="18" width="11.28515625" style="470" customWidth="1"/>
    <col min="19" max="21" width="9.140625" style="473"/>
    <col min="22" max="16384" width="9.140625" style="470"/>
  </cols>
  <sheetData>
    <row r="1" spans="1:21" s="472" customFormat="1" ht="15.75">
      <c r="A1" s="656" t="s">
        <v>540</v>
      </c>
      <c r="S1" s="590"/>
      <c r="T1" s="590"/>
      <c r="U1" s="590"/>
    </row>
    <row r="2" spans="1:21" s="472" customFormat="1" ht="15.75">
      <c r="A2" s="338" t="s">
        <v>495</v>
      </c>
      <c r="S2" s="590"/>
      <c r="T2" s="590"/>
      <c r="U2" s="590"/>
    </row>
    <row r="3" spans="1:21" s="472" customFormat="1" ht="15.75">
      <c r="A3" s="338"/>
      <c r="S3" s="590"/>
      <c r="T3" s="590"/>
      <c r="U3" s="590"/>
    </row>
    <row r="4" spans="1:21" s="472" customFormat="1" ht="15.75">
      <c r="A4" s="589" t="s">
        <v>438</v>
      </c>
      <c r="B4" s="587" t="s">
        <v>514</v>
      </c>
      <c r="C4" s="587"/>
      <c r="D4" s="587"/>
      <c r="E4" s="587"/>
      <c r="F4" s="587"/>
      <c r="G4" s="587"/>
      <c r="H4" s="587"/>
      <c r="I4" s="587"/>
      <c r="S4" s="590"/>
      <c r="T4" s="590"/>
      <c r="U4" s="590"/>
    </row>
    <row r="5" spans="1:21" s="472" customFormat="1" ht="15">
      <c r="A5" s="588"/>
      <c r="S5" s="590"/>
      <c r="T5" s="590"/>
      <c r="U5" s="590"/>
    </row>
    <row r="6" spans="1:21" s="472" customFormat="1" ht="15">
      <c r="A6" s="592" t="s">
        <v>505</v>
      </c>
      <c r="S6" s="590"/>
      <c r="T6" s="590"/>
      <c r="U6" s="590"/>
    </row>
    <row r="8" spans="1:21">
      <c r="A8" s="474"/>
      <c r="B8" s="475"/>
      <c r="C8" s="475"/>
      <c r="D8" s="475"/>
      <c r="E8" s="475"/>
      <c r="F8" s="475"/>
      <c r="G8" s="475"/>
      <c r="H8" s="475"/>
      <c r="I8" s="475"/>
      <c r="J8" s="476"/>
      <c r="K8" s="476"/>
      <c r="L8" s="476"/>
      <c r="M8" s="476"/>
      <c r="N8" s="477"/>
      <c r="O8" s="477"/>
      <c r="P8" s="478"/>
      <c r="Q8" s="478"/>
      <c r="R8" s="477"/>
    </row>
    <row r="9" spans="1:21">
      <c r="B9" s="479">
        <f t="shared" ref="B9:H9" si="0">+C9-1</f>
        <v>2000</v>
      </c>
      <c r="C9" s="479">
        <f t="shared" si="0"/>
        <v>2001</v>
      </c>
      <c r="D9" s="479">
        <f t="shared" si="0"/>
        <v>2002</v>
      </c>
      <c r="E9" s="479">
        <f t="shared" si="0"/>
        <v>2003</v>
      </c>
      <c r="F9" s="479">
        <f t="shared" si="0"/>
        <v>2004</v>
      </c>
      <c r="G9" s="479">
        <f t="shared" si="0"/>
        <v>2005</v>
      </c>
      <c r="H9" s="479">
        <f t="shared" si="0"/>
        <v>2006</v>
      </c>
      <c r="I9" s="479">
        <f>+J9-1</f>
        <v>2007</v>
      </c>
      <c r="J9" s="479">
        <v>2008</v>
      </c>
      <c r="K9" s="480">
        <v>2009</v>
      </c>
      <c r="L9" s="480">
        <v>2010</v>
      </c>
      <c r="M9" s="480">
        <v>2011</v>
      </c>
      <c r="N9" s="480">
        <v>2012</v>
      </c>
      <c r="O9" s="480">
        <v>2013</v>
      </c>
      <c r="P9" s="480">
        <v>2014</v>
      </c>
      <c r="Q9" s="480">
        <v>2015</v>
      </c>
      <c r="R9" s="480">
        <v>2016</v>
      </c>
    </row>
    <row r="10" spans="1:21" ht="8.25" customHeight="1">
      <c r="B10" s="481" t="s">
        <v>439</v>
      </c>
      <c r="C10" s="481" t="s">
        <v>439</v>
      </c>
      <c r="D10" s="481" t="s">
        <v>439</v>
      </c>
      <c r="E10" s="481" t="s">
        <v>439</v>
      </c>
      <c r="F10" s="481" t="s">
        <v>439</v>
      </c>
      <c r="G10" s="481" t="s">
        <v>439</v>
      </c>
      <c r="H10" s="481" t="s">
        <v>439</v>
      </c>
      <c r="I10" s="481" t="s">
        <v>439</v>
      </c>
      <c r="J10" s="481" t="s">
        <v>439</v>
      </c>
      <c r="K10" s="481" t="s">
        <v>439</v>
      </c>
      <c r="L10" s="481" t="s">
        <v>439</v>
      </c>
      <c r="M10" s="481" t="s">
        <v>439</v>
      </c>
      <c r="N10" s="481" t="s">
        <v>439</v>
      </c>
      <c r="O10" s="481" t="s">
        <v>439</v>
      </c>
      <c r="P10" s="481" t="s">
        <v>439</v>
      </c>
      <c r="Q10" s="481" t="s">
        <v>439</v>
      </c>
      <c r="R10" s="481" t="s">
        <v>439</v>
      </c>
    </row>
    <row r="11" spans="1:21">
      <c r="A11" s="482" t="s">
        <v>464</v>
      </c>
      <c r="B11" s="97">
        <f>+'CBR Hist'!F24</f>
        <v>-3114</v>
      </c>
      <c r="C11" s="97">
        <f>+'CBR Hist'!G24</f>
        <v>9152</v>
      </c>
      <c r="D11" s="97">
        <f>+'CBR Hist'!H24</f>
        <v>13808</v>
      </c>
      <c r="E11" s="97">
        <f>+'CBR Hist'!I24</f>
        <v>14915</v>
      </c>
      <c r="F11" s="97">
        <f>+'CBR Hist'!J24</f>
        <v>22879</v>
      </c>
      <c r="G11" s="97">
        <f>+'CBR Hist'!K24</f>
        <v>13812</v>
      </c>
      <c r="H11" s="97">
        <f>+'CBR Hist'!L24</f>
        <v>25745</v>
      </c>
      <c r="I11" s="97">
        <f>+'CBR Hist'!M24</f>
        <v>21795</v>
      </c>
      <c r="J11" s="97">
        <f>+'CBR Hist'!N24</f>
        <v>22000</v>
      </c>
      <c r="K11" s="97">
        <f>+'CBR Hist'!O24</f>
        <v>22266</v>
      </c>
      <c r="L11" s="97">
        <f>+'CBR Hist'!P24</f>
        <v>22129</v>
      </c>
      <c r="M11" s="97">
        <f>+'CBR Hist'!Q24</f>
        <v>25158</v>
      </c>
      <c r="N11" s="97">
        <f>+'CBR Hist'!R24</f>
        <v>25872</v>
      </c>
      <c r="O11" s="97">
        <f>+'CBR Hist'!S24</f>
        <v>23284</v>
      </c>
      <c r="P11" s="97">
        <f>+'CBR Hist'!T24</f>
        <v>23715</v>
      </c>
      <c r="Q11" s="97">
        <f>+'CBR Hist'!U24</f>
        <v>24947</v>
      </c>
      <c r="R11" s="97">
        <f>+'Cost Trends'!V21</f>
        <v>26677</v>
      </c>
    </row>
    <row r="12" spans="1:21">
      <c r="A12" s="470" t="s">
        <v>465</v>
      </c>
      <c r="B12" s="97">
        <f>-'Reg Amorts'!E43</f>
        <v>17964</v>
      </c>
      <c r="C12" s="97">
        <f>-'Reg Amorts'!F43</f>
        <v>6050</v>
      </c>
      <c r="D12" s="97">
        <f>-'Reg Amorts'!G43</f>
        <v>6349</v>
      </c>
      <c r="E12" s="97">
        <f>-'Reg Amorts'!H43</f>
        <v>5608</v>
      </c>
      <c r="F12" s="97">
        <f>-'Reg Amorts'!I43</f>
        <v>-567</v>
      </c>
      <c r="G12" s="97">
        <f>-'Reg Amorts'!J43</f>
        <v>8817</v>
      </c>
      <c r="H12" s="97">
        <f>-'Reg Amorts'!K43</f>
        <v>-1168</v>
      </c>
      <c r="I12" s="97">
        <f>-'Reg Amorts'!L43</f>
        <v>3082</v>
      </c>
      <c r="J12" s="97">
        <f>-'Reg Amorts'!M43</f>
        <v>1076</v>
      </c>
      <c r="K12" s="97">
        <f>-'Reg Amorts'!N43</f>
        <v>1703</v>
      </c>
      <c r="L12" s="97">
        <f>-'Reg Amorts'!O43</f>
        <v>2879</v>
      </c>
      <c r="M12" s="97"/>
      <c r="N12" s="97"/>
      <c r="O12" s="97"/>
      <c r="P12" s="97"/>
      <c r="Q12" s="97"/>
      <c r="R12" s="97"/>
    </row>
    <row r="13" spans="1:21" s="473" customFormat="1" ht="8.25" customHeight="1">
      <c r="A13" s="470"/>
      <c r="B13" s="481" t="s">
        <v>439</v>
      </c>
      <c r="C13" s="481" t="s">
        <v>439</v>
      </c>
      <c r="D13" s="481" t="s">
        <v>439</v>
      </c>
      <c r="E13" s="481" t="s">
        <v>439</v>
      </c>
      <c r="F13" s="481" t="s">
        <v>439</v>
      </c>
      <c r="G13" s="481" t="s">
        <v>439</v>
      </c>
      <c r="H13" s="481" t="s">
        <v>439</v>
      </c>
      <c r="I13" s="481" t="s">
        <v>439</v>
      </c>
      <c r="J13" s="481" t="s">
        <v>439</v>
      </c>
      <c r="K13" s="481" t="s">
        <v>439</v>
      </c>
      <c r="L13" s="481" t="s">
        <v>439</v>
      </c>
      <c r="M13" s="481" t="s">
        <v>439</v>
      </c>
      <c r="N13" s="481" t="s">
        <v>439</v>
      </c>
      <c r="O13" s="481" t="s">
        <v>439</v>
      </c>
      <c r="P13" s="481" t="s">
        <v>439</v>
      </c>
      <c r="Q13" s="481" t="s">
        <v>439</v>
      </c>
      <c r="R13" s="481" t="s">
        <v>439</v>
      </c>
    </row>
    <row r="14" spans="1:21" s="473" customFormat="1" ht="26.25" customHeight="1">
      <c r="A14" s="483" t="str">
        <f>+"Total "&amp;B4</f>
        <v>Total Production &amp; Transmission Depreciation Expense</v>
      </c>
      <c r="B14" s="484">
        <f t="shared" ref="B14:O14" si="1">+SUM(B10:B13)</f>
        <v>14850</v>
      </c>
      <c r="C14" s="484">
        <f t="shared" si="1"/>
        <v>15202</v>
      </c>
      <c r="D14" s="484">
        <f t="shared" si="1"/>
        <v>20157</v>
      </c>
      <c r="E14" s="484">
        <f t="shared" si="1"/>
        <v>20523</v>
      </c>
      <c r="F14" s="484">
        <f t="shared" si="1"/>
        <v>22312</v>
      </c>
      <c r="G14" s="484">
        <f t="shared" si="1"/>
        <v>22629</v>
      </c>
      <c r="H14" s="484">
        <f t="shared" si="1"/>
        <v>24577</v>
      </c>
      <c r="I14" s="484">
        <f t="shared" si="1"/>
        <v>24877</v>
      </c>
      <c r="J14" s="484">
        <f t="shared" si="1"/>
        <v>23076</v>
      </c>
      <c r="K14" s="484">
        <f t="shared" si="1"/>
        <v>23969</v>
      </c>
      <c r="L14" s="484">
        <f t="shared" si="1"/>
        <v>25008</v>
      </c>
      <c r="M14" s="484">
        <f t="shared" si="1"/>
        <v>25158</v>
      </c>
      <c r="N14" s="484">
        <f t="shared" si="1"/>
        <v>25872</v>
      </c>
      <c r="O14" s="484">
        <f t="shared" si="1"/>
        <v>23284</v>
      </c>
      <c r="P14" s="484">
        <f t="shared" ref="P14:R14" si="2">+SUM(P10:P13)</f>
        <v>23715</v>
      </c>
      <c r="Q14" s="484">
        <f t="shared" si="2"/>
        <v>24947</v>
      </c>
      <c r="R14" s="484">
        <f t="shared" si="2"/>
        <v>26677</v>
      </c>
    </row>
    <row r="15" spans="1:21" s="473" customFormat="1">
      <c r="A15" s="470"/>
      <c r="B15" s="470"/>
      <c r="C15" s="470"/>
      <c r="D15" s="470"/>
      <c r="E15" s="470"/>
      <c r="F15" s="470"/>
      <c r="G15" s="470"/>
      <c r="H15" s="470"/>
      <c r="I15" s="470"/>
      <c r="J15" s="470"/>
      <c r="K15" s="470"/>
      <c r="L15" s="470"/>
      <c r="M15" s="470"/>
      <c r="N15" s="470"/>
      <c r="O15" s="470"/>
      <c r="P15" s="327"/>
      <c r="Q15" s="327"/>
      <c r="R15" s="470"/>
    </row>
    <row r="16" spans="1:21" s="473" customFormat="1">
      <c r="A16" s="470"/>
      <c r="B16" s="470"/>
      <c r="C16" s="470"/>
      <c r="D16" s="470"/>
      <c r="E16" s="470"/>
      <c r="F16" s="470"/>
      <c r="G16" s="470"/>
      <c r="H16" s="470"/>
      <c r="I16" s="470"/>
      <c r="J16" s="470"/>
      <c r="K16" s="470"/>
      <c r="L16" s="470"/>
      <c r="M16" s="470"/>
      <c r="N16" s="470"/>
      <c r="O16" s="470"/>
      <c r="P16" s="327"/>
      <c r="Q16" s="327"/>
      <c r="R16" s="470"/>
    </row>
    <row r="17" spans="1:20" s="473" customFormat="1">
      <c r="A17" s="485" t="s">
        <v>442</v>
      </c>
      <c r="B17" s="486"/>
      <c r="C17" s="487"/>
      <c r="D17" s="485" t="s">
        <v>504</v>
      </c>
      <c r="E17" s="485"/>
      <c r="F17" s="486"/>
      <c r="G17" s="486"/>
      <c r="H17" s="486"/>
      <c r="I17" s="486"/>
      <c r="J17" s="486"/>
      <c r="K17" s="486"/>
      <c r="L17" s="486"/>
      <c r="M17" s="486"/>
      <c r="N17" s="486"/>
      <c r="O17" s="486"/>
      <c r="P17" s="488"/>
      <c r="Q17" s="488"/>
      <c r="R17" s="486"/>
    </row>
    <row r="18" spans="1:20" s="473" customFormat="1" ht="19.5" customHeight="1">
      <c r="B18" s="489"/>
      <c r="C18" s="489"/>
      <c r="D18" s="489"/>
      <c r="E18" s="489"/>
      <c r="F18" s="489"/>
      <c r="G18" s="489"/>
      <c r="H18" s="489"/>
      <c r="I18" s="489"/>
      <c r="J18" s="470"/>
      <c r="K18" s="470"/>
      <c r="L18" s="470"/>
      <c r="M18" s="470"/>
      <c r="N18" s="470"/>
      <c r="O18" s="470"/>
      <c r="P18" s="470"/>
      <c r="Q18" s="719"/>
      <c r="R18" s="470"/>
    </row>
    <row r="19" spans="1:20" s="473" customFormat="1" ht="19.5" customHeight="1">
      <c r="A19" s="529" t="s">
        <v>502</v>
      </c>
      <c r="B19" s="490">
        <f ca="1">+LINEST(
OFFSET($B$76,0,0,1,SUM($B$70:$R$70)),
OFFSET($B$75,0,0,1,SUM($B$70:$R$70)),
,
1)</f>
        <v>110.82727272727273</v>
      </c>
      <c r="C19" s="489"/>
      <c r="D19" s="489"/>
      <c r="E19" s="489"/>
      <c r="F19" s="489"/>
      <c r="G19" s="489"/>
      <c r="H19" s="489"/>
      <c r="I19" s="489"/>
      <c r="J19" s="470"/>
      <c r="K19" s="470"/>
      <c r="L19" s="470"/>
      <c r="M19" s="470"/>
      <c r="N19" s="470"/>
      <c r="O19" s="470"/>
      <c r="P19" s="470"/>
      <c r="Q19" s="719"/>
      <c r="R19" s="470"/>
    </row>
    <row r="20" spans="1:20" s="473" customFormat="1" ht="19.5" customHeight="1">
      <c r="A20" s="473" t="s">
        <v>503</v>
      </c>
      <c r="B20" s="489">
        <f ca="1">RSQ(
OFFSET($B$76,0,0,1,SUM($B$70:$R$70)),
OFFSET($B$75,0,0,1,SUM($B$70:$R$70))
)</f>
        <v>0.11435697462869994</v>
      </c>
      <c r="C20" s="490"/>
      <c r="D20" s="490"/>
      <c r="E20" s="490"/>
      <c r="F20" s="490"/>
      <c r="G20" s="490"/>
      <c r="H20" s="490"/>
      <c r="I20" s="490"/>
      <c r="J20" s="470"/>
      <c r="K20" s="470"/>
      <c r="L20" s="470"/>
      <c r="M20" s="470"/>
      <c r="N20" s="470"/>
      <c r="O20" s="470"/>
      <c r="P20" s="470"/>
      <c r="Q20" s="719"/>
      <c r="R20" s="470"/>
    </row>
    <row r="21" spans="1:20" s="473" customFormat="1" ht="19.5" customHeight="1">
      <c r="A21" s="470" t="s">
        <v>443</v>
      </c>
      <c r="B21" s="491">
        <f ca="1">+B19/R14</f>
        <v>4.1544128922769699E-3</v>
      </c>
      <c r="C21" s="489"/>
      <c r="D21" s="489"/>
      <c r="E21" s="489"/>
      <c r="F21" s="489"/>
      <c r="G21" s="489"/>
      <c r="H21" s="489"/>
      <c r="I21" s="489"/>
      <c r="J21" s="470"/>
      <c r="K21" s="470"/>
      <c r="L21" s="470"/>
      <c r="M21" s="470"/>
      <c r="N21" s="470"/>
      <c r="O21" s="470"/>
      <c r="P21" s="470"/>
      <c r="Q21" s="719"/>
      <c r="R21" s="470"/>
    </row>
    <row r="22" spans="1:20" s="473" customFormat="1" ht="19.5" customHeight="1">
      <c r="A22" s="327" t="str">
        <f>+'2) ROR'!$D$19&amp;"-year Growth Rate"</f>
        <v>1-year Growth Rate</v>
      </c>
      <c r="B22" s="530">
        <f ca="1">ROUND(B21*'2) ROR'!$D$19,4)</f>
        <v>4.1999999999999997E-3</v>
      </c>
      <c r="C22" s="491"/>
      <c r="D22" s="491"/>
      <c r="E22" s="491"/>
      <c r="F22" s="491"/>
      <c r="G22" s="491"/>
      <c r="H22" s="491"/>
      <c r="I22" s="491"/>
      <c r="J22" s="470"/>
      <c r="K22" s="470"/>
      <c r="L22" s="470"/>
      <c r="M22" s="470"/>
      <c r="N22" s="470"/>
      <c r="O22" s="470"/>
      <c r="P22" s="470"/>
      <c r="Q22" s="719"/>
      <c r="R22" s="470"/>
    </row>
    <row r="23" spans="1:20" s="473" customFormat="1" ht="19.5" customHeight="1">
      <c r="C23" s="492"/>
      <c r="D23" s="492"/>
      <c r="E23" s="492"/>
      <c r="F23" s="492"/>
      <c r="G23" s="492"/>
      <c r="H23" s="492"/>
      <c r="I23" s="492"/>
      <c r="J23" s="470"/>
      <c r="K23" s="470"/>
      <c r="L23" s="362"/>
      <c r="M23" s="470"/>
      <c r="N23" s="470"/>
      <c r="O23" s="470"/>
      <c r="P23" s="470"/>
      <c r="Q23" s="719"/>
      <c r="R23" s="470"/>
    </row>
    <row r="25" spans="1:20" s="473" customFormat="1">
      <c r="A25" s="470"/>
      <c r="B25" s="470"/>
      <c r="C25" s="470"/>
      <c r="D25" s="470"/>
      <c r="E25" s="470"/>
      <c r="F25" s="470"/>
      <c r="G25" s="470"/>
      <c r="H25" s="470"/>
      <c r="I25" s="470"/>
      <c r="J25" s="470"/>
      <c r="K25" s="470"/>
      <c r="L25" s="470"/>
      <c r="M25" s="470"/>
      <c r="N25" s="470"/>
      <c r="O25" s="470"/>
      <c r="P25" s="470"/>
      <c r="Q25" s="719"/>
      <c r="R25" s="470"/>
      <c r="S25" s="493"/>
      <c r="T25" s="493"/>
    </row>
    <row r="26" spans="1:20" s="473" customFormat="1">
      <c r="A26" s="470"/>
      <c r="B26" s="470"/>
      <c r="C26" s="470"/>
      <c r="D26" s="470"/>
      <c r="E26" s="470"/>
      <c r="F26" s="470"/>
      <c r="G26" s="470"/>
      <c r="H26" s="470"/>
      <c r="I26" s="470"/>
      <c r="J26" s="470"/>
      <c r="K26" s="470"/>
      <c r="L26" s="470"/>
      <c r="M26" s="470"/>
      <c r="N26" s="470"/>
      <c r="O26" s="470"/>
      <c r="P26" s="470"/>
      <c r="Q26" s="719"/>
      <c r="R26" s="470"/>
      <c r="S26" s="494"/>
      <c r="T26" s="494"/>
    </row>
    <row r="27" spans="1:20" s="473" customFormat="1">
      <c r="A27" s="470"/>
      <c r="B27" s="470"/>
      <c r="C27" s="470"/>
      <c r="D27" s="470"/>
      <c r="E27" s="470"/>
      <c r="F27" s="470"/>
      <c r="G27" s="470"/>
      <c r="H27" s="470"/>
      <c r="I27" s="470"/>
      <c r="J27" s="470"/>
      <c r="K27" s="470"/>
      <c r="L27" s="470"/>
      <c r="M27" s="470"/>
      <c r="N27" s="470"/>
      <c r="O27" s="470"/>
      <c r="P27" s="470"/>
      <c r="Q27" s="719"/>
      <c r="R27" s="470"/>
      <c r="S27" s="494"/>
      <c r="T27" s="494"/>
    </row>
    <row r="28" spans="1:20" s="473" customFormat="1">
      <c r="A28" s="470"/>
      <c r="B28" s="470"/>
      <c r="C28" s="470"/>
      <c r="D28" s="470"/>
      <c r="E28" s="470"/>
      <c r="F28" s="470"/>
      <c r="G28" s="470"/>
      <c r="H28" s="470"/>
      <c r="I28" s="470"/>
      <c r="J28" s="470"/>
      <c r="K28" s="470"/>
      <c r="L28" s="470"/>
      <c r="M28" s="470"/>
      <c r="N28" s="470"/>
      <c r="O28" s="470"/>
      <c r="P28" s="470"/>
      <c r="Q28" s="719"/>
      <c r="R28" s="470"/>
      <c r="S28" s="494"/>
      <c r="T28" s="494"/>
    </row>
    <row r="29" spans="1:20" s="473" customFormat="1">
      <c r="A29" s="470"/>
      <c r="B29" s="470"/>
      <c r="C29" s="470"/>
      <c r="D29" s="470"/>
      <c r="E29" s="470"/>
      <c r="F29" s="470"/>
      <c r="G29" s="470"/>
      <c r="H29" s="470"/>
      <c r="I29" s="470"/>
      <c r="J29" s="470"/>
      <c r="K29" s="470"/>
      <c r="L29" s="470"/>
      <c r="M29" s="470"/>
      <c r="N29" s="470"/>
      <c r="O29" s="470"/>
      <c r="P29" s="470"/>
      <c r="Q29" s="719"/>
      <c r="R29" s="470"/>
      <c r="S29" s="494"/>
      <c r="T29" s="494"/>
    </row>
    <row r="30" spans="1:20" s="473" customFormat="1">
      <c r="A30" s="470"/>
      <c r="B30" s="470"/>
      <c r="C30" s="470"/>
      <c r="D30" s="470"/>
      <c r="E30" s="470"/>
      <c r="F30" s="470"/>
      <c r="G30" s="470"/>
      <c r="H30" s="470"/>
      <c r="I30" s="470"/>
      <c r="J30" s="470"/>
      <c r="K30" s="470"/>
      <c r="L30" s="470"/>
      <c r="M30" s="470"/>
      <c r="N30" s="470"/>
      <c r="O30" s="470"/>
      <c r="P30" s="470"/>
      <c r="Q30" s="719"/>
      <c r="R30" s="470"/>
      <c r="S30" s="494"/>
      <c r="T30" s="494"/>
    </row>
    <row r="33" spans="19:21">
      <c r="S33" s="495"/>
      <c r="T33" s="495"/>
      <c r="U33" s="495"/>
    </row>
    <row r="34" spans="19:21">
      <c r="S34" s="494"/>
      <c r="T34" s="494"/>
      <c r="U34" s="494"/>
    </row>
    <row r="35" spans="19:21">
      <c r="S35" s="494"/>
      <c r="T35" s="494"/>
      <c r="U35" s="494"/>
    </row>
    <row r="36" spans="19:21">
      <c r="S36" s="494"/>
      <c r="T36" s="494"/>
      <c r="U36" s="494"/>
    </row>
    <row r="37" spans="19:21">
      <c r="S37" s="494"/>
      <c r="T37" s="494"/>
      <c r="U37" s="494"/>
    </row>
    <row r="38" spans="19:21">
      <c r="S38" s="494"/>
      <c r="T38" s="494"/>
      <c r="U38" s="494"/>
    </row>
    <row r="39" spans="19:21">
      <c r="S39" s="494"/>
      <c r="T39" s="494"/>
      <c r="U39" s="494"/>
    </row>
    <row r="40" spans="19:21">
      <c r="S40" s="494"/>
      <c r="T40" s="494"/>
      <c r="U40" s="494"/>
    </row>
    <row r="41" spans="19:21">
      <c r="S41" s="494"/>
      <c r="T41" s="494"/>
      <c r="U41" s="494"/>
    </row>
    <row r="42" spans="19:21">
      <c r="S42" s="494"/>
      <c r="T42" s="494"/>
      <c r="U42" s="494"/>
    </row>
    <row r="43" spans="19:21">
      <c r="S43" s="494"/>
      <c r="T43" s="494"/>
      <c r="U43" s="494"/>
    </row>
    <row r="44" spans="19:21">
      <c r="S44" s="494"/>
      <c r="T44" s="494"/>
      <c r="U44" s="494"/>
    </row>
    <row r="45" spans="19:21">
      <c r="S45" s="494"/>
      <c r="T45" s="494"/>
      <c r="U45" s="494"/>
    </row>
    <row r="46" spans="19:21">
      <c r="S46" s="494"/>
      <c r="T46" s="494"/>
      <c r="U46" s="494"/>
    </row>
    <row r="47" spans="19:21">
      <c r="S47" s="494"/>
      <c r="T47" s="494"/>
      <c r="U47" s="494"/>
    </row>
    <row r="48" spans="19:21">
      <c r="S48" s="494"/>
      <c r="T48" s="494"/>
      <c r="U48" s="494"/>
    </row>
    <row r="49" spans="19:21">
      <c r="S49" s="494"/>
      <c r="T49" s="494"/>
      <c r="U49" s="494"/>
    </row>
    <row r="50" spans="19:21">
      <c r="S50" s="494"/>
      <c r="T50" s="494"/>
      <c r="U50" s="494"/>
    </row>
    <row r="51" spans="19:21">
      <c r="S51" s="494"/>
      <c r="T51" s="494"/>
      <c r="U51" s="494"/>
    </row>
    <row r="52" spans="19:21">
      <c r="S52" s="494"/>
      <c r="T52" s="494"/>
      <c r="U52" s="494"/>
    </row>
    <row r="53" spans="19:21">
      <c r="S53" s="494"/>
      <c r="T53" s="494"/>
      <c r="U53" s="494"/>
    </row>
    <row r="54" spans="19:21">
      <c r="S54" s="494"/>
      <c r="T54" s="494"/>
      <c r="U54" s="494"/>
    </row>
    <row r="55" spans="19:21">
      <c r="S55" s="494"/>
      <c r="T55" s="494"/>
      <c r="U55" s="494"/>
    </row>
    <row r="56" spans="19:21">
      <c r="S56" s="494"/>
      <c r="T56" s="494"/>
      <c r="U56" s="494"/>
    </row>
    <row r="58" spans="19:21">
      <c r="S58" s="495"/>
      <c r="T58" s="495"/>
      <c r="U58" s="495"/>
    </row>
    <row r="59" spans="19:21">
      <c r="S59" s="494"/>
      <c r="T59" s="494"/>
      <c r="U59" s="494"/>
    </row>
    <row r="60" spans="19:21">
      <c r="S60" s="494"/>
      <c r="T60" s="494"/>
      <c r="U60" s="494"/>
    </row>
    <row r="61" spans="19:21">
      <c r="S61" s="494"/>
      <c r="T61" s="494"/>
      <c r="U61" s="494"/>
    </row>
    <row r="67" spans="1:21">
      <c r="S67" s="495"/>
      <c r="T67" s="495"/>
      <c r="U67" s="495"/>
    </row>
    <row r="68" spans="1:21">
      <c r="A68" s="496" t="s">
        <v>444</v>
      </c>
      <c r="S68" s="494"/>
      <c r="T68" s="494"/>
      <c r="U68" s="494"/>
    </row>
    <row r="69" spans="1:21">
      <c r="A69" s="496" t="s">
        <v>445</v>
      </c>
      <c r="B69" s="496">
        <f t="shared" ref="B69:N69" si="3">+B9</f>
        <v>2000</v>
      </c>
      <c r="C69" s="496">
        <f t="shared" si="3"/>
        <v>2001</v>
      </c>
      <c r="D69" s="496">
        <f t="shared" si="3"/>
        <v>2002</v>
      </c>
      <c r="E69" s="496">
        <f t="shared" si="3"/>
        <v>2003</v>
      </c>
      <c r="F69" s="496">
        <f t="shared" si="3"/>
        <v>2004</v>
      </c>
      <c r="G69" s="496">
        <f t="shared" si="3"/>
        <v>2005</v>
      </c>
      <c r="H69" s="496">
        <f t="shared" si="3"/>
        <v>2006</v>
      </c>
      <c r="I69" s="496">
        <f t="shared" si="3"/>
        <v>2007</v>
      </c>
      <c r="J69" s="496">
        <f t="shared" si="3"/>
        <v>2008</v>
      </c>
      <c r="K69" s="496">
        <f t="shared" si="3"/>
        <v>2009</v>
      </c>
      <c r="L69" s="496">
        <f t="shared" si="3"/>
        <v>2010</v>
      </c>
      <c r="M69" s="496">
        <f t="shared" si="3"/>
        <v>2011</v>
      </c>
      <c r="N69" s="496">
        <f t="shared" si="3"/>
        <v>2012</v>
      </c>
      <c r="O69" s="496">
        <f t="shared" ref="O69:R69" si="4">+O9</f>
        <v>2013</v>
      </c>
      <c r="P69" s="496">
        <f t="shared" si="4"/>
        <v>2014</v>
      </c>
      <c r="Q69" s="496">
        <f t="shared" si="4"/>
        <v>2015</v>
      </c>
      <c r="R69" s="496">
        <f t="shared" si="4"/>
        <v>2016</v>
      </c>
    </row>
    <row r="70" spans="1:21">
      <c r="A70" s="497" t="s">
        <v>446</v>
      </c>
      <c r="B70" s="497">
        <v>0</v>
      </c>
      <c r="C70" s="497">
        <v>0</v>
      </c>
      <c r="D70" s="497">
        <v>0</v>
      </c>
      <c r="E70" s="497">
        <v>0</v>
      </c>
      <c r="F70" s="497">
        <v>0</v>
      </c>
      <c r="G70" s="497">
        <v>0</v>
      </c>
      <c r="H70" s="497">
        <v>1</v>
      </c>
      <c r="I70" s="497">
        <v>1</v>
      </c>
      <c r="J70" s="497">
        <v>1</v>
      </c>
      <c r="K70" s="497">
        <v>1</v>
      </c>
      <c r="L70" s="497">
        <v>1</v>
      </c>
      <c r="M70" s="497">
        <v>1</v>
      </c>
      <c r="N70" s="497">
        <v>1</v>
      </c>
      <c r="O70" s="497">
        <v>1</v>
      </c>
      <c r="P70" s="497">
        <v>1</v>
      </c>
      <c r="Q70" s="497">
        <v>1</v>
      </c>
      <c r="R70" s="497">
        <v>1</v>
      </c>
    </row>
    <row r="71" spans="1:21">
      <c r="A71" s="490"/>
      <c r="B71" s="490"/>
      <c r="C71" s="490"/>
      <c r="D71" s="490"/>
      <c r="E71" s="490"/>
      <c r="F71" s="490"/>
      <c r="G71" s="490"/>
      <c r="H71" s="490"/>
      <c r="I71" s="490"/>
      <c r="J71" s="490"/>
      <c r="K71" s="490"/>
      <c r="L71" s="490"/>
      <c r="M71" s="490"/>
      <c r="N71" s="490"/>
      <c r="O71" s="490"/>
      <c r="P71" s="490"/>
      <c r="Q71" s="490"/>
      <c r="R71" s="490"/>
      <c r="S71" s="490"/>
      <c r="T71" s="490"/>
      <c r="U71" s="490"/>
    </row>
    <row r="72" spans="1:21">
      <c r="A72" s="490"/>
      <c r="B72" s="490"/>
      <c r="C72" s="490"/>
      <c r="D72" s="490"/>
      <c r="E72" s="490"/>
      <c r="F72" s="490"/>
      <c r="G72" s="490"/>
      <c r="H72" s="490"/>
      <c r="I72" s="490"/>
      <c r="J72" s="490"/>
      <c r="K72" s="490"/>
      <c r="L72" s="490"/>
      <c r="M72" s="490"/>
      <c r="N72" s="490"/>
      <c r="O72" s="490"/>
      <c r="P72" s="490"/>
      <c r="Q72" s="490"/>
      <c r="R72" s="490"/>
      <c r="S72" s="490"/>
      <c r="T72" s="490"/>
      <c r="U72" s="490"/>
    </row>
    <row r="73" spans="1:21">
      <c r="A73" s="498" t="s">
        <v>447</v>
      </c>
      <c r="B73" s="499">
        <f>+SUM($B70:B$70)</f>
        <v>0</v>
      </c>
      <c r="C73" s="499">
        <f>+SUM($B70:C$70)</f>
        <v>0</v>
      </c>
      <c r="D73" s="499">
        <f>+SUM($B70:D$70)</f>
        <v>0</v>
      </c>
      <c r="E73" s="499">
        <f>+SUM($B70:E$70)</f>
        <v>0</v>
      </c>
      <c r="F73" s="499">
        <f>+SUM($B70:F$70)</f>
        <v>0</v>
      </c>
      <c r="G73" s="499">
        <f>+SUM($B70:G$70)</f>
        <v>0</v>
      </c>
      <c r="H73" s="499">
        <f>+SUM($B70:H$70)</f>
        <v>1</v>
      </c>
      <c r="I73" s="499">
        <f>+SUM($B70:I$70)</f>
        <v>2</v>
      </c>
      <c r="J73" s="499">
        <f>+SUM($B70:J$70)</f>
        <v>3</v>
      </c>
      <c r="K73" s="499">
        <f>+SUM($B70:K$70)</f>
        <v>4</v>
      </c>
      <c r="L73" s="499">
        <f>+SUM($B70:L$70)</f>
        <v>5</v>
      </c>
      <c r="M73" s="499">
        <f>+SUM($B70:M$70)</f>
        <v>6</v>
      </c>
      <c r="N73" s="499">
        <f>+SUM($B70:N$70)</f>
        <v>7</v>
      </c>
      <c r="O73" s="499">
        <f>+SUM($B70:O$70)</f>
        <v>8</v>
      </c>
      <c r="P73" s="499">
        <f>+SUM($B70:P$70)</f>
        <v>9</v>
      </c>
      <c r="Q73" s="499">
        <f>+SUM($B70:Q$70)</f>
        <v>10</v>
      </c>
      <c r="R73" s="499">
        <f>+SUM($B70:R$70)</f>
        <v>11</v>
      </c>
      <c r="S73" s="490"/>
      <c r="T73" s="490"/>
      <c r="U73" s="490"/>
    </row>
    <row r="74" spans="1:21">
      <c r="A74" s="498" t="s">
        <v>448</v>
      </c>
      <c r="B74" s="500">
        <v>1</v>
      </c>
      <c r="C74" s="500">
        <f t="shared" ref="C74:K74" si="5">+B74+1</f>
        <v>2</v>
      </c>
      <c r="D74" s="500">
        <f t="shared" si="5"/>
        <v>3</v>
      </c>
      <c r="E74" s="500">
        <f t="shared" si="5"/>
        <v>4</v>
      </c>
      <c r="F74" s="500">
        <f t="shared" si="5"/>
        <v>5</v>
      </c>
      <c r="G74" s="500">
        <f t="shared" si="5"/>
        <v>6</v>
      </c>
      <c r="H74" s="500">
        <f t="shared" si="5"/>
        <v>7</v>
      </c>
      <c r="I74" s="500">
        <f t="shared" si="5"/>
        <v>8</v>
      </c>
      <c r="J74" s="500">
        <f t="shared" si="5"/>
        <v>9</v>
      </c>
      <c r="K74" s="500">
        <f t="shared" si="5"/>
        <v>10</v>
      </c>
      <c r="L74" s="500">
        <f>+K74+1</f>
        <v>11</v>
      </c>
      <c r="M74" s="500">
        <f t="shared" ref="M74:N74" si="6">+L74+1</f>
        <v>12</v>
      </c>
      <c r="N74" s="500">
        <f t="shared" si="6"/>
        <v>13</v>
      </c>
      <c r="O74" s="500">
        <f t="shared" ref="O74" si="7">+N74+1</f>
        <v>14</v>
      </c>
      <c r="P74" s="500">
        <f t="shared" ref="P74" si="8">+O74+1</f>
        <v>15</v>
      </c>
      <c r="Q74" s="500">
        <f t="shared" ref="Q74" si="9">+P74+1</f>
        <v>16</v>
      </c>
      <c r="R74" s="500">
        <f t="shared" ref="R74" si="10">+Q74+1</f>
        <v>17</v>
      </c>
    </row>
    <row r="75" spans="1:21">
      <c r="A75" s="498" t="s">
        <v>449</v>
      </c>
      <c r="B75" s="500">
        <f t="shared" ref="B75:N75" ca="1" si="11">+OFFSET($A$69,0,MATCH(B$74,$B$73:$R$73,0))</f>
        <v>2006</v>
      </c>
      <c r="C75" s="500">
        <f t="shared" ca="1" si="11"/>
        <v>2007</v>
      </c>
      <c r="D75" s="500">
        <f t="shared" ca="1" si="11"/>
        <v>2008</v>
      </c>
      <c r="E75" s="500">
        <f t="shared" ca="1" si="11"/>
        <v>2009</v>
      </c>
      <c r="F75" s="500">
        <f t="shared" ca="1" si="11"/>
        <v>2010</v>
      </c>
      <c r="G75" s="500">
        <f t="shared" ca="1" si="11"/>
        <v>2011</v>
      </c>
      <c r="H75" s="500">
        <f t="shared" ca="1" si="11"/>
        <v>2012</v>
      </c>
      <c r="I75" s="500">
        <f t="shared" ca="1" si="11"/>
        <v>2013</v>
      </c>
      <c r="J75" s="500">
        <f t="shared" ca="1" si="11"/>
        <v>2014</v>
      </c>
      <c r="K75" s="500">
        <f t="shared" ca="1" si="11"/>
        <v>2015</v>
      </c>
      <c r="L75" s="500">
        <f t="shared" ca="1" si="11"/>
        <v>2016</v>
      </c>
      <c r="M75" s="500" t="e">
        <f t="shared" ca="1" si="11"/>
        <v>#N/A</v>
      </c>
      <c r="N75" s="500" t="e">
        <f t="shared" ca="1" si="11"/>
        <v>#N/A</v>
      </c>
      <c r="O75" s="500" t="e">
        <f t="shared" ref="O75:R75" ca="1" si="12">+OFFSET($A$69,0,MATCH(O$74,$B$73:$R$73,0))</f>
        <v>#N/A</v>
      </c>
      <c r="P75" s="500" t="e">
        <f t="shared" ca="1" si="12"/>
        <v>#N/A</v>
      </c>
      <c r="Q75" s="500" t="e">
        <f t="shared" ca="1" si="12"/>
        <v>#N/A</v>
      </c>
      <c r="R75" s="500" t="e">
        <f t="shared" ca="1" si="12"/>
        <v>#N/A</v>
      </c>
    </row>
    <row r="76" spans="1:21">
      <c r="A76" s="498" t="s">
        <v>450</v>
      </c>
      <c r="B76" s="498">
        <f t="shared" ref="B76:N76" ca="1" si="13">+INDEX(14:14,1,MATCH(B$75,9:9,0))</f>
        <v>24577</v>
      </c>
      <c r="C76" s="498">
        <f t="shared" ca="1" si="13"/>
        <v>24877</v>
      </c>
      <c r="D76" s="498">
        <f t="shared" ca="1" si="13"/>
        <v>23076</v>
      </c>
      <c r="E76" s="498">
        <f t="shared" ca="1" si="13"/>
        <v>23969</v>
      </c>
      <c r="F76" s="498">
        <f t="shared" ca="1" si="13"/>
        <v>25008</v>
      </c>
      <c r="G76" s="498">
        <f t="shared" ca="1" si="13"/>
        <v>25158</v>
      </c>
      <c r="H76" s="498">
        <f t="shared" ca="1" si="13"/>
        <v>25872</v>
      </c>
      <c r="I76" s="498">
        <f t="shared" ca="1" si="13"/>
        <v>23284</v>
      </c>
      <c r="J76" s="498">
        <f t="shared" ca="1" si="13"/>
        <v>23715</v>
      </c>
      <c r="K76" s="498">
        <f t="shared" ca="1" si="13"/>
        <v>24947</v>
      </c>
      <c r="L76" s="498">
        <f t="shared" ca="1" si="13"/>
        <v>26677</v>
      </c>
      <c r="M76" s="498" t="e">
        <f t="shared" ca="1" si="13"/>
        <v>#N/A</v>
      </c>
      <c r="N76" s="498" t="e">
        <f t="shared" ca="1" si="13"/>
        <v>#N/A</v>
      </c>
      <c r="O76" s="498" t="e">
        <f t="shared" ref="O76:R76" ca="1" si="14">+INDEX(14:14,1,MATCH(O$75,9:9,0))</f>
        <v>#N/A</v>
      </c>
      <c r="P76" s="498" t="e">
        <f t="shared" ca="1" si="14"/>
        <v>#N/A</v>
      </c>
      <c r="Q76" s="498" t="e">
        <f t="shared" ca="1" si="14"/>
        <v>#N/A</v>
      </c>
      <c r="R76" s="498" t="e">
        <f t="shared" ca="1" si="14"/>
        <v>#N/A</v>
      </c>
    </row>
    <row r="79" spans="1:21">
      <c r="A79" s="501"/>
      <c r="B79" s="502" t="s">
        <v>451</v>
      </c>
      <c r="C79" s="503"/>
    </row>
    <row r="80" spans="1:21">
      <c r="A80" s="501" t="s">
        <v>452</v>
      </c>
      <c r="B80" s="504">
        <f t="array" aca="1" ref="B80:C84" ca="1">+LINEST(
OFFSET($B76,0,0,1,SUM($B70:$R70)),
OFFSET($B75,0,0,1,SUM($B70:$R70)),
,
1)</f>
        <v>110.82727272727273</v>
      </c>
      <c r="C80" s="504">
        <f ca="1"/>
        <v>-198222.73636363636</v>
      </c>
      <c r="D80" s="470" t="s">
        <v>453</v>
      </c>
    </row>
    <row r="81" spans="1:4">
      <c r="A81" s="501" t="s">
        <v>454</v>
      </c>
      <c r="B81" s="504">
        <f ca="1"/>
        <v>102.80717278003009</v>
      </c>
      <c r="C81" s="504">
        <f ca="1"/>
        <v>206745.48007254809</v>
      </c>
      <c r="D81" s="470" t="s">
        <v>455</v>
      </c>
    </row>
    <row r="82" spans="1:4">
      <c r="A82" s="501" t="s">
        <v>456</v>
      </c>
      <c r="B82" s="504">
        <f ca="1"/>
        <v>0.11435697462870009</v>
      </c>
      <c r="C82" s="504">
        <f ca="1"/>
        <v>1078.2507246705311</v>
      </c>
      <c r="D82" s="470" t="s">
        <v>457</v>
      </c>
    </row>
    <row r="83" spans="1:4">
      <c r="A83" s="505" t="s">
        <v>458</v>
      </c>
      <c r="B83" s="504">
        <f ca="1"/>
        <v>1.1621079172692748</v>
      </c>
      <c r="C83" s="504">
        <f ca="1"/>
        <v>9</v>
      </c>
      <c r="D83" s="470" t="s">
        <v>459</v>
      </c>
    </row>
    <row r="84" spans="1:4">
      <c r="A84" s="505" t="s">
        <v>460</v>
      </c>
      <c r="B84" s="504">
        <f ca="1"/>
        <v>1351095.2818181831</v>
      </c>
      <c r="C84" s="504">
        <f ca="1"/>
        <v>10463621.627272727</v>
      </c>
      <c r="D84" s="470" t="s">
        <v>461</v>
      </c>
    </row>
    <row r="85" spans="1:4">
      <c r="A85" s="501"/>
    </row>
    <row r="86" spans="1:4">
      <c r="A86" s="501"/>
    </row>
    <row r="87" spans="1:4">
      <c r="A87" s="501" t="s">
        <v>462</v>
      </c>
      <c r="B87" s="470">
        <f ca="1">+B80/B81</f>
        <v>1.0780110932960167</v>
      </c>
    </row>
    <row r="88" spans="1:4">
      <c r="A88" s="505" t="s">
        <v>463</v>
      </c>
      <c r="B88" s="506">
        <f ca="1">+TDIST(B87,C83,2)</f>
        <v>0.30907277844561665</v>
      </c>
    </row>
  </sheetData>
  <conditionalFormatting sqref="B14:H14 J14:R14">
    <cfRule type="expression" dxfId="29" priority="2">
      <formula>B$70=1</formula>
    </cfRule>
  </conditionalFormatting>
  <conditionalFormatting sqref="B14:I14">
    <cfRule type="expression" dxfId="28"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89"/>
  <sheetViews>
    <sheetView showGridLines="0" zoomScale="70" zoomScaleNormal="70" zoomScaleSheetLayoutView="55" workbookViewId="0"/>
  </sheetViews>
  <sheetFormatPr defaultRowHeight="12.75"/>
  <cols>
    <col min="1" max="1" width="36.5703125" style="470" customWidth="1"/>
    <col min="2" max="16" width="11.28515625" style="470" customWidth="1"/>
    <col min="17" max="17" width="11.28515625" style="719" customWidth="1"/>
    <col min="18" max="18" width="11.28515625" style="470" customWidth="1"/>
    <col min="19" max="21" width="9.140625" style="473"/>
    <col min="22" max="16384" width="9.140625" style="470"/>
  </cols>
  <sheetData>
    <row r="1" spans="1:21" s="472" customFormat="1" ht="15.75">
      <c r="A1" s="656" t="s">
        <v>540</v>
      </c>
      <c r="S1" s="590"/>
      <c r="T1" s="590"/>
      <c r="U1" s="590"/>
    </row>
    <row r="2" spans="1:21" s="472" customFormat="1" ht="15.75">
      <c r="A2" s="338" t="s">
        <v>495</v>
      </c>
      <c r="S2" s="590"/>
      <c r="T2" s="590"/>
      <c r="U2" s="590"/>
    </row>
    <row r="3" spans="1:21" s="472" customFormat="1" ht="15.75">
      <c r="A3" s="338"/>
      <c r="S3" s="590"/>
      <c r="T3" s="590"/>
      <c r="U3" s="590"/>
    </row>
    <row r="4" spans="1:21" s="472" customFormat="1" ht="15.75">
      <c r="A4" s="589" t="s">
        <v>438</v>
      </c>
      <c r="B4" s="587" t="s">
        <v>515</v>
      </c>
      <c r="C4" s="587"/>
      <c r="D4" s="587"/>
      <c r="E4" s="587"/>
      <c r="F4" s="587"/>
      <c r="G4" s="587"/>
      <c r="H4" s="587"/>
      <c r="I4" s="587"/>
      <c r="S4" s="590"/>
      <c r="T4" s="590"/>
      <c r="U4" s="590"/>
    </row>
    <row r="5" spans="1:21" s="472" customFormat="1" ht="15">
      <c r="A5" s="588"/>
      <c r="S5" s="590"/>
      <c r="T5" s="590"/>
      <c r="U5" s="590"/>
    </row>
    <row r="6" spans="1:21" s="472" customFormat="1" ht="15">
      <c r="A6" s="592" t="s">
        <v>505</v>
      </c>
      <c r="S6" s="590"/>
      <c r="T6" s="590"/>
      <c r="U6" s="590"/>
    </row>
    <row r="8" spans="1:21">
      <c r="A8" s="474"/>
      <c r="B8" s="475"/>
      <c r="C8" s="475"/>
      <c r="D8" s="475"/>
      <c r="E8" s="475"/>
      <c r="F8" s="475"/>
      <c r="G8" s="475"/>
      <c r="H8" s="475"/>
      <c r="I8" s="475"/>
      <c r="J8" s="476"/>
      <c r="K8" s="476"/>
      <c r="L8" s="476"/>
      <c r="M8" s="476"/>
      <c r="N8" s="477"/>
      <c r="O8" s="477"/>
      <c r="P8" s="478"/>
      <c r="Q8" s="478"/>
      <c r="R8" s="477"/>
    </row>
    <row r="9" spans="1:21">
      <c r="B9" s="479">
        <f t="shared" ref="B9:H9" si="0">+C9-1</f>
        <v>2000</v>
      </c>
      <c r="C9" s="479">
        <f t="shared" si="0"/>
        <v>2001</v>
      </c>
      <c r="D9" s="479">
        <f t="shared" si="0"/>
        <v>2002</v>
      </c>
      <c r="E9" s="479">
        <f t="shared" si="0"/>
        <v>2003</v>
      </c>
      <c r="F9" s="479">
        <f t="shared" si="0"/>
        <v>2004</v>
      </c>
      <c r="G9" s="479">
        <f t="shared" si="0"/>
        <v>2005</v>
      </c>
      <c r="H9" s="479">
        <f t="shared" si="0"/>
        <v>2006</v>
      </c>
      <c r="I9" s="479">
        <f>+J9-1</f>
        <v>2007</v>
      </c>
      <c r="J9" s="479">
        <v>2008</v>
      </c>
      <c r="K9" s="480">
        <v>2009</v>
      </c>
      <c r="L9" s="480">
        <v>2010</v>
      </c>
      <c r="M9" s="480">
        <v>2011</v>
      </c>
      <c r="N9" s="480">
        <v>2012</v>
      </c>
      <c r="O9" s="480">
        <v>2013</v>
      </c>
      <c r="P9" s="480">
        <v>2014</v>
      </c>
      <c r="Q9" s="480">
        <v>2015</v>
      </c>
      <c r="R9" s="480">
        <v>2016</v>
      </c>
    </row>
    <row r="10" spans="1:21" ht="8.25" customHeight="1">
      <c r="B10" s="481" t="s">
        <v>439</v>
      </c>
      <c r="C10" s="481" t="s">
        <v>439</v>
      </c>
      <c r="D10" s="481" t="s">
        <v>439</v>
      </c>
      <c r="E10" s="481" t="s">
        <v>439</v>
      </c>
      <c r="F10" s="481" t="s">
        <v>439</v>
      </c>
      <c r="G10" s="481" t="s">
        <v>439</v>
      </c>
      <c r="H10" s="481" t="s">
        <v>439</v>
      </c>
      <c r="I10" s="481" t="s">
        <v>439</v>
      </c>
      <c r="J10" s="481" t="s">
        <v>439</v>
      </c>
      <c r="K10" s="481" t="s">
        <v>439</v>
      </c>
      <c r="L10" s="481" t="s">
        <v>439</v>
      </c>
      <c r="M10" s="481" t="s">
        <v>439</v>
      </c>
      <c r="N10" s="481" t="s">
        <v>439</v>
      </c>
      <c r="O10" s="481" t="s">
        <v>439</v>
      </c>
      <c r="P10" s="481" t="s">
        <v>439</v>
      </c>
      <c r="Q10" s="481" t="s">
        <v>439</v>
      </c>
      <c r="R10" s="481" t="s">
        <v>439</v>
      </c>
    </row>
    <row r="11" spans="1:21">
      <c r="A11" s="482" t="s">
        <v>466</v>
      </c>
      <c r="B11" s="97">
        <f>+'Cost Trends'!F121</f>
        <v>9346</v>
      </c>
      <c r="C11" s="97">
        <f>+'Cost Trends'!G121</f>
        <v>5139</v>
      </c>
      <c r="D11" s="97">
        <f>+'Cost Trends'!H121</f>
        <v>7164</v>
      </c>
      <c r="E11" s="97">
        <f>+'Cost Trends'!I121</f>
        <v>6722</v>
      </c>
      <c r="F11" s="97">
        <f>+'Cost Trends'!J121</f>
        <v>7283</v>
      </c>
      <c r="G11" s="97">
        <f>+'Cost Trends'!K121</f>
        <v>9900</v>
      </c>
      <c r="H11" s="97">
        <f>+'Cost Trends'!L121</f>
        <v>9115</v>
      </c>
      <c r="I11" s="97">
        <f>+'Cost Trends'!M121</f>
        <v>8319</v>
      </c>
      <c r="J11" s="97">
        <f>+'Cost Trends'!N121</f>
        <v>8146</v>
      </c>
      <c r="K11" s="97">
        <f>+'Cost Trends'!O121</f>
        <v>9014</v>
      </c>
      <c r="L11" s="97">
        <f>+'Cost Trends'!P121</f>
        <v>9955</v>
      </c>
      <c r="M11" s="97">
        <f>+'Cost Trends'!Q121</f>
        <v>10846</v>
      </c>
      <c r="N11" s="97">
        <f>+'Cost Trends'!R121</f>
        <v>11456</v>
      </c>
      <c r="O11" s="97">
        <f>+'Cost Trends'!S121</f>
        <v>12913</v>
      </c>
      <c r="P11" s="97">
        <f>+'Cost Trends'!T121</f>
        <v>12828</v>
      </c>
      <c r="Q11" s="97">
        <f>+'Cost Trends'!U121</f>
        <v>14133</v>
      </c>
      <c r="R11" s="97">
        <f>+'Cost Trends'!V121</f>
        <v>14654</v>
      </c>
    </row>
    <row r="12" spans="1:21" s="473" customFormat="1" ht="8.25" customHeight="1">
      <c r="A12" s="470"/>
      <c r="B12" s="481" t="s">
        <v>439</v>
      </c>
      <c r="C12" s="481" t="s">
        <v>439</v>
      </c>
      <c r="D12" s="481" t="s">
        <v>439</v>
      </c>
      <c r="E12" s="481" t="s">
        <v>439</v>
      </c>
      <c r="F12" s="481" t="s">
        <v>439</v>
      </c>
      <c r="G12" s="481" t="s">
        <v>439</v>
      </c>
      <c r="H12" s="481" t="s">
        <v>439</v>
      </c>
      <c r="I12" s="481" t="s">
        <v>439</v>
      </c>
      <c r="J12" s="481" t="s">
        <v>439</v>
      </c>
      <c r="K12" s="481" t="s">
        <v>439</v>
      </c>
      <c r="L12" s="481" t="s">
        <v>439</v>
      </c>
      <c r="M12" s="481" t="s">
        <v>439</v>
      </c>
      <c r="N12" s="481" t="s">
        <v>439</v>
      </c>
      <c r="O12" s="481" t="s">
        <v>439</v>
      </c>
      <c r="P12" s="481" t="s">
        <v>439</v>
      </c>
      <c r="Q12" s="481" t="s">
        <v>439</v>
      </c>
      <c r="R12" s="481" t="s">
        <v>439</v>
      </c>
    </row>
    <row r="13" spans="1:21" s="473" customFormat="1" ht="26.25" customHeight="1">
      <c r="A13" s="483" t="str">
        <f>+"Total "&amp;B4</f>
        <v>Total Production &amp; Transmission Taxes Other Than Income Taxes</v>
      </c>
      <c r="B13" s="484">
        <f t="shared" ref="B13:P13" si="1">+SUM(B10:B12)</f>
        <v>9346</v>
      </c>
      <c r="C13" s="484">
        <f t="shared" si="1"/>
        <v>5139</v>
      </c>
      <c r="D13" s="484">
        <f t="shared" si="1"/>
        <v>7164</v>
      </c>
      <c r="E13" s="484">
        <f t="shared" si="1"/>
        <v>6722</v>
      </c>
      <c r="F13" s="484">
        <f t="shared" si="1"/>
        <v>7283</v>
      </c>
      <c r="G13" s="484">
        <f t="shared" si="1"/>
        <v>9900</v>
      </c>
      <c r="H13" s="484">
        <f t="shared" si="1"/>
        <v>9115</v>
      </c>
      <c r="I13" s="484">
        <f t="shared" si="1"/>
        <v>8319</v>
      </c>
      <c r="J13" s="484">
        <f t="shared" si="1"/>
        <v>8146</v>
      </c>
      <c r="K13" s="484">
        <f t="shared" si="1"/>
        <v>9014</v>
      </c>
      <c r="L13" s="484">
        <f t="shared" si="1"/>
        <v>9955</v>
      </c>
      <c r="M13" s="484">
        <f t="shared" si="1"/>
        <v>10846</v>
      </c>
      <c r="N13" s="484">
        <f t="shared" si="1"/>
        <v>11456</v>
      </c>
      <c r="O13" s="484">
        <f t="shared" si="1"/>
        <v>12913</v>
      </c>
      <c r="P13" s="484">
        <f t="shared" si="1"/>
        <v>12828</v>
      </c>
      <c r="Q13" s="484">
        <f t="shared" ref="Q13:R13" si="2">+SUM(Q10:Q12)</f>
        <v>14133</v>
      </c>
      <c r="R13" s="484">
        <f t="shared" si="2"/>
        <v>14654</v>
      </c>
    </row>
    <row r="14" spans="1:21" s="473" customFormat="1">
      <c r="A14" s="470"/>
      <c r="B14" s="470"/>
      <c r="C14" s="470"/>
      <c r="D14" s="470"/>
      <c r="E14" s="470"/>
      <c r="F14" s="470"/>
      <c r="G14" s="470"/>
      <c r="H14" s="470"/>
      <c r="I14" s="470"/>
      <c r="J14" s="470"/>
      <c r="K14" s="470"/>
      <c r="L14" s="470"/>
      <c r="M14" s="470"/>
      <c r="N14" s="470"/>
      <c r="O14" s="470"/>
      <c r="P14" s="327"/>
      <c r="Q14" s="327"/>
      <c r="R14" s="470"/>
    </row>
    <row r="15" spans="1:21" s="473" customFormat="1">
      <c r="A15" s="470"/>
      <c r="B15" s="470"/>
      <c r="C15" s="470"/>
      <c r="D15" s="470"/>
      <c r="E15" s="470"/>
      <c r="F15" s="470"/>
      <c r="G15" s="470"/>
      <c r="H15" s="470"/>
      <c r="I15" s="470"/>
      <c r="J15" s="470"/>
      <c r="K15" s="470"/>
      <c r="L15" s="470"/>
      <c r="M15" s="470"/>
      <c r="N15" s="470"/>
      <c r="O15" s="470"/>
      <c r="P15" s="327"/>
      <c r="Q15" s="327"/>
      <c r="R15" s="470"/>
    </row>
    <row r="16" spans="1:21" s="473" customFormat="1">
      <c r="A16" s="485" t="s">
        <v>442</v>
      </c>
      <c r="B16" s="486"/>
      <c r="C16" s="487"/>
      <c r="D16" s="485" t="s">
        <v>504</v>
      </c>
      <c r="E16" s="485"/>
      <c r="F16" s="486"/>
      <c r="G16" s="486"/>
      <c r="H16" s="486"/>
      <c r="I16" s="486"/>
      <c r="J16" s="486"/>
      <c r="K16" s="486"/>
      <c r="L16" s="486"/>
      <c r="M16" s="486"/>
      <c r="N16" s="486"/>
      <c r="O16" s="486"/>
      <c r="P16" s="488"/>
      <c r="Q16" s="488"/>
      <c r="R16" s="486"/>
    </row>
    <row r="17" spans="1:21" s="473" customFormat="1" ht="19.5" customHeight="1">
      <c r="B17" s="489"/>
      <c r="C17" s="489"/>
      <c r="D17" s="489"/>
      <c r="E17" s="489"/>
      <c r="F17" s="489"/>
      <c r="G17" s="489"/>
      <c r="H17" s="489"/>
      <c r="I17" s="489"/>
      <c r="J17" s="470"/>
      <c r="K17" s="470"/>
      <c r="L17" s="470"/>
      <c r="M17" s="470"/>
      <c r="N17" s="470"/>
      <c r="O17" s="470"/>
      <c r="P17" s="470"/>
      <c r="Q17" s="719"/>
      <c r="R17" s="470"/>
    </row>
    <row r="18" spans="1:21" s="473" customFormat="1" ht="19.5" customHeight="1">
      <c r="A18" s="529" t="s">
        <v>502</v>
      </c>
      <c r="B18" s="490">
        <f ca="1">+LINEST(
OFFSET($B$76,0,0,1,SUM($B$70:$R$70)),
OFFSET($B$75,0,0,1,SUM($B$70:$R$70)),
,
1)</f>
        <v>772.59393939393954</v>
      </c>
      <c r="C18" s="489"/>
      <c r="D18" s="489"/>
      <c r="E18" s="489"/>
      <c r="F18" s="489"/>
      <c r="G18" s="489"/>
      <c r="H18" s="489"/>
      <c r="I18" s="489"/>
      <c r="J18" s="470"/>
      <c r="K18" s="470"/>
      <c r="L18" s="470"/>
      <c r="M18" s="470"/>
      <c r="N18" s="470"/>
      <c r="O18" s="470"/>
      <c r="P18" s="470"/>
      <c r="Q18" s="719"/>
      <c r="R18" s="470"/>
    </row>
    <row r="19" spans="1:21" s="473" customFormat="1" ht="19.5" customHeight="1">
      <c r="A19" s="473" t="s">
        <v>503</v>
      </c>
      <c r="B19" s="489">
        <f ca="1">RSQ(
OFFSET($B$76,0,0,1,SUM($B$70:$R$70)),
OFFSET($B$75,0,0,1,SUM($B$70:$R$70))
)</f>
        <v>0.97985206960060878</v>
      </c>
      <c r="C19" s="490"/>
      <c r="D19" s="490"/>
      <c r="E19" s="490"/>
      <c r="F19" s="490"/>
      <c r="G19" s="490"/>
      <c r="H19" s="490"/>
      <c r="I19" s="490"/>
      <c r="J19" s="470"/>
      <c r="K19" s="470"/>
      <c r="L19" s="470"/>
      <c r="M19" s="470"/>
      <c r="N19" s="470"/>
      <c r="O19" s="470"/>
      <c r="P19" s="470"/>
      <c r="Q19" s="719"/>
      <c r="R19" s="470"/>
    </row>
    <row r="20" spans="1:21" s="473" customFormat="1" ht="19.5" customHeight="1">
      <c r="A20" s="470" t="s">
        <v>443</v>
      </c>
      <c r="B20" s="491">
        <f ca="1">+B18/R13</f>
        <v>5.2722392479455406E-2</v>
      </c>
      <c r="C20" s="489"/>
      <c r="D20" s="489"/>
      <c r="E20" s="489"/>
      <c r="F20" s="489"/>
      <c r="G20" s="489"/>
      <c r="H20" s="489"/>
      <c r="I20" s="489"/>
      <c r="J20" s="470"/>
      <c r="K20" s="470"/>
      <c r="L20" s="470"/>
      <c r="M20" s="470"/>
      <c r="N20" s="470"/>
      <c r="O20" s="470"/>
      <c r="P20" s="470"/>
      <c r="Q20" s="719"/>
      <c r="R20" s="470"/>
    </row>
    <row r="21" spans="1:21" s="473" customFormat="1" ht="19.5" customHeight="1">
      <c r="A21" s="327" t="str">
        <f>+'2) ROR'!$D$19&amp;"-year Growth Rate"</f>
        <v>1-year Growth Rate</v>
      </c>
      <c r="B21" s="530">
        <f ca="1">ROUND(B20*'2) ROR'!$D$19,4)</f>
        <v>5.2699999999999997E-2</v>
      </c>
      <c r="C21" s="491"/>
      <c r="D21" s="491"/>
      <c r="E21" s="491"/>
      <c r="F21" s="491"/>
      <c r="G21" s="491"/>
      <c r="H21" s="491"/>
      <c r="I21" s="491"/>
      <c r="J21" s="470"/>
      <c r="K21" s="470"/>
      <c r="L21" s="470"/>
      <c r="M21" s="470"/>
      <c r="N21" s="470"/>
      <c r="O21" s="470"/>
      <c r="P21" s="470"/>
      <c r="Q21" s="719"/>
      <c r="R21" s="470"/>
    </row>
    <row r="22" spans="1:21" s="473" customFormat="1" ht="19.5" customHeight="1">
      <c r="C22" s="492"/>
      <c r="D22" s="492"/>
      <c r="E22" s="492"/>
      <c r="F22" s="492"/>
      <c r="G22" s="492"/>
      <c r="H22" s="492"/>
      <c r="I22" s="492"/>
      <c r="J22" s="470"/>
      <c r="K22" s="470"/>
      <c r="L22" s="362"/>
      <c r="M22" s="470"/>
      <c r="N22" s="470"/>
      <c r="O22" s="470"/>
      <c r="P22" s="470"/>
      <c r="Q22" s="719"/>
      <c r="R22" s="470"/>
    </row>
    <row r="24" spans="1:21" s="473" customFormat="1">
      <c r="A24" s="470"/>
      <c r="B24" s="470"/>
      <c r="C24" s="470"/>
      <c r="D24" s="470"/>
      <c r="E24" s="470"/>
      <c r="F24" s="470"/>
      <c r="G24" s="470"/>
      <c r="H24" s="470"/>
      <c r="I24" s="470"/>
      <c r="J24" s="470"/>
      <c r="K24" s="470"/>
      <c r="L24" s="470"/>
      <c r="M24" s="470"/>
      <c r="N24" s="470"/>
      <c r="O24" s="470"/>
      <c r="P24" s="470"/>
      <c r="Q24" s="719"/>
      <c r="R24" s="470"/>
      <c r="S24" s="493"/>
      <c r="T24" s="493"/>
    </row>
    <row r="25" spans="1:21" s="473" customFormat="1">
      <c r="A25" s="470"/>
      <c r="B25" s="470"/>
      <c r="C25" s="470"/>
      <c r="D25" s="470"/>
      <c r="E25" s="470"/>
      <c r="F25" s="470"/>
      <c r="G25" s="470"/>
      <c r="H25" s="470"/>
      <c r="I25" s="470"/>
      <c r="J25" s="470"/>
      <c r="K25" s="470"/>
      <c r="L25" s="470"/>
      <c r="M25" s="470"/>
      <c r="N25" s="470"/>
      <c r="O25" s="470"/>
      <c r="P25" s="470"/>
      <c r="Q25" s="719"/>
      <c r="R25" s="470"/>
      <c r="S25" s="494"/>
      <c r="T25" s="494"/>
    </row>
    <row r="26" spans="1:21" s="473" customFormat="1">
      <c r="A26" s="470"/>
      <c r="B26" s="470"/>
      <c r="C26" s="470"/>
      <c r="D26" s="470"/>
      <c r="E26" s="470"/>
      <c r="F26" s="470"/>
      <c r="G26" s="470"/>
      <c r="H26" s="470"/>
      <c r="I26" s="470"/>
      <c r="J26" s="470"/>
      <c r="K26" s="470"/>
      <c r="L26" s="470"/>
      <c r="M26" s="470"/>
      <c r="N26" s="470"/>
      <c r="O26" s="470"/>
      <c r="P26" s="470"/>
      <c r="Q26" s="719"/>
      <c r="R26" s="470"/>
      <c r="S26" s="494"/>
      <c r="T26" s="494"/>
    </row>
    <row r="27" spans="1:21" s="473" customFormat="1">
      <c r="A27" s="470"/>
      <c r="B27" s="470"/>
      <c r="C27" s="470"/>
      <c r="D27" s="470"/>
      <c r="E27" s="470"/>
      <c r="F27" s="470"/>
      <c r="G27" s="470"/>
      <c r="H27" s="470"/>
      <c r="I27" s="470"/>
      <c r="J27" s="470"/>
      <c r="K27" s="470"/>
      <c r="L27" s="470"/>
      <c r="M27" s="470"/>
      <c r="N27" s="470"/>
      <c r="O27" s="470"/>
      <c r="P27" s="470"/>
      <c r="Q27" s="719"/>
      <c r="R27" s="470"/>
      <c r="S27" s="494"/>
      <c r="T27" s="494"/>
    </row>
    <row r="28" spans="1:21" s="473" customFormat="1">
      <c r="A28" s="470"/>
      <c r="B28" s="470"/>
      <c r="C28" s="470"/>
      <c r="D28" s="470"/>
      <c r="E28" s="470"/>
      <c r="F28" s="470"/>
      <c r="G28" s="470"/>
      <c r="H28" s="470"/>
      <c r="I28" s="470"/>
      <c r="J28" s="470"/>
      <c r="K28" s="470"/>
      <c r="L28" s="470"/>
      <c r="M28" s="470"/>
      <c r="N28" s="470"/>
      <c r="O28" s="470"/>
      <c r="P28" s="470"/>
      <c r="Q28" s="719"/>
      <c r="R28" s="470"/>
      <c r="S28" s="494"/>
      <c r="T28" s="494"/>
    </row>
    <row r="29" spans="1:21" s="473" customFormat="1">
      <c r="A29" s="470"/>
      <c r="B29" s="470"/>
      <c r="C29" s="470"/>
      <c r="D29" s="470"/>
      <c r="E29" s="470"/>
      <c r="F29" s="470"/>
      <c r="G29" s="470"/>
      <c r="H29" s="470"/>
      <c r="I29" s="470"/>
      <c r="J29" s="470"/>
      <c r="K29" s="470"/>
      <c r="L29" s="470"/>
      <c r="M29" s="470"/>
      <c r="N29" s="470"/>
      <c r="O29" s="470"/>
      <c r="P29" s="470"/>
      <c r="Q29" s="719"/>
      <c r="R29" s="470"/>
      <c r="S29" s="494"/>
      <c r="T29" s="494"/>
    </row>
    <row r="32" spans="1:21">
      <c r="S32" s="495"/>
      <c r="T32" s="495"/>
      <c r="U32" s="495"/>
    </row>
    <row r="33" spans="19:21">
      <c r="S33" s="494"/>
      <c r="T33" s="494"/>
      <c r="U33" s="494"/>
    </row>
    <row r="34" spans="19:21">
      <c r="S34" s="494"/>
      <c r="T34" s="494"/>
      <c r="U34" s="494"/>
    </row>
    <row r="35" spans="19:21">
      <c r="S35" s="494"/>
      <c r="T35" s="494"/>
      <c r="U35" s="494"/>
    </row>
    <row r="36" spans="19:21">
      <c r="S36" s="494"/>
      <c r="T36" s="494"/>
      <c r="U36" s="494"/>
    </row>
    <row r="37" spans="19:21">
      <c r="S37" s="494"/>
      <c r="T37" s="494"/>
      <c r="U37" s="494"/>
    </row>
    <row r="38" spans="19:21">
      <c r="S38" s="494"/>
      <c r="T38" s="494"/>
      <c r="U38" s="494"/>
    </row>
    <row r="39" spans="19:21">
      <c r="S39" s="494"/>
      <c r="T39" s="494"/>
      <c r="U39" s="494"/>
    </row>
    <row r="40" spans="19:21">
      <c r="S40" s="494"/>
      <c r="T40" s="494"/>
      <c r="U40" s="494"/>
    </row>
    <row r="41" spans="19:21">
      <c r="S41" s="494"/>
      <c r="T41" s="494"/>
      <c r="U41" s="494"/>
    </row>
    <row r="42" spans="19:21">
      <c r="S42" s="494"/>
      <c r="T42" s="494"/>
      <c r="U42" s="494"/>
    </row>
    <row r="43" spans="19:21">
      <c r="S43" s="494"/>
      <c r="T43" s="494"/>
      <c r="U43" s="494"/>
    </row>
    <row r="44" spans="19:21">
      <c r="S44" s="494"/>
      <c r="T44" s="494"/>
      <c r="U44" s="494"/>
    </row>
    <row r="45" spans="19:21">
      <c r="S45" s="494"/>
      <c r="T45" s="494"/>
      <c r="U45" s="494"/>
    </row>
    <row r="46" spans="19:21">
      <c r="S46" s="494"/>
      <c r="T46" s="494"/>
      <c r="U46" s="494"/>
    </row>
    <row r="47" spans="19:21">
      <c r="S47" s="494"/>
      <c r="T47" s="494"/>
      <c r="U47" s="494"/>
    </row>
    <row r="48" spans="19:21">
      <c r="S48" s="494"/>
      <c r="T48" s="494"/>
      <c r="U48" s="494"/>
    </row>
    <row r="49" spans="19:21">
      <c r="S49" s="494"/>
      <c r="T49" s="494"/>
      <c r="U49" s="494"/>
    </row>
    <row r="50" spans="19:21">
      <c r="S50" s="494"/>
      <c r="T50" s="494"/>
      <c r="U50" s="494"/>
    </row>
    <row r="51" spans="19:21">
      <c r="S51" s="494"/>
      <c r="T51" s="494"/>
      <c r="U51" s="494"/>
    </row>
    <row r="52" spans="19:21">
      <c r="S52" s="494"/>
      <c r="T52" s="494"/>
      <c r="U52" s="494"/>
    </row>
    <row r="53" spans="19:21">
      <c r="S53" s="494"/>
      <c r="T53" s="494"/>
      <c r="U53" s="494"/>
    </row>
    <row r="54" spans="19:21">
      <c r="S54" s="494"/>
      <c r="T54" s="494"/>
      <c r="U54" s="494"/>
    </row>
    <row r="55" spans="19:21">
      <c r="S55" s="494"/>
      <c r="T55" s="494"/>
      <c r="U55" s="494"/>
    </row>
    <row r="57" spans="19:21">
      <c r="S57" s="495"/>
      <c r="T57" s="495"/>
      <c r="U57" s="495"/>
    </row>
    <row r="58" spans="19:21">
      <c r="S58" s="494"/>
      <c r="T58" s="494"/>
      <c r="U58" s="494"/>
    </row>
    <row r="59" spans="19:21">
      <c r="S59" s="494"/>
      <c r="T59" s="494"/>
      <c r="U59" s="494"/>
    </row>
    <row r="60" spans="19:21">
      <c r="S60" s="494"/>
      <c r="T60" s="494"/>
      <c r="U60" s="494"/>
    </row>
    <row r="61" spans="19:21">
      <c r="S61" s="494"/>
      <c r="T61" s="494"/>
      <c r="U61" s="494"/>
    </row>
    <row r="67" spans="1:21">
      <c r="S67" s="495"/>
      <c r="T67" s="495"/>
      <c r="U67" s="495"/>
    </row>
    <row r="68" spans="1:21">
      <c r="A68" s="496" t="s">
        <v>444</v>
      </c>
      <c r="S68" s="494"/>
      <c r="T68" s="494"/>
      <c r="U68" s="494"/>
    </row>
    <row r="69" spans="1:21">
      <c r="A69" s="496" t="s">
        <v>445</v>
      </c>
      <c r="B69" s="496">
        <f t="shared" ref="B69:P69" si="3">+B9</f>
        <v>2000</v>
      </c>
      <c r="C69" s="496">
        <f t="shared" si="3"/>
        <v>2001</v>
      </c>
      <c r="D69" s="496">
        <f t="shared" si="3"/>
        <v>2002</v>
      </c>
      <c r="E69" s="496">
        <f t="shared" si="3"/>
        <v>2003</v>
      </c>
      <c r="F69" s="496">
        <f t="shared" si="3"/>
        <v>2004</v>
      </c>
      <c r="G69" s="496">
        <f t="shared" si="3"/>
        <v>2005</v>
      </c>
      <c r="H69" s="496">
        <f t="shared" si="3"/>
        <v>2006</v>
      </c>
      <c r="I69" s="496">
        <f t="shared" si="3"/>
        <v>2007</v>
      </c>
      <c r="J69" s="496">
        <f t="shared" si="3"/>
        <v>2008</v>
      </c>
      <c r="K69" s="496">
        <f t="shared" si="3"/>
        <v>2009</v>
      </c>
      <c r="L69" s="496">
        <f t="shared" si="3"/>
        <v>2010</v>
      </c>
      <c r="M69" s="496">
        <f t="shared" si="3"/>
        <v>2011</v>
      </c>
      <c r="N69" s="496">
        <f t="shared" si="3"/>
        <v>2012</v>
      </c>
      <c r="O69" s="496">
        <f t="shared" si="3"/>
        <v>2013</v>
      </c>
      <c r="P69" s="496">
        <f t="shared" si="3"/>
        <v>2014</v>
      </c>
      <c r="Q69" s="496">
        <v>2015</v>
      </c>
      <c r="R69" s="496">
        <v>2016</v>
      </c>
    </row>
    <row r="70" spans="1:21">
      <c r="A70" s="497" t="s">
        <v>446</v>
      </c>
      <c r="B70" s="497">
        <v>0</v>
      </c>
      <c r="C70" s="497">
        <v>0</v>
      </c>
      <c r="D70" s="497">
        <v>0</v>
      </c>
      <c r="E70" s="497">
        <v>0</v>
      </c>
      <c r="F70" s="497">
        <v>0</v>
      </c>
      <c r="G70" s="497">
        <v>0</v>
      </c>
      <c r="H70" s="497">
        <v>0</v>
      </c>
      <c r="I70" s="497">
        <v>1</v>
      </c>
      <c r="J70" s="497">
        <v>1</v>
      </c>
      <c r="K70" s="497">
        <v>1</v>
      </c>
      <c r="L70" s="497">
        <v>1</v>
      </c>
      <c r="M70" s="497">
        <v>1</v>
      </c>
      <c r="N70" s="497">
        <v>1</v>
      </c>
      <c r="O70" s="497">
        <v>1</v>
      </c>
      <c r="P70" s="497">
        <v>1</v>
      </c>
      <c r="Q70" s="497">
        <v>1</v>
      </c>
      <c r="R70" s="497">
        <v>1</v>
      </c>
    </row>
    <row r="71" spans="1:21">
      <c r="A71" s="490"/>
      <c r="B71" s="490"/>
      <c r="C71" s="490"/>
      <c r="D71" s="490"/>
      <c r="E71" s="490"/>
      <c r="F71" s="490"/>
      <c r="G71" s="490"/>
      <c r="H71" s="490"/>
      <c r="I71" s="490"/>
      <c r="J71" s="490"/>
      <c r="K71" s="490"/>
      <c r="L71" s="490"/>
      <c r="M71" s="490"/>
      <c r="N71" s="490"/>
      <c r="O71" s="490"/>
      <c r="P71" s="490"/>
      <c r="Q71" s="490"/>
      <c r="R71" s="490"/>
      <c r="S71" s="490"/>
      <c r="T71" s="490"/>
      <c r="U71" s="490"/>
    </row>
    <row r="72" spans="1:21">
      <c r="A72" s="490"/>
      <c r="B72" s="490"/>
      <c r="C72" s="490"/>
      <c r="D72" s="490"/>
      <c r="E72" s="490"/>
      <c r="F72" s="490"/>
      <c r="G72" s="490"/>
      <c r="H72" s="490"/>
      <c r="I72" s="490"/>
      <c r="J72" s="490"/>
      <c r="K72" s="490"/>
      <c r="L72" s="490"/>
      <c r="M72" s="490"/>
      <c r="N72" s="490"/>
      <c r="O72" s="490"/>
      <c r="P72" s="490"/>
      <c r="Q72" s="490"/>
      <c r="R72" s="490"/>
      <c r="S72" s="490"/>
      <c r="T72" s="490"/>
      <c r="U72" s="490"/>
    </row>
    <row r="73" spans="1:21">
      <c r="A73" s="498" t="s">
        <v>447</v>
      </c>
      <c r="B73" s="499">
        <f>+SUM($B70:B$70)</f>
        <v>0</v>
      </c>
      <c r="C73" s="499">
        <f>+SUM($B70:C$70)</f>
        <v>0</v>
      </c>
      <c r="D73" s="499">
        <f>+SUM($B70:D$70)</f>
        <v>0</v>
      </c>
      <c r="E73" s="499">
        <f>+SUM($B70:E$70)</f>
        <v>0</v>
      </c>
      <c r="F73" s="499">
        <f>+SUM($B70:F$70)</f>
        <v>0</v>
      </c>
      <c r="G73" s="499">
        <f>+SUM($B70:G$70)</f>
        <v>0</v>
      </c>
      <c r="H73" s="499">
        <f>+SUM($B70:H$70)</f>
        <v>0</v>
      </c>
      <c r="I73" s="499">
        <f>+SUM($B70:I$70)</f>
        <v>1</v>
      </c>
      <c r="J73" s="499">
        <f>+SUM($B70:J$70)</f>
        <v>2</v>
      </c>
      <c r="K73" s="499">
        <f>+SUM($B70:K$70)</f>
        <v>3</v>
      </c>
      <c r="L73" s="499">
        <f>+SUM($B70:L$70)</f>
        <v>4</v>
      </c>
      <c r="M73" s="499">
        <f>+SUM($B70:M$70)</f>
        <v>5</v>
      </c>
      <c r="N73" s="499">
        <f>+SUM($B70:N$70)</f>
        <v>6</v>
      </c>
      <c r="O73" s="499">
        <f>+SUM($B70:O$70)</f>
        <v>7</v>
      </c>
      <c r="P73" s="499">
        <f>+SUM($B70:P$70)</f>
        <v>8</v>
      </c>
      <c r="Q73" s="499">
        <f>+SUM($B70:Q$70)</f>
        <v>9</v>
      </c>
      <c r="R73" s="499">
        <f>+SUM($B70:R$70)</f>
        <v>10</v>
      </c>
      <c r="S73" s="490"/>
      <c r="T73" s="490"/>
      <c r="U73" s="490"/>
    </row>
    <row r="74" spans="1:21">
      <c r="A74" s="498" t="s">
        <v>448</v>
      </c>
      <c r="B74" s="500">
        <v>1</v>
      </c>
      <c r="C74" s="500">
        <f t="shared" ref="C74:K74" si="4">+B74+1</f>
        <v>2</v>
      </c>
      <c r="D74" s="500">
        <f t="shared" si="4"/>
        <v>3</v>
      </c>
      <c r="E74" s="500">
        <f t="shared" si="4"/>
        <v>4</v>
      </c>
      <c r="F74" s="500">
        <f t="shared" si="4"/>
        <v>5</v>
      </c>
      <c r="G74" s="500">
        <f t="shared" si="4"/>
        <v>6</v>
      </c>
      <c r="H74" s="500">
        <f t="shared" si="4"/>
        <v>7</v>
      </c>
      <c r="I74" s="500">
        <f t="shared" si="4"/>
        <v>8</v>
      </c>
      <c r="J74" s="500">
        <f t="shared" si="4"/>
        <v>9</v>
      </c>
      <c r="K74" s="500">
        <f t="shared" si="4"/>
        <v>10</v>
      </c>
      <c r="L74" s="500">
        <f>+K74+1</f>
        <v>11</v>
      </c>
      <c r="M74" s="500">
        <f t="shared" ref="M74:R74" si="5">+L74+1</f>
        <v>12</v>
      </c>
      <c r="N74" s="500">
        <f t="shared" si="5"/>
        <v>13</v>
      </c>
      <c r="O74" s="500">
        <f t="shared" si="5"/>
        <v>14</v>
      </c>
      <c r="P74" s="500">
        <f t="shared" si="5"/>
        <v>15</v>
      </c>
      <c r="Q74" s="500">
        <f t="shared" si="5"/>
        <v>16</v>
      </c>
      <c r="R74" s="500">
        <f t="shared" si="5"/>
        <v>17</v>
      </c>
    </row>
    <row r="75" spans="1:21">
      <c r="A75" s="498" t="s">
        <v>449</v>
      </c>
      <c r="B75" s="500">
        <f t="shared" ref="B75:R75" ca="1" si="6">+OFFSET($A$69,0,MATCH(B$74,$B$73:$R$73,0))</f>
        <v>2007</v>
      </c>
      <c r="C75" s="500">
        <f t="shared" ca="1" si="6"/>
        <v>2008</v>
      </c>
      <c r="D75" s="500">
        <f t="shared" ca="1" si="6"/>
        <v>2009</v>
      </c>
      <c r="E75" s="500">
        <f t="shared" ca="1" si="6"/>
        <v>2010</v>
      </c>
      <c r="F75" s="500">
        <f t="shared" ca="1" si="6"/>
        <v>2011</v>
      </c>
      <c r="G75" s="500">
        <f t="shared" ca="1" si="6"/>
        <v>2012</v>
      </c>
      <c r="H75" s="500">
        <f t="shared" ca="1" si="6"/>
        <v>2013</v>
      </c>
      <c r="I75" s="500">
        <f t="shared" ca="1" si="6"/>
        <v>2014</v>
      </c>
      <c r="J75" s="500">
        <f t="shared" ca="1" si="6"/>
        <v>2015</v>
      </c>
      <c r="K75" s="500">
        <f t="shared" ca="1" si="6"/>
        <v>2016</v>
      </c>
      <c r="L75" s="500" t="e">
        <f t="shared" ca="1" si="6"/>
        <v>#N/A</v>
      </c>
      <c r="M75" s="500" t="e">
        <f t="shared" ca="1" si="6"/>
        <v>#N/A</v>
      </c>
      <c r="N75" s="500" t="e">
        <f t="shared" ca="1" si="6"/>
        <v>#N/A</v>
      </c>
      <c r="O75" s="500" t="e">
        <f t="shared" ca="1" si="6"/>
        <v>#N/A</v>
      </c>
      <c r="P75" s="500" t="e">
        <f t="shared" ca="1" si="6"/>
        <v>#N/A</v>
      </c>
      <c r="Q75" s="500" t="e">
        <f t="shared" ca="1" si="6"/>
        <v>#N/A</v>
      </c>
      <c r="R75" s="500" t="e">
        <f t="shared" ca="1" si="6"/>
        <v>#N/A</v>
      </c>
    </row>
    <row r="76" spans="1:21">
      <c r="A76" s="498" t="s">
        <v>450</v>
      </c>
      <c r="B76" s="498">
        <f t="shared" ref="B76:R76" ca="1" si="7">+INDEX(13:13,1,MATCH(B$75,9:9,0))</f>
        <v>8319</v>
      </c>
      <c r="C76" s="498">
        <f t="shared" ca="1" si="7"/>
        <v>8146</v>
      </c>
      <c r="D76" s="498">
        <f t="shared" ca="1" si="7"/>
        <v>9014</v>
      </c>
      <c r="E76" s="498">
        <f t="shared" ca="1" si="7"/>
        <v>9955</v>
      </c>
      <c r="F76" s="498">
        <f t="shared" ca="1" si="7"/>
        <v>10846</v>
      </c>
      <c r="G76" s="498">
        <f t="shared" ca="1" si="7"/>
        <v>11456</v>
      </c>
      <c r="H76" s="498">
        <f t="shared" ca="1" si="7"/>
        <v>12913</v>
      </c>
      <c r="I76" s="498">
        <f t="shared" ca="1" si="7"/>
        <v>12828</v>
      </c>
      <c r="J76" s="498">
        <f t="shared" ca="1" si="7"/>
        <v>14133</v>
      </c>
      <c r="K76" s="498">
        <f t="shared" ca="1" si="7"/>
        <v>14654</v>
      </c>
      <c r="L76" s="498" t="e">
        <f t="shared" ca="1" si="7"/>
        <v>#N/A</v>
      </c>
      <c r="M76" s="498" t="e">
        <f t="shared" ca="1" si="7"/>
        <v>#N/A</v>
      </c>
      <c r="N76" s="498" t="e">
        <f t="shared" ca="1" si="7"/>
        <v>#N/A</v>
      </c>
      <c r="O76" s="498" t="e">
        <f t="shared" ca="1" si="7"/>
        <v>#N/A</v>
      </c>
      <c r="P76" s="498" t="e">
        <f t="shared" ca="1" si="7"/>
        <v>#N/A</v>
      </c>
      <c r="Q76" s="498" t="e">
        <f t="shared" ca="1" si="7"/>
        <v>#N/A</v>
      </c>
      <c r="R76" s="498" t="e">
        <f t="shared" ca="1" si="7"/>
        <v>#N/A</v>
      </c>
    </row>
    <row r="79" spans="1:21">
      <c r="A79" s="501"/>
      <c r="B79" s="502" t="s">
        <v>451</v>
      </c>
      <c r="C79" s="503"/>
    </row>
    <row r="80" spans="1:21">
      <c r="A80" s="501" t="s">
        <v>452</v>
      </c>
      <c r="B80" s="504">
        <f t="array" aca="1" ref="B80:C84" ca="1">+LINEST(
OFFSET($B76,0,0,1,SUM($B70:$R70)),
OFFSET($B75,0,0,1,SUM($B70:$R70)),
,
1)</f>
        <v>772.59393939393954</v>
      </c>
      <c r="C80" s="504">
        <f ca="1"/>
        <v>-1542846.3090909095</v>
      </c>
      <c r="D80" s="470" t="s">
        <v>453</v>
      </c>
    </row>
    <row r="81" spans="1:4">
      <c r="A81" s="501" t="s">
        <v>454</v>
      </c>
      <c r="B81" s="504">
        <f ca="1"/>
        <v>39.168890271561153</v>
      </c>
      <c r="C81" s="504">
        <f ca="1"/>
        <v>78788.303105177649</v>
      </c>
      <c r="D81" s="470" t="s">
        <v>455</v>
      </c>
    </row>
    <row r="82" spans="1:4">
      <c r="A82" s="501" t="s">
        <v>456</v>
      </c>
      <c r="B82" s="504">
        <f ca="1"/>
        <v>0.97985206960060867</v>
      </c>
      <c r="C82" s="504">
        <f ca="1"/>
        <v>355.76911350089375</v>
      </c>
      <c r="D82" s="470" t="s">
        <v>457</v>
      </c>
    </row>
    <row r="83" spans="1:4">
      <c r="A83" s="505" t="s">
        <v>458</v>
      </c>
      <c r="B83" s="504">
        <f ca="1"/>
        <v>389.06311474262907</v>
      </c>
      <c r="C83" s="504">
        <f ca="1"/>
        <v>8</v>
      </c>
      <c r="D83" s="470" t="s">
        <v>459</v>
      </c>
    </row>
    <row r="84" spans="1:4">
      <c r="A84" s="505" t="s">
        <v>460</v>
      </c>
      <c r="B84" s="504">
        <f ca="1"/>
        <v>49244365.103030309</v>
      </c>
      <c r="C84" s="504">
        <f ca="1"/>
        <v>1012573.2969696946</v>
      </c>
      <c r="D84" s="470" t="s">
        <v>461</v>
      </c>
    </row>
    <row r="85" spans="1:4">
      <c r="A85" s="501"/>
    </row>
    <row r="86" spans="1:4">
      <c r="A86" s="501"/>
    </row>
    <row r="87" spans="1:4">
      <c r="A87" s="501" t="s">
        <v>462</v>
      </c>
      <c r="B87" s="470">
        <f ca="1">+B80/B81</f>
        <v>19.724682880660694</v>
      </c>
    </row>
    <row r="88" spans="1:4">
      <c r="A88" s="505" t="s">
        <v>463</v>
      </c>
      <c r="B88" s="506">
        <f ca="1">+TDIST(B87,C83,2)</f>
        <v>4.5426599359292975E-8</v>
      </c>
    </row>
    <row r="89" spans="1:4">
      <c r="A89" s="505"/>
      <c r="B89" s="506"/>
    </row>
  </sheetData>
  <conditionalFormatting sqref="B13:H13 J13:R13">
    <cfRule type="expression" dxfId="27" priority="2">
      <formula>B$70=1</formula>
    </cfRule>
  </conditionalFormatting>
  <conditionalFormatting sqref="B13:I13">
    <cfRule type="expression" dxfId="26"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88"/>
  <sheetViews>
    <sheetView showGridLines="0" zoomScale="70" zoomScaleNormal="70" zoomScaleSheetLayoutView="100" workbookViewId="0"/>
  </sheetViews>
  <sheetFormatPr defaultRowHeight="12.75"/>
  <cols>
    <col min="1" max="1" width="36.5703125" style="470" customWidth="1"/>
    <col min="2" max="16" width="11.28515625" style="470" customWidth="1"/>
    <col min="17" max="17" width="11.28515625" style="719" customWidth="1"/>
    <col min="18" max="18" width="11.28515625" style="470" customWidth="1"/>
    <col min="19" max="21" width="9.140625" style="473"/>
    <col min="22" max="16384" width="9.140625" style="470"/>
  </cols>
  <sheetData>
    <row r="1" spans="1:21" s="472" customFormat="1" ht="15.75">
      <c r="A1" s="656" t="s">
        <v>540</v>
      </c>
      <c r="S1" s="590"/>
      <c r="T1" s="590"/>
      <c r="U1" s="590"/>
    </row>
    <row r="2" spans="1:21" s="472" customFormat="1" ht="15.75">
      <c r="A2" s="338" t="s">
        <v>495</v>
      </c>
      <c r="S2" s="590"/>
      <c r="T2" s="590"/>
      <c r="U2" s="590"/>
    </row>
    <row r="3" spans="1:21" s="472" customFormat="1" ht="15.75">
      <c r="A3" s="338"/>
      <c r="S3" s="590"/>
      <c r="T3" s="590"/>
      <c r="U3" s="590"/>
    </row>
    <row r="4" spans="1:21" s="472" customFormat="1" ht="15.75">
      <c r="A4" s="589" t="s">
        <v>438</v>
      </c>
      <c r="B4" s="587" t="s">
        <v>494</v>
      </c>
      <c r="C4" s="587"/>
      <c r="D4" s="587"/>
      <c r="E4" s="587"/>
      <c r="F4" s="587"/>
      <c r="G4" s="587"/>
      <c r="H4" s="587"/>
      <c r="I4" s="587"/>
      <c r="S4" s="590"/>
      <c r="T4" s="590"/>
      <c r="U4" s="590"/>
    </row>
    <row r="5" spans="1:21" s="472" customFormat="1" ht="15">
      <c r="A5" s="588"/>
      <c r="S5" s="590"/>
      <c r="T5" s="590"/>
      <c r="U5" s="590"/>
    </row>
    <row r="6" spans="1:21" s="472" customFormat="1" ht="15">
      <c r="A6" s="592" t="s">
        <v>505</v>
      </c>
      <c r="S6" s="590"/>
      <c r="T6" s="590"/>
      <c r="U6" s="590"/>
    </row>
    <row r="8" spans="1:21">
      <c r="A8" s="474"/>
      <c r="B8" s="475"/>
      <c r="C8" s="475"/>
      <c r="D8" s="475"/>
      <c r="E8" s="475"/>
      <c r="F8" s="475"/>
      <c r="G8" s="475"/>
      <c r="H8" s="475"/>
      <c r="I8" s="475"/>
      <c r="J8" s="476"/>
      <c r="K8" s="476"/>
      <c r="L8" s="476"/>
      <c r="M8" s="476"/>
      <c r="N8" s="477"/>
      <c r="O8" s="477"/>
      <c r="P8" s="478"/>
      <c r="Q8" s="478"/>
      <c r="R8" s="477"/>
    </row>
    <row r="9" spans="1:21">
      <c r="B9" s="479">
        <f t="shared" ref="B9:H9" si="0">+C9-1</f>
        <v>2000</v>
      </c>
      <c r="C9" s="479">
        <f t="shared" si="0"/>
        <v>2001</v>
      </c>
      <c r="D9" s="479">
        <f t="shared" si="0"/>
        <v>2002</v>
      </c>
      <c r="E9" s="479">
        <f t="shared" si="0"/>
        <v>2003</v>
      </c>
      <c r="F9" s="479">
        <f t="shared" si="0"/>
        <v>2004</v>
      </c>
      <c r="G9" s="479">
        <f t="shared" si="0"/>
        <v>2005</v>
      </c>
      <c r="H9" s="479">
        <f t="shared" si="0"/>
        <v>2006</v>
      </c>
      <c r="I9" s="479">
        <f>+J9-1</f>
        <v>2007</v>
      </c>
      <c r="J9" s="479">
        <v>2008</v>
      </c>
      <c r="K9" s="480">
        <v>2009</v>
      </c>
      <c r="L9" s="480">
        <v>2010</v>
      </c>
      <c r="M9" s="480">
        <v>2011</v>
      </c>
      <c r="N9" s="480">
        <v>2012</v>
      </c>
      <c r="O9" s="480">
        <v>2013</v>
      </c>
      <c r="P9" s="480">
        <v>2014</v>
      </c>
      <c r="Q9" s="480">
        <v>2015</v>
      </c>
      <c r="R9" s="480">
        <v>2016</v>
      </c>
    </row>
    <row r="10" spans="1:21" ht="8.25" customHeight="1">
      <c r="B10" s="481" t="s">
        <v>439</v>
      </c>
      <c r="C10" s="481" t="s">
        <v>439</v>
      </c>
      <c r="D10" s="481" t="s">
        <v>439</v>
      </c>
      <c r="E10" s="481" t="s">
        <v>439</v>
      </c>
      <c r="F10" s="481" t="s">
        <v>439</v>
      </c>
      <c r="G10" s="481" t="s">
        <v>439</v>
      </c>
      <c r="H10" s="481" t="s">
        <v>439</v>
      </c>
      <c r="I10" s="481" t="s">
        <v>439</v>
      </c>
      <c r="J10" s="481" t="s">
        <v>439</v>
      </c>
      <c r="K10" s="481" t="s">
        <v>439</v>
      </c>
      <c r="L10" s="481" t="s">
        <v>439</v>
      </c>
      <c r="M10" s="481" t="s">
        <v>439</v>
      </c>
      <c r="N10" s="481" t="s">
        <v>439</v>
      </c>
      <c r="O10" s="481" t="s">
        <v>439</v>
      </c>
      <c r="P10" s="481" t="s">
        <v>439</v>
      </c>
      <c r="Q10" s="481" t="s">
        <v>439</v>
      </c>
      <c r="R10" s="481" t="s">
        <v>439</v>
      </c>
    </row>
    <row r="11" spans="1:21">
      <c r="A11" s="482" t="s">
        <v>467</v>
      </c>
      <c r="B11" s="97">
        <f>+'Cost Trends'!F94</f>
        <v>9418</v>
      </c>
      <c r="C11" s="97">
        <f>+'Cost Trends'!G94</f>
        <v>10560</v>
      </c>
      <c r="D11" s="97">
        <f>+'Cost Trends'!H94</f>
        <v>9631</v>
      </c>
      <c r="E11" s="97">
        <f>+'Cost Trends'!I94</f>
        <v>10171</v>
      </c>
      <c r="F11" s="97">
        <f>+'Cost Trends'!J94</f>
        <v>12016</v>
      </c>
      <c r="G11" s="97">
        <f>+'Cost Trends'!K94</f>
        <v>14263</v>
      </c>
      <c r="H11" s="97">
        <f>+'Cost Trends'!L94</f>
        <v>15485</v>
      </c>
      <c r="I11" s="97">
        <f>+'Cost Trends'!M94</f>
        <v>14563</v>
      </c>
      <c r="J11" s="97">
        <f>+'Cost Trends'!N94</f>
        <v>17329</v>
      </c>
      <c r="K11" s="97">
        <f>+'Cost Trends'!O94</f>
        <v>17267</v>
      </c>
      <c r="L11" s="97">
        <f>+'Cost Trends'!P94</f>
        <v>18354</v>
      </c>
      <c r="M11" s="97">
        <f>+'Cost Trends'!Q94</f>
        <v>19081</v>
      </c>
      <c r="N11" s="97">
        <f>+'Cost Trends'!R94</f>
        <v>21152</v>
      </c>
      <c r="O11" s="97">
        <f>+'Cost Trends'!S94</f>
        <v>20878</v>
      </c>
      <c r="P11" s="97">
        <f>+'Cost Trends'!T94</f>
        <v>21299</v>
      </c>
      <c r="Q11" s="97">
        <f>+'Cost Trends'!U94</f>
        <v>24056</v>
      </c>
      <c r="R11" s="97">
        <f>+'Cost Trends'!V94</f>
        <v>21415</v>
      </c>
    </row>
    <row r="12" spans="1:21" ht="8.25" customHeight="1">
      <c r="B12" s="481" t="s">
        <v>439</v>
      </c>
      <c r="C12" s="481" t="s">
        <v>439</v>
      </c>
      <c r="D12" s="481" t="s">
        <v>439</v>
      </c>
      <c r="E12" s="481" t="s">
        <v>439</v>
      </c>
      <c r="F12" s="481" t="s">
        <v>439</v>
      </c>
      <c r="G12" s="481" t="s">
        <v>439</v>
      </c>
      <c r="H12" s="481" t="s">
        <v>439</v>
      </c>
      <c r="I12" s="481" t="s">
        <v>439</v>
      </c>
      <c r="J12" s="481" t="s">
        <v>439</v>
      </c>
      <c r="K12" s="481" t="s">
        <v>439</v>
      </c>
      <c r="L12" s="481" t="s">
        <v>439</v>
      </c>
      <c r="M12" s="481" t="s">
        <v>439</v>
      </c>
      <c r="N12" s="481" t="s">
        <v>439</v>
      </c>
      <c r="O12" s="481" t="s">
        <v>439</v>
      </c>
      <c r="P12" s="481" t="s">
        <v>439</v>
      </c>
      <c r="Q12" s="481" t="s">
        <v>439</v>
      </c>
      <c r="R12" s="481" t="s">
        <v>439</v>
      </c>
    </row>
    <row r="13" spans="1:21" ht="26.25" customHeight="1">
      <c r="A13" s="483" t="str">
        <f>+"Total "&amp;B4</f>
        <v>Total Distribution O&amp;M Expense</v>
      </c>
      <c r="B13" s="484">
        <f t="shared" ref="B13:N13" si="1">+SUM(B10:B12)</f>
        <v>9418</v>
      </c>
      <c r="C13" s="484">
        <f t="shared" si="1"/>
        <v>10560</v>
      </c>
      <c r="D13" s="484">
        <f t="shared" si="1"/>
        <v>9631</v>
      </c>
      <c r="E13" s="484">
        <f t="shared" si="1"/>
        <v>10171</v>
      </c>
      <c r="F13" s="484">
        <f t="shared" si="1"/>
        <v>12016</v>
      </c>
      <c r="G13" s="484">
        <f t="shared" si="1"/>
        <v>14263</v>
      </c>
      <c r="H13" s="484">
        <f t="shared" si="1"/>
        <v>15485</v>
      </c>
      <c r="I13" s="484">
        <f t="shared" si="1"/>
        <v>14563</v>
      </c>
      <c r="J13" s="484">
        <f t="shared" si="1"/>
        <v>17329</v>
      </c>
      <c r="K13" s="484">
        <f t="shared" si="1"/>
        <v>17267</v>
      </c>
      <c r="L13" s="484">
        <f t="shared" si="1"/>
        <v>18354</v>
      </c>
      <c r="M13" s="484">
        <f t="shared" si="1"/>
        <v>19081</v>
      </c>
      <c r="N13" s="484">
        <f t="shared" si="1"/>
        <v>21152</v>
      </c>
      <c r="O13" s="484">
        <f t="shared" ref="O13:R13" si="2">+SUM(O10:O12)</f>
        <v>20878</v>
      </c>
      <c r="P13" s="484">
        <f t="shared" si="2"/>
        <v>21299</v>
      </c>
      <c r="Q13" s="484">
        <f t="shared" si="2"/>
        <v>24056</v>
      </c>
      <c r="R13" s="484">
        <f t="shared" si="2"/>
        <v>21415</v>
      </c>
    </row>
    <row r="14" spans="1:21">
      <c r="P14" s="327"/>
      <c r="Q14" s="327"/>
    </row>
    <row r="15" spans="1:21">
      <c r="P15" s="327"/>
      <c r="Q15" s="327"/>
    </row>
    <row r="16" spans="1:21">
      <c r="A16" s="485" t="s">
        <v>442</v>
      </c>
      <c r="B16" s="486"/>
      <c r="C16" s="487"/>
      <c r="D16" s="485" t="s">
        <v>504</v>
      </c>
      <c r="E16" s="485"/>
      <c r="F16" s="486"/>
      <c r="G16" s="486"/>
      <c r="H16" s="486"/>
      <c r="I16" s="486"/>
      <c r="J16" s="486"/>
      <c r="K16" s="486"/>
      <c r="L16" s="486"/>
      <c r="M16" s="486"/>
      <c r="N16" s="486"/>
      <c r="O16" s="486"/>
      <c r="P16" s="488"/>
      <c r="Q16" s="488"/>
      <c r="R16" s="486"/>
    </row>
    <row r="17" spans="1:21" ht="19.5" customHeight="1">
      <c r="A17" s="473"/>
      <c r="B17" s="489"/>
      <c r="C17" s="489"/>
      <c r="D17" s="489"/>
      <c r="E17" s="489"/>
      <c r="F17" s="489"/>
      <c r="G17" s="489"/>
      <c r="H17" s="489"/>
      <c r="I17" s="489"/>
    </row>
    <row r="18" spans="1:21" ht="19.5" customHeight="1">
      <c r="A18" s="529" t="s">
        <v>502</v>
      </c>
      <c r="B18" s="490">
        <f ca="1">+LINEST(
OFFSET($B$76,0,0,1,SUM($B$70:$R$70)),
OFFSET($B$75,0,0,1,SUM($B$70:$R$70)),
,
1)</f>
        <v>369.25675675675672</v>
      </c>
      <c r="C18" s="489"/>
      <c r="D18" s="489"/>
      <c r="E18" s="489"/>
      <c r="F18" s="489"/>
      <c r="G18" s="489"/>
      <c r="H18" s="489"/>
      <c r="I18" s="489"/>
    </row>
    <row r="19" spans="1:21" ht="19.5" customHeight="1">
      <c r="A19" s="473" t="s">
        <v>503</v>
      </c>
      <c r="B19" s="489">
        <f ca="1">RSQ(
OFFSET($B$76,0,0,1,SUM($B$70:$R$70)),
OFFSET($B$75,0,0,1,SUM($B$70:$R$70))
)</f>
        <v>0.54451185916964862</v>
      </c>
      <c r="C19" s="490"/>
      <c r="D19" s="490"/>
      <c r="E19" s="490"/>
      <c r="F19" s="490"/>
      <c r="G19" s="490"/>
      <c r="H19" s="490"/>
      <c r="I19" s="490"/>
    </row>
    <row r="20" spans="1:21" ht="19.5" customHeight="1">
      <c r="A20" s="470" t="s">
        <v>443</v>
      </c>
      <c r="B20" s="491">
        <f ca="1">+B18/R13</f>
        <v>1.7242902486890345E-2</v>
      </c>
      <c r="C20" s="489"/>
      <c r="D20" s="489"/>
      <c r="E20" s="489"/>
      <c r="F20" s="489"/>
      <c r="G20" s="489"/>
      <c r="H20" s="489"/>
      <c r="I20" s="489"/>
    </row>
    <row r="21" spans="1:21" ht="19.5" customHeight="1">
      <c r="A21" s="327" t="str">
        <f>+'2) ROR'!$D$19&amp;"-year Growth Rate"</f>
        <v>1-year Growth Rate</v>
      </c>
      <c r="B21" s="530">
        <f ca="1">ROUND(B20*'2) ROR'!$D$19,4)</f>
        <v>1.72E-2</v>
      </c>
      <c r="C21" s="491"/>
      <c r="D21" s="491"/>
      <c r="E21" s="491"/>
      <c r="F21" s="491"/>
      <c r="G21" s="491"/>
      <c r="H21" s="491"/>
      <c r="I21" s="491"/>
    </row>
    <row r="22" spans="1:21" ht="19.5" customHeight="1">
      <c r="C22" s="492"/>
      <c r="D22" s="492"/>
      <c r="E22" s="492"/>
      <c r="F22" s="492"/>
      <c r="G22" s="492"/>
      <c r="H22" s="492"/>
      <c r="I22" s="492"/>
      <c r="L22" s="362"/>
    </row>
    <row r="24" spans="1:21">
      <c r="S24" s="493"/>
      <c r="T24" s="493"/>
    </row>
    <row r="25" spans="1:21">
      <c r="S25" s="494"/>
      <c r="T25" s="494"/>
    </row>
    <row r="26" spans="1:21">
      <c r="S26" s="494"/>
      <c r="T26" s="494"/>
    </row>
    <row r="27" spans="1:21">
      <c r="S27" s="494"/>
      <c r="T27" s="494"/>
    </row>
    <row r="28" spans="1:21">
      <c r="S28" s="494"/>
      <c r="T28" s="494"/>
    </row>
    <row r="29" spans="1:21">
      <c r="S29" s="494"/>
      <c r="T29" s="494"/>
    </row>
    <row r="32" spans="1:21">
      <c r="S32" s="495"/>
      <c r="T32" s="495"/>
      <c r="U32" s="495"/>
    </row>
    <row r="33" spans="19:21">
      <c r="S33" s="494"/>
      <c r="T33" s="494"/>
      <c r="U33" s="494"/>
    </row>
    <row r="34" spans="19:21">
      <c r="S34" s="494"/>
      <c r="T34" s="494"/>
      <c r="U34" s="494"/>
    </row>
    <row r="35" spans="19:21">
      <c r="S35" s="494"/>
      <c r="T35" s="494"/>
      <c r="U35" s="494"/>
    </row>
    <row r="36" spans="19:21">
      <c r="S36" s="494"/>
      <c r="T36" s="494"/>
      <c r="U36" s="494"/>
    </row>
    <row r="37" spans="19:21">
      <c r="S37" s="494"/>
      <c r="T37" s="494"/>
      <c r="U37" s="494"/>
    </row>
    <row r="38" spans="19:21">
      <c r="S38" s="494"/>
      <c r="T38" s="494"/>
      <c r="U38" s="494"/>
    </row>
    <row r="39" spans="19:21">
      <c r="S39" s="494"/>
      <c r="T39" s="494"/>
      <c r="U39" s="494"/>
    </row>
    <row r="40" spans="19:21">
      <c r="S40" s="494"/>
      <c r="T40" s="494"/>
      <c r="U40" s="494"/>
    </row>
    <row r="41" spans="19:21">
      <c r="S41" s="494"/>
      <c r="T41" s="494"/>
      <c r="U41" s="494"/>
    </row>
    <row r="42" spans="19:21">
      <c r="S42" s="494"/>
      <c r="T42" s="494"/>
      <c r="U42" s="494"/>
    </row>
    <row r="43" spans="19:21">
      <c r="S43" s="494"/>
      <c r="T43" s="494"/>
      <c r="U43" s="494"/>
    </row>
    <row r="44" spans="19:21">
      <c r="S44" s="494"/>
      <c r="T44" s="494"/>
      <c r="U44" s="494"/>
    </row>
    <row r="45" spans="19:21">
      <c r="S45" s="494"/>
      <c r="T45" s="494"/>
      <c r="U45" s="494"/>
    </row>
    <row r="46" spans="19:21">
      <c r="S46" s="494"/>
      <c r="T46" s="494"/>
      <c r="U46" s="494"/>
    </row>
    <row r="47" spans="19:21">
      <c r="S47" s="494"/>
      <c r="T47" s="494"/>
      <c r="U47" s="494"/>
    </row>
    <row r="48" spans="19:21">
      <c r="S48" s="494"/>
      <c r="T48" s="494"/>
      <c r="U48" s="494"/>
    </row>
    <row r="49" spans="19:21">
      <c r="S49" s="494"/>
      <c r="T49" s="494"/>
      <c r="U49" s="494"/>
    </row>
    <row r="50" spans="19:21">
      <c r="S50" s="494"/>
      <c r="T50" s="494"/>
      <c r="U50" s="494"/>
    </row>
    <row r="51" spans="19:21">
      <c r="S51" s="494"/>
      <c r="T51" s="494"/>
      <c r="U51" s="494"/>
    </row>
    <row r="52" spans="19:21">
      <c r="S52" s="494"/>
      <c r="T52" s="494"/>
      <c r="U52" s="494"/>
    </row>
    <row r="53" spans="19:21">
      <c r="S53" s="494"/>
      <c r="T53" s="494"/>
      <c r="U53" s="494"/>
    </row>
    <row r="54" spans="19:21">
      <c r="S54" s="494"/>
      <c r="T54" s="494"/>
      <c r="U54" s="494"/>
    </row>
    <row r="55" spans="19:21">
      <c r="S55" s="494"/>
      <c r="T55" s="494"/>
      <c r="U55" s="494"/>
    </row>
    <row r="57" spans="19:21">
      <c r="S57" s="495"/>
      <c r="T57" s="495"/>
      <c r="U57" s="495"/>
    </row>
    <row r="58" spans="19:21">
      <c r="S58" s="494"/>
      <c r="T58" s="494"/>
      <c r="U58" s="494"/>
    </row>
    <row r="59" spans="19:21">
      <c r="S59" s="494"/>
      <c r="T59" s="494"/>
      <c r="U59" s="494"/>
    </row>
    <row r="60" spans="19:21">
      <c r="S60" s="494"/>
      <c r="T60" s="494"/>
      <c r="U60" s="494"/>
    </row>
    <row r="61" spans="19:21">
      <c r="S61" s="494"/>
      <c r="T61" s="494"/>
      <c r="U61" s="494"/>
    </row>
    <row r="67" spans="1:21">
      <c r="S67" s="495"/>
      <c r="T67" s="495"/>
      <c r="U67" s="495"/>
    </row>
    <row r="68" spans="1:21">
      <c r="A68" s="496" t="s">
        <v>444</v>
      </c>
      <c r="S68" s="494"/>
      <c r="T68" s="494"/>
      <c r="U68" s="494"/>
    </row>
    <row r="69" spans="1:21">
      <c r="A69" s="496" t="s">
        <v>445</v>
      </c>
      <c r="B69" s="496">
        <f t="shared" ref="B69:N69" si="3">+B9</f>
        <v>2000</v>
      </c>
      <c r="C69" s="496">
        <f t="shared" si="3"/>
        <v>2001</v>
      </c>
      <c r="D69" s="496">
        <f t="shared" si="3"/>
        <v>2002</v>
      </c>
      <c r="E69" s="496">
        <f t="shared" si="3"/>
        <v>2003</v>
      </c>
      <c r="F69" s="496">
        <f t="shared" si="3"/>
        <v>2004</v>
      </c>
      <c r="G69" s="496">
        <f t="shared" si="3"/>
        <v>2005</v>
      </c>
      <c r="H69" s="496">
        <f t="shared" si="3"/>
        <v>2006</v>
      </c>
      <c r="I69" s="496">
        <f t="shared" si="3"/>
        <v>2007</v>
      </c>
      <c r="J69" s="496">
        <f t="shared" si="3"/>
        <v>2008</v>
      </c>
      <c r="K69" s="496">
        <f t="shared" si="3"/>
        <v>2009</v>
      </c>
      <c r="L69" s="496">
        <f t="shared" si="3"/>
        <v>2010</v>
      </c>
      <c r="M69" s="496">
        <f t="shared" si="3"/>
        <v>2011</v>
      </c>
      <c r="N69" s="496">
        <f t="shared" si="3"/>
        <v>2012</v>
      </c>
      <c r="O69" s="496">
        <f t="shared" ref="O69:R69" si="4">+O9</f>
        <v>2013</v>
      </c>
      <c r="P69" s="496">
        <f t="shared" si="4"/>
        <v>2014</v>
      </c>
      <c r="Q69" s="496">
        <f t="shared" si="4"/>
        <v>2015</v>
      </c>
      <c r="R69" s="496">
        <f t="shared" si="4"/>
        <v>2016</v>
      </c>
    </row>
    <row r="70" spans="1:21">
      <c r="A70" s="497" t="s">
        <v>446</v>
      </c>
      <c r="B70" s="497"/>
      <c r="C70" s="497"/>
      <c r="D70" s="497"/>
      <c r="E70" s="497"/>
      <c r="F70" s="497"/>
      <c r="G70" s="497"/>
      <c r="H70" s="497"/>
      <c r="I70" s="497">
        <v>0</v>
      </c>
      <c r="J70" s="497">
        <v>0</v>
      </c>
      <c r="K70" s="497">
        <v>0</v>
      </c>
      <c r="L70" s="497">
        <v>0</v>
      </c>
      <c r="M70" s="497">
        <v>1</v>
      </c>
      <c r="N70" s="497">
        <v>1</v>
      </c>
      <c r="O70" s="497">
        <v>1</v>
      </c>
      <c r="P70" s="497">
        <v>1</v>
      </c>
      <c r="Q70" s="497">
        <v>0</v>
      </c>
      <c r="R70" s="497">
        <v>1</v>
      </c>
    </row>
    <row r="71" spans="1:21">
      <c r="A71" s="490"/>
      <c r="B71" s="490"/>
      <c r="C71" s="490"/>
      <c r="D71" s="490"/>
      <c r="E71" s="490"/>
      <c r="F71" s="490"/>
      <c r="G71" s="490"/>
      <c r="H71" s="490"/>
      <c r="I71" s="490"/>
      <c r="J71" s="490"/>
      <c r="K71" s="490"/>
      <c r="L71" s="490"/>
      <c r="M71" s="490"/>
      <c r="N71" s="490"/>
      <c r="O71" s="490"/>
      <c r="P71" s="490"/>
      <c r="Q71" s="490"/>
      <c r="R71" s="490"/>
      <c r="S71" s="490"/>
      <c r="T71" s="490"/>
      <c r="U71" s="490"/>
    </row>
    <row r="72" spans="1:21">
      <c r="A72" s="490"/>
      <c r="B72" s="490"/>
      <c r="C72" s="490"/>
      <c r="D72" s="490"/>
      <c r="E72" s="490"/>
      <c r="F72" s="490"/>
      <c r="G72" s="490"/>
      <c r="H72" s="490"/>
      <c r="I72" s="490"/>
      <c r="J72" s="490"/>
      <c r="K72" s="490"/>
      <c r="L72" s="490"/>
      <c r="M72" s="490"/>
      <c r="N72" s="490"/>
      <c r="O72" s="490"/>
      <c r="P72" s="490"/>
      <c r="Q72" s="490"/>
      <c r="R72" s="490"/>
      <c r="S72" s="490"/>
      <c r="T72" s="490"/>
      <c r="U72" s="490"/>
    </row>
    <row r="73" spans="1:21">
      <c r="A73" s="498" t="s">
        <v>447</v>
      </c>
      <c r="B73" s="499">
        <f>+SUM($B70:B$70)</f>
        <v>0</v>
      </c>
      <c r="C73" s="499">
        <f>+SUM($B70:C$70)</f>
        <v>0</v>
      </c>
      <c r="D73" s="499">
        <f>+SUM($B70:D$70)</f>
        <v>0</v>
      </c>
      <c r="E73" s="499">
        <f>+SUM($B70:E$70)</f>
        <v>0</v>
      </c>
      <c r="F73" s="499">
        <f>+SUM($B70:F$70)</f>
        <v>0</v>
      </c>
      <c r="G73" s="499">
        <f>+SUM($B70:G$70)</f>
        <v>0</v>
      </c>
      <c r="H73" s="499">
        <f>+SUM($B70:H$70)</f>
        <v>0</v>
      </c>
      <c r="I73" s="499">
        <f>+SUM($B70:I$70)</f>
        <v>0</v>
      </c>
      <c r="J73" s="499">
        <f>+SUM($B70:J$70)</f>
        <v>0</v>
      </c>
      <c r="K73" s="499">
        <f>+SUM($B70:K$70)</f>
        <v>0</v>
      </c>
      <c r="L73" s="499">
        <f>+SUM($B70:L$70)</f>
        <v>0</v>
      </c>
      <c r="M73" s="499">
        <f>+SUM($B70:M$70)</f>
        <v>1</v>
      </c>
      <c r="N73" s="499">
        <f>+SUM($B70:N$70)</f>
        <v>2</v>
      </c>
      <c r="O73" s="499">
        <f>+SUM($B70:O$70)</f>
        <v>3</v>
      </c>
      <c r="P73" s="499">
        <f>+SUM($B70:P$70)</f>
        <v>4</v>
      </c>
      <c r="Q73" s="499">
        <f>+SUM($B70:Q$70)</f>
        <v>4</v>
      </c>
      <c r="R73" s="499">
        <f>+SUM($B70:R$70)</f>
        <v>5</v>
      </c>
      <c r="S73" s="490"/>
      <c r="T73" s="490"/>
      <c r="U73" s="490"/>
    </row>
    <row r="74" spans="1:21">
      <c r="A74" s="498" t="s">
        <v>448</v>
      </c>
      <c r="B74" s="500">
        <v>1</v>
      </c>
      <c r="C74" s="500">
        <f t="shared" ref="C74:K74" si="5">+B74+1</f>
        <v>2</v>
      </c>
      <c r="D74" s="500">
        <f t="shared" si="5"/>
        <v>3</v>
      </c>
      <c r="E74" s="500">
        <f t="shared" si="5"/>
        <v>4</v>
      </c>
      <c r="F74" s="500">
        <f t="shared" si="5"/>
        <v>5</v>
      </c>
      <c r="G74" s="500">
        <f t="shared" si="5"/>
        <v>6</v>
      </c>
      <c r="H74" s="500">
        <f t="shared" si="5"/>
        <v>7</v>
      </c>
      <c r="I74" s="500">
        <f t="shared" si="5"/>
        <v>8</v>
      </c>
      <c r="J74" s="500">
        <f t="shared" si="5"/>
        <v>9</v>
      </c>
      <c r="K74" s="500">
        <f t="shared" si="5"/>
        <v>10</v>
      </c>
      <c r="L74" s="500">
        <f>+K74+1</f>
        <v>11</v>
      </c>
      <c r="M74" s="500">
        <f t="shared" ref="M74:N74" si="6">+L74+1</f>
        <v>12</v>
      </c>
      <c r="N74" s="500">
        <f t="shared" si="6"/>
        <v>13</v>
      </c>
      <c r="O74" s="500">
        <f t="shared" ref="O74" si="7">+N74+1</f>
        <v>14</v>
      </c>
      <c r="P74" s="500">
        <f t="shared" ref="P74" si="8">+O74+1</f>
        <v>15</v>
      </c>
      <c r="Q74" s="500">
        <f t="shared" ref="Q74" si="9">+P74+1</f>
        <v>16</v>
      </c>
      <c r="R74" s="500">
        <f t="shared" ref="R74" si="10">+Q74+1</f>
        <v>17</v>
      </c>
    </row>
    <row r="75" spans="1:21">
      <c r="A75" s="498" t="s">
        <v>449</v>
      </c>
      <c r="B75" s="500">
        <f t="shared" ref="B75:N75" ca="1" si="11">+OFFSET($A$69,0,MATCH(B$74,$B$73:$R$73,0))</f>
        <v>2011</v>
      </c>
      <c r="C75" s="500">
        <f t="shared" ca="1" si="11"/>
        <v>2012</v>
      </c>
      <c r="D75" s="500">
        <f t="shared" ca="1" si="11"/>
        <v>2013</v>
      </c>
      <c r="E75" s="500">
        <f t="shared" ca="1" si="11"/>
        <v>2014</v>
      </c>
      <c r="F75" s="500">
        <f t="shared" ca="1" si="11"/>
        <v>2016</v>
      </c>
      <c r="G75" s="500" t="e">
        <f t="shared" ca="1" si="11"/>
        <v>#N/A</v>
      </c>
      <c r="H75" s="500" t="e">
        <f t="shared" ca="1" si="11"/>
        <v>#N/A</v>
      </c>
      <c r="I75" s="500" t="e">
        <f t="shared" ca="1" si="11"/>
        <v>#N/A</v>
      </c>
      <c r="J75" s="500" t="e">
        <f t="shared" ca="1" si="11"/>
        <v>#N/A</v>
      </c>
      <c r="K75" s="500" t="e">
        <f t="shared" ca="1" si="11"/>
        <v>#N/A</v>
      </c>
      <c r="L75" s="500" t="e">
        <f t="shared" ca="1" si="11"/>
        <v>#N/A</v>
      </c>
      <c r="M75" s="500" t="e">
        <f t="shared" ca="1" si="11"/>
        <v>#N/A</v>
      </c>
      <c r="N75" s="500" t="e">
        <f t="shared" ca="1" si="11"/>
        <v>#N/A</v>
      </c>
      <c r="O75" s="500" t="e">
        <f t="shared" ref="O75:R75" ca="1" si="12">+OFFSET($A$69,0,MATCH(O$74,$B$73:$R$73,0))</f>
        <v>#N/A</v>
      </c>
      <c r="P75" s="500" t="e">
        <f t="shared" ca="1" si="12"/>
        <v>#N/A</v>
      </c>
      <c r="Q75" s="500" t="e">
        <f t="shared" ca="1" si="12"/>
        <v>#N/A</v>
      </c>
      <c r="R75" s="500" t="e">
        <f t="shared" ca="1" si="12"/>
        <v>#N/A</v>
      </c>
    </row>
    <row r="76" spans="1:21">
      <c r="A76" s="498" t="s">
        <v>450</v>
      </c>
      <c r="B76" s="498">
        <f t="shared" ref="B76:N76" ca="1" si="13">+INDEX(13:13,1,MATCH(B$75,9:9,0))</f>
        <v>19081</v>
      </c>
      <c r="C76" s="498">
        <f t="shared" ca="1" si="13"/>
        <v>21152</v>
      </c>
      <c r="D76" s="498">
        <f t="shared" ca="1" si="13"/>
        <v>20878</v>
      </c>
      <c r="E76" s="498">
        <f t="shared" ca="1" si="13"/>
        <v>21299</v>
      </c>
      <c r="F76" s="498">
        <f t="shared" ca="1" si="13"/>
        <v>21415</v>
      </c>
      <c r="G76" s="498" t="e">
        <f t="shared" ca="1" si="13"/>
        <v>#N/A</v>
      </c>
      <c r="H76" s="498" t="e">
        <f t="shared" ca="1" si="13"/>
        <v>#N/A</v>
      </c>
      <c r="I76" s="498" t="e">
        <f t="shared" ca="1" si="13"/>
        <v>#N/A</v>
      </c>
      <c r="J76" s="498" t="e">
        <f t="shared" ca="1" si="13"/>
        <v>#N/A</v>
      </c>
      <c r="K76" s="498" t="e">
        <f t="shared" ca="1" si="13"/>
        <v>#N/A</v>
      </c>
      <c r="L76" s="498" t="e">
        <f t="shared" ca="1" si="13"/>
        <v>#N/A</v>
      </c>
      <c r="M76" s="498" t="e">
        <f t="shared" ca="1" si="13"/>
        <v>#N/A</v>
      </c>
      <c r="N76" s="498" t="e">
        <f t="shared" ca="1" si="13"/>
        <v>#N/A</v>
      </c>
      <c r="O76" s="498" t="e">
        <f t="shared" ref="O76:R76" ca="1" si="14">+INDEX(13:13,1,MATCH(O$75,9:9,0))</f>
        <v>#N/A</v>
      </c>
      <c r="P76" s="498" t="e">
        <f t="shared" ca="1" si="14"/>
        <v>#N/A</v>
      </c>
      <c r="Q76" s="498" t="e">
        <f t="shared" ca="1" si="14"/>
        <v>#N/A</v>
      </c>
      <c r="R76" s="498" t="e">
        <f t="shared" ca="1" si="14"/>
        <v>#N/A</v>
      </c>
    </row>
    <row r="79" spans="1:21">
      <c r="A79" s="501"/>
      <c r="B79" s="502" t="s">
        <v>451</v>
      </c>
      <c r="C79" s="503"/>
    </row>
    <row r="80" spans="1:21">
      <c r="A80" s="501" t="s">
        <v>452</v>
      </c>
      <c r="B80" s="504">
        <f t="array" aca="1" ref="B80:C84" ca="1">+LINEST(
OFFSET($B76,0,0,1,SUM($B70:$R70)),
OFFSET($B75,0,0,1,SUM($B70:$R70)),
,
1)</f>
        <v>369.25675675675672</v>
      </c>
      <c r="C80" s="504">
        <f ca="1"/>
        <v>-722622.70270270261</v>
      </c>
      <c r="D80" s="470" t="s">
        <v>453</v>
      </c>
    </row>
    <row r="81" spans="1:4">
      <c r="A81" s="501" t="s">
        <v>454</v>
      </c>
      <c r="B81" s="504">
        <f ca="1"/>
        <v>194.98566731366449</v>
      </c>
      <c r="C81" s="504">
        <f ca="1"/>
        <v>392545.28877917107</v>
      </c>
      <c r="D81" s="470" t="s">
        <v>455</v>
      </c>
    </row>
    <row r="82" spans="1:4">
      <c r="A82" s="501" t="s">
        <v>456</v>
      </c>
      <c r="B82" s="504">
        <f ca="1"/>
        <v>0.5445118591696485</v>
      </c>
      <c r="C82" s="504">
        <f ca="1"/>
        <v>750.12483945992267</v>
      </c>
      <c r="D82" s="470" t="s">
        <v>457</v>
      </c>
    </row>
    <row r="83" spans="1:4">
      <c r="A83" s="505" t="s">
        <v>458</v>
      </c>
      <c r="B83" s="504">
        <f ca="1"/>
        <v>3.5863405236654944</v>
      </c>
      <c r="C83" s="504">
        <f ca="1"/>
        <v>3</v>
      </c>
      <c r="D83" s="470" t="s">
        <v>459</v>
      </c>
    </row>
    <row r="84" spans="1:4">
      <c r="A84" s="505" t="s">
        <v>460</v>
      </c>
      <c r="B84" s="504">
        <f ca="1"/>
        <v>2017988.1756756757</v>
      </c>
      <c r="C84" s="504">
        <f ca="1"/>
        <v>1688061.8243243243</v>
      </c>
      <c r="D84" s="470" t="s">
        <v>461</v>
      </c>
    </row>
    <row r="85" spans="1:4">
      <c r="A85" s="501"/>
    </row>
    <row r="86" spans="1:4">
      <c r="A86" s="501"/>
    </row>
    <row r="87" spans="1:4">
      <c r="A87" s="501" t="s">
        <v>462</v>
      </c>
      <c r="B87" s="470">
        <f ca="1">+B80/B81</f>
        <v>1.8937635870576597</v>
      </c>
    </row>
    <row r="88" spans="1:4">
      <c r="A88" s="505" t="s">
        <v>463</v>
      </c>
      <c r="B88" s="506">
        <f ca="1">+TDIST(B87,C83,2)</f>
        <v>0.15457926774092795</v>
      </c>
    </row>
  </sheetData>
  <conditionalFormatting sqref="B13:H13 J13:R13">
    <cfRule type="expression" dxfId="25" priority="2">
      <formula>B$70=1</formula>
    </cfRule>
  </conditionalFormatting>
  <conditionalFormatting sqref="B13:I13">
    <cfRule type="expression" dxfId="24"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88"/>
  <sheetViews>
    <sheetView showGridLines="0" zoomScale="70" zoomScaleNormal="70" zoomScaleSheetLayoutView="55" workbookViewId="0"/>
  </sheetViews>
  <sheetFormatPr defaultRowHeight="12.75"/>
  <cols>
    <col min="1" max="1" width="36.5703125" style="470" customWidth="1"/>
    <col min="2" max="16" width="11.28515625" style="470" customWidth="1"/>
    <col min="17" max="17" width="11.28515625" style="719" customWidth="1"/>
    <col min="18" max="18" width="11.28515625" style="470" customWidth="1"/>
    <col min="19" max="21" width="9.140625" style="473"/>
    <col min="22" max="16384" width="9.140625" style="470"/>
  </cols>
  <sheetData>
    <row r="1" spans="1:21" s="472" customFormat="1" ht="15.75">
      <c r="A1" s="656" t="s">
        <v>540</v>
      </c>
      <c r="S1" s="590"/>
      <c r="T1" s="590"/>
      <c r="U1" s="590"/>
    </row>
    <row r="2" spans="1:21" s="472" customFormat="1" ht="15.75">
      <c r="A2" s="338" t="s">
        <v>495</v>
      </c>
      <c r="S2" s="590"/>
      <c r="T2" s="590"/>
      <c r="U2" s="590"/>
    </row>
    <row r="3" spans="1:21" s="472" customFormat="1" ht="15.75">
      <c r="A3" s="338"/>
      <c r="S3" s="590"/>
      <c r="T3" s="590"/>
      <c r="U3" s="590"/>
    </row>
    <row r="4" spans="1:21" s="472" customFormat="1" ht="15.75">
      <c r="A4" s="589" t="s">
        <v>438</v>
      </c>
      <c r="B4" s="587" t="s">
        <v>468</v>
      </c>
      <c r="C4" s="587"/>
      <c r="D4" s="587"/>
      <c r="E4" s="587"/>
      <c r="F4" s="587"/>
      <c r="G4" s="587"/>
      <c r="H4" s="587"/>
      <c r="I4" s="587"/>
      <c r="S4" s="590"/>
      <c r="T4" s="590"/>
      <c r="U4" s="590"/>
    </row>
    <row r="5" spans="1:21" s="472" customFormat="1" ht="15">
      <c r="A5" s="588"/>
      <c r="S5" s="590"/>
      <c r="T5" s="590"/>
      <c r="U5" s="590"/>
    </row>
    <row r="6" spans="1:21" s="472" customFormat="1" ht="15">
      <c r="A6" s="592" t="s">
        <v>505</v>
      </c>
      <c r="S6" s="590"/>
      <c r="T6" s="590"/>
      <c r="U6" s="590"/>
    </row>
    <row r="8" spans="1:21">
      <c r="A8" s="474"/>
      <c r="B8" s="475"/>
      <c r="C8" s="475"/>
      <c r="D8" s="475"/>
      <c r="E8" s="475"/>
      <c r="F8" s="475"/>
      <c r="G8" s="475"/>
      <c r="H8" s="475"/>
      <c r="I8" s="475"/>
      <c r="J8" s="476"/>
      <c r="K8" s="476"/>
      <c r="L8" s="476"/>
      <c r="M8" s="476"/>
      <c r="N8" s="477"/>
      <c r="O8" s="477"/>
      <c r="P8" s="478"/>
      <c r="Q8" s="478"/>
      <c r="R8" s="477"/>
    </row>
    <row r="9" spans="1:21">
      <c r="B9" s="479">
        <f t="shared" ref="B9:H9" si="0">+C9-1</f>
        <v>2000</v>
      </c>
      <c r="C9" s="479">
        <f t="shared" si="0"/>
        <v>2001</v>
      </c>
      <c r="D9" s="479">
        <f t="shared" si="0"/>
        <v>2002</v>
      </c>
      <c r="E9" s="479">
        <f t="shared" si="0"/>
        <v>2003</v>
      </c>
      <c r="F9" s="479">
        <f t="shared" si="0"/>
        <v>2004</v>
      </c>
      <c r="G9" s="479">
        <f t="shared" si="0"/>
        <v>2005</v>
      </c>
      <c r="H9" s="479">
        <f t="shared" si="0"/>
        <v>2006</v>
      </c>
      <c r="I9" s="479">
        <f>+J9-1</f>
        <v>2007</v>
      </c>
      <c r="J9" s="479">
        <v>2008</v>
      </c>
      <c r="K9" s="480">
        <v>2009</v>
      </c>
      <c r="L9" s="480">
        <v>2010</v>
      </c>
      <c r="M9" s="480">
        <v>2011</v>
      </c>
      <c r="N9" s="480">
        <v>2012</v>
      </c>
      <c r="O9" s="480">
        <v>2013</v>
      </c>
      <c r="P9" s="480">
        <v>2014</v>
      </c>
      <c r="Q9" s="480"/>
      <c r="R9" s="480">
        <v>2015</v>
      </c>
    </row>
    <row r="10" spans="1:21" ht="8.25" customHeight="1">
      <c r="B10" s="481" t="s">
        <v>439</v>
      </c>
      <c r="C10" s="481" t="s">
        <v>439</v>
      </c>
      <c r="D10" s="481" t="s">
        <v>439</v>
      </c>
      <c r="E10" s="481" t="s">
        <v>439</v>
      </c>
      <c r="F10" s="481" t="s">
        <v>439</v>
      </c>
      <c r="G10" s="481" t="s">
        <v>439</v>
      </c>
      <c r="H10" s="481" t="s">
        <v>439</v>
      </c>
      <c r="I10" s="481" t="s">
        <v>439</v>
      </c>
      <c r="J10" s="481" t="s">
        <v>439</v>
      </c>
      <c r="K10" s="481" t="s">
        <v>439</v>
      </c>
      <c r="L10" s="481" t="s">
        <v>439</v>
      </c>
      <c r="M10" s="481" t="s">
        <v>439</v>
      </c>
      <c r="N10" s="481" t="s">
        <v>439</v>
      </c>
      <c r="O10" s="481" t="s">
        <v>439</v>
      </c>
      <c r="P10" s="481" t="s">
        <v>439</v>
      </c>
      <c r="Q10" s="481"/>
      <c r="R10" s="481" t="s">
        <v>439</v>
      </c>
    </row>
    <row r="11" spans="1:21">
      <c r="A11" s="482" t="s">
        <v>468</v>
      </c>
      <c r="B11" s="97">
        <f>+'Cost Trends'!F109</f>
        <v>9056</v>
      </c>
      <c r="C11" s="97">
        <f>+'Cost Trends'!G109</f>
        <v>9178</v>
      </c>
      <c r="D11" s="97">
        <f>+'Cost Trends'!H109</f>
        <v>9427</v>
      </c>
      <c r="E11" s="97">
        <f>+'Cost Trends'!I109</f>
        <v>9752</v>
      </c>
      <c r="F11" s="97">
        <f>+'Cost Trends'!J109</f>
        <v>10067</v>
      </c>
      <c r="G11" s="97">
        <f>+'Cost Trends'!K109</f>
        <v>10399</v>
      </c>
      <c r="H11" s="97">
        <f>+'Cost Trends'!L109</f>
        <v>10776</v>
      </c>
      <c r="I11" s="97">
        <f>+'Cost Trends'!M109</f>
        <v>11333</v>
      </c>
      <c r="J11" s="97">
        <f>+'Cost Trends'!N109</f>
        <v>15611</v>
      </c>
      <c r="K11" s="97">
        <f>+'Cost Trends'!O109</f>
        <v>16809</v>
      </c>
      <c r="L11" s="97">
        <f>+'Cost Trends'!P109</f>
        <v>17985</v>
      </c>
      <c r="M11" s="97">
        <f>+'Cost Trends'!Q109</f>
        <v>19240</v>
      </c>
      <c r="N11" s="97">
        <f>+'Cost Trends'!R109</f>
        <v>20749</v>
      </c>
      <c r="O11" s="97">
        <f>+'Cost Trends'!S109</f>
        <v>22303</v>
      </c>
      <c r="P11" s="97">
        <f>+'Cost Trends'!T109</f>
        <v>23794</v>
      </c>
      <c r="Q11" s="97"/>
      <c r="R11" s="97">
        <f>+'Cost Trends'!U109</f>
        <v>25379</v>
      </c>
    </row>
    <row r="12" spans="1:21" ht="8.25" customHeight="1">
      <c r="B12" s="481" t="s">
        <v>439</v>
      </c>
      <c r="C12" s="481" t="s">
        <v>439</v>
      </c>
      <c r="D12" s="481" t="s">
        <v>439</v>
      </c>
      <c r="E12" s="481" t="s">
        <v>439</v>
      </c>
      <c r="F12" s="481" t="s">
        <v>439</v>
      </c>
      <c r="G12" s="481" t="s">
        <v>439</v>
      </c>
      <c r="H12" s="481" t="s">
        <v>439</v>
      </c>
      <c r="I12" s="481" t="s">
        <v>439</v>
      </c>
      <c r="J12" s="481" t="s">
        <v>439</v>
      </c>
      <c r="K12" s="481" t="s">
        <v>439</v>
      </c>
      <c r="L12" s="481" t="s">
        <v>439</v>
      </c>
      <c r="M12" s="481" t="s">
        <v>439</v>
      </c>
      <c r="N12" s="481" t="s">
        <v>439</v>
      </c>
      <c r="O12" s="481" t="s">
        <v>439</v>
      </c>
      <c r="P12" s="481" t="s">
        <v>439</v>
      </c>
      <c r="Q12" s="481"/>
      <c r="R12" s="481" t="s">
        <v>439</v>
      </c>
    </row>
    <row r="13" spans="1:21" ht="26.25" customHeight="1">
      <c r="A13" s="483" t="str">
        <f>+"Total "&amp;B4</f>
        <v>Total Distribution Depreciation Expense</v>
      </c>
      <c r="B13" s="484">
        <f t="shared" ref="B13:R13" si="1">+SUM(B10:B12)</f>
        <v>9056</v>
      </c>
      <c r="C13" s="484">
        <f t="shared" si="1"/>
        <v>9178</v>
      </c>
      <c r="D13" s="484">
        <f t="shared" si="1"/>
        <v>9427</v>
      </c>
      <c r="E13" s="484">
        <f t="shared" si="1"/>
        <v>9752</v>
      </c>
      <c r="F13" s="484">
        <f t="shared" si="1"/>
        <v>10067</v>
      </c>
      <c r="G13" s="484">
        <f t="shared" si="1"/>
        <v>10399</v>
      </c>
      <c r="H13" s="484">
        <f t="shared" si="1"/>
        <v>10776</v>
      </c>
      <c r="I13" s="484">
        <f t="shared" si="1"/>
        <v>11333</v>
      </c>
      <c r="J13" s="484">
        <f t="shared" si="1"/>
        <v>15611</v>
      </c>
      <c r="K13" s="484">
        <f t="shared" si="1"/>
        <v>16809</v>
      </c>
      <c r="L13" s="484">
        <f t="shared" si="1"/>
        <v>17985</v>
      </c>
      <c r="M13" s="484">
        <f t="shared" si="1"/>
        <v>19240</v>
      </c>
      <c r="N13" s="484">
        <f t="shared" si="1"/>
        <v>20749</v>
      </c>
      <c r="O13" s="484">
        <f t="shared" si="1"/>
        <v>22303</v>
      </c>
      <c r="P13" s="484">
        <f t="shared" si="1"/>
        <v>23794</v>
      </c>
      <c r="Q13" s="484"/>
      <c r="R13" s="484">
        <f t="shared" si="1"/>
        <v>25379</v>
      </c>
      <c r="T13" s="507"/>
      <c r="U13" s="508"/>
    </row>
    <row r="14" spans="1:21">
      <c r="P14" s="327"/>
      <c r="Q14" s="327"/>
    </row>
    <row r="15" spans="1:21">
      <c r="P15" s="327"/>
      <c r="Q15" s="327"/>
    </row>
    <row r="16" spans="1:21">
      <c r="A16" s="485" t="s">
        <v>442</v>
      </c>
      <c r="B16" s="486"/>
      <c r="C16" s="487"/>
      <c r="D16" s="485" t="s">
        <v>504</v>
      </c>
      <c r="E16" s="485"/>
      <c r="F16" s="486"/>
      <c r="G16" s="486"/>
      <c r="H16" s="486"/>
      <c r="I16" s="486"/>
      <c r="J16" s="486"/>
      <c r="K16" s="486"/>
      <c r="L16" s="486"/>
      <c r="M16" s="486"/>
      <c r="N16" s="486"/>
      <c r="O16" s="486"/>
      <c r="P16" s="488"/>
      <c r="Q16" s="488"/>
      <c r="R16" s="486"/>
    </row>
    <row r="17" spans="1:21" ht="19.5" customHeight="1">
      <c r="A17" s="473"/>
      <c r="B17" s="489"/>
      <c r="C17" s="489"/>
      <c r="D17" s="489"/>
      <c r="E17" s="489"/>
      <c r="F17" s="489"/>
      <c r="G17" s="489"/>
      <c r="H17" s="489"/>
      <c r="I17" s="489"/>
    </row>
    <row r="18" spans="1:21" ht="19.5" customHeight="1">
      <c r="A18" s="529" t="s">
        <v>502</v>
      </c>
      <c r="B18" s="490">
        <f ca="1">+LINEST(
OFFSET($B$76,0,0,1,SUM($B$70:$R$70)),
OFFSET($B$75,0,0,1,SUM($B$70:$R$70)),
,
1)</f>
        <v>1401.952380952381</v>
      </c>
      <c r="C18" s="489"/>
      <c r="D18" s="489"/>
      <c r="E18" s="489"/>
      <c r="F18" s="489"/>
      <c r="G18" s="489"/>
      <c r="H18" s="489"/>
      <c r="I18" s="489"/>
    </row>
    <row r="19" spans="1:21" ht="19.5" customHeight="1">
      <c r="A19" s="473" t="s">
        <v>503</v>
      </c>
      <c r="B19" s="489">
        <f ca="1">RSQ(
OFFSET($B$76,0,0,1,SUM($B$70:$R$70)),
OFFSET($B$75,0,0,1,SUM($B$70:$R$70))
)</f>
        <v>0.99650357922054911</v>
      </c>
      <c r="C19" s="490"/>
      <c r="D19" s="490"/>
      <c r="E19" s="490"/>
      <c r="F19" s="490"/>
      <c r="G19" s="490"/>
      <c r="H19" s="490"/>
      <c r="I19" s="490"/>
    </row>
    <row r="20" spans="1:21" ht="19.5" customHeight="1">
      <c r="A20" s="470" t="s">
        <v>443</v>
      </c>
      <c r="B20" s="491">
        <f ca="1">+B18/R13</f>
        <v>5.5240647029133574E-2</v>
      </c>
      <c r="C20" s="489"/>
      <c r="D20" s="489"/>
      <c r="E20" s="489"/>
      <c r="F20" s="489"/>
      <c r="G20" s="489"/>
      <c r="H20" s="489"/>
      <c r="I20" s="489"/>
    </row>
    <row r="21" spans="1:21" ht="19.5" customHeight="1">
      <c r="A21" s="327" t="str">
        <f>+'2) ROR'!$D$19&amp;"-year Growth Rate"</f>
        <v>1-year Growth Rate</v>
      </c>
      <c r="B21" s="530">
        <f ca="1">ROUND(B20*'2) ROR'!$D$19,4)</f>
        <v>5.5199999999999999E-2</v>
      </c>
      <c r="C21" s="491"/>
      <c r="D21" s="491"/>
      <c r="E21" s="491"/>
      <c r="F21" s="491"/>
      <c r="G21" s="491"/>
      <c r="H21" s="491"/>
      <c r="I21" s="491"/>
    </row>
    <row r="22" spans="1:21" ht="19.5" customHeight="1">
      <c r="C22" s="492"/>
      <c r="D22" s="492"/>
      <c r="E22" s="492"/>
      <c r="F22" s="492"/>
      <c r="G22" s="492"/>
      <c r="H22" s="492"/>
      <c r="I22" s="492"/>
      <c r="L22" s="362"/>
    </row>
    <row r="24" spans="1:21">
      <c r="S24" s="493"/>
      <c r="T24" s="493"/>
    </row>
    <row r="25" spans="1:21">
      <c r="S25" s="494"/>
      <c r="T25" s="494"/>
    </row>
    <row r="26" spans="1:21">
      <c r="S26" s="494"/>
      <c r="T26" s="494"/>
    </row>
    <row r="27" spans="1:21">
      <c r="S27" s="494"/>
      <c r="T27" s="494"/>
    </row>
    <row r="28" spans="1:21">
      <c r="S28" s="494"/>
      <c r="T28" s="494"/>
    </row>
    <row r="29" spans="1:21">
      <c r="S29" s="494"/>
      <c r="T29" s="494"/>
    </row>
    <row r="32" spans="1:21">
      <c r="S32" s="495"/>
      <c r="T32" s="495"/>
      <c r="U32" s="495"/>
    </row>
    <row r="33" spans="19:21">
      <c r="S33" s="494"/>
      <c r="T33" s="494"/>
      <c r="U33" s="494"/>
    </row>
    <row r="34" spans="19:21">
      <c r="S34" s="494"/>
      <c r="T34" s="494"/>
      <c r="U34" s="494"/>
    </row>
    <row r="35" spans="19:21">
      <c r="S35" s="494"/>
      <c r="T35" s="494"/>
      <c r="U35" s="494"/>
    </row>
    <row r="36" spans="19:21">
      <c r="S36" s="494"/>
      <c r="T36" s="494"/>
      <c r="U36" s="494"/>
    </row>
    <row r="37" spans="19:21">
      <c r="S37" s="494"/>
      <c r="T37" s="494"/>
      <c r="U37" s="494"/>
    </row>
    <row r="38" spans="19:21">
      <c r="S38" s="494"/>
      <c r="T38" s="494"/>
      <c r="U38" s="494"/>
    </row>
    <row r="39" spans="19:21">
      <c r="S39" s="494"/>
      <c r="T39" s="494"/>
      <c r="U39" s="494"/>
    </row>
    <row r="40" spans="19:21">
      <c r="S40" s="494"/>
      <c r="T40" s="494"/>
      <c r="U40" s="494"/>
    </row>
    <row r="41" spans="19:21">
      <c r="S41" s="494"/>
      <c r="T41" s="494"/>
      <c r="U41" s="494"/>
    </row>
    <row r="42" spans="19:21">
      <c r="S42" s="494"/>
      <c r="T42" s="494"/>
      <c r="U42" s="494"/>
    </row>
    <row r="43" spans="19:21">
      <c r="S43" s="494"/>
      <c r="T43" s="494"/>
      <c r="U43" s="494"/>
    </row>
    <row r="44" spans="19:21">
      <c r="S44" s="494"/>
      <c r="T44" s="494"/>
      <c r="U44" s="494"/>
    </row>
    <row r="45" spans="19:21">
      <c r="S45" s="494"/>
      <c r="T45" s="494"/>
      <c r="U45" s="494"/>
    </row>
    <row r="46" spans="19:21">
      <c r="S46" s="494"/>
      <c r="T46" s="494"/>
      <c r="U46" s="494"/>
    </row>
    <row r="47" spans="19:21">
      <c r="S47" s="494"/>
      <c r="T47" s="494"/>
      <c r="U47" s="494"/>
    </row>
    <row r="48" spans="19:21">
      <c r="S48" s="494"/>
      <c r="T48" s="494"/>
      <c r="U48" s="494"/>
    </row>
    <row r="49" spans="19:21">
      <c r="S49" s="494"/>
      <c r="T49" s="494"/>
      <c r="U49" s="494"/>
    </row>
    <row r="50" spans="19:21">
      <c r="S50" s="494"/>
      <c r="T50" s="494"/>
      <c r="U50" s="494"/>
    </row>
    <row r="51" spans="19:21">
      <c r="S51" s="494"/>
      <c r="T51" s="494"/>
      <c r="U51" s="494"/>
    </row>
    <row r="52" spans="19:21">
      <c r="S52" s="494"/>
      <c r="T52" s="494"/>
      <c r="U52" s="494"/>
    </row>
    <row r="53" spans="19:21">
      <c r="S53" s="494"/>
      <c r="T53" s="494"/>
      <c r="U53" s="494"/>
    </row>
    <row r="54" spans="19:21">
      <c r="S54" s="494"/>
      <c r="T54" s="494"/>
      <c r="U54" s="494"/>
    </row>
    <row r="55" spans="19:21">
      <c r="S55" s="494"/>
      <c r="T55" s="494"/>
      <c r="U55" s="494"/>
    </row>
    <row r="57" spans="19:21">
      <c r="S57" s="495"/>
      <c r="T57" s="495"/>
      <c r="U57" s="495"/>
    </row>
    <row r="58" spans="19:21">
      <c r="S58" s="494"/>
      <c r="T58" s="494"/>
      <c r="U58" s="494"/>
    </row>
    <row r="59" spans="19:21">
      <c r="S59" s="494"/>
      <c r="T59" s="494"/>
      <c r="U59" s="494"/>
    </row>
    <row r="60" spans="19:21">
      <c r="S60" s="494"/>
      <c r="T60" s="494"/>
      <c r="U60" s="494"/>
    </row>
    <row r="61" spans="19:21">
      <c r="S61" s="494"/>
      <c r="T61" s="494"/>
      <c r="U61" s="494"/>
    </row>
    <row r="67" spans="1:21">
      <c r="S67" s="495"/>
      <c r="T67" s="495"/>
      <c r="U67" s="495"/>
    </row>
    <row r="68" spans="1:21">
      <c r="A68" s="496" t="s">
        <v>444</v>
      </c>
      <c r="S68" s="494"/>
      <c r="T68" s="494"/>
      <c r="U68" s="494"/>
    </row>
    <row r="69" spans="1:21">
      <c r="A69" s="496" t="s">
        <v>445</v>
      </c>
      <c r="B69" s="496">
        <f t="shared" ref="B69:R69" si="2">+B9</f>
        <v>2000</v>
      </c>
      <c r="C69" s="496">
        <f t="shared" si="2"/>
        <v>2001</v>
      </c>
      <c r="D69" s="496">
        <f t="shared" si="2"/>
        <v>2002</v>
      </c>
      <c r="E69" s="496">
        <f t="shared" si="2"/>
        <v>2003</v>
      </c>
      <c r="F69" s="496">
        <f t="shared" si="2"/>
        <v>2004</v>
      </c>
      <c r="G69" s="496">
        <f t="shared" si="2"/>
        <v>2005</v>
      </c>
      <c r="H69" s="496">
        <f t="shared" si="2"/>
        <v>2006</v>
      </c>
      <c r="I69" s="496">
        <f t="shared" si="2"/>
        <v>2007</v>
      </c>
      <c r="J69" s="496">
        <f t="shared" si="2"/>
        <v>2008</v>
      </c>
      <c r="K69" s="496">
        <f t="shared" si="2"/>
        <v>2009</v>
      </c>
      <c r="L69" s="496">
        <f t="shared" si="2"/>
        <v>2010</v>
      </c>
      <c r="M69" s="496">
        <f t="shared" si="2"/>
        <v>2011</v>
      </c>
      <c r="N69" s="496">
        <f t="shared" si="2"/>
        <v>2012</v>
      </c>
      <c r="O69" s="496">
        <f t="shared" si="2"/>
        <v>2013</v>
      </c>
      <c r="P69" s="496">
        <f t="shared" si="2"/>
        <v>2014</v>
      </c>
      <c r="Q69" s="496"/>
      <c r="R69" s="496">
        <f t="shared" si="2"/>
        <v>2015</v>
      </c>
    </row>
    <row r="70" spans="1:21">
      <c r="A70" s="497" t="s">
        <v>446</v>
      </c>
      <c r="B70" s="497"/>
      <c r="C70" s="497"/>
      <c r="D70" s="497"/>
      <c r="E70" s="497"/>
      <c r="F70" s="497"/>
      <c r="G70" s="497"/>
      <c r="H70" s="497"/>
      <c r="I70" s="497"/>
      <c r="J70" s="497">
        <v>1</v>
      </c>
      <c r="K70" s="497">
        <v>1</v>
      </c>
      <c r="L70" s="497">
        <v>1</v>
      </c>
      <c r="M70" s="497">
        <v>1</v>
      </c>
      <c r="N70" s="497">
        <v>1</v>
      </c>
      <c r="O70" s="497">
        <v>1</v>
      </c>
      <c r="P70" s="497">
        <v>1</v>
      </c>
      <c r="Q70" s="497"/>
      <c r="R70" s="497">
        <v>1</v>
      </c>
    </row>
    <row r="71" spans="1:21">
      <c r="A71" s="490"/>
      <c r="B71" s="490"/>
      <c r="C71" s="490"/>
      <c r="D71" s="490"/>
      <c r="E71" s="490"/>
      <c r="F71" s="490"/>
      <c r="G71" s="490"/>
      <c r="H71" s="490"/>
      <c r="I71" s="490"/>
      <c r="J71" s="490"/>
      <c r="K71" s="490"/>
      <c r="L71" s="490"/>
      <c r="M71" s="490"/>
      <c r="N71" s="490"/>
      <c r="O71" s="490"/>
      <c r="P71" s="490"/>
      <c r="Q71" s="490"/>
      <c r="R71" s="490"/>
      <c r="S71" s="490"/>
      <c r="T71" s="490"/>
      <c r="U71" s="490"/>
    </row>
    <row r="72" spans="1:21">
      <c r="A72" s="490"/>
      <c r="B72" s="490"/>
      <c r="C72" s="490"/>
      <c r="D72" s="490"/>
      <c r="E72" s="490"/>
      <c r="F72" s="490"/>
      <c r="G72" s="490"/>
      <c r="H72" s="490"/>
      <c r="I72" s="490"/>
      <c r="J72" s="490"/>
      <c r="K72" s="490"/>
      <c r="L72" s="490"/>
      <c r="M72" s="490"/>
      <c r="N72" s="490"/>
      <c r="O72" s="490"/>
      <c r="P72" s="490"/>
      <c r="Q72" s="490"/>
      <c r="R72" s="490"/>
      <c r="S72" s="490"/>
      <c r="T72" s="490"/>
      <c r="U72" s="490"/>
    </row>
    <row r="73" spans="1:21">
      <c r="A73" s="498" t="s">
        <v>447</v>
      </c>
      <c r="B73" s="499">
        <f>+SUM($B70:B$70)</f>
        <v>0</v>
      </c>
      <c r="C73" s="499">
        <f>+SUM($B70:C$70)</f>
        <v>0</v>
      </c>
      <c r="D73" s="499">
        <f>+SUM($B70:D$70)</f>
        <v>0</v>
      </c>
      <c r="E73" s="499">
        <f>+SUM($B70:E$70)</f>
        <v>0</v>
      </c>
      <c r="F73" s="499">
        <f>+SUM($B70:F$70)</f>
        <v>0</v>
      </c>
      <c r="G73" s="499">
        <f>+SUM($B70:G$70)</f>
        <v>0</v>
      </c>
      <c r="H73" s="499">
        <f>+SUM($B70:H$70)</f>
        <v>0</v>
      </c>
      <c r="I73" s="499">
        <f>+SUM($B70:I$70)</f>
        <v>0</v>
      </c>
      <c r="J73" s="499">
        <f>+SUM($B70:J$70)</f>
        <v>1</v>
      </c>
      <c r="K73" s="499">
        <f>+SUM($B70:K$70)</f>
        <v>2</v>
      </c>
      <c r="L73" s="499">
        <f>+SUM($B70:L$70)</f>
        <v>3</v>
      </c>
      <c r="M73" s="499">
        <f>+SUM($B70:M$70)</f>
        <v>4</v>
      </c>
      <c r="N73" s="499">
        <f>+SUM($B70:N$70)</f>
        <v>5</v>
      </c>
      <c r="O73" s="499">
        <f>+SUM($B70:O$70)</f>
        <v>6</v>
      </c>
      <c r="P73" s="499">
        <f>+SUM($B70:P$70)</f>
        <v>7</v>
      </c>
      <c r="Q73" s="499"/>
      <c r="R73" s="499">
        <f>+SUM($B70:R$70)</f>
        <v>8</v>
      </c>
      <c r="S73" s="490"/>
      <c r="T73" s="490"/>
      <c r="U73" s="490"/>
    </row>
    <row r="74" spans="1:21">
      <c r="A74" s="498" t="s">
        <v>448</v>
      </c>
      <c r="B74" s="500">
        <v>1</v>
      </c>
      <c r="C74" s="500">
        <f t="shared" ref="C74:K74" si="3">+B74+1</f>
        <v>2</v>
      </c>
      <c r="D74" s="500">
        <f t="shared" si="3"/>
        <v>3</v>
      </c>
      <c r="E74" s="500">
        <f t="shared" si="3"/>
        <v>4</v>
      </c>
      <c r="F74" s="500">
        <f t="shared" si="3"/>
        <v>5</v>
      </c>
      <c r="G74" s="500">
        <f t="shared" si="3"/>
        <v>6</v>
      </c>
      <c r="H74" s="500">
        <f t="shared" si="3"/>
        <v>7</v>
      </c>
      <c r="I74" s="500">
        <f t="shared" si="3"/>
        <v>8</v>
      </c>
      <c r="J74" s="500">
        <f t="shared" si="3"/>
        <v>9</v>
      </c>
      <c r="K74" s="500">
        <f t="shared" si="3"/>
        <v>10</v>
      </c>
      <c r="L74" s="500">
        <f>+K74+1</f>
        <v>11</v>
      </c>
      <c r="M74" s="500">
        <f t="shared" ref="M74:P74" si="4">+L74+1</f>
        <v>12</v>
      </c>
      <c r="N74" s="500">
        <f t="shared" si="4"/>
        <v>13</v>
      </c>
      <c r="O74" s="500">
        <f t="shared" si="4"/>
        <v>14</v>
      </c>
      <c r="P74" s="500">
        <f t="shared" si="4"/>
        <v>15</v>
      </c>
      <c r="Q74" s="500"/>
      <c r="R74" s="500">
        <f>+P74+1</f>
        <v>16</v>
      </c>
    </row>
    <row r="75" spans="1:21">
      <c r="A75" s="498" t="s">
        <v>449</v>
      </c>
      <c r="B75" s="500">
        <f t="shared" ref="B75:P75" ca="1" si="5">+OFFSET($A$69,0,MATCH(B$74,$B$73:$R$73,0))</f>
        <v>2008</v>
      </c>
      <c r="C75" s="500">
        <f t="shared" ca="1" si="5"/>
        <v>2009</v>
      </c>
      <c r="D75" s="500">
        <f t="shared" ca="1" si="5"/>
        <v>2010</v>
      </c>
      <c r="E75" s="500">
        <f t="shared" ca="1" si="5"/>
        <v>2011</v>
      </c>
      <c r="F75" s="500">
        <f t="shared" ca="1" si="5"/>
        <v>2012</v>
      </c>
      <c r="G75" s="500">
        <f t="shared" ca="1" si="5"/>
        <v>2013</v>
      </c>
      <c r="H75" s="500">
        <f t="shared" ca="1" si="5"/>
        <v>2014</v>
      </c>
      <c r="I75" s="500">
        <f t="shared" ca="1" si="5"/>
        <v>2015</v>
      </c>
      <c r="J75" s="500" t="e">
        <f t="shared" ca="1" si="5"/>
        <v>#N/A</v>
      </c>
      <c r="K75" s="500" t="e">
        <f t="shared" ca="1" si="5"/>
        <v>#N/A</v>
      </c>
      <c r="L75" s="500" t="e">
        <f t="shared" ca="1" si="5"/>
        <v>#N/A</v>
      </c>
      <c r="M75" s="500" t="e">
        <f t="shared" ca="1" si="5"/>
        <v>#N/A</v>
      </c>
      <c r="N75" s="500" t="e">
        <f t="shared" ca="1" si="5"/>
        <v>#N/A</v>
      </c>
      <c r="O75" s="500" t="e">
        <f t="shared" ca="1" si="5"/>
        <v>#N/A</v>
      </c>
      <c r="P75" s="500" t="e">
        <f t="shared" ca="1" si="5"/>
        <v>#N/A</v>
      </c>
      <c r="Q75" s="500"/>
      <c r="R75" s="500" t="e">
        <f ca="1">+OFFSET($A$69,0,MATCH(R$74,$B$73:$R$73,0))</f>
        <v>#N/A</v>
      </c>
    </row>
    <row r="76" spans="1:21">
      <c r="A76" s="498" t="s">
        <v>450</v>
      </c>
      <c r="B76" s="498">
        <f t="shared" ref="B76:P76" ca="1" si="6">+INDEX(13:13,1,MATCH(B$75,9:9,0))</f>
        <v>15611</v>
      </c>
      <c r="C76" s="498">
        <f t="shared" ca="1" si="6"/>
        <v>16809</v>
      </c>
      <c r="D76" s="498">
        <f t="shared" ca="1" si="6"/>
        <v>17985</v>
      </c>
      <c r="E76" s="498">
        <f t="shared" ca="1" si="6"/>
        <v>19240</v>
      </c>
      <c r="F76" s="498">
        <f t="shared" ca="1" si="6"/>
        <v>20749</v>
      </c>
      <c r="G76" s="498">
        <f t="shared" ca="1" si="6"/>
        <v>22303</v>
      </c>
      <c r="H76" s="498">
        <f t="shared" ca="1" si="6"/>
        <v>23794</v>
      </c>
      <c r="I76" s="498">
        <f t="shared" ca="1" si="6"/>
        <v>25379</v>
      </c>
      <c r="J76" s="498" t="e">
        <f t="shared" ca="1" si="6"/>
        <v>#N/A</v>
      </c>
      <c r="K76" s="498" t="e">
        <f t="shared" ca="1" si="6"/>
        <v>#N/A</v>
      </c>
      <c r="L76" s="498" t="e">
        <f t="shared" ca="1" si="6"/>
        <v>#N/A</v>
      </c>
      <c r="M76" s="498" t="e">
        <f t="shared" ca="1" si="6"/>
        <v>#N/A</v>
      </c>
      <c r="N76" s="498" t="e">
        <f t="shared" ca="1" si="6"/>
        <v>#N/A</v>
      </c>
      <c r="O76" s="498" t="e">
        <f t="shared" ca="1" si="6"/>
        <v>#N/A</v>
      </c>
      <c r="P76" s="498" t="e">
        <f t="shared" ca="1" si="6"/>
        <v>#N/A</v>
      </c>
      <c r="Q76" s="498"/>
      <c r="R76" s="498" t="e">
        <f ca="1">+INDEX(13:13,1,MATCH(R$75,9:9,0))</f>
        <v>#N/A</v>
      </c>
    </row>
    <row r="79" spans="1:21">
      <c r="A79" s="501"/>
      <c r="B79" s="502" t="s">
        <v>451</v>
      </c>
      <c r="C79" s="503"/>
    </row>
    <row r="80" spans="1:21">
      <c r="A80" s="501" t="s">
        <v>452</v>
      </c>
      <c r="B80" s="504">
        <f t="array" aca="1" ref="B80:C84" ca="1">+LINEST(
OFFSET($B76,0,0,1,SUM($B70:$R70)),
OFFSET($B75,0,0,1,SUM($B70:$R70)),
,
1)</f>
        <v>1401.952380952381</v>
      </c>
      <c r="C80" s="504">
        <f ca="1"/>
        <v>-2799793.4642857141</v>
      </c>
      <c r="D80" s="470" t="s">
        <v>453</v>
      </c>
    </row>
    <row r="81" spans="1:4">
      <c r="A81" s="501" t="s">
        <v>454</v>
      </c>
      <c r="B81" s="504">
        <f ca="1"/>
        <v>33.902369442519543</v>
      </c>
      <c r="C81" s="504">
        <f ca="1"/>
        <v>68194.660376079424</v>
      </c>
      <c r="D81" s="470" t="s">
        <v>455</v>
      </c>
    </row>
    <row r="82" spans="1:4">
      <c r="A82" s="501" t="s">
        <v>456</v>
      </c>
      <c r="B82" s="504">
        <f ca="1"/>
        <v>0.99650357922054866</v>
      </c>
      <c r="C82" s="504">
        <f ca="1"/>
        <v>219.7124654185954</v>
      </c>
      <c r="D82" s="470" t="s">
        <v>457</v>
      </c>
    </row>
    <row r="83" spans="1:4">
      <c r="A83" s="505" t="s">
        <v>458</v>
      </c>
      <c r="B83" s="504">
        <f ca="1"/>
        <v>1710.040596504429</v>
      </c>
      <c r="C83" s="504">
        <f ca="1"/>
        <v>6</v>
      </c>
      <c r="D83" s="470" t="s">
        <v>459</v>
      </c>
    </row>
    <row r="84" spans="1:4">
      <c r="A84" s="505" t="s">
        <v>460</v>
      </c>
      <c r="B84" s="504">
        <f ca="1"/>
        <v>82549760.09523809</v>
      </c>
      <c r="C84" s="504">
        <f ca="1"/>
        <v>289641.40476190485</v>
      </c>
      <c r="D84" s="470" t="s">
        <v>461</v>
      </c>
    </row>
    <row r="85" spans="1:4">
      <c r="A85" s="501"/>
    </row>
    <row r="86" spans="1:4">
      <c r="A86" s="501"/>
    </row>
    <row r="87" spans="1:4">
      <c r="A87" s="501" t="s">
        <v>462</v>
      </c>
      <c r="B87" s="470">
        <f ca="1">+B80/B81</f>
        <v>41.352637116687362</v>
      </c>
    </row>
    <row r="88" spans="1:4">
      <c r="A88" s="505" t="s">
        <v>463</v>
      </c>
      <c r="B88" s="506">
        <f ca="1">+TDIST(B87,C83,2)</f>
        <v>1.3374924866173079E-8</v>
      </c>
    </row>
  </sheetData>
  <conditionalFormatting sqref="J13:R13 B13:H13 T13">
    <cfRule type="expression" dxfId="23" priority="2">
      <formula>B$70=1</formula>
    </cfRule>
  </conditionalFormatting>
  <conditionalFormatting sqref="B13:I13">
    <cfRule type="expression" dxfId="22"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88"/>
  <sheetViews>
    <sheetView showGridLines="0" zoomScale="70" zoomScaleNormal="70" zoomScaleSheetLayoutView="55" workbookViewId="0"/>
  </sheetViews>
  <sheetFormatPr defaultRowHeight="12.75"/>
  <cols>
    <col min="1" max="1" width="36.5703125" style="470" customWidth="1"/>
    <col min="2" max="16" width="11.28515625" style="470" customWidth="1"/>
    <col min="17" max="17" width="11.28515625" style="719" customWidth="1"/>
    <col min="18" max="18" width="11.28515625" style="470" customWidth="1"/>
    <col min="19" max="21" width="9.140625" style="473"/>
    <col min="22" max="16384" width="9.140625" style="470"/>
  </cols>
  <sheetData>
    <row r="1" spans="1:21" s="472" customFormat="1" ht="15.75">
      <c r="A1" s="656" t="s">
        <v>540</v>
      </c>
      <c r="S1" s="590"/>
      <c r="T1" s="590"/>
      <c r="U1" s="590"/>
    </row>
    <row r="2" spans="1:21" s="472" customFormat="1" ht="15.75">
      <c r="A2" s="338" t="s">
        <v>495</v>
      </c>
      <c r="S2" s="590"/>
      <c r="T2" s="590"/>
      <c r="U2" s="590"/>
    </row>
    <row r="3" spans="1:21" s="472" customFormat="1" ht="15.75">
      <c r="A3" s="338"/>
      <c r="S3" s="590"/>
      <c r="T3" s="590"/>
      <c r="U3" s="590"/>
    </row>
    <row r="4" spans="1:21" s="472" customFormat="1" ht="15.75">
      <c r="A4" s="589" t="s">
        <v>438</v>
      </c>
      <c r="B4" s="587" t="s">
        <v>516</v>
      </c>
      <c r="C4" s="587"/>
      <c r="D4" s="587"/>
      <c r="E4" s="587"/>
      <c r="F4" s="587"/>
      <c r="G4" s="587"/>
      <c r="H4" s="587"/>
      <c r="I4" s="587"/>
      <c r="S4" s="590"/>
      <c r="T4" s="590"/>
      <c r="U4" s="590"/>
    </row>
    <row r="5" spans="1:21" s="472" customFormat="1" ht="15">
      <c r="A5" s="588"/>
      <c r="S5" s="590"/>
      <c r="T5" s="590"/>
      <c r="U5" s="590"/>
    </row>
    <row r="6" spans="1:21" s="472" customFormat="1" ht="15">
      <c r="A6" s="592" t="s">
        <v>505</v>
      </c>
      <c r="S6" s="590"/>
      <c r="T6" s="590"/>
      <c r="U6" s="590"/>
    </row>
    <row r="8" spans="1:21">
      <c r="A8" s="474"/>
      <c r="B8" s="475"/>
      <c r="C8" s="475"/>
      <c r="D8" s="475"/>
      <c r="E8" s="475"/>
      <c r="F8" s="475"/>
      <c r="G8" s="475"/>
      <c r="H8" s="475"/>
      <c r="I8" s="475"/>
      <c r="J8" s="476"/>
      <c r="K8" s="476"/>
      <c r="L8" s="476"/>
      <c r="M8" s="476"/>
      <c r="N8" s="477"/>
      <c r="O8" s="477"/>
      <c r="P8" s="478"/>
      <c r="Q8" s="478"/>
      <c r="R8" s="477"/>
    </row>
    <row r="9" spans="1:21">
      <c r="B9" s="479">
        <f t="shared" ref="B9:H9" si="0">+C9-1</f>
        <v>2000</v>
      </c>
      <c r="C9" s="479">
        <f t="shared" si="0"/>
        <v>2001</v>
      </c>
      <c r="D9" s="479">
        <f t="shared" si="0"/>
        <v>2002</v>
      </c>
      <c r="E9" s="479">
        <f t="shared" si="0"/>
        <v>2003</v>
      </c>
      <c r="F9" s="479">
        <f t="shared" si="0"/>
        <v>2004</v>
      </c>
      <c r="G9" s="479">
        <f t="shared" si="0"/>
        <v>2005</v>
      </c>
      <c r="H9" s="479">
        <f t="shared" si="0"/>
        <v>2006</v>
      </c>
      <c r="I9" s="479">
        <f>+J9-1</f>
        <v>2007</v>
      </c>
      <c r="J9" s="479">
        <v>2008</v>
      </c>
      <c r="K9" s="480">
        <v>2009</v>
      </c>
      <c r="L9" s="480">
        <v>2010</v>
      </c>
      <c r="M9" s="480">
        <v>2011</v>
      </c>
      <c r="N9" s="480">
        <v>2012</v>
      </c>
      <c r="O9" s="480">
        <v>2013</v>
      </c>
      <c r="P9" s="480">
        <v>2014</v>
      </c>
      <c r="Q9" s="480"/>
      <c r="R9" s="480">
        <v>2015</v>
      </c>
    </row>
    <row r="10" spans="1:21" ht="8.25" customHeight="1">
      <c r="B10" s="481" t="s">
        <v>439</v>
      </c>
      <c r="C10" s="481" t="s">
        <v>439</v>
      </c>
      <c r="D10" s="481" t="s">
        <v>439</v>
      </c>
      <c r="E10" s="481" t="s">
        <v>439</v>
      </c>
      <c r="F10" s="481" t="s">
        <v>439</v>
      </c>
      <c r="G10" s="481" t="s">
        <v>439</v>
      </c>
      <c r="H10" s="481" t="s">
        <v>439</v>
      </c>
      <c r="I10" s="481" t="s">
        <v>439</v>
      </c>
      <c r="J10" s="481" t="s">
        <v>439</v>
      </c>
      <c r="K10" s="481" t="s">
        <v>439</v>
      </c>
      <c r="L10" s="481" t="s">
        <v>439</v>
      </c>
      <c r="M10" s="481" t="s">
        <v>439</v>
      </c>
      <c r="N10" s="481" t="s">
        <v>439</v>
      </c>
      <c r="O10" s="481" t="s">
        <v>439</v>
      </c>
      <c r="P10" s="481" t="s">
        <v>439</v>
      </c>
      <c r="Q10" s="481"/>
      <c r="R10" s="481" t="s">
        <v>439</v>
      </c>
    </row>
    <row r="11" spans="1:21">
      <c r="A11" s="482" t="s">
        <v>469</v>
      </c>
      <c r="B11" s="97">
        <f>+'Cost Trends'!F122</f>
        <v>11693</v>
      </c>
      <c r="C11" s="97">
        <f>+'Cost Trends'!G122</f>
        <v>15462</v>
      </c>
      <c r="D11" s="97">
        <f>+'Cost Trends'!H122</f>
        <v>16996</v>
      </c>
      <c r="E11" s="97">
        <f>+'Cost Trends'!I122</f>
        <v>17286</v>
      </c>
      <c r="F11" s="97">
        <f>+'Cost Trends'!J122</f>
        <v>17401</v>
      </c>
      <c r="G11" s="97">
        <f>+'Cost Trends'!K122</f>
        <v>14988</v>
      </c>
      <c r="H11" s="97">
        <f>+'Cost Trends'!L122</f>
        <v>16307</v>
      </c>
      <c r="I11" s="97">
        <f>+'Cost Trends'!M122</f>
        <v>16156</v>
      </c>
      <c r="J11" s="97">
        <f>+'Cost Trends'!N122</f>
        <v>17416</v>
      </c>
      <c r="K11" s="97">
        <f>+'Cost Trends'!O122</f>
        <v>18216</v>
      </c>
      <c r="L11" s="97">
        <f>+'Cost Trends'!P122</f>
        <v>20029</v>
      </c>
      <c r="M11" s="97">
        <f>+'Cost Trends'!Q122</f>
        <v>22459</v>
      </c>
      <c r="N11" s="97">
        <f>+'Cost Trends'!R122</f>
        <v>22699</v>
      </c>
      <c r="O11" s="97">
        <f>+'Cost Trends'!S122</f>
        <v>23809</v>
      </c>
      <c r="P11" s="97">
        <f>+'Cost Trends'!T122</f>
        <v>25821</v>
      </c>
      <c r="Q11" s="97"/>
      <c r="R11" s="97">
        <f>+'Cost Trends'!U122</f>
        <v>27448</v>
      </c>
    </row>
    <row r="12" spans="1:21" ht="12" customHeight="1">
      <c r="A12" s="470" t="s">
        <v>518</v>
      </c>
      <c r="B12" s="97">
        <f>ResX!I31</f>
        <v>672.0700776436787</v>
      </c>
      <c r="C12" s="97">
        <f>ResX!J31</f>
        <v>57.176834291243019</v>
      </c>
      <c r="D12" s="97">
        <f>ResX!K31</f>
        <v>303.3279514094757</v>
      </c>
      <c r="E12" s="97">
        <f>ResX!L31</f>
        <v>255.96324334194176</v>
      </c>
      <c r="F12" s="97">
        <f>ResX!M31</f>
        <v>289.11450107718929</v>
      </c>
      <c r="G12" s="97">
        <f>ResX!N31</f>
        <v>379.03890273269815</v>
      </c>
      <c r="H12" s="97">
        <f>ResX!O31</f>
        <v>415.25512511778874</v>
      </c>
      <c r="I12" s="97">
        <f>ResX!P31</f>
        <v>225.37230028269292</v>
      </c>
      <c r="J12" s="97">
        <f>ResX!Q31</f>
        <v>144.3803915820333</v>
      </c>
      <c r="K12" s="97">
        <f>ResX!R31</f>
        <v>161.701193592294</v>
      </c>
      <c r="L12" s="97">
        <f>ResX!S31</f>
        <v>252.10043765050779</v>
      </c>
      <c r="M12" s="97">
        <f>ResX!T31</f>
        <v>186.12796565804626</v>
      </c>
      <c r="N12" s="97">
        <f>ResX!U31</f>
        <v>336.20120825044501</v>
      </c>
      <c r="O12" s="97">
        <f>ResX!V31</f>
        <v>0</v>
      </c>
      <c r="P12" s="97">
        <f>ResX!W31</f>
        <v>0</v>
      </c>
      <c r="Q12" s="97"/>
      <c r="R12" s="97">
        <f>ResX!X31</f>
        <v>0</v>
      </c>
    </row>
    <row r="13" spans="1:21">
      <c r="A13" s="470" t="s">
        <v>517</v>
      </c>
      <c r="B13" s="97">
        <f>+DSM!I31</f>
        <v>-139.02531106267637</v>
      </c>
      <c r="C13" s="97">
        <f>+DSM!J31</f>
        <v>-204.88365621028748</v>
      </c>
      <c r="D13" s="97">
        <f>+DSM!K31</f>
        <v>-244.858985269843</v>
      </c>
      <c r="E13" s="97">
        <f>+DSM!L31</f>
        <v>-247.52400720714672</v>
      </c>
      <c r="F13" s="97">
        <f>+DSM!M31</f>
        <v>-272.43792440891008</v>
      </c>
      <c r="G13" s="97">
        <f>+DSM!N31</f>
        <v>-266.79687571981992</v>
      </c>
      <c r="H13" s="97">
        <f>+DSM!O31</f>
        <v>-265.66638048371897</v>
      </c>
      <c r="I13" s="97">
        <f>+DSM!P31</f>
        <v>-269.17899068160403</v>
      </c>
      <c r="J13" s="97">
        <f>+DSM!Q31</f>
        <v>-488.21244267615958</v>
      </c>
      <c r="K13" s="97">
        <f>+DSM!R31</f>
        <v>-762.2767877709141</v>
      </c>
      <c r="L13" s="97">
        <f>+DSM!S31</f>
        <v>-786.62281017694488</v>
      </c>
      <c r="M13" s="97">
        <f>+DSM!T31</f>
        <v>-811.61482986074759</v>
      </c>
      <c r="N13" s="97">
        <f>+DSM!U31</f>
        <v>-682.57687362579838</v>
      </c>
      <c r="O13" s="97">
        <f>+DSM!V31</f>
        <v>0</v>
      </c>
      <c r="P13" s="97">
        <f>+DSM!W31</f>
        <v>0</v>
      </c>
      <c r="Q13" s="97"/>
      <c r="R13" s="97">
        <f>+DSM!X31</f>
        <v>0</v>
      </c>
    </row>
    <row r="14" spans="1:21" ht="8.25" customHeight="1">
      <c r="B14" s="481"/>
      <c r="C14" s="481"/>
      <c r="D14" s="481"/>
      <c r="E14" s="481"/>
      <c r="F14" s="481"/>
      <c r="G14" s="481"/>
      <c r="H14" s="481"/>
      <c r="I14" s="481"/>
      <c r="J14" s="481"/>
      <c r="K14" s="481"/>
      <c r="L14" s="481"/>
      <c r="M14" s="481"/>
      <c r="N14" s="481"/>
      <c r="O14" s="481"/>
      <c r="P14" s="481"/>
      <c r="Q14" s="481"/>
      <c r="R14" s="481"/>
    </row>
    <row r="15" spans="1:21" ht="8.25" customHeight="1">
      <c r="B15" s="481" t="s">
        <v>439</v>
      </c>
      <c r="C15" s="481" t="s">
        <v>439</v>
      </c>
      <c r="D15" s="481" t="s">
        <v>439</v>
      </c>
      <c r="E15" s="481" t="s">
        <v>439</v>
      </c>
      <c r="F15" s="481" t="s">
        <v>439</v>
      </c>
      <c r="G15" s="481" t="s">
        <v>439</v>
      </c>
      <c r="H15" s="481" t="s">
        <v>439</v>
      </c>
      <c r="I15" s="481" t="s">
        <v>439</v>
      </c>
      <c r="J15" s="481" t="s">
        <v>439</v>
      </c>
      <c r="K15" s="481" t="s">
        <v>439</v>
      </c>
      <c r="L15" s="481" t="s">
        <v>439</v>
      </c>
      <c r="M15" s="481" t="s">
        <v>439</v>
      </c>
      <c r="N15" s="481" t="s">
        <v>439</v>
      </c>
      <c r="O15" s="481" t="s">
        <v>439</v>
      </c>
      <c r="P15" s="481" t="s">
        <v>439</v>
      </c>
      <c r="Q15" s="481"/>
      <c r="R15" s="481" t="s">
        <v>439</v>
      </c>
    </row>
    <row r="16" spans="1:21" ht="26.25" customHeight="1">
      <c r="A16" s="483" t="str">
        <f>+"Total "&amp;B4</f>
        <v>Total Distribution Taxes Other Than Income Taxes</v>
      </c>
      <c r="B16" s="484">
        <f t="shared" ref="B16:R16" si="1">+SUM(B10:B15)</f>
        <v>12226.044766581002</v>
      </c>
      <c r="C16" s="484">
        <f t="shared" si="1"/>
        <v>15314.293178080956</v>
      </c>
      <c r="D16" s="484">
        <f t="shared" si="1"/>
        <v>17054.468966139633</v>
      </c>
      <c r="E16" s="484">
        <f t="shared" si="1"/>
        <v>17294.439236134796</v>
      </c>
      <c r="F16" s="484">
        <f t="shared" si="1"/>
        <v>17417.67657666828</v>
      </c>
      <c r="G16" s="484">
        <f t="shared" si="1"/>
        <v>15100.242027012879</v>
      </c>
      <c r="H16" s="484">
        <f t="shared" si="1"/>
        <v>16456.588744634071</v>
      </c>
      <c r="I16" s="484">
        <f t="shared" si="1"/>
        <v>16112.193309601089</v>
      </c>
      <c r="J16" s="484">
        <f t="shared" si="1"/>
        <v>17072.167948905873</v>
      </c>
      <c r="K16" s="484">
        <f t="shared" si="1"/>
        <v>17615.424405821377</v>
      </c>
      <c r="L16" s="484">
        <f t="shared" si="1"/>
        <v>19494.477627473563</v>
      </c>
      <c r="M16" s="484">
        <f t="shared" si="1"/>
        <v>21833.513135797297</v>
      </c>
      <c r="N16" s="484">
        <f t="shared" si="1"/>
        <v>22352.624334624645</v>
      </c>
      <c r="O16" s="484">
        <f t="shared" si="1"/>
        <v>23809</v>
      </c>
      <c r="P16" s="484">
        <f t="shared" si="1"/>
        <v>25821</v>
      </c>
      <c r="Q16" s="484"/>
      <c r="R16" s="484">
        <f t="shared" si="1"/>
        <v>27448</v>
      </c>
    </row>
    <row r="17" spans="1:20">
      <c r="P17" s="327"/>
      <c r="Q17" s="327"/>
    </row>
    <row r="18" spans="1:20">
      <c r="P18" s="327"/>
      <c r="Q18" s="327"/>
    </row>
    <row r="19" spans="1:20">
      <c r="A19" s="485" t="s">
        <v>442</v>
      </c>
      <c r="B19" s="486"/>
      <c r="C19" s="487"/>
      <c r="D19" s="485" t="s">
        <v>504</v>
      </c>
      <c r="E19" s="485"/>
      <c r="F19" s="486"/>
      <c r="G19" s="486"/>
      <c r="H19" s="486"/>
      <c r="I19" s="486"/>
      <c r="J19" s="486"/>
      <c r="K19" s="486"/>
      <c r="L19" s="486"/>
      <c r="M19" s="486"/>
      <c r="N19" s="486"/>
      <c r="O19" s="486"/>
      <c r="P19" s="488"/>
      <c r="Q19" s="488"/>
      <c r="R19" s="486"/>
    </row>
    <row r="20" spans="1:20" ht="19.5" customHeight="1">
      <c r="A20" s="473"/>
      <c r="B20" s="489"/>
      <c r="C20" s="489"/>
      <c r="D20" s="489"/>
      <c r="E20" s="489"/>
      <c r="F20" s="489"/>
      <c r="G20" s="489"/>
      <c r="H20" s="489"/>
      <c r="I20" s="489"/>
    </row>
    <row r="21" spans="1:20" ht="19.5" customHeight="1">
      <c r="A21" s="529" t="s">
        <v>502</v>
      </c>
      <c r="B21" s="490">
        <f ca="1">+LINEST(
OFFSET($B$76,0,0,1,SUM($B$70:$R$70)),
OFFSET($B$75,0,0,1,SUM($B$70:$R$70)),
,
1)</f>
        <v>1246.0532405364499</v>
      </c>
      <c r="C21" s="489"/>
      <c r="D21" s="489"/>
      <c r="E21" s="489"/>
      <c r="F21" s="489"/>
      <c r="G21" s="489"/>
      <c r="H21" s="489"/>
      <c r="I21" s="489"/>
    </row>
    <row r="22" spans="1:20" ht="19.5" customHeight="1">
      <c r="A22" s="473" t="s">
        <v>503</v>
      </c>
      <c r="B22" s="489">
        <f ca="1">RSQ(
OFFSET($B$76,0,0,1,SUM($B$70:$R$70)),
OFFSET($B$75,0,0,1,SUM($B$70:$R$70))
)</f>
        <v>0.95911413444263138</v>
      </c>
      <c r="C22" s="490"/>
      <c r="D22" s="490"/>
      <c r="E22" s="490"/>
      <c r="F22" s="490"/>
      <c r="G22" s="490"/>
      <c r="H22" s="490"/>
      <c r="I22" s="490"/>
    </row>
    <row r="23" spans="1:20" ht="19.5" customHeight="1">
      <c r="A23" s="470" t="s">
        <v>443</v>
      </c>
      <c r="B23" s="491">
        <f ca="1">+B21/R16</f>
        <v>4.5396868279526742E-2</v>
      </c>
      <c r="C23" s="489"/>
      <c r="D23" s="489"/>
      <c r="E23" s="489"/>
      <c r="F23" s="489"/>
      <c r="G23" s="489"/>
      <c r="H23" s="489"/>
      <c r="I23" s="489"/>
    </row>
    <row r="24" spans="1:20" ht="19.5" customHeight="1">
      <c r="A24" s="327" t="str">
        <f>+'2) ROR'!$D$19&amp;"-year Growth Rate"</f>
        <v>1-year Growth Rate</v>
      </c>
      <c r="B24" s="530">
        <f ca="1">ROUND(B23*'2) ROR'!$D$19,4)</f>
        <v>4.5400000000000003E-2</v>
      </c>
      <c r="C24" s="491"/>
      <c r="D24" s="491"/>
      <c r="E24" s="491"/>
      <c r="F24" s="491"/>
      <c r="G24" s="491"/>
      <c r="H24" s="491"/>
      <c r="I24" s="491"/>
    </row>
    <row r="25" spans="1:20" ht="19.5" customHeight="1">
      <c r="C25" s="492"/>
      <c r="D25" s="492"/>
      <c r="E25" s="492"/>
      <c r="F25" s="492"/>
      <c r="G25" s="492"/>
      <c r="H25" s="492"/>
      <c r="I25" s="492"/>
      <c r="L25" s="362"/>
    </row>
    <row r="27" spans="1:20">
      <c r="S27" s="493"/>
      <c r="T27" s="493"/>
    </row>
    <row r="28" spans="1:20">
      <c r="S28" s="494"/>
      <c r="T28" s="494"/>
    </row>
    <row r="29" spans="1:20">
      <c r="S29" s="494"/>
      <c r="T29" s="494"/>
    </row>
    <row r="30" spans="1:20">
      <c r="S30" s="494"/>
      <c r="T30" s="494"/>
    </row>
    <row r="31" spans="1:20">
      <c r="S31" s="494"/>
      <c r="T31" s="494"/>
    </row>
    <row r="32" spans="1:20">
      <c r="S32" s="494"/>
      <c r="T32" s="494"/>
    </row>
    <row r="35" spans="19:21">
      <c r="S35" s="495"/>
      <c r="T35" s="495"/>
      <c r="U35" s="495"/>
    </row>
    <row r="36" spans="19:21">
      <c r="S36" s="494"/>
      <c r="T36" s="494"/>
      <c r="U36" s="494"/>
    </row>
    <row r="37" spans="19:21">
      <c r="S37" s="494"/>
      <c r="T37" s="494"/>
      <c r="U37" s="494"/>
    </row>
    <row r="38" spans="19:21">
      <c r="S38" s="494"/>
      <c r="T38" s="494"/>
      <c r="U38" s="494"/>
    </row>
    <row r="39" spans="19:21">
      <c r="S39" s="494"/>
      <c r="T39" s="494"/>
      <c r="U39" s="494"/>
    </row>
    <row r="40" spans="19:21">
      <c r="S40" s="494"/>
      <c r="T40" s="494"/>
      <c r="U40" s="494"/>
    </row>
    <row r="41" spans="19:21">
      <c r="S41" s="494"/>
      <c r="T41" s="494"/>
      <c r="U41" s="494"/>
    </row>
    <row r="42" spans="19:21">
      <c r="S42" s="494"/>
      <c r="T42" s="494"/>
      <c r="U42" s="494"/>
    </row>
    <row r="43" spans="19:21">
      <c r="S43" s="494"/>
      <c r="T43" s="494"/>
      <c r="U43" s="494"/>
    </row>
    <row r="44" spans="19:21">
      <c r="S44" s="494"/>
      <c r="T44" s="494"/>
      <c r="U44" s="494"/>
    </row>
    <row r="45" spans="19:21">
      <c r="S45" s="494"/>
      <c r="T45" s="494"/>
      <c r="U45" s="494"/>
    </row>
    <row r="46" spans="19:21">
      <c r="S46" s="494"/>
      <c r="T46" s="494"/>
      <c r="U46" s="494"/>
    </row>
    <row r="47" spans="19:21">
      <c r="S47" s="494"/>
      <c r="T47" s="494"/>
      <c r="U47" s="494"/>
    </row>
    <row r="48" spans="19:21">
      <c r="S48" s="494"/>
      <c r="T48" s="494"/>
      <c r="U48" s="494"/>
    </row>
    <row r="49" spans="19:21">
      <c r="S49" s="494"/>
      <c r="T49" s="494"/>
      <c r="U49" s="494"/>
    </row>
    <row r="50" spans="19:21">
      <c r="S50" s="494"/>
      <c r="T50" s="494"/>
      <c r="U50" s="494"/>
    </row>
    <row r="51" spans="19:21">
      <c r="S51" s="494"/>
      <c r="T51" s="494"/>
      <c r="U51" s="494"/>
    </row>
    <row r="52" spans="19:21">
      <c r="S52" s="494"/>
      <c r="T52" s="494"/>
      <c r="U52" s="494"/>
    </row>
    <row r="53" spans="19:21">
      <c r="S53" s="494"/>
      <c r="T53" s="494"/>
      <c r="U53" s="494"/>
    </row>
    <row r="54" spans="19:21">
      <c r="S54" s="494"/>
      <c r="T54" s="494"/>
      <c r="U54" s="494"/>
    </row>
    <row r="55" spans="19:21">
      <c r="S55" s="494"/>
      <c r="T55" s="494"/>
      <c r="U55" s="494"/>
    </row>
    <row r="56" spans="19:21">
      <c r="S56" s="494"/>
      <c r="T56" s="494"/>
      <c r="U56" s="494"/>
    </row>
    <row r="57" spans="19:21">
      <c r="S57" s="494"/>
      <c r="T57" s="494"/>
      <c r="U57" s="494"/>
    </row>
    <row r="58" spans="19:21">
      <c r="S58" s="494"/>
      <c r="T58" s="494"/>
      <c r="U58" s="494"/>
    </row>
    <row r="60" spans="19:21">
      <c r="S60" s="495"/>
      <c r="T60" s="495"/>
      <c r="U60" s="495"/>
    </row>
    <row r="61" spans="19:21">
      <c r="S61" s="494"/>
      <c r="T61" s="494"/>
      <c r="U61" s="494"/>
    </row>
    <row r="67" spans="1:21">
      <c r="S67" s="495"/>
      <c r="T67" s="495"/>
      <c r="U67" s="495"/>
    </row>
    <row r="68" spans="1:21">
      <c r="A68" s="496" t="s">
        <v>444</v>
      </c>
      <c r="S68" s="494"/>
      <c r="T68" s="494"/>
      <c r="U68" s="494"/>
    </row>
    <row r="69" spans="1:21">
      <c r="A69" s="496" t="s">
        <v>445</v>
      </c>
      <c r="B69" s="496">
        <f t="shared" ref="B69:R69" si="2">+B9</f>
        <v>2000</v>
      </c>
      <c r="C69" s="496">
        <f t="shared" si="2"/>
        <v>2001</v>
      </c>
      <c r="D69" s="496">
        <f t="shared" si="2"/>
        <v>2002</v>
      </c>
      <c r="E69" s="496">
        <f t="shared" si="2"/>
        <v>2003</v>
      </c>
      <c r="F69" s="496">
        <f t="shared" si="2"/>
        <v>2004</v>
      </c>
      <c r="G69" s="496">
        <f t="shared" si="2"/>
        <v>2005</v>
      </c>
      <c r="H69" s="496">
        <f t="shared" si="2"/>
        <v>2006</v>
      </c>
      <c r="I69" s="496">
        <f t="shared" si="2"/>
        <v>2007</v>
      </c>
      <c r="J69" s="496">
        <f t="shared" si="2"/>
        <v>2008</v>
      </c>
      <c r="K69" s="496">
        <f t="shared" si="2"/>
        <v>2009</v>
      </c>
      <c r="L69" s="496">
        <f t="shared" si="2"/>
        <v>2010</v>
      </c>
      <c r="M69" s="496">
        <f t="shared" si="2"/>
        <v>2011</v>
      </c>
      <c r="N69" s="496">
        <f t="shared" si="2"/>
        <v>2012</v>
      </c>
      <c r="O69" s="496">
        <f t="shared" si="2"/>
        <v>2013</v>
      </c>
      <c r="P69" s="496">
        <f t="shared" si="2"/>
        <v>2014</v>
      </c>
      <c r="Q69" s="496"/>
      <c r="R69" s="496">
        <f t="shared" si="2"/>
        <v>2015</v>
      </c>
    </row>
    <row r="70" spans="1:21">
      <c r="A70" s="497" t="s">
        <v>446</v>
      </c>
      <c r="B70" s="497"/>
      <c r="C70" s="497"/>
      <c r="D70" s="497"/>
      <c r="E70" s="497"/>
      <c r="F70" s="497"/>
      <c r="G70" s="497">
        <v>1</v>
      </c>
      <c r="H70" s="497">
        <v>1</v>
      </c>
      <c r="I70" s="497">
        <v>1</v>
      </c>
      <c r="J70" s="497">
        <v>1</v>
      </c>
      <c r="K70" s="497">
        <v>1</v>
      </c>
      <c r="L70" s="497">
        <v>1</v>
      </c>
      <c r="M70" s="497">
        <v>1</v>
      </c>
      <c r="N70" s="497">
        <v>1</v>
      </c>
      <c r="O70" s="497">
        <v>1</v>
      </c>
      <c r="P70" s="497">
        <v>1</v>
      </c>
      <c r="Q70" s="497"/>
      <c r="R70" s="497">
        <v>1</v>
      </c>
    </row>
    <row r="71" spans="1:21">
      <c r="A71" s="490"/>
      <c r="B71" s="490"/>
      <c r="C71" s="490"/>
      <c r="D71" s="490"/>
      <c r="E71" s="490"/>
      <c r="F71" s="490"/>
      <c r="G71" s="490"/>
      <c r="H71" s="490"/>
      <c r="I71" s="490"/>
      <c r="J71" s="490"/>
      <c r="K71" s="490"/>
      <c r="L71" s="490"/>
      <c r="M71" s="490"/>
      <c r="N71" s="490"/>
      <c r="O71" s="490"/>
      <c r="P71" s="490"/>
      <c r="Q71" s="490"/>
      <c r="R71" s="490"/>
      <c r="S71" s="490"/>
      <c r="T71" s="490"/>
      <c r="U71" s="490"/>
    </row>
    <row r="72" spans="1:21">
      <c r="A72" s="490"/>
      <c r="B72" s="490"/>
      <c r="C72" s="490"/>
      <c r="D72" s="490"/>
      <c r="E72" s="490"/>
      <c r="F72" s="490"/>
      <c r="G72" s="490"/>
      <c r="H72" s="490"/>
      <c r="I72" s="490"/>
      <c r="J72" s="490"/>
      <c r="K72" s="490"/>
      <c r="L72" s="490"/>
      <c r="M72" s="490"/>
      <c r="N72" s="490"/>
      <c r="O72" s="490"/>
      <c r="P72" s="490"/>
      <c r="Q72" s="490"/>
      <c r="R72" s="490"/>
      <c r="S72" s="490"/>
      <c r="T72" s="490"/>
      <c r="U72" s="490"/>
    </row>
    <row r="73" spans="1:21">
      <c r="A73" s="498" t="s">
        <v>447</v>
      </c>
      <c r="B73" s="499">
        <f>+SUM($B70:B$70)</f>
        <v>0</v>
      </c>
      <c r="C73" s="499">
        <f>+SUM($B70:C$70)</f>
        <v>0</v>
      </c>
      <c r="D73" s="499">
        <f>+SUM($B70:D$70)</f>
        <v>0</v>
      </c>
      <c r="E73" s="499">
        <f>+SUM($B70:E$70)</f>
        <v>0</v>
      </c>
      <c r="F73" s="499">
        <f>+SUM($B70:F$70)</f>
        <v>0</v>
      </c>
      <c r="G73" s="499">
        <f>+SUM($B70:G$70)</f>
        <v>1</v>
      </c>
      <c r="H73" s="499">
        <f>+SUM($B70:H$70)</f>
        <v>2</v>
      </c>
      <c r="I73" s="499">
        <f>+SUM($B70:I$70)</f>
        <v>3</v>
      </c>
      <c r="J73" s="499">
        <f>+SUM($B70:J$70)</f>
        <v>4</v>
      </c>
      <c r="K73" s="499">
        <f>+SUM($B70:K$70)</f>
        <v>5</v>
      </c>
      <c r="L73" s="499">
        <f>+SUM($B70:L$70)</f>
        <v>6</v>
      </c>
      <c r="M73" s="499">
        <f>+SUM($B70:M$70)</f>
        <v>7</v>
      </c>
      <c r="N73" s="499">
        <f>+SUM($B70:N$70)</f>
        <v>8</v>
      </c>
      <c r="O73" s="499">
        <f>+SUM($B70:O$70)</f>
        <v>9</v>
      </c>
      <c r="P73" s="499">
        <f>+SUM($B70:P$70)</f>
        <v>10</v>
      </c>
      <c r="Q73" s="499"/>
      <c r="R73" s="499">
        <f>+SUM($B70:R$70)</f>
        <v>11</v>
      </c>
      <c r="S73" s="490"/>
      <c r="T73" s="490"/>
      <c r="U73" s="490"/>
    </row>
    <row r="74" spans="1:21">
      <c r="A74" s="498" t="s">
        <v>448</v>
      </c>
      <c r="B74" s="500">
        <v>1</v>
      </c>
      <c r="C74" s="500">
        <f t="shared" ref="C74:K74" si="3">+B74+1</f>
        <v>2</v>
      </c>
      <c r="D74" s="500">
        <f t="shared" si="3"/>
        <v>3</v>
      </c>
      <c r="E74" s="500">
        <f t="shared" si="3"/>
        <v>4</v>
      </c>
      <c r="F74" s="500">
        <f t="shared" si="3"/>
        <v>5</v>
      </c>
      <c r="G74" s="500">
        <f t="shared" si="3"/>
        <v>6</v>
      </c>
      <c r="H74" s="500">
        <f t="shared" si="3"/>
        <v>7</v>
      </c>
      <c r="I74" s="500">
        <f t="shared" si="3"/>
        <v>8</v>
      </c>
      <c r="J74" s="500">
        <f t="shared" si="3"/>
        <v>9</v>
      </c>
      <c r="K74" s="500">
        <f t="shared" si="3"/>
        <v>10</v>
      </c>
      <c r="L74" s="500">
        <f>+K74+1</f>
        <v>11</v>
      </c>
      <c r="M74" s="500">
        <f t="shared" ref="M74:P74" si="4">+L74+1</f>
        <v>12</v>
      </c>
      <c r="N74" s="500">
        <f t="shared" si="4"/>
        <v>13</v>
      </c>
      <c r="O74" s="500">
        <f t="shared" si="4"/>
        <v>14</v>
      </c>
      <c r="P74" s="500">
        <f t="shared" si="4"/>
        <v>15</v>
      </c>
      <c r="Q74" s="500"/>
      <c r="R74" s="500">
        <f>+P74+1</f>
        <v>16</v>
      </c>
    </row>
    <row r="75" spans="1:21">
      <c r="A75" s="498" t="s">
        <v>449</v>
      </c>
      <c r="B75" s="500">
        <f t="shared" ref="B75:P75" ca="1" si="5">+OFFSET($A$69,0,MATCH(B$74,$B$73:$R$73,0))</f>
        <v>2005</v>
      </c>
      <c r="C75" s="500">
        <f t="shared" ca="1" si="5"/>
        <v>2006</v>
      </c>
      <c r="D75" s="500">
        <f t="shared" ca="1" si="5"/>
        <v>2007</v>
      </c>
      <c r="E75" s="500">
        <f t="shared" ca="1" si="5"/>
        <v>2008</v>
      </c>
      <c r="F75" s="500">
        <f t="shared" ca="1" si="5"/>
        <v>2009</v>
      </c>
      <c r="G75" s="500">
        <f t="shared" ca="1" si="5"/>
        <v>2010</v>
      </c>
      <c r="H75" s="500">
        <f t="shared" ca="1" si="5"/>
        <v>2011</v>
      </c>
      <c r="I75" s="500">
        <f t="shared" ca="1" si="5"/>
        <v>2012</v>
      </c>
      <c r="J75" s="500">
        <f t="shared" ca="1" si="5"/>
        <v>2013</v>
      </c>
      <c r="K75" s="500">
        <f t="shared" ca="1" si="5"/>
        <v>2014</v>
      </c>
      <c r="L75" s="500">
        <f t="shared" ca="1" si="5"/>
        <v>2015</v>
      </c>
      <c r="M75" s="500" t="e">
        <f t="shared" ca="1" si="5"/>
        <v>#N/A</v>
      </c>
      <c r="N75" s="500" t="e">
        <f t="shared" ca="1" si="5"/>
        <v>#N/A</v>
      </c>
      <c r="O75" s="500" t="e">
        <f t="shared" ca="1" si="5"/>
        <v>#N/A</v>
      </c>
      <c r="P75" s="500" t="e">
        <f t="shared" ca="1" si="5"/>
        <v>#N/A</v>
      </c>
      <c r="Q75" s="500"/>
      <c r="R75" s="500" t="e">
        <f ca="1">+OFFSET($A$69,0,MATCH(R$74,$B$73:$R$73,0))</f>
        <v>#N/A</v>
      </c>
    </row>
    <row r="76" spans="1:21">
      <c r="A76" s="498" t="s">
        <v>450</v>
      </c>
      <c r="B76" s="498">
        <f t="shared" ref="B76:P76" ca="1" si="6">+INDEX(16:16,1,MATCH(B$75,9:9,0))</f>
        <v>15100.242027012879</v>
      </c>
      <c r="C76" s="498">
        <f t="shared" ca="1" si="6"/>
        <v>16456.588744634071</v>
      </c>
      <c r="D76" s="498">
        <f t="shared" ca="1" si="6"/>
        <v>16112.193309601089</v>
      </c>
      <c r="E76" s="498">
        <f t="shared" ca="1" si="6"/>
        <v>17072.167948905873</v>
      </c>
      <c r="F76" s="498">
        <f t="shared" ca="1" si="6"/>
        <v>17615.424405821377</v>
      </c>
      <c r="G76" s="498">
        <f t="shared" ca="1" si="6"/>
        <v>19494.477627473563</v>
      </c>
      <c r="H76" s="498">
        <f t="shared" ca="1" si="6"/>
        <v>21833.513135797297</v>
      </c>
      <c r="I76" s="498">
        <f t="shared" ca="1" si="6"/>
        <v>22352.624334624645</v>
      </c>
      <c r="J76" s="498">
        <f t="shared" ca="1" si="6"/>
        <v>23809</v>
      </c>
      <c r="K76" s="498">
        <f t="shared" ca="1" si="6"/>
        <v>25821</v>
      </c>
      <c r="L76" s="498">
        <f t="shared" ca="1" si="6"/>
        <v>27448</v>
      </c>
      <c r="M76" s="498" t="e">
        <f t="shared" ca="1" si="6"/>
        <v>#N/A</v>
      </c>
      <c r="N76" s="498" t="e">
        <f t="shared" ca="1" si="6"/>
        <v>#N/A</v>
      </c>
      <c r="O76" s="498" t="e">
        <f t="shared" ca="1" si="6"/>
        <v>#N/A</v>
      </c>
      <c r="P76" s="498" t="e">
        <f t="shared" ca="1" si="6"/>
        <v>#N/A</v>
      </c>
      <c r="Q76" s="498"/>
      <c r="R76" s="498" t="e">
        <f ca="1">+INDEX(16:16,1,MATCH(R$75,9:9,0))</f>
        <v>#N/A</v>
      </c>
    </row>
    <row r="79" spans="1:21">
      <c r="A79" s="501"/>
      <c r="B79" s="502" t="s">
        <v>451</v>
      </c>
      <c r="C79" s="503"/>
    </row>
    <row r="80" spans="1:21">
      <c r="A80" s="501" t="s">
        <v>452</v>
      </c>
      <c r="B80" s="504">
        <f t="array" aca="1" ref="B80:C84" ca="1">+LINEST(
OFFSET($B76,0,0,1,SUM($B70:$R70)),
OFFSET($B75,0,0,1,SUM($B70:$R70)),
,
1)</f>
        <v>1246.0532405364499</v>
      </c>
      <c r="C80" s="504">
        <f ca="1"/>
        <v>-2484283.8106115488</v>
      </c>
      <c r="D80" s="470" t="s">
        <v>453</v>
      </c>
    </row>
    <row r="81" spans="1:4">
      <c r="A81" s="501" t="s">
        <v>454</v>
      </c>
      <c r="B81" s="504">
        <f ca="1"/>
        <v>85.75645043788407</v>
      </c>
      <c r="C81" s="504">
        <f ca="1"/>
        <v>172370.67870451853</v>
      </c>
      <c r="D81" s="470" t="s">
        <v>455</v>
      </c>
    </row>
    <row r="82" spans="1:4">
      <c r="A82" s="501" t="s">
        <v>456</v>
      </c>
      <c r="B82" s="504">
        <f ca="1"/>
        <v>0.95911413444263116</v>
      </c>
      <c r="C82" s="504">
        <f ca="1"/>
        <v>899.42124006917868</v>
      </c>
      <c r="D82" s="470" t="s">
        <v>457</v>
      </c>
    </row>
    <row r="83" spans="1:4">
      <c r="A83" s="505" t="s">
        <v>458</v>
      </c>
      <c r="B83" s="504">
        <f ca="1"/>
        <v>211.1249717306753</v>
      </c>
      <c r="C83" s="504">
        <f ca="1"/>
        <v>9</v>
      </c>
      <c r="D83" s="470" t="s">
        <v>459</v>
      </c>
    </row>
    <row r="84" spans="1:4">
      <c r="A84" s="505" t="s">
        <v>460</v>
      </c>
      <c r="B84" s="504">
        <f ca="1"/>
        <v>170791354.60765272</v>
      </c>
      <c r="C84" s="504">
        <f ca="1"/>
        <v>7280627.1037882119</v>
      </c>
      <c r="D84" s="470" t="s">
        <v>461</v>
      </c>
    </row>
    <row r="85" spans="1:4">
      <c r="A85" s="501"/>
    </row>
    <row r="86" spans="1:4">
      <c r="A86" s="501"/>
    </row>
    <row r="87" spans="1:4">
      <c r="A87" s="501" t="s">
        <v>462</v>
      </c>
      <c r="B87" s="470">
        <f ca="1">+B80/B81</f>
        <v>14.53014011393817</v>
      </c>
    </row>
    <row r="88" spans="1:4">
      <c r="A88" s="505" t="s">
        <v>463</v>
      </c>
      <c r="B88" s="506">
        <f ca="1">+TDIST(B87,C83,2)</f>
        <v>1.4868044594922155E-7</v>
      </c>
    </row>
  </sheetData>
  <conditionalFormatting sqref="J16:R16 B16:H16">
    <cfRule type="expression" dxfId="21" priority="2">
      <formula>B$70=1</formula>
    </cfRule>
  </conditionalFormatting>
  <conditionalFormatting sqref="B16:I16">
    <cfRule type="expression" dxfId="20"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88"/>
  <sheetViews>
    <sheetView showGridLines="0" zoomScale="70" zoomScaleNormal="70" zoomScaleSheetLayoutView="55" workbookViewId="0"/>
  </sheetViews>
  <sheetFormatPr defaultRowHeight="12.75"/>
  <cols>
    <col min="1" max="1" width="36.5703125" style="470" customWidth="1"/>
    <col min="2" max="16" width="11.28515625" style="470" customWidth="1"/>
    <col min="17" max="17" width="11.28515625" style="719" customWidth="1"/>
    <col min="18" max="18" width="11.28515625" style="470" customWidth="1"/>
    <col min="19" max="21" width="9.140625" style="473"/>
    <col min="22" max="16384" width="9.140625" style="470"/>
  </cols>
  <sheetData>
    <row r="1" spans="1:21" s="472" customFormat="1" ht="15.75">
      <c r="A1" s="656" t="s">
        <v>540</v>
      </c>
      <c r="S1" s="590"/>
      <c r="T1" s="590"/>
      <c r="U1" s="590"/>
    </row>
    <row r="2" spans="1:21" s="472" customFormat="1" ht="15.75">
      <c r="A2" s="338" t="s">
        <v>495</v>
      </c>
      <c r="S2" s="590"/>
      <c r="T2" s="590"/>
      <c r="U2" s="590"/>
    </row>
    <row r="3" spans="1:21" s="472" customFormat="1" ht="15.75">
      <c r="A3" s="338"/>
      <c r="S3" s="590"/>
      <c r="T3" s="590"/>
      <c r="U3" s="590"/>
    </row>
    <row r="4" spans="1:21" s="472" customFormat="1" ht="15.75">
      <c r="A4" s="589" t="s">
        <v>438</v>
      </c>
      <c r="B4" s="587" t="s">
        <v>471</v>
      </c>
      <c r="C4" s="587"/>
      <c r="D4" s="587"/>
      <c r="E4" s="587"/>
      <c r="F4" s="587"/>
      <c r="G4" s="587"/>
      <c r="H4" s="587"/>
      <c r="I4" s="587"/>
      <c r="S4" s="590"/>
      <c r="T4" s="590"/>
      <c r="U4" s="590"/>
    </row>
    <row r="5" spans="1:21" s="472" customFormat="1" ht="15">
      <c r="A5" s="588"/>
      <c r="S5" s="590"/>
      <c r="T5" s="590"/>
      <c r="U5" s="590"/>
    </row>
    <row r="6" spans="1:21" s="472" customFormat="1" ht="15">
      <c r="A6" s="592" t="s">
        <v>505</v>
      </c>
      <c r="S6" s="590"/>
      <c r="T6" s="590"/>
      <c r="U6" s="590"/>
    </row>
    <row r="8" spans="1:21">
      <c r="A8" s="474"/>
      <c r="B8" s="475"/>
      <c r="C8" s="475"/>
      <c r="D8" s="475"/>
      <c r="E8" s="475"/>
      <c r="F8" s="475"/>
      <c r="G8" s="475"/>
      <c r="H8" s="475"/>
      <c r="I8" s="475"/>
      <c r="J8" s="476"/>
      <c r="K8" s="476"/>
      <c r="L8" s="476"/>
      <c r="M8" s="476"/>
      <c r="N8" s="477"/>
      <c r="O8" s="477"/>
      <c r="P8" s="478"/>
      <c r="Q8" s="478"/>
      <c r="R8" s="477"/>
    </row>
    <row r="9" spans="1:21">
      <c r="B9" s="479">
        <f t="shared" ref="B9:H9" si="0">+C9-1</f>
        <v>2000</v>
      </c>
      <c r="C9" s="479">
        <f t="shared" si="0"/>
        <v>2001</v>
      </c>
      <c r="D9" s="479">
        <f t="shared" si="0"/>
        <v>2002</v>
      </c>
      <c r="E9" s="479">
        <f t="shared" si="0"/>
        <v>2003</v>
      </c>
      <c r="F9" s="479">
        <f t="shared" si="0"/>
        <v>2004</v>
      </c>
      <c r="G9" s="479">
        <f t="shared" si="0"/>
        <v>2005</v>
      </c>
      <c r="H9" s="479">
        <f t="shared" si="0"/>
        <v>2006</v>
      </c>
      <c r="I9" s="479">
        <f>+J9-1</f>
        <v>2007</v>
      </c>
      <c r="J9" s="479">
        <v>2008</v>
      </c>
      <c r="K9" s="480">
        <v>2009</v>
      </c>
      <c r="L9" s="480">
        <v>2010</v>
      </c>
      <c r="M9" s="480">
        <v>2011</v>
      </c>
      <c r="N9" s="480">
        <v>2012</v>
      </c>
      <c r="O9" s="480">
        <v>2013</v>
      </c>
      <c r="P9" s="480">
        <v>2014</v>
      </c>
      <c r="Q9" s="480"/>
      <c r="R9" s="480">
        <v>2015</v>
      </c>
    </row>
    <row r="10" spans="1:21" ht="8.25" customHeight="1">
      <c r="B10" s="481" t="s">
        <v>439</v>
      </c>
      <c r="C10" s="481" t="s">
        <v>439</v>
      </c>
      <c r="D10" s="481" t="s">
        <v>439</v>
      </c>
      <c r="E10" s="481" t="s">
        <v>439</v>
      </c>
      <c r="F10" s="481" t="s">
        <v>439</v>
      </c>
      <c r="G10" s="481" t="s">
        <v>439</v>
      </c>
      <c r="H10" s="481" t="s">
        <v>439</v>
      </c>
      <c r="I10" s="481" t="s">
        <v>439</v>
      </c>
      <c r="J10" s="481" t="s">
        <v>439</v>
      </c>
      <c r="K10" s="481" t="s">
        <v>439</v>
      </c>
      <c r="L10" s="481" t="s">
        <v>439</v>
      </c>
      <c r="M10" s="481" t="s">
        <v>439</v>
      </c>
      <c r="N10" s="481" t="s">
        <v>439</v>
      </c>
      <c r="O10" s="481" t="s">
        <v>439</v>
      </c>
      <c r="P10" s="481" t="s">
        <v>439</v>
      </c>
      <c r="Q10" s="481"/>
      <c r="R10" s="481" t="s">
        <v>439</v>
      </c>
    </row>
    <row r="11" spans="1:21">
      <c r="A11" s="482" t="s">
        <v>252</v>
      </c>
      <c r="B11" s="97">
        <f>+'Cost Trends'!F95</f>
        <v>5768</v>
      </c>
      <c r="C11" s="97">
        <f>+'Cost Trends'!G122</f>
        <v>15462</v>
      </c>
      <c r="D11" s="97">
        <f>+'Cost Trends'!H122</f>
        <v>16996</v>
      </c>
      <c r="E11" s="97">
        <f>+'Cost Trends'!I122</f>
        <v>17286</v>
      </c>
      <c r="F11" s="97">
        <f>+'Cost Trends'!J122</f>
        <v>17401</v>
      </c>
      <c r="G11" s="97">
        <f>+'Cost Trends'!K122</f>
        <v>14988</v>
      </c>
      <c r="H11" s="97">
        <f>+'Cost Trends'!L122</f>
        <v>16307</v>
      </c>
      <c r="I11" s="97">
        <f>+'Cost Trends'!M122</f>
        <v>16156</v>
      </c>
      <c r="J11" s="97">
        <f>+'Cost Trends'!N122</f>
        <v>17416</v>
      </c>
      <c r="K11" s="97">
        <f>+'Cost Trends'!O122</f>
        <v>18216</v>
      </c>
      <c r="L11" s="97">
        <f>+'Cost Trends'!P122</f>
        <v>20029</v>
      </c>
      <c r="M11" s="97">
        <f>+'Cost Trends'!Q122</f>
        <v>22459</v>
      </c>
      <c r="N11" s="97">
        <f>+'Cost Trends'!R122</f>
        <v>22699</v>
      </c>
      <c r="O11" s="97">
        <f>+'Cost Trends'!S122</f>
        <v>23809</v>
      </c>
      <c r="P11" s="97">
        <f>+'Cost Trends'!T122</f>
        <v>25821</v>
      </c>
      <c r="Q11" s="97"/>
      <c r="R11" s="97">
        <f>+'Cost Trends'!U122</f>
        <v>27448</v>
      </c>
    </row>
    <row r="12" spans="1:21">
      <c r="A12" s="482" t="s">
        <v>472</v>
      </c>
      <c r="B12" s="97">
        <f>+'Cost Trends'!F97</f>
        <v>1071</v>
      </c>
      <c r="C12" s="97">
        <f>+'Cost Trends'!G97</f>
        <v>734</v>
      </c>
      <c r="D12" s="97">
        <f>+'Cost Trends'!H97</f>
        <v>628</v>
      </c>
      <c r="E12" s="97">
        <f>+'Cost Trends'!I97</f>
        <v>734</v>
      </c>
      <c r="F12" s="97">
        <f>+'Cost Trends'!J97</f>
        <v>686</v>
      </c>
      <c r="G12" s="97">
        <f>+'Cost Trends'!K97</f>
        <v>430</v>
      </c>
      <c r="H12" s="97">
        <f>+'Cost Trends'!L97</f>
        <v>657</v>
      </c>
      <c r="I12" s="97">
        <f>+'Cost Trends'!M97</f>
        <v>682</v>
      </c>
      <c r="J12" s="97">
        <f>+'Cost Trends'!N97</f>
        <v>571</v>
      </c>
      <c r="K12" s="97">
        <f>+'Cost Trends'!O97</f>
        <v>660</v>
      </c>
      <c r="L12" s="97">
        <f>+'Cost Trends'!P97</f>
        <v>176</v>
      </c>
      <c r="M12" s="97">
        <f>+'Cost Trends'!Q97</f>
        <v>4</v>
      </c>
      <c r="N12" s="97">
        <f>+'Cost Trends'!R97</f>
        <v>5</v>
      </c>
      <c r="O12" s="97">
        <f>+'Cost Trends'!S97</f>
        <v>5</v>
      </c>
      <c r="P12" s="97">
        <f>+'Cost Trends'!T97</f>
        <v>0</v>
      </c>
      <c r="Q12" s="97"/>
      <c r="R12" s="97">
        <f>+'Cost Trends'!U97</f>
        <v>0</v>
      </c>
    </row>
    <row r="13" spans="1:21" ht="12" customHeight="1">
      <c r="A13" s="470" t="s">
        <v>473</v>
      </c>
      <c r="B13" s="97">
        <f>ResX!I34</f>
        <v>114.89064088827979</v>
      </c>
      <c r="C13" s="97">
        <f>ResX!J34</f>
        <v>9.7744020366380777</v>
      </c>
      <c r="D13" s="97">
        <f>ResX!K34</f>
        <v>51.85403114352065</v>
      </c>
      <c r="E13" s="97">
        <f>ResX!L34</f>
        <v>43.757015897068349</v>
      </c>
      <c r="F13" s="97">
        <f>ResX!M34</f>
        <v>49.424236286955249</v>
      </c>
      <c r="G13" s="97">
        <f>ResX!N34</f>
        <v>42.639664956549055</v>
      </c>
      <c r="H13" s="97">
        <f>ResX!O34</f>
        <v>46.713778661920216</v>
      </c>
      <c r="I13" s="97">
        <f>ResX!P34</f>
        <v>25.353068788608525</v>
      </c>
      <c r="J13" s="97">
        <f>ResX!Q34</f>
        <v>16.24195162810177</v>
      </c>
      <c r="K13" s="97">
        <f>ResX!R34</f>
        <v>18.190440791540155</v>
      </c>
      <c r="L13" s="97">
        <f>ResX!S34</f>
        <v>28.359828290231388</v>
      </c>
      <c r="M13" s="97">
        <f>ResX!T34</f>
        <v>20.938310124594281</v>
      </c>
      <c r="N13" s="97">
        <f>ResX!U34</f>
        <v>37.820674274945034</v>
      </c>
      <c r="O13" s="97">
        <f>ResX!V34</f>
        <v>0</v>
      </c>
      <c r="P13" s="97">
        <f>ResX!W34</f>
        <v>0</v>
      </c>
      <c r="Q13" s="97"/>
      <c r="R13" s="97">
        <f>ResX!X34</f>
        <v>0</v>
      </c>
    </row>
    <row r="14" spans="1:21">
      <c r="A14" s="470" t="s">
        <v>470</v>
      </c>
      <c r="B14" s="97">
        <f>DSM!I34</f>
        <v>-23.7664309407803</v>
      </c>
      <c r="C14" s="97">
        <f>DSM!J34</f>
        <v>-35.024940631286441</v>
      </c>
      <c r="D14" s="97">
        <f>DSM!K34</f>
        <v>-41.858738665376627</v>
      </c>
      <c r="E14" s="97">
        <f>DSM!L34</f>
        <v>-42.314325200982644</v>
      </c>
      <c r="F14" s="97">
        <f>DSM!M34</f>
        <v>-46.573369026269148</v>
      </c>
      <c r="G14" s="97">
        <f>DSM!N34</f>
        <v>-30.013091822845777</v>
      </c>
      <c r="H14" s="97">
        <f>DSM!O34</f>
        <v>-29.885917704952362</v>
      </c>
      <c r="I14" s="97">
        <f>DSM!P34</f>
        <v>-30.281065856978326</v>
      </c>
      <c r="J14" s="97">
        <f>DSM!Q34</f>
        <v>-54.92105119882735</v>
      </c>
      <c r="K14" s="97">
        <f>DSM!R34</f>
        <v>-85.7516909224165</v>
      </c>
      <c r="L14" s="97">
        <f>DSM!S34</f>
        <v>-88.490476389906817</v>
      </c>
      <c r="M14" s="97">
        <f>DSM!T34</f>
        <v>-91.301932781907652</v>
      </c>
      <c r="N14" s="97">
        <f>DSM!U34</f>
        <v>-76.7859156109308</v>
      </c>
      <c r="O14" s="97">
        <f>DSM!V34</f>
        <v>0</v>
      </c>
      <c r="P14" s="97">
        <f>DSM!W34</f>
        <v>0</v>
      </c>
      <c r="Q14" s="97"/>
      <c r="R14" s="97">
        <f>DSM!X34</f>
        <v>0</v>
      </c>
    </row>
    <row r="15" spans="1:21" ht="8.25" customHeight="1">
      <c r="B15" s="481"/>
      <c r="C15" s="481"/>
      <c r="D15" s="481"/>
      <c r="E15" s="481"/>
      <c r="F15" s="481"/>
      <c r="G15" s="481"/>
      <c r="H15" s="481"/>
      <c r="I15" s="481"/>
      <c r="J15" s="481"/>
      <c r="K15" s="481"/>
      <c r="L15" s="481"/>
      <c r="M15" s="481"/>
      <c r="N15" s="481"/>
      <c r="O15" s="481"/>
      <c r="P15" s="481"/>
      <c r="Q15" s="481"/>
      <c r="R15" s="481"/>
    </row>
    <row r="16" spans="1:21" ht="8.25" customHeight="1">
      <c r="B16" s="481" t="s">
        <v>439</v>
      </c>
      <c r="C16" s="481" t="s">
        <v>439</v>
      </c>
      <c r="D16" s="481" t="s">
        <v>439</v>
      </c>
      <c r="E16" s="481" t="s">
        <v>439</v>
      </c>
      <c r="F16" s="481" t="s">
        <v>439</v>
      </c>
      <c r="G16" s="481" t="s">
        <v>439</v>
      </c>
      <c r="H16" s="481" t="s">
        <v>439</v>
      </c>
      <c r="I16" s="481" t="s">
        <v>439</v>
      </c>
      <c r="J16" s="481" t="s">
        <v>439</v>
      </c>
      <c r="K16" s="481" t="s">
        <v>439</v>
      </c>
      <c r="L16" s="481" t="s">
        <v>439</v>
      </c>
      <c r="M16" s="481" t="s">
        <v>439</v>
      </c>
      <c r="N16" s="481" t="s">
        <v>439</v>
      </c>
      <c r="O16" s="481" t="s">
        <v>439</v>
      </c>
      <c r="P16" s="481" t="s">
        <v>439</v>
      </c>
      <c r="Q16" s="481"/>
      <c r="R16" s="481" t="s">
        <v>439</v>
      </c>
    </row>
    <row r="17" spans="1:20" ht="26.25" customHeight="1">
      <c r="A17" s="483" t="str">
        <f>+"Total "&amp;B4</f>
        <v>Total Customer Accounting and Sales</v>
      </c>
      <c r="B17" s="484">
        <f t="shared" ref="B17:R17" si="1">+SUM(B10:B16)</f>
        <v>6930.1242099474994</v>
      </c>
      <c r="C17" s="484">
        <f t="shared" si="1"/>
        <v>16170.74946140535</v>
      </c>
      <c r="D17" s="484">
        <f t="shared" si="1"/>
        <v>17633.995292478143</v>
      </c>
      <c r="E17" s="484">
        <f t="shared" si="1"/>
        <v>18021.442690696083</v>
      </c>
      <c r="F17" s="484">
        <f t="shared" si="1"/>
        <v>18089.850867260688</v>
      </c>
      <c r="G17" s="484">
        <f t="shared" si="1"/>
        <v>15430.626573133703</v>
      </c>
      <c r="H17" s="484">
        <f t="shared" si="1"/>
        <v>16980.827860956968</v>
      </c>
      <c r="I17" s="484">
        <f t="shared" si="1"/>
        <v>16833.072002931629</v>
      </c>
      <c r="J17" s="484">
        <f t="shared" si="1"/>
        <v>17948.320900429273</v>
      </c>
      <c r="K17" s="484">
        <f t="shared" si="1"/>
        <v>18808.438749869121</v>
      </c>
      <c r="L17" s="484">
        <f t="shared" si="1"/>
        <v>20144.869351900325</v>
      </c>
      <c r="M17" s="484">
        <f t="shared" si="1"/>
        <v>22392.636377342686</v>
      </c>
      <c r="N17" s="484">
        <f t="shared" si="1"/>
        <v>22665.034758664016</v>
      </c>
      <c r="O17" s="484">
        <f t="shared" si="1"/>
        <v>23814</v>
      </c>
      <c r="P17" s="484">
        <f t="shared" si="1"/>
        <v>25821</v>
      </c>
      <c r="Q17" s="484"/>
      <c r="R17" s="484">
        <f t="shared" si="1"/>
        <v>27448</v>
      </c>
    </row>
    <row r="18" spans="1:20">
      <c r="P18" s="327"/>
      <c r="Q18" s="327"/>
    </row>
    <row r="19" spans="1:20">
      <c r="P19" s="327"/>
      <c r="Q19" s="327"/>
    </row>
    <row r="20" spans="1:20">
      <c r="A20" s="485" t="s">
        <v>442</v>
      </c>
      <c r="B20" s="486"/>
      <c r="C20" s="487"/>
      <c r="D20" s="485" t="s">
        <v>504</v>
      </c>
      <c r="E20" s="485"/>
      <c r="F20" s="486"/>
      <c r="G20" s="486"/>
      <c r="H20" s="486"/>
      <c r="I20" s="486"/>
      <c r="J20" s="486"/>
      <c r="K20" s="486"/>
      <c r="L20" s="486"/>
      <c r="M20" s="486"/>
      <c r="N20" s="486"/>
      <c r="O20" s="486"/>
      <c r="P20" s="488"/>
      <c r="Q20" s="488"/>
      <c r="R20" s="486"/>
    </row>
    <row r="21" spans="1:20" ht="19.5" customHeight="1">
      <c r="C21" s="489"/>
      <c r="D21" s="489"/>
      <c r="E21" s="489"/>
      <c r="F21" s="489"/>
      <c r="G21" s="489"/>
      <c r="H21" s="489"/>
      <c r="I21" s="489"/>
    </row>
    <row r="22" spans="1:20" ht="19.5" customHeight="1">
      <c r="A22" s="529" t="s">
        <v>502</v>
      </c>
      <c r="B22" s="490">
        <f ca="1">+LINEST(
OFFSET($B$76,0,0,1,SUM($B$70:$R$70)),
OFFSET($B$75,0,0,1,SUM($B$70:$R$70)),
,
1)</f>
        <v>1176.4360456877434</v>
      </c>
      <c r="C22" s="489"/>
      <c r="D22" s="489"/>
      <c r="E22" s="489"/>
      <c r="F22" s="489"/>
      <c r="G22" s="489"/>
      <c r="H22" s="489"/>
      <c r="I22" s="489"/>
    </row>
    <row r="23" spans="1:20" ht="19.5" customHeight="1">
      <c r="A23" s="473" t="s">
        <v>503</v>
      </c>
      <c r="B23" s="489">
        <f ca="1">RSQ(
OFFSET($B$76,0,0,1,SUM($B$70:$R$70)),
OFFSET($B$75,0,0,1,SUM($B$70:$R$70))
)</f>
        <v>0.97488757358437994</v>
      </c>
      <c r="C23" s="490"/>
      <c r="D23" s="490"/>
      <c r="E23" s="490"/>
      <c r="F23" s="490"/>
      <c r="G23" s="490"/>
      <c r="H23" s="490"/>
      <c r="I23" s="490"/>
    </row>
    <row r="24" spans="1:20" ht="19.5" customHeight="1">
      <c r="A24" s="470" t="s">
        <v>443</v>
      </c>
      <c r="B24" s="491">
        <f ca="1">+B22/R17</f>
        <v>4.28605379513168E-2</v>
      </c>
      <c r="C24" s="489"/>
      <c r="D24" s="489"/>
      <c r="E24" s="489"/>
      <c r="F24" s="489"/>
      <c r="G24" s="489"/>
      <c r="H24" s="489"/>
      <c r="I24" s="489"/>
    </row>
    <row r="25" spans="1:20" ht="19.5" customHeight="1">
      <c r="A25" s="327" t="str">
        <f>+'2) ROR'!$D$19&amp;"-year Growth Rate"</f>
        <v>1-year Growth Rate</v>
      </c>
      <c r="B25" s="530">
        <f ca="1">ROUND(B24*'2) ROR'!$D$19,4)</f>
        <v>4.2900000000000001E-2</v>
      </c>
      <c r="C25" s="491"/>
      <c r="D25" s="491"/>
      <c r="E25" s="491"/>
      <c r="F25" s="491"/>
      <c r="G25" s="491"/>
      <c r="H25" s="491"/>
      <c r="I25" s="491"/>
    </row>
    <row r="26" spans="1:20" ht="19.5" customHeight="1">
      <c r="C26" s="492"/>
      <c r="D26" s="492"/>
      <c r="E26" s="492"/>
      <c r="F26" s="492"/>
      <c r="G26" s="492"/>
      <c r="H26" s="492"/>
      <c r="I26" s="492"/>
      <c r="L26" s="362"/>
    </row>
    <row r="28" spans="1:20">
      <c r="S28" s="493"/>
      <c r="T28" s="493"/>
    </row>
    <row r="29" spans="1:20">
      <c r="S29" s="494"/>
      <c r="T29" s="494"/>
    </row>
    <row r="30" spans="1:20">
      <c r="S30" s="494"/>
      <c r="T30" s="494"/>
    </row>
    <row r="31" spans="1:20">
      <c r="S31" s="494"/>
      <c r="T31" s="494"/>
    </row>
    <row r="32" spans="1:20">
      <c r="S32" s="494"/>
      <c r="T32" s="494"/>
    </row>
    <row r="33" spans="19:21">
      <c r="S33" s="494"/>
      <c r="T33" s="494"/>
    </row>
    <row r="36" spans="19:21">
      <c r="S36" s="495"/>
      <c r="T36" s="495"/>
      <c r="U36" s="495"/>
    </row>
    <row r="37" spans="19:21">
      <c r="S37" s="494"/>
      <c r="T37" s="494"/>
      <c r="U37" s="494"/>
    </row>
    <row r="38" spans="19:21">
      <c r="S38" s="494"/>
      <c r="T38" s="494"/>
      <c r="U38" s="494"/>
    </row>
    <row r="39" spans="19:21">
      <c r="S39" s="494"/>
      <c r="T39" s="494"/>
      <c r="U39" s="494"/>
    </row>
    <row r="40" spans="19:21">
      <c r="S40" s="494"/>
      <c r="T40" s="494"/>
      <c r="U40" s="494"/>
    </row>
    <row r="41" spans="19:21">
      <c r="S41" s="494"/>
      <c r="T41" s="494"/>
      <c r="U41" s="494"/>
    </row>
    <row r="42" spans="19:21">
      <c r="S42" s="494"/>
      <c r="T42" s="494"/>
      <c r="U42" s="494"/>
    </row>
    <row r="43" spans="19:21">
      <c r="S43" s="494"/>
      <c r="T43" s="494"/>
      <c r="U43" s="494"/>
    </row>
    <row r="44" spans="19:21">
      <c r="S44" s="494"/>
      <c r="T44" s="494"/>
      <c r="U44" s="494"/>
    </row>
    <row r="45" spans="19:21">
      <c r="S45" s="494"/>
      <c r="T45" s="494"/>
      <c r="U45" s="494"/>
    </row>
    <row r="46" spans="19:21">
      <c r="S46" s="494"/>
      <c r="T46" s="494"/>
      <c r="U46" s="494"/>
    </row>
    <row r="47" spans="19:21">
      <c r="S47" s="494"/>
      <c r="T47" s="494"/>
      <c r="U47" s="494"/>
    </row>
    <row r="48" spans="19:21">
      <c r="S48" s="494"/>
      <c r="T48" s="494"/>
      <c r="U48" s="494"/>
    </row>
    <row r="49" spans="19:21">
      <c r="S49" s="494"/>
      <c r="T49" s="494"/>
      <c r="U49" s="494"/>
    </row>
    <row r="50" spans="19:21">
      <c r="S50" s="494"/>
      <c r="T50" s="494"/>
      <c r="U50" s="494"/>
    </row>
    <row r="51" spans="19:21">
      <c r="S51" s="494"/>
      <c r="T51" s="494"/>
      <c r="U51" s="494"/>
    </row>
    <row r="52" spans="19:21">
      <c r="S52" s="494"/>
      <c r="T52" s="494"/>
      <c r="U52" s="494"/>
    </row>
    <row r="53" spans="19:21">
      <c r="S53" s="494"/>
      <c r="T53" s="494"/>
      <c r="U53" s="494"/>
    </row>
    <row r="54" spans="19:21">
      <c r="S54" s="494"/>
      <c r="T54" s="494"/>
      <c r="U54" s="494"/>
    </row>
    <row r="55" spans="19:21">
      <c r="S55" s="494"/>
      <c r="T55" s="494"/>
      <c r="U55" s="494"/>
    </row>
    <row r="56" spans="19:21">
      <c r="S56" s="494"/>
      <c r="T56" s="494"/>
      <c r="U56" s="494"/>
    </row>
    <row r="57" spans="19:21">
      <c r="S57" s="494"/>
      <c r="T57" s="494"/>
      <c r="U57" s="494"/>
    </row>
    <row r="58" spans="19:21">
      <c r="S58" s="494"/>
      <c r="T58" s="494"/>
      <c r="U58" s="494"/>
    </row>
    <row r="59" spans="19:21">
      <c r="S59" s="494"/>
      <c r="T59" s="494"/>
      <c r="U59" s="494"/>
    </row>
    <row r="61" spans="19:21">
      <c r="S61" s="494"/>
      <c r="T61" s="494"/>
      <c r="U61" s="494"/>
    </row>
    <row r="67" spans="1:21">
      <c r="S67" s="495"/>
      <c r="T67" s="495"/>
      <c r="U67" s="495"/>
    </row>
    <row r="68" spans="1:21">
      <c r="A68" s="496" t="s">
        <v>444</v>
      </c>
      <c r="S68" s="494"/>
      <c r="T68" s="494"/>
      <c r="U68" s="494"/>
    </row>
    <row r="69" spans="1:21">
      <c r="A69" s="496" t="s">
        <v>445</v>
      </c>
      <c r="B69" s="496">
        <f t="shared" ref="B69:R69" si="2">+B9</f>
        <v>2000</v>
      </c>
      <c r="C69" s="496">
        <f t="shared" si="2"/>
        <v>2001</v>
      </c>
      <c r="D69" s="496">
        <f t="shared" si="2"/>
        <v>2002</v>
      </c>
      <c r="E69" s="496">
        <f t="shared" si="2"/>
        <v>2003</v>
      </c>
      <c r="F69" s="496">
        <f t="shared" si="2"/>
        <v>2004</v>
      </c>
      <c r="G69" s="496">
        <f t="shared" si="2"/>
        <v>2005</v>
      </c>
      <c r="H69" s="496">
        <f t="shared" si="2"/>
        <v>2006</v>
      </c>
      <c r="I69" s="496">
        <f t="shared" si="2"/>
        <v>2007</v>
      </c>
      <c r="J69" s="496">
        <f t="shared" si="2"/>
        <v>2008</v>
      </c>
      <c r="K69" s="496">
        <f t="shared" si="2"/>
        <v>2009</v>
      </c>
      <c r="L69" s="496">
        <f t="shared" si="2"/>
        <v>2010</v>
      </c>
      <c r="M69" s="496">
        <f t="shared" si="2"/>
        <v>2011</v>
      </c>
      <c r="N69" s="496">
        <f t="shared" si="2"/>
        <v>2012</v>
      </c>
      <c r="O69" s="496">
        <f t="shared" si="2"/>
        <v>2013</v>
      </c>
      <c r="P69" s="496">
        <f t="shared" si="2"/>
        <v>2014</v>
      </c>
      <c r="Q69" s="496"/>
      <c r="R69" s="496">
        <f t="shared" si="2"/>
        <v>2015</v>
      </c>
    </row>
    <row r="70" spans="1:21">
      <c r="A70" s="497" t="s">
        <v>446</v>
      </c>
      <c r="B70" s="497"/>
      <c r="C70" s="497"/>
      <c r="D70" s="497"/>
      <c r="E70" s="497"/>
      <c r="F70" s="497"/>
      <c r="G70" s="497">
        <v>1</v>
      </c>
      <c r="H70" s="497">
        <v>1</v>
      </c>
      <c r="I70" s="497">
        <v>1</v>
      </c>
      <c r="J70" s="497">
        <v>1</v>
      </c>
      <c r="K70" s="497">
        <v>1</v>
      </c>
      <c r="L70" s="497">
        <v>1</v>
      </c>
      <c r="M70" s="497">
        <v>1</v>
      </c>
      <c r="N70" s="497">
        <v>1</v>
      </c>
      <c r="O70" s="497">
        <v>1</v>
      </c>
      <c r="P70" s="497">
        <v>1</v>
      </c>
      <c r="Q70" s="497"/>
      <c r="R70" s="497">
        <v>1</v>
      </c>
    </row>
    <row r="71" spans="1:21">
      <c r="A71" s="490"/>
      <c r="B71" s="490"/>
      <c r="C71" s="490"/>
      <c r="D71" s="490"/>
      <c r="E71" s="490"/>
      <c r="F71" s="490"/>
      <c r="G71" s="490"/>
      <c r="H71" s="490"/>
      <c r="I71" s="490"/>
      <c r="J71" s="490"/>
      <c r="K71" s="490"/>
      <c r="L71" s="490"/>
      <c r="M71" s="490"/>
      <c r="N71" s="490"/>
      <c r="O71" s="490"/>
      <c r="P71" s="490"/>
      <c r="Q71" s="490"/>
      <c r="R71" s="490"/>
      <c r="S71" s="490"/>
      <c r="T71" s="490"/>
      <c r="U71" s="490"/>
    </row>
    <row r="72" spans="1:21">
      <c r="A72" s="490"/>
      <c r="B72" s="490"/>
      <c r="C72" s="490"/>
      <c r="D72" s="490"/>
      <c r="E72" s="490"/>
      <c r="F72" s="490"/>
      <c r="G72" s="490"/>
      <c r="H72" s="490"/>
      <c r="I72" s="490"/>
      <c r="J72" s="490"/>
      <c r="K72" s="490"/>
      <c r="L72" s="490"/>
      <c r="M72" s="490"/>
      <c r="N72" s="490"/>
      <c r="O72" s="490"/>
      <c r="P72" s="490"/>
      <c r="Q72" s="490"/>
      <c r="R72" s="490"/>
      <c r="S72" s="490"/>
      <c r="T72" s="490"/>
      <c r="U72" s="490"/>
    </row>
    <row r="73" spans="1:21">
      <c r="A73" s="498" t="s">
        <v>447</v>
      </c>
      <c r="B73" s="499">
        <f>+SUM($B70:B$70)</f>
        <v>0</v>
      </c>
      <c r="C73" s="499">
        <f>+SUM($B70:C$70)</f>
        <v>0</v>
      </c>
      <c r="D73" s="499">
        <f>+SUM($B70:D$70)</f>
        <v>0</v>
      </c>
      <c r="E73" s="499">
        <f>+SUM($B70:E$70)</f>
        <v>0</v>
      </c>
      <c r="F73" s="499">
        <f>+SUM($B70:F$70)</f>
        <v>0</v>
      </c>
      <c r="G73" s="499">
        <f>+SUM($B70:G$70)</f>
        <v>1</v>
      </c>
      <c r="H73" s="499">
        <f>+SUM($B70:H$70)</f>
        <v>2</v>
      </c>
      <c r="I73" s="499">
        <f>+SUM($B70:I$70)</f>
        <v>3</v>
      </c>
      <c r="J73" s="499">
        <f>+SUM($B70:J$70)</f>
        <v>4</v>
      </c>
      <c r="K73" s="499">
        <f>+SUM($B70:K$70)</f>
        <v>5</v>
      </c>
      <c r="L73" s="499">
        <f>+SUM($B70:L$70)</f>
        <v>6</v>
      </c>
      <c r="M73" s="499">
        <f>+SUM($B70:M$70)</f>
        <v>7</v>
      </c>
      <c r="N73" s="499">
        <f>+SUM($B70:N$70)</f>
        <v>8</v>
      </c>
      <c r="O73" s="499">
        <f>+SUM($B70:O$70)</f>
        <v>9</v>
      </c>
      <c r="P73" s="499">
        <f>+SUM($B70:P$70)</f>
        <v>10</v>
      </c>
      <c r="Q73" s="499"/>
      <c r="R73" s="499">
        <f>+SUM($B70:R$70)</f>
        <v>11</v>
      </c>
      <c r="S73" s="490"/>
      <c r="T73" s="490"/>
      <c r="U73" s="490"/>
    </row>
    <row r="74" spans="1:21">
      <c r="A74" s="498" t="s">
        <v>448</v>
      </c>
      <c r="B74" s="500">
        <v>1</v>
      </c>
      <c r="C74" s="500">
        <f t="shared" ref="C74:K74" si="3">+B74+1</f>
        <v>2</v>
      </c>
      <c r="D74" s="500">
        <f t="shared" si="3"/>
        <v>3</v>
      </c>
      <c r="E74" s="500">
        <f t="shared" si="3"/>
        <v>4</v>
      </c>
      <c r="F74" s="500">
        <f t="shared" si="3"/>
        <v>5</v>
      </c>
      <c r="G74" s="500">
        <f t="shared" si="3"/>
        <v>6</v>
      </c>
      <c r="H74" s="500">
        <f t="shared" si="3"/>
        <v>7</v>
      </c>
      <c r="I74" s="500">
        <f t="shared" si="3"/>
        <v>8</v>
      </c>
      <c r="J74" s="500">
        <f t="shared" si="3"/>
        <v>9</v>
      </c>
      <c r="K74" s="500">
        <f t="shared" si="3"/>
        <v>10</v>
      </c>
      <c r="L74" s="500">
        <f>+K74+1</f>
        <v>11</v>
      </c>
      <c r="M74" s="500">
        <f t="shared" ref="M74:P74" si="4">+L74+1</f>
        <v>12</v>
      </c>
      <c r="N74" s="500">
        <f t="shared" si="4"/>
        <v>13</v>
      </c>
      <c r="O74" s="500">
        <f t="shared" si="4"/>
        <v>14</v>
      </c>
      <c r="P74" s="500">
        <f t="shared" si="4"/>
        <v>15</v>
      </c>
      <c r="Q74" s="500"/>
      <c r="R74" s="500">
        <f>+P74+1</f>
        <v>16</v>
      </c>
    </row>
    <row r="75" spans="1:21">
      <c r="A75" s="498" t="s">
        <v>449</v>
      </c>
      <c r="B75" s="500">
        <f t="shared" ref="B75:P75" ca="1" si="5">+OFFSET($A$69,0,MATCH(B$74,$B$73:$R$73,0))</f>
        <v>2005</v>
      </c>
      <c r="C75" s="500">
        <f t="shared" ca="1" si="5"/>
        <v>2006</v>
      </c>
      <c r="D75" s="500">
        <f t="shared" ca="1" si="5"/>
        <v>2007</v>
      </c>
      <c r="E75" s="500">
        <f t="shared" ca="1" si="5"/>
        <v>2008</v>
      </c>
      <c r="F75" s="500">
        <f t="shared" ca="1" si="5"/>
        <v>2009</v>
      </c>
      <c r="G75" s="500">
        <f t="shared" ca="1" si="5"/>
        <v>2010</v>
      </c>
      <c r="H75" s="500">
        <f t="shared" ca="1" si="5"/>
        <v>2011</v>
      </c>
      <c r="I75" s="500">
        <f t="shared" ca="1" si="5"/>
        <v>2012</v>
      </c>
      <c r="J75" s="500">
        <f t="shared" ca="1" si="5"/>
        <v>2013</v>
      </c>
      <c r="K75" s="500">
        <f t="shared" ca="1" si="5"/>
        <v>2014</v>
      </c>
      <c r="L75" s="500">
        <f t="shared" ca="1" si="5"/>
        <v>2015</v>
      </c>
      <c r="M75" s="500" t="e">
        <f t="shared" ca="1" si="5"/>
        <v>#N/A</v>
      </c>
      <c r="N75" s="500" t="e">
        <f t="shared" ca="1" si="5"/>
        <v>#N/A</v>
      </c>
      <c r="O75" s="500" t="e">
        <f t="shared" ca="1" si="5"/>
        <v>#N/A</v>
      </c>
      <c r="P75" s="500" t="e">
        <f t="shared" ca="1" si="5"/>
        <v>#N/A</v>
      </c>
      <c r="Q75" s="500"/>
      <c r="R75" s="500" t="e">
        <f ca="1">+OFFSET($A$69,0,MATCH(R$74,$B$73:$R$73,0))</f>
        <v>#N/A</v>
      </c>
    </row>
    <row r="76" spans="1:21">
      <c r="A76" s="498" t="s">
        <v>450</v>
      </c>
      <c r="B76" s="498">
        <f t="shared" ref="B76:P76" ca="1" si="6">+INDEX(17:17,1,MATCH(B$75,9:9,0))</f>
        <v>15430.626573133703</v>
      </c>
      <c r="C76" s="498">
        <f t="shared" ca="1" si="6"/>
        <v>16980.827860956968</v>
      </c>
      <c r="D76" s="498">
        <f t="shared" ca="1" si="6"/>
        <v>16833.072002931629</v>
      </c>
      <c r="E76" s="498">
        <f t="shared" ca="1" si="6"/>
        <v>17948.320900429273</v>
      </c>
      <c r="F76" s="498">
        <f t="shared" ca="1" si="6"/>
        <v>18808.438749869121</v>
      </c>
      <c r="G76" s="498">
        <f t="shared" ca="1" si="6"/>
        <v>20144.869351900325</v>
      </c>
      <c r="H76" s="498">
        <f t="shared" ca="1" si="6"/>
        <v>22392.636377342686</v>
      </c>
      <c r="I76" s="498">
        <f t="shared" ca="1" si="6"/>
        <v>22665.034758664016</v>
      </c>
      <c r="J76" s="498">
        <f t="shared" ca="1" si="6"/>
        <v>23814</v>
      </c>
      <c r="K76" s="498">
        <f t="shared" ca="1" si="6"/>
        <v>25821</v>
      </c>
      <c r="L76" s="498">
        <f t="shared" ca="1" si="6"/>
        <v>27448</v>
      </c>
      <c r="M76" s="498" t="e">
        <f t="shared" ca="1" si="6"/>
        <v>#N/A</v>
      </c>
      <c r="N76" s="498" t="e">
        <f t="shared" ca="1" si="6"/>
        <v>#N/A</v>
      </c>
      <c r="O76" s="498" t="e">
        <f t="shared" ca="1" si="6"/>
        <v>#N/A</v>
      </c>
      <c r="P76" s="498" t="e">
        <f t="shared" ca="1" si="6"/>
        <v>#N/A</v>
      </c>
      <c r="Q76" s="498"/>
      <c r="R76" s="498" t="e">
        <f ca="1">+INDEX(17:17,1,MATCH(R$75,9:9,0))</f>
        <v>#N/A</v>
      </c>
    </row>
    <row r="79" spans="1:21">
      <c r="A79" s="501"/>
      <c r="B79" s="502" t="s">
        <v>451</v>
      </c>
      <c r="C79" s="503"/>
    </row>
    <row r="80" spans="1:21">
      <c r="A80" s="501" t="s">
        <v>452</v>
      </c>
      <c r="B80" s="504">
        <f t="array" aca="1" ref="B80:C84" ca="1">+LINEST(
OFFSET($B76,0,0,1,SUM($B70:$R70)),
OFFSET($B75,0,0,1,SUM($B70:$R70)),
,
1)</f>
        <v>1176.4360456877434</v>
      </c>
      <c r="C80" s="504">
        <f ca="1"/>
        <v>-2343883.1039618892</v>
      </c>
      <c r="D80" s="470" t="s">
        <v>453</v>
      </c>
    </row>
    <row r="81" spans="1:4">
      <c r="A81" s="501" t="s">
        <v>454</v>
      </c>
      <c r="B81" s="504">
        <f ca="1"/>
        <v>62.938174071016761</v>
      </c>
      <c r="C81" s="504">
        <f ca="1"/>
        <v>126505.88644526887</v>
      </c>
      <c r="D81" s="470" t="s">
        <v>455</v>
      </c>
    </row>
    <row r="82" spans="1:4">
      <c r="A82" s="501" t="s">
        <v>456</v>
      </c>
      <c r="B82" s="504">
        <f ca="1"/>
        <v>0.97488757358437994</v>
      </c>
      <c r="C82" s="504">
        <f ca="1"/>
        <v>660.10113853355585</v>
      </c>
      <c r="D82" s="470" t="s">
        <v>457</v>
      </c>
    </row>
    <row r="83" spans="1:4">
      <c r="A83" s="505" t="s">
        <v>458</v>
      </c>
      <c r="B83" s="504">
        <f ca="1"/>
        <v>349.38830748756021</v>
      </c>
      <c r="C83" s="504">
        <f ca="1"/>
        <v>9</v>
      </c>
      <c r="D83" s="470" t="s">
        <v>459</v>
      </c>
    </row>
    <row r="84" spans="1:4">
      <c r="A84" s="505" t="s">
        <v>460</v>
      </c>
      <c r="B84" s="504">
        <f ca="1"/>
        <v>152240194.65527558</v>
      </c>
      <c r="C84" s="504">
        <f ca="1"/>
        <v>3921601.6178396698</v>
      </c>
      <c r="D84" s="470" t="s">
        <v>461</v>
      </c>
    </row>
    <row r="85" spans="1:4">
      <c r="A85" s="501"/>
    </row>
    <row r="86" spans="1:4">
      <c r="A86" s="501"/>
    </row>
    <row r="87" spans="1:4">
      <c r="A87" s="501" t="s">
        <v>462</v>
      </c>
      <c r="B87" s="470">
        <f ca="1">+B80/B81</f>
        <v>18.691931614671613</v>
      </c>
    </row>
    <row r="88" spans="1:4">
      <c r="A88" s="505" t="s">
        <v>463</v>
      </c>
      <c r="B88" s="506">
        <f ca="1">+TDIST(B87,C83,2)</f>
        <v>1.6473623009110195E-8</v>
      </c>
    </row>
  </sheetData>
  <conditionalFormatting sqref="J17:R17 B17:H17">
    <cfRule type="expression" dxfId="19" priority="2">
      <formula>B$70=1</formula>
    </cfRule>
  </conditionalFormatting>
  <conditionalFormatting sqref="B17:I17">
    <cfRule type="expression" dxfId="18"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88"/>
  <sheetViews>
    <sheetView showGridLines="0" zoomScale="70" zoomScaleNormal="70" zoomScaleSheetLayoutView="55" workbookViewId="0"/>
  </sheetViews>
  <sheetFormatPr defaultRowHeight="12.75"/>
  <cols>
    <col min="1" max="1" width="36.5703125" style="470" customWidth="1"/>
    <col min="2" max="16" width="11.28515625" style="470" customWidth="1"/>
    <col min="17" max="17" width="11.28515625" style="719" customWidth="1"/>
    <col min="18" max="18" width="11.28515625" style="470" customWidth="1"/>
    <col min="19" max="21" width="9.140625" style="473"/>
    <col min="22" max="16384" width="9.140625" style="470"/>
  </cols>
  <sheetData>
    <row r="1" spans="1:21" s="472" customFormat="1" ht="15.75">
      <c r="A1" s="656" t="s">
        <v>540</v>
      </c>
      <c r="S1" s="590"/>
      <c r="T1" s="590"/>
      <c r="U1" s="590"/>
    </row>
    <row r="2" spans="1:21" s="472" customFormat="1" ht="15.75">
      <c r="A2" s="338" t="s">
        <v>495</v>
      </c>
      <c r="S2" s="590"/>
      <c r="T2" s="590"/>
      <c r="U2" s="590"/>
    </row>
    <row r="3" spans="1:21" s="472" customFormat="1" ht="15.75">
      <c r="A3" s="338"/>
      <c r="S3" s="590"/>
      <c r="T3" s="590"/>
      <c r="U3" s="590"/>
    </row>
    <row r="4" spans="1:21" s="472" customFormat="1" ht="15.75">
      <c r="A4" s="589" t="s">
        <v>438</v>
      </c>
      <c r="B4" s="591" t="str">
        <f>+A11</f>
        <v>Customer Service and Information</v>
      </c>
      <c r="C4" s="587"/>
      <c r="D4" s="587"/>
      <c r="E4" s="587"/>
      <c r="F4" s="587"/>
      <c r="G4" s="587"/>
      <c r="H4" s="587"/>
      <c r="I4" s="587"/>
      <c r="S4" s="590"/>
      <c r="T4" s="590"/>
      <c r="U4" s="590"/>
    </row>
    <row r="5" spans="1:21" s="472" customFormat="1" ht="15">
      <c r="A5" s="588"/>
      <c r="S5" s="590"/>
      <c r="T5" s="590"/>
      <c r="U5" s="590"/>
    </row>
    <row r="6" spans="1:21" s="472" customFormat="1" ht="15">
      <c r="A6" s="592" t="s">
        <v>505</v>
      </c>
      <c r="S6" s="590"/>
      <c r="T6" s="590"/>
      <c r="U6" s="590"/>
    </row>
    <row r="8" spans="1:21">
      <c r="A8" s="474"/>
      <c r="B8" s="475"/>
      <c r="C8" s="475"/>
      <c r="D8" s="475"/>
      <c r="E8" s="475"/>
      <c r="F8" s="475"/>
      <c r="G8" s="475"/>
      <c r="H8" s="475"/>
      <c r="I8" s="475"/>
      <c r="J8" s="476"/>
      <c r="K8" s="476"/>
      <c r="L8" s="476"/>
      <c r="M8" s="476"/>
      <c r="N8" s="477"/>
      <c r="O8" s="477"/>
      <c r="P8" s="478"/>
      <c r="Q8" s="478"/>
      <c r="R8" s="477"/>
    </row>
    <row r="9" spans="1:21">
      <c r="B9" s="479">
        <f t="shared" ref="B9:H9" si="0">+C9-1</f>
        <v>2000</v>
      </c>
      <c r="C9" s="479">
        <f t="shared" si="0"/>
        <v>2001</v>
      </c>
      <c r="D9" s="479">
        <f t="shared" si="0"/>
        <v>2002</v>
      </c>
      <c r="E9" s="479">
        <f t="shared" si="0"/>
        <v>2003</v>
      </c>
      <c r="F9" s="479">
        <f t="shared" si="0"/>
        <v>2004</v>
      </c>
      <c r="G9" s="479">
        <f t="shared" si="0"/>
        <v>2005</v>
      </c>
      <c r="H9" s="479">
        <f t="shared" si="0"/>
        <v>2006</v>
      </c>
      <c r="I9" s="479">
        <f>+J9-1</f>
        <v>2007</v>
      </c>
      <c r="J9" s="479">
        <v>2008</v>
      </c>
      <c r="K9" s="480">
        <v>2009</v>
      </c>
      <c r="L9" s="480">
        <v>2010</v>
      </c>
      <c r="M9" s="480">
        <v>2011</v>
      </c>
      <c r="N9" s="480">
        <v>2012</v>
      </c>
      <c r="O9" s="480">
        <v>2013</v>
      </c>
      <c r="P9" s="480">
        <v>2014</v>
      </c>
      <c r="Q9" s="480">
        <v>2015</v>
      </c>
      <c r="R9" s="480">
        <v>2016</v>
      </c>
    </row>
    <row r="10" spans="1:21" ht="8.25" customHeight="1">
      <c r="B10" s="481" t="s">
        <v>439</v>
      </c>
      <c r="C10" s="481" t="s">
        <v>439</v>
      </c>
      <c r="D10" s="481" t="s">
        <v>439</v>
      </c>
      <c r="E10" s="481" t="s">
        <v>439</v>
      </c>
      <c r="F10" s="481" t="s">
        <v>439</v>
      </c>
      <c r="G10" s="481" t="s">
        <v>439</v>
      </c>
      <c r="H10" s="481" t="s">
        <v>439</v>
      </c>
      <c r="I10" s="481" t="s">
        <v>439</v>
      </c>
      <c r="J10" s="481" t="s">
        <v>439</v>
      </c>
      <c r="K10" s="481" t="s">
        <v>439</v>
      </c>
      <c r="L10" s="481" t="s">
        <v>439</v>
      </c>
      <c r="M10" s="481" t="s">
        <v>439</v>
      </c>
      <c r="N10" s="481" t="s">
        <v>439</v>
      </c>
      <c r="O10" s="481" t="s">
        <v>439</v>
      </c>
      <c r="P10" s="481" t="s">
        <v>439</v>
      </c>
      <c r="Q10" s="481" t="s">
        <v>439</v>
      </c>
      <c r="R10" s="481" t="s">
        <v>439</v>
      </c>
    </row>
    <row r="11" spans="1:21">
      <c r="A11" s="482" t="str">
        <f>+'Cost Trends'!B96</f>
        <v>Customer Service and Information</v>
      </c>
      <c r="B11" s="97">
        <f>+'Cost Trends'!F96</f>
        <v>5704</v>
      </c>
      <c r="C11" s="97">
        <f>+'Cost Trends'!G96</f>
        <v>5381</v>
      </c>
      <c r="D11" s="97">
        <f>+'Cost Trends'!H96</f>
        <v>6261</v>
      </c>
      <c r="E11" s="97">
        <f>+'Cost Trends'!I96</f>
        <v>6620</v>
      </c>
      <c r="F11" s="97">
        <f>+'Cost Trends'!J96</f>
        <v>266</v>
      </c>
      <c r="G11" s="97">
        <f>+'Cost Trends'!K96</f>
        <v>7127</v>
      </c>
      <c r="H11" s="97">
        <f>+'Cost Trends'!L96</f>
        <v>1159</v>
      </c>
      <c r="I11" s="97">
        <f>+'Cost Trends'!M96</f>
        <v>7472</v>
      </c>
      <c r="J11" s="97">
        <f>+'Cost Trends'!N96</f>
        <v>12847</v>
      </c>
      <c r="K11" s="97">
        <f>+'Cost Trends'!O96</f>
        <v>19736</v>
      </c>
      <c r="L11" s="97">
        <f>+'Cost Trends'!P96</f>
        <v>20832</v>
      </c>
      <c r="M11" s="97">
        <f>+'Cost Trends'!Q96</f>
        <v>21292</v>
      </c>
      <c r="N11" s="97">
        <f>+'Cost Trends'!R96</f>
        <v>18487</v>
      </c>
      <c r="O11" s="97">
        <f>+'Cost Trends'!S96</f>
        <v>1516</v>
      </c>
      <c r="P11" s="97">
        <f>+'Cost Trends'!T96</f>
        <v>1383</v>
      </c>
      <c r="Q11" s="97">
        <f>+'Cost Trends'!U96</f>
        <v>1454</v>
      </c>
      <c r="R11" s="97">
        <f>+'Cost Trends'!V96</f>
        <v>1406</v>
      </c>
    </row>
    <row r="12" spans="1:21">
      <c r="A12" s="470" t="s">
        <v>474</v>
      </c>
      <c r="B12" s="97">
        <f>+DSM!I35</f>
        <v>-3443</v>
      </c>
      <c r="C12" s="97">
        <f>+DSM!J35</f>
        <v>-5074</v>
      </c>
      <c r="D12" s="97">
        <f>+DSM!K35</f>
        <v>-6064</v>
      </c>
      <c r="E12" s="97">
        <f>+DSM!L35</f>
        <v>-6130</v>
      </c>
      <c r="F12" s="97">
        <f>+DSM!M35</f>
        <v>-6747</v>
      </c>
      <c r="G12" s="97">
        <f>+DSM!N35</f>
        <v>-6608</v>
      </c>
      <c r="H12" s="97">
        <f>+DSM!O35</f>
        <v>-6580</v>
      </c>
      <c r="I12" s="97">
        <f>+DSM!P35</f>
        <v>-6667</v>
      </c>
      <c r="J12" s="97">
        <f>+DSM!Q35</f>
        <v>-12092</v>
      </c>
      <c r="K12" s="97">
        <f>+DSM!R35</f>
        <v>-18880</v>
      </c>
      <c r="L12" s="97">
        <f>+DSM!S35</f>
        <v>-19483</v>
      </c>
      <c r="M12" s="97">
        <f>+DSM!T35</f>
        <v>-20102</v>
      </c>
      <c r="N12" s="97">
        <f>+DSM!U35</f>
        <v>-16906</v>
      </c>
      <c r="O12" s="97">
        <f>+DSM!V35</f>
        <v>0</v>
      </c>
      <c r="P12" s="97">
        <f>+DSM!W35</f>
        <v>0</v>
      </c>
      <c r="Q12" s="97">
        <f>+DSM!X35</f>
        <v>0</v>
      </c>
      <c r="R12" s="97">
        <f>+DSM!Y35</f>
        <v>0</v>
      </c>
    </row>
    <row r="13" spans="1:21" ht="8.25" customHeight="1">
      <c r="B13" s="481"/>
      <c r="C13" s="481"/>
      <c r="D13" s="481"/>
      <c r="E13" s="481"/>
      <c r="F13" s="481"/>
      <c r="G13" s="481"/>
      <c r="H13" s="481"/>
      <c r="I13" s="481"/>
      <c r="J13" s="481"/>
      <c r="K13" s="481"/>
      <c r="L13" s="481"/>
      <c r="M13" s="481"/>
      <c r="N13" s="481"/>
      <c r="O13" s="481"/>
      <c r="P13" s="481"/>
      <c r="Q13" s="481"/>
      <c r="R13" s="481"/>
    </row>
    <row r="14" spans="1:21" ht="8.25" customHeight="1">
      <c r="B14" s="481" t="s">
        <v>439</v>
      </c>
      <c r="C14" s="481" t="s">
        <v>439</v>
      </c>
      <c r="D14" s="481" t="s">
        <v>439</v>
      </c>
      <c r="E14" s="481" t="s">
        <v>439</v>
      </c>
      <c r="F14" s="481" t="s">
        <v>439</v>
      </c>
      <c r="G14" s="481" t="s">
        <v>439</v>
      </c>
      <c r="H14" s="481" t="s">
        <v>439</v>
      </c>
      <c r="I14" s="481" t="s">
        <v>439</v>
      </c>
      <c r="J14" s="481" t="s">
        <v>439</v>
      </c>
      <c r="K14" s="481" t="s">
        <v>439</v>
      </c>
      <c r="L14" s="481" t="s">
        <v>439</v>
      </c>
      <c r="M14" s="481" t="s">
        <v>439</v>
      </c>
      <c r="N14" s="481" t="s">
        <v>439</v>
      </c>
      <c r="O14" s="481" t="s">
        <v>439</v>
      </c>
      <c r="P14" s="481" t="s">
        <v>439</v>
      </c>
      <c r="Q14" s="481" t="s">
        <v>439</v>
      </c>
      <c r="R14" s="481" t="s">
        <v>439</v>
      </c>
    </row>
    <row r="15" spans="1:21" ht="26.25" customHeight="1">
      <c r="A15" s="483" t="str">
        <f>+"Total "&amp;B4</f>
        <v>Total Customer Service and Information</v>
      </c>
      <c r="B15" s="484">
        <f t="shared" ref="B15:O15" si="1">+SUM(B10:B14)</f>
        <v>2261</v>
      </c>
      <c r="C15" s="484">
        <f t="shared" si="1"/>
        <v>307</v>
      </c>
      <c r="D15" s="484">
        <f t="shared" si="1"/>
        <v>197</v>
      </c>
      <c r="E15" s="484">
        <f t="shared" si="1"/>
        <v>490</v>
      </c>
      <c r="F15" s="484">
        <f t="shared" si="1"/>
        <v>-6481</v>
      </c>
      <c r="G15" s="484">
        <f t="shared" si="1"/>
        <v>519</v>
      </c>
      <c r="H15" s="484">
        <f t="shared" si="1"/>
        <v>-5421</v>
      </c>
      <c r="I15" s="484">
        <f t="shared" si="1"/>
        <v>805</v>
      </c>
      <c r="J15" s="484">
        <f t="shared" si="1"/>
        <v>755</v>
      </c>
      <c r="K15" s="484">
        <f t="shared" si="1"/>
        <v>856</v>
      </c>
      <c r="L15" s="484">
        <f t="shared" si="1"/>
        <v>1349</v>
      </c>
      <c r="M15" s="484">
        <f t="shared" si="1"/>
        <v>1190</v>
      </c>
      <c r="N15" s="484">
        <f t="shared" si="1"/>
        <v>1581</v>
      </c>
      <c r="O15" s="484">
        <f t="shared" si="1"/>
        <v>1516</v>
      </c>
      <c r="P15" s="484">
        <f t="shared" ref="P15:R15" si="2">+SUM(P10:P14)</f>
        <v>1383</v>
      </c>
      <c r="Q15" s="484">
        <f t="shared" si="2"/>
        <v>1454</v>
      </c>
      <c r="R15" s="484">
        <f t="shared" si="2"/>
        <v>1406</v>
      </c>
    </row>
    <row r="16" spans="1:21">
      <c r="P16" s="327"/>
      <c r="Q16" s="327"/>
    </row>
    <row r="17" spans="1:20">
      <c r="P17" s="327"/>
      <c r="Q17" s="327"/>
    </row>
    <row r="18" spans="1:20">
      <c r="A18" s="485" t="s">
        <v>442</v>
      </c>
      <c r="B18" s="486"/>
      <c r="C18" s="487"/>
      <c r="D18" s="485" t="s">
        <v>504</v>
      </c>
      <c r="E18" s="485"/>
      <c r="F18" s="486"/>
      <c r="G18" s="486"/>
      <c r="H18" s="486"/>
      <c r="I18" s="486"/>
      <c r="J18" s="486"/>
      <c r="K18" s="486"/>
      <c r="L18" s="486"/>
      <c r="M18" s="486"/>
      <c r="N18" s="486"/>
      <c r="O18" s="486"/>
      <c r="P18" s="488"/>
      <c r="Q18" s="488"/>
      <c r="R18" s="486"/>
    </row>
    <row r="19" spans="1:20" ht="19.5" customHeight="1">
      <c r="A19" s="473"/>
      <c r="B19" s="489"/>
      <c r="C19" s="489"/>
      <c r="D19" s="489"/>
      <c r="E19" s="489"/>
      <c r="F19" s="489"/>
      <c r="G19" s="489"/>
      <c r="H19" s="489"/>
      <c r="I19" s="489"/>
    </row>
    <row r="20" spans="1:20" ht="19.5" customHeight="1">
      <c r="A20" s="529" t="s">
        <v>502</v>
      </c>
      <c r="B20" s="490">
        <f ca="1">+LINEST(
OFFSET($B$76,0,0,1,SUM($B$70:$R$70)),
OFFSET($B$75,0,0,1,SUM($B$70:$R$70)),
,
1)</f>
        <v>-41.199999999999989</v>
      </c>
      <c r="C20" s="489"/>
      <c r="D20" s="489"/>
      <c r="E20" s="489"/>
      <c r="F20" s="489"/>
      <c r="G20" s="489"/>
      <c r="H20" s="489"/>
      <c r="I20" s="489"/>
    </row>
    <row r="21" spans="1:20" ht="19.5" customHeight="1">
      <c r="A21" s="473" t="s">
        <v>503</v>
      </c>
      <c r="B21" s="489">
        <f ca="1">RSQ(
OFFSET($B$76,0,0,1,SUM($B$70:$R$70)),
OFFSET($B$75,0,0,1,SUM($B$70:$R$70))
)</f>
        <v>0.64448325613182478</v>
      </c>
      <c r="C21" s="490"/>
      <c r="D21" s="490"/>
      <c r="E21" s="490"/>
      <c r="F21" s="490"/>
      <c r="G21" s="490"/>
      <c r="H21" s="490"/>
      <c r="I21" s="490"/>
    </row>
    <row r="22" spans="1:20" ht="19.5" customHeight="1">
      <c r="A22" s="470" t="s">
        <v>443</v>
      </c>
      <c r="B22" s="491">
        <f ca="1">+B20/R15</f>
        <v>-2.9302987197724031E-2</v>
      </c>
      <c r="C22" s="489"/>
      <c r="D22" s="489"/>
      <c r="E22" s="489"/>
      <c r="F22" s="489"/>
      <c r="G22" s="489"/>
      <c r="H22" s="489"/>
      <c r="I22" s="489"/>
    </row>
    <row r="23" spans="1:20" ht="19.5" customHeight="1">
      <c r="A23" s="327" t="str">
        <f>+'2) ROR'!$D$19&amp;"-year Growth Rate"</f>
        <v>1-year Growth Rate</v>
      </c>
      <c r="B23" s="530">
        <v>0</v>
      </c>
      <c r="C23" s="491"/>
      <c r="D23" s="491"/>
      <c r="E23" s="491"/>
      <c r="F23" s="491"/>
      <c r="G23" s="491"/>
      <c r="H23" s="491"/>
      <c r="I23" s="491"/>
    </row>
    <row r="24" spans="1:20" ht="19.5" customHeight="1">
      <c r="C24" s="492"/>
      <c r="D24" s="492"/>
      <c r="E24" s="492"/>
      <c r="F24" s="492"/>
      <c r="G24" s="492"/>
      <c r="H24" s="492"/>
      <c r="I24" s="492"/>
      <c r="L24" s="362"/>
    </row>
    <row r="26" spans="1:20">
      <c r="S26" s="493"/>
      <c r="T26" s="493"/>
    </row>
    <row r="27" spans="1:20">
      <c r="S27" s="494"/>
      <c r="T27" s="494"/>
    </row>
    <row r="28" spans="1:20">
      <c r="S28" s="494"/>
      <c r="T28" s="494"/>
    </row>
    <row r="29" spans="1:20">
      <c r="S29" s="494"/>
      <c r="T29" s="494"/>
    </row>
    <row r="30" spans="1:20">
      <c r="S30" s="494"/>
      <c r="T30" s="494"/>
    </row>
    <row r="31" spans="1:20">
      <c r="S31" s="494"/>
      <c r="T31" s="494"/>
    </row>
    <row r="34" spans="19:21">
      <c r="S34" s="495"/>
      <c r="T34" s="495"/>
      <c r="U34" s="495"/>
    </row>
    <row r="35" spans="19:21">
      <c r="S35" s="494"/>
      <c r="T35" s="494"/>
      <c r="U35" s="494"/>
    </row>
    <row r="36" spans="19:21">
      <c r="S36" s="494"/>
      <c r="T36" s="494"/>
      <c r="U36" s="494"/>
    </row>
    <row r="37" spans="19:21">
      <c r="S37" s="494"/>
      <c r="T37" s="494"/>
      <c r="U37" s="494"/>
    </row>
    <row r="38" spans="19:21">
      <c r="S38" s="494"/>
      <c r="T38" s="494"/>
      <c r="U38" s="494"/>
    </row>
    <row r="39" spans="19:21">
      <c r="S39" s="494"/>
      <c r="T39" s="494"/>
      <c r="U39" s="494"/>
    </row>
    <row r="40" spans="19:21">
      <c r="S40" s="494"/>
      <c r="T40" s="494"/>
      <c r="U40" s="494"/>
    </row>
    <row r="41" spans="19:21">
      <c r="S41" s="494"/>
      <c r="T41" s="494"/>
      <c r="U41" s="494"/>
    </row>
    <row r="42" spans="19:21">
      <c r="S42" s="494"/>
      <c r="T42" s="494"/>
      <c r="U42" s="494"/>
    </row>
    <row r="43" spans="19:21">
      <c r="S43" s="494"/>
      <c r="T43" s="494"/>
      <c r="U43" s="494"/>
    </row>
    <row r="44" spans="19:21">
      <c r="S44" s="494"/>
      <c r="T44" s="494"/>
      <c r="U44" s="494"/>
    </row>
    <row r="45" spans="19:21">
      <c r="S45" s="494"/>
      <c r="T45" s="494"/>
      <c r="U45" s="494"/>
    </row>
    <row r="46" spans="19:21">
      <c r="S46" s="494"/>
      <c r="T46" s="494"/>
      <c r="U46" s="494"/>
    </row>
    <row r="47" spans="19:21">
      <c r="S47" s="494"/>
      <c r="T47" s="494"/>
      <c r="U47" s="494"/>
    </row>
    <row r="48" spans="19:21">
      <c r="S48" s="494"/>
      <c r="T48" s="494"/>
      <c r="U48" s="494"/>
    </row>
    <row r="49" spans="19:21">
      <c r="S49" s="494"/>
      <c r="T49" s="494"/>
      <c r="U49" s="494"/>
    </row>
    <row r="50" spans="19:21">
      <c r="S50" s="494"/>
      <c r="T50" s="494"/>
      <c r="U50" s="494"/>
    </row>
    <row r="51" spans="19:21">
      <c r="S51" s="494"/>
      <c r="T51" s="494"/>
      <c r="U51" s="494"/>
    </row>
    <row r="52" spans="19:21">
      <c r="S52" s="494"/>
      <c r="T52" s="494"/>
      <c r="U52" s="494"/>
    </row>
    <row r="53" spans="19:21">
      <c r="S53" s="494"/>
      <c r="T53" s="494"/>
      <c r="U53" s="494"/>
    </row>
    <row r="54" spans="19:21">
      <c r="S54" s="494"/>
      <c r="T54" s="494"/>
      <c r="U54" s="494"/>
    </row>
    <row r="55" spans="19:21">
      <c r="S55" s="494"/>
      <c r="T55" s="494"/>
      <c r="U55" s="494"/>
    </row>
    <row r="56" spans="19:21">
      <c r="S56" s="494"/>
      <c r="T56" s="494"/>
      <c r="U56" s="494"/>
    </row>
    <row r="57" spans="19:21">
      <c r="S57" s="494"/>
      <c r="T57" s="494"/>
      <c r="U57" s="494"/>
    </row>
    <row r="59" spans="19:21">
      <c r="S59" s="495"/>
      <c r="T59" s="495"/>
      <c r="U59" s="495"/>
    </row>
    <row r="60" spans="19:21">
      <c r="S60" s="494"/>
      <c r="T60" s="494"/>
      <c r="U60" s="494"/>
    </row>
    <row r="61" spans="19:21">
      <c r="S61" s="494"/>
      <c r="T61" s="494"/>
      <c r="U61" s="494"/>
    </row>
    <row r="67" spans="1:21">
      <c r="S67" s="495"/>
      <c r="T67" s="495"/>
      <c r="U67" s="495"/>
    </row>
    <row r="68" spans="1:21">
      <c r="A68" s="496" t="s">
        <v>444</v>
      </c>
      <c r="S68" s="494"/>
      <c r="T68" s="494"/>
      <c r="U68" s="494"/>
    </row>
    <row r="69" spans="1:21">
      <c r="A69" s="496" t="s">
        <v>445</v>
      </c>
      <c r="B69" s="496">
        <f t="shared" ref="B69:O69" si="3">+B9</f>
        <v>2000</v>
      </c>
      <c r="C69" s="496">
        <f t="shared" si="3"/>
        <v>2001</v>
      </c>
      <c r="D69" s="496">
        <f t="shared" si="3"/>
        <v>2002</v>
      </c>
      <c r="E69" s="496">
        <f t="shared" si="3"/>
        <v>2003</v>
      </c>
      <c r="F69" s="496">
        <f t="shared" si="3"/>
        <v>2004</v>
      </c>
      <c r="G69" s="496">
        <f t="shared" si="3"/>
        <v>2005</v>
      </c>
      <c r="H69" s="496">
        <f t="shared" si="3"/>
        <v>2006</v>
      </c>
      <c r="I69" s="496">
        <f t="shared" si="3"/>
        <v>2007</v>
      </c>
      <c r="J69" s="496">
        <f t="shared" si="3"/>
        <v>2008</v>
      </c>
      <c r="K69" s="496">
        <f t="shared" si="3"/>
        <v>2009</v>
      </c>
      <c r="L69" s="496">
        <f t="shared" si="3"/>
        <v>2010</v>
      </c>
      <c r="M69" s="496">
        <f t="shared" si="3"/>
        <v>2011</v>
      </c>
      <c r="N69" s="496">
        <f t="shared" si="3"/>
        <v>2012</v>
      </c>
      <c r="O69" s="496">
        <f t="shared" si="3"/>
        <v>2013</v>
      </c>
      <c r="P69" s="496">
        <f t="shared" ref="P69:R69" si="4">+P9</f>
        <v>2014</v>
      </c>
      <c r="Q69" s="496">
        <f t="shared" si="4"/>
        <v>2015</v>
      </c>
      <c r="R69" s="496">
        <f t="shared" si="4"/>
        <v>2016</v>
      </c>
    </row>
    <row r="70" spans="1:21">
      <c r="A70" s="497" t="s">
        <v>446</v>
      </c>
      <c r="B70" s="497"/>
      <c r="C70" s="497"/>
      <c r="D70" s="497"/>
      <c r="E70" s="497"/>
      <c r="F70" s="497"/>
      <c r="G70" s="497">
        <v>0</v>
      </c>
      <c r="H70" s="497">
        <v>0</v>
      </c>
      <c r="I70" s="497">
        <v>0</v>
      </c>
      <c r="J70" s="497">
        <v>0</v>
      </c>
      <c r="K70" s="497">
        <v>0</v>
      </c>
      <c r="L70" s="497">
        <v>0</v>
      </c>
      <c r="M70" s="497">
        <v>0</v>
      </c>
      <c r="N70" s="497">
        <v>1</v>
      </c>
      <c r="O70" s="497">
        <v>1</v>
      </c>
      <c r="P70" s="497">
        <v>1</v>
      </c>
      <c r="Q70" s="497">
        <v>1</v>
      </c>
      <c r="R70" s="497">
        <v>1</v>
      </c>
    </row>
    <row r="71" spans="1:21">
      <c r="A71" s="490"/>
      <c r="B71" s="490"/>
      <c r="C71" s="490"/>
      <c r="D71" s="490"/>
      <c r="E71" s="490"/>
      <c r="F71" s="490"/>
      <c r="G71" s="490"/>
      <c r="H71" s="490"/>
      <c r="I71" s="490"/>
      <c r="J71" s="490"/>
      <c r="K71" s="490"/>
      <c r="L71" s="490"/>
      <c r="M71" s="490"/>
      <c r="N71" s="490"/>
      <c r="O71" s="490"/>
      <c r="P71" s="490"/>
      <c r="Q71" s="490"/>
      <c r="R71" s="490"/>
      <c r="S71" s="490"/>
      <c r="T71" s="490"/>
      <c r="U71" s="490"/>
    </row>
    <row r="72" spans="1:21">
      <c r="A72" s="490"/>
      <c r="B72" s="490"/>
      <c r="C72" s="490"/>
      <c r="D72" s="490"/>
      <c r="E72" s="490"/>
      <c r="F72" s="490"/>
      <c r="G72" s="490"/>
      <c r="H72" s="490"/>
      <c r="I72" s="490"/>
      <c r="J72" s="490"/>
      <c r="K72" s="490"/>
      <c r="L72" s="490"/>
      <c r="M72" s="490"/>
      <c r="N72" s="490"/>
      <c r="O72" s="490"/>
      <c r="P72" s="490"/>
      <c r="Q72" s="490"/>
      <c r="R72" s="490"/>
      <c r="S72" s="490"/>
      <c r="T72" s="490"/>
      <c r="U72" s="490"/>
    </row>
    <row r="73" spans="1:21">
      <c r="A73" s="498" t="s">
        <v>447</v>
      </c>
      <c r="B73" s="499">
        <f>+SUM($B70:B$70)</f>
        <v>0</v>
      </c>
      <c r="C73" s="499">
        <f>+SUM($B70:C$70)</f>
        <v>0</v>
      </c>
      <c r="D73" s="499">
        <f>+SUM($B70:D$70)</f>
        <v>0</v>
      </c>
      <c r="E73" s="499">
        <f>+SUM($B70:E$70)</f>
        <v>0</v>
      </c>
      <c r="F73" s="499">
        <f>+SUM($B70:F$70)</f>
        <v>0</v>
      </c>
      <c r="G73" s="499">
        <f>+SUM($B70:G$70)</f>
        <v>0</v>
      </c>
      <c r="H73" s="499">
        <f>+SUM($B70:H$70)</f>
        <v>0</v>
      </c>
      <c r="I73" s="499">
        <f>+SUM($B70:I$70)</f>
        <v>0</v>
      </c>
      <c r="J73" s="499">
        <f>+SUM($B70:J$70)</f>
        <v>0</v>
      </c>
      <c r="K73" s="499">
        <f>+SUM($B70:K$70)</f>
        <v>0</v>
      </c>
      <c r="L73" s="499">
        <f>+SUM($B70:L$70)</f>
        <v>0</v>
      </c>
      <c r="M73" s="499">
        <f>+SUM($B70:M$70)</f>
        <v>0</v>
      </c>
      <c r="N73" s="499">
        <f>+SUM($B70:N$70)</f>
        <v>1</v>
      </c>
      <c r="O73" s="499">
        <f>+SUM($B70:O$70)</f>
        <v>2</v>
      </c>
      <c r="P73" s="499">
        <f>+SUM($B70:P$70)</f>
        <v>3</v>
      </c>
      <c r="Q73" s="499">
        <f>+SUM($B70:Q$70)</f>
        <v>4</v>
      </c>
      <c r="R73" s="499">
        <f>+SUM($B70:R$70)</f>
        <v>5</v>
      </c>
      <c r="S73" s="490"/>
      <c r="T73" s="490"/>
      <c r="U73" s="490"/>
    </row>
    <row r="74" spans="1:21">
      <c r="A74" s="498" t="s">
        <v>448</v>
      </c>
      <c r="B74" s="500">
        <v>1</v>
      </c>
      <c r="C74" s="500">
        <f t="shared" ref="C74:K74" si="5">+B74+1</f>
        <v>2</v>
      </c>
      <c r="D74" s="500">
        <f t="shared" si="5"/>
        <v>3</v>
      </c>
      <c r="E74" s="500">
        <f t="shared" si="5"/>
        <v>4</v>
      </c>
      <c r="F74" s="500">
        <f t="shared" si="5"/>
        <v>5</v>
      </c>
      <c r="G74" s="500">
        <f t="shared" si="5"/>
        <v>6</v>
      </c>
      <c r="H74" s="500">
        <f t="shared" si="5"/>
        <v>7</v>
      </c>
      <c r="I74" s="500">
        <f t="shared" si="5"/>
        <v>8</v>
      </c>
      <c r="J74" s="500">
        <f t="shared" si="5"/>
        <v>9</v>
      </c>
      <c r="K74" s="500">
        <f t="shared" si="5"/>
        <v>10</v>
      </c>
      <c r="L74" s="500">
        <f>+K74+1</f>
        <v>11</v>
      </c>
      <c r="M74" s="500">
        <f t="shared" ref="M74:O74" si="6">+L74+1</f>
        <v>12</v>
      </c>
      <c r="N74" s="500">
        <f t="shared" si="6"/>
        <v>13</v>
      </c>
      <c r="O74" s="500">
        <f t="shared" si="6"/>
        <v>14</v>
      </c>
      <c r="P74" s="500">
        <f t="shared" ref="P74" si="7">+O74+1</f>
        <v>15</v>
      </c>
      <c r="Q74" s="500">
        <f t="shared" ref="Q74" si="8">+P74+1</f>
        <v>16</v>
      </c>
      <c r="R74" s="500">
        <f t="shared" ref="R74" si="9">+Q74+1</f>
        <v>17</v>
      </c>
    </row>
    <row r="75" spans="1:21">
      <c r="A75" s="498" t="s">
        <v>449</v>
      </c>
      <c r="B75" s="500">
        <f t="shared" ref="B75:O75" ca="1" si="10">+OFFSET($A$69,0,MATCH(B$74,$B$73:$R$73,0))</f>
        <v>2012</v>
      </c>
      <c r="C75" s="500">
        <f t="shared" ca="1" si="10"/>
        <v>2013</v>
      </c>
      <c r="D75" s="500">
        <f t="shared" ca="1" si="10"/>
        <v>2014</v>
      </c>
      <c r="E75" s="500">
        <f t="shared" ca="1" si="10"/>
        <v>2015</v>
      </c>
      <c r="F75" s="500">
        <f t="shared" ca="1" si="10"/>
        <v>2016</v>
      </c>
      <c r="G75" s="500" t="e">
        <f t="shared" ca="1" si="10"/>
        <v>#N/A</v>
      </c>
      <c r="H75" s="500" t="e">
        <f t="shared" ca="1" si="10"/>
        <v>#N/A</v>
      </c>
      <c r="I75" s="500" t="e">
        <f t="shared" ca="1" si="10"/>
        <v>#N/A</v>
      </c>
      <c r="J75" s="500" t="e">
        <f t="shared" ca="1" si="10"/>
        <v>#N/A</v>
      </c>
      <c r="K75" s="500" t="e">
        <f t="shared" ca="1" si="10"/>
        <v>#N/A</v>
      </c>
      <c r="L75" s="500" t="e">
        <f t="shared" ca="1" si="10"/>
        <v>#N/A</v>
      </c>
      <c r="M75" s="500" t="e">
        <f t="shared" ca="1" si="10"/>
        <v>#N/A</v>
      </c>
      <c r="N75" s="500" t="e">
        <f t="shared" ca="1" si="10"/>
        <v>#N/A</v>
      </c>
      <c r="O75" s="500" t="e">
        <f t="shared" ca="1" si="10"/>
        <v>#N/A</v>
      </c>
      <c r="P75" s="500" t="e">
        <f t="shared" ref="P75:R75" ca="1" si="11">+OFFSET($A$69,0,MATCH(P$74,$B$73:$R$73,0))</f>
        <v>#N/A</v>
      </c>
      <c r="Q75" s="500" t="e">
        <f t="shared" ca="1" si="11"/>
        <v>#N/A</v>
      </c>
      <c r="R75" s="500" t="e">
        <f t="shared" ca="1" si="11"/>
        <v>#N/A</v>
      </c>
    </row>
    <row r="76" spans="1:21">
      <c r="A76" s="498" t="s">
        <v>450</v>
      </c>
      <c r="B76" s="498">
        <f t="shared" ref="B76:O76" ca="1" si="12">+INDEX(15:15,1,MATCH(B$75,9:9,0))</f>
        <v>1581</v>
      </c>
      <c r="C76" s="498">
        <f t="shared" ca="1" si="12"/>
        <v>1516</v>
      </c>
      <c r="D76" s="498">
        <f t="shared" ca="1" si="12"/>
        <v>1383</v>
      </c>
      <c r="E76" s="498">
        <f t="shared" ca="1" si="12"/>
        <v>1454</v>
      </c>
      <c r="F76" s="498">
        <f t="shared" ca="1" si="12"/>
        <v>1406</v>
      </c>
      <c r="G76" s="498" t="e">
        <f t="shared" ca="1" si="12"/>
        <v>#N/A</v>
      </c>
      <c r="H76" s="498" t="e">
        <f t="shared" ca="1" si="12"/>
        <v>#N/A</v>
      </c>
      <c r="I76" s="498" t="e">
        <f t="shared" ca="1" si="12"/>
        <v>#N/A</v>
      </c>
      <c r="J76" s="498" t="e">
        <f t="shared" ca="1" si="12"/>
        <v>#N/A</v>
      </c>
      <c r="K76" s="498" t="e">
        <f t="shared" ca="1" si="12"/>
        <v>#N/A</v>
      </c>
      <c r="L76" s="498" t="e">
        <f t="shared" ca="1" si="12"/>
        <v>#N/A</v>
      </c>
      <c r="M76" s="498" t="e">
        <f t="shared" ca="1" si="12"/>
        <v>#N/A</v>
      </c>
      <c r="N76" s="498" t="e">
        <f t="shared" ca="1" si="12"/>
        <v>#N/A</v>
      </c>
      <c r="O76" s="498" t="e">
        <f t="shared" ca="1" si="12"/>
        <v>#N/A</v>
      </c>
      <c r="P76" s="498" t="e">
        <f t="shared" ref="P76:R76" ca="1" si="13">+INDEX(15:15,1,MATCH(P$75,9:9,0))</f>
        <v>#N/A</v>
      </c>
      <c r="Q76" s="498" t="e">
        <f t="shared" ca="1" si="13"/>
        <v>#N/A</v>
      </c>
      <c r="R76" s="498" t="e">
        <f t="shared" ca="1" si="13"/>
        <v>#N/A</v>
      </c>
    </row>
    <row r="79" spans="1:21">
      <c r="A79" s="501"/>
      <c r="B79" s="502" t="s">
        <v>451</v>
      </c>
      <c r="C79" s="503"/>
    </row>
    <row r="80" spans="1:21">
      <c r="A80" s="501" t="s">
        <v>452</v>
      </c>
      <c r="B80" s="504">
        <f t="array" aca="1" ref="B80:C84" ca="1">+LINEST(
OFFSET($B76,0,0,1,SUM($B70:$R70)),
OFFSET($B75,0,0,1,SUM($B70:$R70)),
,
1)</f>
        <v>-41.199999999999989</v>
      </c>
      <c r="C80" s="504">
        <f ca="1"/>
        <v>84444.799999999974</v>
      </c>
      <c r="D80" s="470" t="s">
        <v>453</v>
      </c>
    </row>
    <row r="81" spans="1:4">
      <c r="A81" s="501" t="s">
        <v>454</v>
      </c>
      <c r="B81" s="504">
        <f ca="1"/>
        <v>17.666918237202548</v>
      </c>
      <c r="C81" s="504">
        <f ca="1"/>
        <v>35581.182101779581</v>
      </c>
      <c r="D81" s="470" t="s">
        <v>455</v>
      </c>
    </row>
    <row r="82" spans="1:4">
      <c r="A82" s="501" t="s">
        <v>456</v>
      </c>
      <c r="B82" s="504">
        <f ca="1"/>
        <v>0.64448325613182478</v>
      </c>
      <c r="C82" s="504">
        <f ca="1"/>
        <v>55.867700865526935</v>
      </c>
      <c r="D82" s="470" t="s">
        <v>457</v>
      </c>
    </row>
    <row r="83" spans="1:4">
      <c r="A83" s="505" t="s">
        <v>458</v>
      </c>
      <c r="B83" s="504">
        <f ca="1"/>
        <v>5.4384211200820216</v>
      </c>
      <c r="C83" s="504">
        <f ca="1"/>
        <v>3</v>
      </c>
      <c r="D83" s="470" t="s">
        <v>459</v>
      </c>
    </row>
    <row r="84" spans="1:4">
      <c r="A84" s="505" t="s">
        <v>460</v>
      </c>
      <c r="B84" s="504">
        <f ca="1"/>
        <v>16974.400000000001</v>
      </c>
      <c r="C84" s="504">
        <f ca="1"/>
        <v>9363.5999999999985</v>
      </c>
      <c r="D84" s="470" t="s">
        <v>461</v>
      </c>
    </row>
    <row r="85" spans="1:4">
      <c r="A85" s="501"/>
    </row>
    <row r="86" spans="1:4">
      <c r="A86" s="501"/>
    </row>
    <row r="87" spans="1:4">
      <c r="A87" s="501" t="s">
        <v>462</v>
      </c>
      <c r="B87" s="470">
        <f ca="1">+B80/B81</f>
        <v>-2.3320422637855467</v>
      </c>
    </row>
    <row r="88" spans="1:4">
      <c r="A88" s="505" t="s">
        <v>463</v>
      </c>
      <c r="B88" s="506" t="e">
        <f ca="1">+TDIST(B87,C83,2)</f>
        <v>#NUM!</v>
      </c>
    </row>
  </sheetData>
  <conditionalFormatting sqref="B15:H15 J15:R15">
    <cfRule type="expression" dxfId="17" priority="2">
      <formula>B$70=1</formula>
    </cfRule>
  </conditionalFormatting>
  <conditionalFormatting sqref="B15:I15">
    <cfRule type="expression" dxfId="16"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U88"/>
  <sheetViews>
    <sheetView showGridLines="0" zoomScale="70" zoomScaleNormal="70" zoomScaleSheetLayoutView="55" workbookViewId="0"/>
  </sheetViews>
  <sheetFormatPr defaultRowHeight="12.75"/>
  <cols>
    <col min="1" max="1" width="36.5703125" style="470" customWidth="1"/>
    <col min="2" max="16" width="11.28515625" style="470" customWidth="1"/>
    <col min="17" max="17" width="11.28515625" style="719" customWidth="1"/>
    <col min="18" max="18" width="11.28515625" style="470" customWidth="1"/>
    <col min="19" max="21" width="9.140625" style="473"/>
    <col min="22" max="16384" width="9.140625" style="470"/>
  </cols>
  <sheetData>
    <row r="1" spans="1:21" s="472" customFormat="1" ht="15.75">
      <c r="A1" s="656" t="s">
        <v>540</v>
      </c>
      <c r="S1" s="590"/>
      <c r="T1" s="590"/>
      <c r="U1" s="590"/>
    </row>
    <row r="2" spans="1:21" s="472" customFormat="1" ht="15.75">
      <c r="A2" s="338" t="s">
        <v>495</v>
      </c>
      <c r="S2" s="590"/>
      <c r="T2" s="590"/>
      <c r="U2" s="590"/>
    </row>
    <row r="3" spans="1:21" s="472" customFormat="1" ht="15.75">
      <c r="A3" s="338"/>
      <c r="S3" s="590"/>
      <c r="T3" s="590"/>
      <c r="U3" s="590"/>
    </row>
    <row r="4" spans="1:21" s="472" customFormat="1" ht="15.75">
      <c r="A4" s="589" t="s">
        <v>438</v>
      </c>
      <c r="B4" s="587" t="s">
        <v>475</v>
      </c>
      <c r="C4" s="587"/>
      <c r="D4" s="587"/>
      <c r="E4" s="587"/>
      <c r="F4" s="587"/>
      <c r="G4" s="587"/>
      <c r="H4" s="587"/>
      <c r="I4" s="587"/>
      <c r="S4" s="590"/>
      <c r="T4" s="590"/>
      <c r="U4" s="590"/>
    </row>
    <row r="5" spans="1:21" s="472" customFormat="1" ht="15">
      <c r="A5" s="588"/>
      <c r="S5" s="590"/>
      <c r="T5" s="590"/>
      <c r="U5" s="590"/>
    </row>
    <row r="6" spans="1:21" s="472" customFormat="1" ht="15">
      <c r="A6" s="592" t="s">
        <v>505</v>
      </c>
      <c r="S6" s="590"/>
      <c r="T6" s="590"/>
      <c r="U6" s="590"/>
    </row>
    <row r="8" spans="1:21">
      <c r="A8" s="474"/>
      <c r="B8" s="475"/>
      <c r="C8" s="475"/>
      <c r="D8" s="475"/>
      <c r="E8" s="475"/>
      <c r="F8" s="475"/>
      <c r="G8" s="475"/>
      <c r="H8" s="475"/>
      <c r="I8" s="475"/>
      <c r="J8" s="476"/>
      <c r="K8" s="476"/>
      <c r="L8" s="476"/>
      <c r="M8" s="476"/>
      <c r="N8" s="477"/>
      <c r="O8" s="477"/>
      <c r="P8" s="478"/>
      <c r="Q8" s="478"/>
      <c r="R8" s="477"/>
    </row>
    <row r="9" spans="1:21">
      <c r="B9" s="479">
        <f t="shared" ref="B9:H9" si="0">+C9-1</f>
        <v>2000</v>
      </c>
      <c r="C9" s="479">
        <f t="shared" si="0"/>
        <v>2001</v>
      </c>
      <c r="D9" s="479">
        <f t="shared" si="0"/>
        <v>2002</v>
      </c>
      <c r="E9" s="479">
        <f t="shared" si="0"/>
        <v>2003</v>
      </c>
      <c r="F9" s="479">
        <f t="shared" si="0"/>
        <v>2004</v>
      </c>
      <c r="G9" s="479">
        <f t="shared" si="0"/>
        <v>2005</v>
      </c>
      <c r="H9" s="479">
        <f t="shared" si="0"/>
        <v>2006</v>
      </c>
      <c r="I9" s="479">
        <f>+J9-1</f>
        <v>2007</v>
      </c>
      <c r="J9" s="479">
        <v>2008</v>
      </c>
      <c r="K9" s="480">
        <v>2009</v>
      </c>
      <c r="L9" s="480">
        <v>2010</v>
      </c>
      <c r="M9" s="480">
        <v>2011</v>
      </c>
      <c r="N9" s="480">
        <v>2012</v>
      </c>
      <c r="O9" s="480">
        <v>2013</v>
      </c>
      <c r="P9" s="480">
        <v>2014</v>
      </c>
      <c r="Q9" s="480">
        <v>2015</v>
      </c>
      <c r="R9" s="480">
        <v>2016</v>
      </c>
    </row>
    <row r="10" spans="1:21" ht="8.25" customHeight="1">
      <c r="B10" s="481" t="s">
        <v>439</v>
      </c>
      <c r="C10" s="481" t="s">
        <v>439</v>
      </c>
      <c r="D10" s="481" t="s">
        <v>439</v>
      </c>
      <c r="E10" s="481" t="s">
        <v>439</v>
      </c>
      <c r="F10" s="481" t="s">
        <v>439</v>
      </c>
      <c r="G10" s="481" t="s">
        <v>439</v>
      </c>
      <c r="H10" s="481" t="s">
        <v>439</v>
      </c>
      <c r="I10" s="481" t="s">
        <v>439</v>
      </c>
      <c r="J10" s="481" t="s">
        <v>439</v>
      </c>
      <c r="K10" s="481" t="s">
        <v>439</v>
      </c>
      <c r="L10" s="481" t="s">
        <v>439</v>
      </c>
      <c r="M10" s="481" t="s">
        <v>439</v>
      </c>
      <c r="N10" s="481" t="s">
        <v>439</v>
      </c>
      <c r="O10" s="481" t="s">
        <v>439</v>
      </c>
      <c r="P10" s="481" t="s">
        <v>439</v>
      </c>
      <c r="Q10" s="481" t="s">
        <v>439</v>
      </c>
      <c r="R10" s="481" t="s">
        <v>439</v>
      </c>
    </row>
    <row r="11" spans="1:21">
      <c r="A11" s="482" t="str">
        <f>+'Cost Trends'!B98</f>
        <v>Adminisrtative and General</v>
      </c>
      <c r="B11" s="97">
        <f>+'Cost Trends'!F98</f>
        <v>30350</v>
      </c>
      <c r="C11" s="97">
        <f>+'Cost Trends'!G98</f>
        <v>25102</v>
      </c>
      <c r="D11" s="97">
        <f>+'Cost Trends'!H98</f>
        <v>30304</v>
      </c>
      <c r="E11" s="97">
        <f>+'Cost Trends'!I98</f>
        <v>30153</v>
      </c>
      <c r="F11" s="97">
        <f>+'Cost Trends'!J98</f>
        <v>31927</v>
      </c>
      <c r="G11" s="97">
        <f>+'Cost Trends'!K98</f>
        <v>33143</v>
      </c>
      <c r="H11" s="97">
        <f>+'Cost Trends'!L98</f>
        <v>33148</v>
      </c>
      <c r="I11" s="97">
        <f>+'Cost Trends'!M98</f>
        <v>35844</v>
      </c>
      <c r="J11" s="97">
        <f>+'Cost Trends'!N98</f>
        <v>35982</v>
      </c>
      <c r="K11" s="97">
        <f>+'Cost Trends'!O98</f>
        <v>38461</v>
      </c>
      <c r="L11" s="97">
        <f>+'Cost Trends'!P98</f>
        <v>44662</v>
      </c>
      <c r="M11" s="97">
        <f>+'Cost Trends'!Q98</f>
        <v>44779.252</v>
      </c>
      <c r="N11" s="97">
        <f>+'Cost Trends'!R98</f>
        <v>49333.396000000001</v>
      </c>
      <c r="O11" s="97">
        <f>+'Cost Trends'!S98</f>
        <v>43310</v>
      </c>
      <c r="P11" s="97">
        <f>+'Cost Trends'!T98</f>
        <v>46210</v>
      </c>
      <c r="Q11" s="97">
        <f>+'Cost Trends'!U98</f>
        <v>49942</v>
      </c>
      <c r="R11" s="97">
        <f>+'Cost Trends'!V98</f>
        <v>48989</v>
      </c>
    </row>
    <row r="12" spans="1:21">
      <c r="A12" s="470" t="s">
        <v>474</v>
      </c>
      <c r="B12" s="97">
        <f>+DSM!I39</f>
        <v>-7.2260355551171482</v>
      </c>
      <c r="C12" s="97">
        <f>+DSM!J39</f>
        <v>-10.649115424532212</v>
      </c>
      <c r="D12" s="97">
        <f>+DSM!K39</f>
        <v>-12.726889226323086</v>
      </c>
      <c r="E12" s="97">
        <f>+DSM!L39</f>
        <v>-12.865407479775811</v>
      </c>
      <c r="F12" s="97">
        <f>+DSM!M39</f>
        <v>-14.160343273417194</v>
      </c>
      <c r="G12" s="97">
        <f>+DSM!N39</f>
        <v>-13.837294524133601</v>
      </c>
      <c r="H12" s="97">
        <f>+DSM!O39</f>
        <v>-13.778661920217779</v>
      </c>
      <c r="I12" s="97">
        <f>+DSM!P39</f>
        <v>-13.960841796670506</v>
      </c>
      <c r="J12" s="97">
        <f>+DSM!Q39</f>
        <v>-25.320908805360698</v>
      </c>
      <c r="K12" s="97">
        <f>+DSM!R39</f>
        <v>-39.535127211810284</v>
      </c>
      <c r="L12" s="97">
        <f>+DSM!S39</f>
        <v>-40.797822217568843</v>
      </c>
      <c r="M12" s="97">
        <f>+DSM!T39</f>
        <v>-42.094021568422157</v>
      </c>
      <c r="N12" s="97">
        <f>+DSM!U39</f>
        <v>-35.401528635744953</v>
      </c>
      <c r="O12" s="97">
        <f>+DSM!V35</f>
        <v>0</v>
      </c>
      <c r="P12" s="97">
        <f>+DSM!W35</f>
        <v>0</v>
      </c>
      <c r="Q12" s="97">
        <f>+DSM!X35</f>
        <v>0</v>
      </c>
      <c r="R12" s="97">
        <f>+DSM!Y35</f>
        <v>0</v>
      </c>
    </row>
    <row r="13" spans="1:21">
      <c r="A13" s="470" t="s">
        <v>476</v>
      </c>
      <c r="B13" s="97">
        <f>+ResX!I39</f>
        <v>34.931785007078076</v>
      </c>
      <c r="C13" s="97">
        <f>+ResX!J39</f>
        <v>2.9718461649857337</v>
      </c>
      <c r="D13" s="97">
        <f>+ResX!K39</f>
        <v>15.765895756619232</v>
      </c>
      <c r="E13" s="97">
        <f>+ResX!L39</f>
        <v>13.304048615709441</v>
      </c>
      <c r="F13" s="97">
        <f>+ResX!M39</f>
        <v>15.027131738204698</v>
      </c>
      <c r="G13" s="97">
        <f>+ResX!N39</f>
        <v>19.658674484347191</v>
      </c>
      <c r="H13" s="97">
        <f>+ResX!O39</f>
        <v>21.537011831221861</v>
      </c>
      <c r="I13" s="97">
        <f>+ResX!P39</f>
        <v>11.688828394932468</v>
      </c>
      <c r="J13" s="97">
        <f>+ResX!Q39</f>
        <v>7.4882211286776261</v>
      </c>
      <c r="K13" s="97">
        <f>+ResX!R39</f>
        <v>8.3865563815307311</v>
      </c>
      <c r="L13" s="97">
        <f>+ResX!S39</f>
        <v>13.075070673227934</v>
      </c>
      <c r="M13" s="97">
        <f>+ResX!T39</f>
        <v>9.6534394304261326</v>
      </c>
      <c r="N13" s="97">
        <f>+ResX!U39</f>
        <v>17.436917600251284</v>
      </c>
      <c r="O13" s="97">
        <f>+ResX!V39</f>
        <v>0</v>
      </c>
      <c r="P13" s="97">
        <f>+ResX!W39</f>
        <v>0</v>
      </c>
      <c r="Q13" s="97">
        <f>+ResX!X39</f>
        <v>0</v>
      </c>
      <c r="R13" s="97">
        <f>+ResX!Y39</f>
        <v>0</v>
      </c>
    </row>
    <row r="14" spans="1:21" ht="8.25" customHeight="1">
      <c r="B14" s="481" t="s">
        <v>439</v>
      </c>
      <c r="C14" s="481" t="s">
        <v>439</v>
      </c>
      <c r="D14" s="481" t="s">
        <v>439</v>
      </c>
      <c r="E14" s="481" t="s">
        <v>439</v>
      </c>
      <c r="F14" s="481" t="s">
        <v>439</v>
      </c>
      <c r="G14" s="481" t="s">
        <v>439</v>
      </c>
      <c r="H14" s="481" t="s">
        <v>439</v>
      </c>
      <c r="I14" s="481" t="s">
        <v>439</v>
      </c>
      <c r="J14" s="481" t="s">
        <v>439</v>
      </c>
      <c r="K14" s="481" t="s">
        <v>439</v>
      </c>
      <c r="L14" s="481" t="s">
        <v>439</v>
      </c>
      <c r="M14" s="481" t="s">
        <v>439</v>
      </c>
      <c r="N14" s="481" t="s">
        <v>439</v>
      </c>
      <c r="O14" s="481" t="s">
        <v>439</v>
      </c>
      <c r="P14" s="481" t="s">
        <v>439</v>
      </c>
      <c r="Q14" s="481" t="s">
        <v>439</v>
      </c>
      <c r="R14" s="481" t="s">
        <v>439</v>
      </c>
    </row>
    <row r="15" spans="1:21" ht="26.25" customHeight="1">
      <c r="A15" s="483" t="str">
        <f>+"Total "&amp;B4</f>
        <v>Total Administrative &amp; General Operations Expense</v>
      </c>
      <c r="B15" s="484">
        <f t="shared" ref="B15:O15" si="1">+SUM(B10:B14)</f>
        <v>30377.705749451958</v>
      </c>
      <c r="C15" s="484">
        <f t="shared" si="1"/>
        <v>25094.322730740456</v>
      </c>
      <c r="D15" s="484">
        <f t="shared" si="1"/>
        <v>30307.039006530296</v>
      </c>
      <c r="E15" s="484">
        <f t="shared" si="1"/>
        <v>30153.438641135934</v>
      </c>
      <c r="F15" s="484">
        <f t="shared" si="1"/>
        <v>31927.866788464788</v>
      </c>
      <c r="G15" s="484">
        <f t="shared" si="1"/>
        <v>33148.821379960209</v>
      </c>
      <c r="H15" s="484">
        <f t="shared" si="1"/>
        <v>33155.758349911004</v>
      </c>
      <c r="I15" s="484">
        <f t="shared" si="1"/>
        <v>35841.727986598256</v>
      </c>
      <c r="J15" s="484">
        <f t="shared" si="1"/>
        <v>35964.167312323312</v>
      </c>
      <c r="K15" s="484">
        <f t="shared" si="1"/>
        <v>38429.851429169721</v>
      </c>
      <c r="L15" s="484">
        <f t="shared" si="1"/>
        <v>44634.277248455663</v>
      </c>
      <c r="M15" s="484">
        <f t="shared" si="1"/>
        <v>44746.811417862002</v>
      </c>
      <c r="N15" s="484">
        <f t="shared" si="1"/>
        <v>49315.431388964505</v>
      </c>
      <c r="O15" s="484">
        <f t="shared" si="1"/>
        <v>43310</v>
      </c>
      <c r="P15" s="484">
        <f t="shared" ref="P15:R15" si="2">+SUM(P10:P14)</f>
        <v>46210</v>
      </c>
      <c r="Q15" s="484">
        <f t="shared" si="2"/>
        <v>49942</v>
      </c>
      <c r="R15" s="484">
        <f t="shared" si="2"/>
        <v>48989</v>
      </c>
    </row>
    <row r="16" spans="1:21">
      <c r="P16" s="327"/>
      <c r="Q16" s="327"/>
    </row>
    <row r="17" spans="1:20">
      <c r="P17" s="327"/>
      <c r="Q17" s="327"/>
    </row>
    <row r="18" spans="1:20">
      <c r="A18" s="485" t="s">
        <v>442</v>
      </c>
      <c r="B18" s="486"/>
      <c r="C18" s="487"/>
      <c r="D18" s="485" t="s">
        <v>504</v>
      </c>
      <c r="E18" s="485"/>
      <c r="F18" s="486"/>
      <c r="G18" s="486"/>
      <c r="H18" s="486"/>
      <c r="I18" s="486"/>
      <c r="J18" s="486"/>
      <c r="K18" s="486"/>
      <c r="L18" s="486"/>
      <c r="M18" s="486"/>
      <c r="N18" s="486"/>
      <c r="O18" s="486"/>
      <c r="P18" s="488"/>
      <c r="Q18" s="488"/>
      <c r="R18" s="486"/>
    </row>
    <row r="19" spans="1:20" ht="19.5" customHeight="1">
      <c r="A19" s="473"/>
      <c r="B19" s="489"/>
      <c r="C19" s="489"/>
      <c r="D19" s="489"/>
      <c r="E19" s="489"/>
      <c r="F19" s="489"/>
      <c r="G19" s="489"/>
      <c r="H19" s="489"/>
      <c r="I19" s="489"/>
    </row>
    <row r="20" spans="1:20" ht="19.5" customHeight="1">
      <c r="A20" s="529" t="s">
        <v>502</v>
      </c>
      <c r="B20" s="490">
        <f ca="1">+LINEST(
OFFSET($B$76,0,0,1,SUM($B$70:$R$70)),
OFFSET($B$75,0,0,1,SUM($B$70:$R$70)),
,
1)</f>
        <v>726.75407249801799</v>
      </c>
      <c r="C20" s="489"/>
      <c r="D20" s="489"/>
      <c r="E20" s="489"/>
      <c r="F20" s="489"/>
      <c r="G20" s="489"/>
      <c r="H20" s="489"/>
      <c r="I20" s="489"/>
    </row>
    <row r="21" spans="1:20" ht="19.5" customHeight="1">
      <c r="A21" s="473" t="s">
        <v>503</v>
      </c>
      <c r="B21" s="489">
        <f ca="1">RSQ(
OFFSET($B$76,0,0,1,SUM($B$70:$R$70)),
OFFSET($B$75,0,0,1,SUM($B$70:$R$70))
)</f>
        <v>0.34882399603927955</v>
      </c>
      <c r="C21" s="490"/>
      <c r="D21" s="490"/>
      <c r="E21" s="490"/>
      <c r="F21" s="490"/>
      <c r="G21" s="490"/>
      <c r="H21" s="490"/>
      <c r="I21" s="490"/>
    </row>
    <row r="22" spans="1:20" ht="19.5" customHeight="1">
      <c r="A22" s="470" t="s">
        <v>443</v>
      </c>
      <c r="B22" s="491">
        <f ca="1">+B20/R15</f>
        <v>1.4835046081733002E-2</v>
      </c>
      <c r="C22" s="489"/>
      <c r="D22" s="489"/>
      <c r="E22" s="489"/>
      <c r="F22" s="489"/>
      <c r="G22" s="489"/>
      <c r="H22" s="489"/>
      <c r="I22" s="489"/>
    </row>
    <row r="23" spans="1:20" ht="19.5" customHeight="1">
      <c r="A23" s="327" t="str">
        <f>+'2) ROR'!$D$19&amp;"-year Growth Rate"</f>
        <v>1-year Growth Rate</v>
      </c>
      <c r="B23" s="530">
        <f ca="1">ROUND(B22*'2) ROR'!$D$19,4)</f>
        <v>1.4800000000000001E-2</v>
      </c>
      <c r="C23" s="491"/>
      <c r="D23" s="491"/>
      <c r="E23" s="491"/>
      <c r="F23" s="491"/>
      <c r="G23" s="491"/>
      <c r="H23" s="491"/>
      <c r="I23" s="491"/>
    </row>
    <row r="24" spans="1:20" ht="19.5" customHeight="1">
      <c r="C24" s="492"/>
      <c r="D24" s="492"/>
      <c r="E24" s="492"/>
      <c r="F24" s="492"/>
      <c r="G24" s="492"/>
      <c r="H24" s="492"/>
      <c r="I24" s="492"/>
      <c r="L24" s="362"/>
    </row>
    <row r="26" spans="1:20">
      <c r="S26" s="493"/>
      <c r="T26" s="493"/>
    </row>
    <row r="27" spans="1:20">
      <c r="S27" s="494"/>
      <c r="T27" s="494"/>
    </row>
    <row r="28" spans="1:20">
      <c r="S28" s="494"/>
      <c r="T28" s="494"/>
    </row>
    <row r="29" spans="1:20">
      <c r="S29" s="494"/>
      <c r="T29" s="494"/>
    </row>
    <row r="30" spans="1:20">
      <c r="S30" s="494"/>
      <c r="T30" s="494"/>
    </row>
    <row r="31" spans="1:20">
      <c r="S31" s="494"/>
      <c r="T31" s="494"/>
    </row>
    <row r="34" spans="19:21">
      <c r="S34" s="495"/>
      <c r="T34" s="495"/>
      <c r="U34" s="495"/>
    </row>
    <row r="35" spans="19:21">
      <c r="S35" s="494"/>
      <c r="T35" s="494"/>
      <c r="U35" s="494"/>
    </row>
    <row r="36" spans="19:21">
      <c r="S36" s="494"/>
      <c r="T36" s="494"/>
      <c r="U36" s="494"/>
    </row>
    <row r="37" spans="19:21">
      <c r="S37" s="494"/>
      <c r="T37" s="494"/>
      <c r="U37" s="494"/>
    </row>
    <row r="38" spans="19:21">
      <c r="S38" s="494"/>
      <c r="T38" s="494"/>
      <c r="U38" s="494"/>
    </row>
    <row r="39" spans="19:21">
      <c r="S39" s="494"/>
      <c r="T39" s="494"/>
      <c r="U39" s="494"/>
    </row>
    <row r="40" spans="19:21">
      <c r="S40" s="494"/>
      <c r="T40" s="494"/>
      <c r="U40" s="494"/>
    </row>
    <row r="41" spans="19:21">
      <c r="S41" s="494"/>
      <c r="T41" s="494"/>
      <c r="U41" s="494"/>
    </row>
    <row r="42" spans="19:21">
      <c r="S42" s="494"/>
      <c r="T42" s="494"/>
      <c r="U42" s="494"/>
    </row>
    <row r="43" spans="19:21">
      <c r="S43" s="494"/>
      <c r="T43" s="494"/>
      <c r="U43" s="494"/>
    </row>
    <row r="44" spans="19:21">
      <c r="S44" s="494"/>
      <c r="T44" s="494"/>
      <c r="U44" s="494"/>
    </row>
    <row r="45" spans="19:21">
      <c r="S45" s="494"/>
      <c r="T45" s="494"/>
      <c r="U45" s="494"/>
    </row>
    <row r="46" spans="19:21">
      <c r="S46" s="494"/>
      <c r="T46" s="494"/>
      <c r="U46" s="494"/>
    </row>
    <row r="47" spans="19:21">
      <c r="S47" s="494"/>
      <c r="T47" s="494"/>
      <c r="U47" s="494"/>
    </row>
    <row r="48" spans="19:21">
      <c r="S48" s="494"/>
      <c r="T48" s="494"/>
      <c r="U48" s="494"/>
    </row>
    <row r="49" spans="9:21">
      <c r="S49" s="494"/>
      <c r="T49" s="494"/>
      <c r="U49" s="494"/>
    </row>
    <row r="50" spans="9:21">
      <c r="S50" s="494"/>
      <c r="T50" s="494"/>
      <c r="U50" s="494"/>
    </row>
    <row r="51" spans="9:21">
      <c r="S51" s="494"/>
      <c r="T51" s="494"/>
      <c r="U51" s="494"/>
    </row>
    <row r="52" spans="9:21">
      <c r="S52" s="494"/>
      <c r="T52" s="494"/>
      <c r="U52" s="494"/>
    </row>
    <row r="53" spans="9:21">
      <c r="S53" s="494"/>
      <c r="T53" s="494"/>
      <c r="U53" s="494"/>
    </row>
    <row r="54" spans="9:21">
      <c r="S54" s="494"/>
      <c r="T54" s="494"/>
      <c r="U54" s="494"/>
    </row>
    <row r="55" spans="9:21">
      <c r="S55" s="494"/>
      <c r="T55" s="494"/>
      <c r="U55" s="494"/>
    </row>
    <row r="56" spans="9:21">
      <c r="S56" s="494"/>
      <c r="T56" s="494"/>
      <c r="U56" s="494"/>
    </row>
    <row r="57" spans="9:21">
      <c r="S57" s="494"/>
      <c r="T57" s="494"/>
      <c r="U57" s="494"/>
    </row>
    <row r="59" spans="9:21">
      <c r="S59" s="495"/>
      <c r="T59" s="495"/>
      <c r="U59" s="495"/>
    </row>
    <row r="60" spans="9:21">
      <c r="S60" s="494"/>
      <c r="T60" s="494"/>
      <c r="U60" s="494"/>
    </row>
    <row r="61" spans="9:21">
      <c r="I61" s="529"/>
      <c r="S61" s="494"/>
      <c r="T61" s="494"/>
      <c r="U61" s="494"/>
    </row>
    <row r="62" spans="9:21">
      <c r="I62" s="473"/>
    </row>
    <row r="67" spans="1:21">
      <c r="S67" s="495"/>
      <c r="T67" s="495"/>
      <c r="U67" s="495"/>
    </row>
    <row r="68" spans="1:21">
      <c r="A68" s="496" t="s">
        <v>444</v>
      </c>
      <c r="S68" s="494"/>
      <c r="T68" s="494"/>
      <c r="U68" s="494"/>
    </row>
    <row r="69" spans="1:21">
      <c r="A69" s="496" t="s">
        <v>445</v>
      </c>
      <c r="B69" s="496">
        <f t="shared" ref="B69:N69" si="3">+B9</f>
        <v>2000</v>
      </c>
      <c r="C69" s="496">
        <f t="shared" si="3"/>
        <v>2001</v>
      </c>
      <c r="D69" s="496">
        <f t="shared" si="3"/>
        <v>2002</v>
      </c>
      <c r="E69" s="496">
        <f t="shared" si="3"/>
        <v>2003</v>
      </c>
      <c r="F69" s="496">
        <f t="shared" si="3"/>
        <v>2004</v>
      </c>
      <c r="G69" s="496">
        <f t="shared" si="3"/>
        <v>2005</v>
      </c>
      <c r="H69" s="496">
        <f t="shared" si="3"/>
        <v>2006</v>
      </c>
      <c r="I69" s="496">
        <f t="shared" si="3"/>
        <v>2007</v>
      </c>
      <c r="J69" s="496">
        <f t="shared" si="3"/>
        <v>2008</v>
      </c>
      <c r="K69" s="496">
        <f t="shared" si="3"/>
        <v>2009</v>
      </c>
      <c r="L69" s="496">
        <f t="shared" si="3"/>
        <v>2010</v>
      </c>
      <c r="M69" s="496">
        <f t="shared" si="3"/>
        <v>2011</v>
      </c>
      <c r="N69" s="496">
        <f t="shared" si="3"/>
        <v>2012</v>
      </c>
      <c r="O69" s="496">
        <f t="shared" ref="O69:R69" si="4">+O9</f>
        <v>2013</v>
      </c>
      <c r="P69" s="496">
        <f t="shared" si="4"/>
        <v>2014</v>
      </c>
      <c r="Q69" s="496">
        <f t="shared" si="4"/>
        <v>2015</v>
      </c>
      <c r="R69" s="496">
        <f t="shared" si="4"/>
        <v>2016</v>
      </c>
    </row>
    <row r="70" spans="1:21">
      <c r="A70" s="497" t="s">
        <v>446</v>
      </c>
      <c r="B70" s="497"/>
      <c r="C70" s="497"/>
      <c r="D70" s="497"/>
      <c r="E70" s="497"/>
      <c r="F70" s="497"/>
      <c r="G70" s="497"/>
      <c r="H70" s="497"/>
      <c r="I70" s="497"/>
      <c r="J70" s="497"/>
      <c r="K70" s="497"/>
      <c r="L70" s="497">
        <v>1</v>
      </c>
      <c r="M70" s="497">
        <v>1</v>
      </c>
      <c r="N70" s="497">
        <v>1</v>
      </c>
      <c r="O70" s="497">
        <v>1</v>
      </c>
      <c r="P70" s="497">
        <v>1</v>
      </c>
      <c r="Q70" s="497">
        <v>1</v>
      </c>
      <c r="R70" s="497">
        <v>1</v>
      </c>
    </row>
    <row r="71" spans="1:21">
      <c r="A71" s="490"/>
      <c r="B71" s="490"/>
      <c r="C71" s="490"/>
      <c r="D71" s="490"/>
      <c r="E71" s="490"/>
      <c r="F71" s="490"/>
      <c r="G71" s="490"/>
      <c r="H71" s="490"/>
      <c r="I71" s="490"/>
      <c r="J71" s="490"/>
      <c r="K71" s="490"/>
      <c r="L71" s="490"/>
      <c r="M71" s="490"/>
      <c r="N71" s="490"/>
      <c r="O71" s="490"/>
      <c r="P71" s="490"/>
      <c r="Q71" s="490"/>
      <c r="R71" s="490"/>
      <c r="S71" s="490"/>
      <c r="T71" s="490"/>
      <c r="U71" s="490"/>
    </row>
    <row r="72" spans="1:21">
      <c r="A72" s="490"/>
      <c r="B72" s="490"/>
      <c r="C72" s="490"/>
      <c r="D72" s="490"/>
      <c r="E72" s="490"/>
      <c r="F72" s="490"/>
      <c r="G72" s="490"/>
      <c r="H72" s="490"/>
      <c r="I72" s="490"/>
      <c r="J72" s="490"/>
      <c r="K72" s="490"/>
      <c r="L72" s="490"/>
      <c r="M72" s="490"/>
      <c r="N72" s="490"/>
      <c r="O72" s="490"/>
      <c r="P72" s="490"/>
      <c r="Q72" s="490"/>
      <c r="R72" s="490"/>
      <c r="S72" s="490"/>
      <c r="T72" s="490"/>
      <c r="U72" s="490"/>
    </row>
    <row r="73" spans="1:21">
      <c r="A73" s="498" t="s">
        <v>447</v>
      </c>
      <c r="B73" s="499">
        <f>+SUM($B70:B$70)</f>
        <v>0</v>
      </c>
      <c r="C73" s="499">
        <f>+SUM($B70:C$70)</f>
        <v>0</v>
      </c>
      <c r="D73" s="499">
        <f>+SUM($B70:D$70)</f>
        <v>0</v>
      </c>
      <c r="E73" s="499">
        <f>+SUM($B70:E$70)</f>
        <v>0</v>
      </c>
      <c r="F73" s="499">
        <f>+SUM($B70:F$70)</f>
        <v>0</v>
      </c>
      <c r="G73" s="499">
        <f>+SUM($B70:G$70)</f>
        <v>0</v>
      </c>
      <c r="H73" s="499">
        <f>+SUM($B70:H$70)</f>
        <v>0</v>
      </c>
      <c r="I73" s="499">
        <f>+SUM($B70:I$70)</f>
        <v>0</v>
      </c>
      <c r="J73" s="499">
        <f>+SUM($B70:J$70)</f>
        <v>0</v>
      </c>
      <c r="K73" s="499">
        <f>+SUM($B70:K$70)</f>
        <v>0</v>
      </c>
      <c r="L73" s="499">
        <f>+SUM($B70:L$70)</f>
        <v>1</v>
      </c>
      <c r="M73" s="499">
        <f>+SUM($B70:M$70)</f>
        <v>2</v>
      </c>
      <c r="N73" s="499">
        <f>+SUM($B70:N$70)</f>
        <v>3</v>
      </c>
      <c r="O73" s="499">
        <f>+SUM($B70:O$70)</f>
        <v>4</v>
      </c>
      <c r="P73" s="499">
        <f>+SUM($B70:P$70)</f>
        <v>5</v>
      </c>
      <c r="Q73" s="499">
        <f>+SUM($B70:Q$70)</f>
        <v>6</v>
      </c>
      <c r="R73" s="499">
        <f>+SUM($B70:R$70)</f>
        <v>7</v>
      </c>
      <c r="S73" s="490"/>
      <c r="T73" s="490"/>
      <c r="U73" s="490"/>
    </row>
    <row r="74" spans="1:21">
      <c r="A74" s="498" t="s">
        <v>448</v>
      </c>
      <c r="B74" s="500">
        <v>1</v>
      </c>
      <c r="C74" s="500">
        <f t="shared" ref="C74:K74" si="5">+B74+1</f>
        <v>2</v>
      </c>
      <c r="D74" s="500">
        <f t="shared" si="5"/>
        <v>3</v>
      </c>
      <c r="E74" s="500">
        <f t="shared" si="5"/>
        <v>4</v>
      </c>
      <c r="F74" s="500">
        <f t="shared" si="5"/>
        <v>5</v>
      </c>
      <c r="G74" s="500">
        <f t="shared" si="5"/>
        <v>6</v>
      </c>
      <c r="H74" s="500">
        <f t="shared" si="5"/>
        <v>7</v>
      </c>
      <c r="I74" s="500">
        <f t="shared" si="5"/>
        <v>8</v>
      </c>
      <c r="J74" s="500">
        <f t="shared" si="5"/>
        <v>9</v>
      </c>
      <c r="K74" s="500">
        <f t="shared" si="5"/>
        <v>10</v>
      </c>
      <c r="L74" s="500">
        <f>+K74+1</f>
        <v>11</v>
      </c>
      <c r="M74" s="500">
        <f t="shared" ref="M74:N74" si="6">+L74+1</f>
        <v>12</v>
      </c>
      <c r="N74" s="500">
        <f t="shared" si="6"/>
        <v>13</v>
      </c>
      <c r="O74" s="500">
        <f t="shared" ref="O74" si="7">+N74+1</f>
        <v>14</v>
      </c>
      <c r="P74" s="500">
        <f t="shared" ref="P74" si="8">+O74+1</f>
        <v>15</v>
      </c>
      <c r="Q74" s="500">
        <f t="shared" ref="Q74" si="9">+P74+1</f>
        <v>16</v>
      </c>
      <c r="R74" s="500">
        <f t="shared" ref="R74" si="10">+Q74+1</f>
        <v>17</v>
      </c>
    </row>
    <row r="75" spans="1:21">
      <c r="A75" s="498" t="s">
        <v>449</v>
      </c>
      <c r="B75" s="500">
        <f t="shared" ref="B75:N75" ca="1" si="11">+OFFSET($A$69,0,MATCH(B$74,$B$73:$R$73,0))</f>
        <v>2010</v>
      </c>
      <c r="C75" s="500">
        <f t="shared" ca="1" si="11"/>
        <v>2011</v>
      </c>
      <c r="D75" s="500">
        <f t="shared" ca="1" si="11"/>
        <v>2012</v>
      </c>
      <c r="E75" s="500">
        <f t="shared" ca="1" si="11"/>
        <v>2013</v>
      </c>
      <c r="F75" s="500">
        <f t="shared" ca="1" si="11"/>
        <v>2014</v>
      </c>
      <c r="G75" s="500">
        <f t="shared" ca="1" si="11"/>
        <v>2015</v>
      </c>
      <c r="H75" s="500">
        <f t="shared" ca="1" si="11"/>
        <v>2016</v>
      </c>
      <c r="I75" s="500" t="e">
        <f t="shared" ca="1" si="11"/>
        <v>#N/A</v>
      </c>
      <c r="J75" s="500" t="e">
        <f t="shared" ca="1" si="11"/>
        <v>#N/A</v>
      </c>
      <c r="K75" s="500" t="e">
        <f t="shared" ca="1" si="11"/>
        <v>#N/A</v>
      </c>
      <c r="L75" s="500" t="e">
        <f t="shared" ca="1" si="11"/>
        <v>#N/A</v>
      </c>
      <c r="M75" s="500" t="e">
        <f t="shared" ca="1" si="11"/>
        <v>#N/A</v>
      </c>
      <c r="N75" s="500" t="e">
        <f t="shared" ca="1" si="11"/>
        <v>#N/A</v>
      </c>
      <c r="O75" s="500" t="e">
        <f t="shared" ref="O75:R75" ca="1" si="12">+OFFSET($A$69,0,MATCH(O$74,$B$73:$R$73,0))</f>
        <v>#N/A</v>
      </c>
      <c r="P75" s="500" t="e">
        <f t="shared" ca="1" si="12"/>
        <v>#N/A</v>
      </c>
      <c r="Q75" s="500" t="e">
        <f t="shared" ca="1" si="12"/>
        <v>#N/A</v>
      </c>
      <c r="R75" s="500" t="e">
        <f t="shared" ca="1" si="12"/>
        <v>#N/A</v>
      </c>
    </row>
    <row r="76" spans="1:21">
      <c r="A76" s="498" t="s">
        <v>450</v>
      </c>
      <c r="B76" s="498">
        <f t="shared" ref="B76:N76" ca="1" si="13">+INDEX(15:15,1,MATCH(B$75,9:9,0))</f>
        <v>44634.277248455663</v>
      </c>
      <c r="C76" s="498">
        <f t="shared" ca="1" si="13"/>
        <v>44746.811417862002</v>
      </c>
      <c r="D76" s="498">
        <f t="shared" ca="1" si="13"/>
        <v>49315.431388964505</v>
      </c>
      <c r="E76" s="498">
        <f t="shared" ca="1" si="13"/>
        <v>43310</v>
      </c>
      <c r="F76" s="498">
        <f t="shared" ca="1" si="13"/>
        <v>46210</v>
      </c>
      <c r="G76" s="498">
        <f t="shared" ca="1" si="13"/>
        <v>49942</v>
      </c>
      <c r="H76" s="498">
        <f t="shared" ca="1" si="13"/>
        <v>48989</v>
      </c>
      <c r="I76" s="498" t="e">
        <f t="shared" ca="1" si="13"/>
        <v>#N/A</v>
      </c>
      <c r="J76" s="498" t="e">
        <f t="shared" ca="1" si="13"/>
        <v>#N/A</v>
      </c>
      <c r="K76" s="498" t="e">
        <f t="shared" ca="1" si="13"/>
        <v>#N/A</v>
      </c>
      <c r="L76" s="498" t="e">
        <f t="shared" ca="1" si="13"/>
        <v>#N/A</v>
      </c>
      <c r="M76" s="498" t="e">
        <f t="shared" ca="1" si="13"/>
        <v>#N/A</v>
      </c>
      <c r="N76" s="498" t="e">
        <f t="shared" ca="1" si="13"/>
        <v>#N/A</v>
      </c>
      <c r="O76" s="498" t="e">
        <f t="shared" ref="O76:R76" ca="1" si="14">+INDEX(15:15,1,MATCH(O$75,9:9,0))</f>
        <v>#N/A</v>
      </c>
      <c r="P76" s="498" t="e">
        <f t="shared" ca="1" si="14"/>
        <v>#N/A</v>
      </c>
      <c r="Q76" s="498" t="e">
        <f t="shared" ca="1" si="14"/>
        <v>#N/A</v>
      </c>
      <c r="R76" s="498" t="e">
        <f t="shared" ca="1" si="14"/>
        <v>#N/A</v>
      </c>
    </row>
    <row r="79" spans="1:21">
      <c r="A79" s="501"/>
      <c r="B79" s="502" t="s">
        <v>451</v>
      </c>
      <c r="C79" s="503"/>
    </row>
    <row r="80" spans="1:21">
      <c r="A80" s="501" t="s">
        <v>452</v>
      </c>
      <c r="B80" s="504">
        <f t="array" aca="1" ref="B80:C84" ca="1">+LINEST(
OFFSET($B76,0,0,1,SUM($B70:$R70)),
OFFSET($B75,0,0,1,SUM($B70:$R70)),
,
1)</f>
        <v>726.75407249801799</v>
      </c>
      <c r="C80" s="504">
        <f ca="1"/>
        <v>-1416220.5879306127</v>
      </c>
      <c r="D80" s="470" t="s">
        <v>453</v>
      </c>
    </row>
    <row r="81" spans="1:4">
      <c r="A81" s="501" t="s">
        <v>454</v>
      </c>
      <c r="B81" s="504">
        <f ca="1"/>
        <v>444.06698875221736</v>
      </c>
      <c r="C81" s="504">
        <f ca="1"/>
        <v>893907.28955729876</v>
      </c>
      <c r="D81" s="470" t="s">
        <v>455</v>
      </c>
    </row>
    <row r="82" spans="1:4">
      <c r="A82" s="501" t="s">
        <v>456</v>
      </c>
      <c r="B82" s="504">
        <f ca="1"/>
        <v>0.34882399603927944</v>
      </c>
      <c r="C82" s="504">
        <f ca="1"/>
        <v>2349.7816353833678</v>
      </c>
      <c r="D82" s="470" t="s">
        <v>457</v>
      </c>
    </row>
    <row r="83" spans="1:4">
      <c r="A83" s="505" t="s">
        <v>458</v>
      </c>
      <c r="B83" s="504">
        <f ca="1"/>
        <v>2.6784156197217674</v>
      </c>
      <c r="C83" s="504">
        <f ca="1"/>
        <v>5</v>
      </c>
      <c r="D83" s="470" t="s">
        <v>459</v>
      </c>
    </row>
    <row r="84" spans="1:4">
      <c r="A84" s="505" t="s">
        <v>460</v>
      </c>
      <c r="B84" s="504">
        <f ca="1"/>
        <v>14788801.492988721</v>
      </c>
      <c r="C84" s="504">
        <f ca="1"/>
        <v>27607368.669924676</v>
      </c>
      <c r="D84" s="470" t="s">
        <v>461</v>
      </c>
    </row>
    <row r="85" spans="1:4">
      <c r="A85" s="501"/>
    </row>
    <row r="86" spans="1:4">
      <c r="A86" s="501"/>
    </row>
    <row r="87" spans="1:4">
      <c r="A87" s="501" t="s">
        <v>462</v>
      </c>
      <c r="B87" s="470">
        <f ca="1">+B80/B81</f>
        <v>1.6365865756878761</v>
      </c>
    </row>
    <row r="88" spans="1:4">
      <c r="A88" s="505" t="s">
        <v>463</v>
      </c>
      <c r="B88" s="506">
        <f ca="1">+TDIST(B87,C83,2)</f>
        <v>0.16264365696115371</v>
      </c>
    </row>
  </sheetData>
  <conditionalFormatting sqref="B15:H15 J15:R15">
    <cfRule type="expression" dxfId="15" priority="2">
      <formula>B$70=1</formula>
    </cfRule>
  </conditionalFormatting>
  <conditionalFormatting sqref="B15:I15">
    <cfRule type="expression" dxfId="14"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88"/>
  <sheetViews>
    <sheetView showGridLines="0" zoomScale="70" zoomScaleNormal="70" zoomScaleSheetLayoutView="100" workbookViewId="0"/>
  </sheetViews>
  <sheetFormatPr defaultRowHeight="12.75"/>
  <cols>
    <col min="1" max="1" width="36.5703125" style="470" customWidth="1"/>
    <col min="2" max="16" width="11.28515625" style="470" customWidth="1"/>
    <col min="17" max="17" width="11.28515625" style="719" customWidth="1"/>
    <col min="18" max="18" width="11.28515625" style="470" customWidth="1"/>
    <col min="19" max="21" width="9.140625" style="473"/>
    <col min="22" max="16384" width="9.140625" style="470"/>
  </cols>
  <sheetData>
    <row r="1" spans="1:21" s="472" customFormat="1" ht="15.75">
      <c r="A1" s="656" t="s">
        <v>540</v>
      </c>
      <c r="S1" s="590"/>
      <c r="T1" s="590"/>
      <c r="U1" s="590"/>
    </row>
    <row r="2" spans="1:21" s="472" customFormat="1" ht="15.75">
      <c r="A2" s="338" t="s">
        <v>495</v>
      </c>
      <c r="S2" s="590"/>
      <c r="T2" s="590"/>
      <c r="U2" s="590"/>
    </row>
    <row r="3" spans="1:21" s="472" customFormat="1" ht="15.75">
      <c r="A3" s="338"/>
      <c r="S3" s="590"/>
      <c r="T3" s="590"/>
      <c r="U3" s="590"/>
    </row>
    <row r="4" spans="1:21" s="472" customFormat="1" ht="15.75">
      <c r="A4" s="589" t="s">
        <v>438</v>
      </c>
      <c r="B4" s="587" t="s">
        <v>477</v>
      </c>
      <c r="C4" s="587"/>
      <c r="D4" s="587"/>
      <c r="E4" s="587"/>
      <c r="F4" s="587"/>
      <c r="G4" s="587"/>
      <c r="H4" s="587"/>
      <c r="I4" s="587"/>
      <c r="S4" s="590"/>
      <c r="T4" s="590"/>
      <c r="U4" s="590"/>
    </row>
    <row r="5" spans="1:21" s="472" customFormat="1" ht="15">
      <c r="A5" s="588"/>
      <c r="S5" s="590"/>
      <c r="T5" s="590"/>
      <c r="U5" s="590"/>
    </row>
    <row r="6" spans="1:21" s="472" customFormat="1" ht="15">
      <c r="A6" s="592" t="s">
        <v>505</v>
      </c>
      <c r="S6" s="590"/>
      <c r="T6" s="590"/>
      <c r="U6" s="590"/>
    </row>
    <row r="8" spans="1:21">
      <c r="A8" s="474"/>
      <c r="B8" s="475"/>
      <c r="C8" s="475"/>
      <c r="D8" s="475"/>
      <c r="E8" s="475"/>
      <c r="F8" s="475"/>
      <c r="G8" s="475"/>
      <c r="H8" s="475"/>
      <c r="I8" s="475"/>
      <c r="J8" s="476"/>
      <c r="K8" s="476"/>
      <c r="L8" s="476"/>
      <c r="M8" s="476"/>
      <c r="N8" s="477"/>
      <c r="O8" s="477"/>
      <c r="P8" s="478"/>
      <c r="Q8" s="478"/>
      <c r="R8" s="477"/>
    </row>
    <row r="9" spans="1:21">
      <c r="B9" s="479">
        <f t="shared" ref="B9:H9" si="0">+C9-1</f>
        <v>2000</v>
      </c>
      <c r="C9" s="479">
        <f t="shared" si="0"/>
        <v>2001</v>
      </c>
      <c r="D9" s="479">
        <f t="shared" si="0"/>
        <v>2002</v>
      </c>
      <c r="E9" s="479">
        <f t="shared" si="0"/>
        <v>2003</v>
      </c>
      <c r="F9" s="479">
        <f t="shared" si="0"/>
        <v>2004</v>
      </c>
      <c r="G9" s="479">
        <f t="shared" si="0"/>
        <v>2005</v>
      </c>
      <c r="H9" s="479">
        <f t="shared" si="0"/>
        <v>2006</v>
      </c>
      <c r="I9" s="479">
        <f>+J9-1</f>
        <v>2007</v>
      </c>
      <c r="J9" s="479">
        <v>2008</v>
      </c>
      <c r="K9" s="480">
        <v>2009</v>
      </c>
      <c r="L9" s="480">
        <v>2010</v>
      </c>
      <c r="M9" s="480">
        <v>2011</v>
      </c>
      <c r="N9" s="480">
        <v>2012</v>
      </c>
      <c r="O9" s="480">
        <v>2013</v>
      </c>
      <c r="P9" s="480">
        <v>2014</v>
      </c>
      <c r="Q9" s="480">
        <v>2015</v>
      </c>
      <c r="R9" s="480">
        <v>2016</v>
      </c>
    </row>
    <row r="10" spans="1:21" ht="8.25" customHeight="1">
      <c r="B10" s="481" t="s">
        <v>439</v>
      </c>
      <c r="C10" s="481" t="s">
        <v>439</v>
      </c>
      <c r="D10" s="481" t="s">
        <v>439</v>
      </c>
      <c r="E10" s="481" t="s">
        <v>439</v>
      </c>
      <c r="F10" s="481" t="s">
        <v>439</v>
      </c>
      <c r="G10" s="481" t="s">
        <v>439</v>
      </c>
      <c r="H10" s="481" t="s">
        <v>439</v>
      </c>
      <c r="I10" s="481" t="s">
        <v>439</v>
      </c>
      <c r="J10" s="481" t="s">
        <v>439</v>
      </c>
      <c r="K10" s="481" t="s">
        <v>439</v>
      </c>
      <c r="L10" s="481" t="s">
        <v>439</v>
      </c>
      <c r="M10" s="481" t="s">
        <v>439</v>
      </c>
      <c r="N10" s="481" t="s">
        <v>439</v>
      </c>
      <c r="O10" s="481" t="s">
        <v>439</v>
      </c>
      <c r="P10" s="481" t="s">
        <v>439</v>
      </c>
      <c r="Q10" s="481" t="s">
        <v>439</v>
      </c>
      <c r="R10" s="481" t="s">
        <v>439</v>
      </c>
    </row>
    <row r="11" spans="1:21">
      <c r="A11" s="482" t="s">
        <v>255</v>
      </c>
      <c r="B11" s="97">
        <f>+'Cost Trends'!F110</f>
        <v>3998</v>
      </c>
      <c r="C11" s="97">
        <f>+'Cost Trends'!G110</f>
        <v>4414</v>
      </c>
      <c r="D11" s="97">
        <f>+'Cost Trends'!H110</f>
        <v>6606</v>
      </c>
      <c r="E11" s="97">
        <f>+'Cost Trends'!I110</f>
        <v>6659</v>
      </c>
      <c r="F11" s="97">
        <f>+'Cost Trends'!J110</f>
        <v>6072</v>
      </c>
      <c r="G11" s="97">
        <f>+'Cost Trends'!K110</f>
        <v>6537</v>
      </c>
      <c r="H11" s="97">
        <f>+'Cost Trends'!L110</f>
        <v>6459</v>
      </c>
      <c r="I11" s="97">
        <f>+'Cost Trends'!M110</f>
        <v>6739</v>
      </c>
      <c r="J11" s="97">
        <f>+'Cost Trends'!N110</f>
        <v>7187</v>
      </c>
      <c r="K11" s="97">
        <f>+'Cost Trends'!O110</f>
        <v>7688</v>
      </c>
      <c r="L11" s="97">
        <f>+'Cost Trends'!P110</f>
        <v>9277</v>
      </c>
      <c r="M11" s="97">
        <f>+'Cost Trends'!Q110</f>
        <v>10906</v>
      </c>
      <c r="N11" s="97">
        <f>+'Cost Trends'!R110</f>
        <v>12517</v>
      </c>
      <c r="O11" s="97">
        <f>+'Cost Trends'!S110</f>
        <v>14721</v>
      </c>
      <c r="P11" s="97">
        <f>+'Cost Trends'!T110</f>
        <v>16947</v>
      </c>
      <c r="Q11" s="97">
        <f>+'Cost Trends'!U110</f>
        <v>21503</v>
      </c>
      <c r="R11" s="97">
        <f>+'Cost Trends'!V110</f>
        <v>23877</v>
      </c>
    </row>
    <row r="12" spans="1:21">
      <c r="A12" s="470" t="s">
        <v>474</v>
      </c>
      <c r="B12" s="97">
        <f>+DSM!I39</f>
        <v>-7.2260355551171482</v>
      </c>
      <c r="C12" s="97">
        <f>+DSM!J39</f>
        <v>-10.649115424532212</v>
      </c>
      <c r="D12" s="97">
        <f>+DSM!K39</f>
        <v>-12.726889226323086</v>
      </c>
      <c r="E12" s="97">
        <f>+DSM!L39</f>
        <v>-12.865407479775811</v>
      </c>
      <c r="F12" s="97">
        <f>+DSM!M39</f>
        <v>-14.160343273417194</v>
      </c>
      <c r="G12" s="97">
        <f>+DSM!N39</f>
        <v>-13.837294524133601</v>
      </c>
      <c r="H12" s="97">
        <f>+DSM!O39</f>
        <v>-13.778661920217779</v>
      </c>
      <c r="I12" s="97">
        <f>+DSM!P39</f>
        <v>-13.960841796670506</v>
      </c>
      <c r="J12" s="97">
        <f>+DSM!Q39</f>
        <v>-25.320908805360698</v>
      </c>
      <c r="K12" s="97">
        <f>+DSM!R39</f>
        <v>-39.535127211810284</v>
      </c>
      <c r="L12" s="97">
        <f>+DSM!S39</f>
        <v>-40.797822217568843</v>
      </c>
      <c r="M12" s="97">
        <f>+DSM!T39</f>
        <v>-42.094021568422157</v>
      </c>
      <c r="N12" s="97">
        <f>+DSM!U39</f>
        <v>-35.401528635744953</v>
      </c>
      <c r="O12" s="97">
        <f>+DSM!V35</f>
        <v>0</v>
      </c>
      <c r="P12" s="97">
        <f>+DSM!W35</f>
        <v>0</v>
      </c>
      <c r="Q12" s="97">
        <f>+DSM!X35</f>
        <v>0</v>
      </c>
      <c r="R12" s="97">
        <f>+DSM!Y35</f>
        <v>0</v>
      </c>
    </row>
    <row r="13" spans="1:21">
      <c r="A13" s="470" t="s">
        <v>523</v>
      </c>
      <c r="B13" s="97"/>
      <c r="C13" s="97"/>
      <c r="D13" s="97"/>
      <c r="E13" s="97"/>
      <c r="F13" s="97"/>
      <c r="G13" s="97"/>
      <c r="H13" s="97"/>
      <c r="I13" s="97"/>
      <c r="J13" s="97"/>
      <c r="K13" s="97"/>
      <c r="L13" s="97"/>
      <c r="M13" s="97"/>
      <c r="N13" s="97"/>
      <c r="O13" s="97"/>
      <c r="P13" s="97"/>
      <c r="Q13" s="97"/>
      <c r="R13" s="97"/>
    </row>
    <row r="14" spans="1:21" ht="8.25" customHeight="1">
      <c r="B14" s="481"/>
      <c r="C14" s="481"/>
      <c r="D14" s="481"/>
      <c r="E14" s="481"/>
      <c r="F14" s="481"/>
      <c r="G14" s="481"/>
      <c r="H14" s="481"/>
      <c r="I14" s="481"/>
      <c r="J14" s="481"/>
      <c r="K14" s="481"/>
      <c r="L14" s="481"/>
      <c r="M14" s="481"/>
      <c r="N14" s="481"/>
      <c r="O14" s="481"/>
      <c r="P14" s="481"/>
      <c r="Q14" s="481"/>
      <c r="R14" s="481"/>
    </row>
    <row r="15" spans="1:21" ht="8.25" customHeight="1">
      <c r="B15" s="481" t="s">
        <v>439</v>
      </c>
      <c r="C15" s="481" t="s">
        <v>439</v>
      </c>
      <c r="D15" s="481" t="s">
        <v>439</v>
      </c>
      <c r="E15" s="481" t="s">
        <v>439</v>
      </c>
      <c r="F15" s="481" t="s">
        <v>439</v>
      </c>
      <c r="G15" s="481" t="s">
        <v>439</v>
      </c>
      <c r="H15" s="481" t="s">
        <v>439</v>
      </c>
      <c r="I15" s="481" t="s">
        <v>439</v>
      </c>
      <c r="J15" s="481" t="s">
        <v>439</v>
      </c>
      <c r="K15" s="481" t="s">
        <v>439</v>
      </c>
      <c r="L15" s="481" t="s">
        <v>439</v>
      </c>
      <c r="M15" s="481" t="s">
        <v>439</v>
      </c>
      <c r="N15" s="481" t="s">
        <v>439</v>
      </c>
      <c r="O15" s="481" t="s">
        <v>439</v>
      </c>
      <c r="P15" s="481" t="s">
        <v>439</v>
      </c>
      <c r="Q15" s="481" t="s">
        <v>439</v>
      </c>
      <c r="R15" s="481" t="s">
        <v>439</v>
      </c>
    </row>
    <row r="16" spans="1:21" ht="26.25" customHeight="1">
      <c r="A16" s="483" t="str">
        <f>+"Total "&amp;B4</f>
        <v>Total Administrative &amp; General Depreciation Expense</v>
      </c>
      <c r="B16" s="484">
        <f t="shared" ref="B16:O16" si="1">+SUM(B10:B15)</f>
        <v>3990.7739644448829</v>
      </c>
      <c r="C16" s="484">
        <f t="shared" si="1"/>
        <v>4403.3508845754677</v>
      </c>
      <c r="D16" s="484">
        <f t="shared" si="1"/>
        <v>6593.2731107736772</v>
      </c>
      <c r="E16" s="484">
        <f t="shared" si="1"/>
        <v>6646.134592520224</v>
      </c>
      <c r="F16" s="484">
        <f t="shared" si="1"/>
        <v>6057.8396567265827</v>
      </c>
      <c r="G16" s="484">
        <f t="shared" si="1"/>
        <v>6523.1627054758665</v>
      </c>
      <c r="H16" s="484">
        <f t="shared" si="1"/>
        <v>6445.2213380797821</v>
      </c>
      <c r="I16" s="484">
        <f t="shared" si="1"/>
        <v>6725.0391582033299</v>
      </c>
      <c r="J16" s="484">
        <f t="shared" si="1"/>
        <v>7161.6790911946391</v>
      </c>
      <c r="K16" s="484">
        <f t="shared" si="1"/>
        <v>7648.4648727881895</v>
      </c>
      <c r="L16" s="484">
        <f t="shared" si="1"/>
        <v>9236.202177782432</v>
      </c>
      <c r="M16" s="484">
        <f t="shared" si="1"/>
        <v>10863.905978431578</v>
      </c>
      <c r="N16" s="484">
        <f t="shared" si="1"/>
        <v>12481.598471364256</v>
      </c>
      <c r="O16" s="484">
        <f t="shared" si="1"/>
        <v>14721</v>
      </c>
      <c r="P16" s="484">
        <f t="shared" ref="P16:R16" si="2">+SUM(P10:P15)</f>
        <v>16947</v>
      </c>
      <c r="Q16" s="484">
        <f t="shared" si="2"/>
        <v>21503</v>
      </c>
      <c r="R16" s="484">
        <f t="shared" si="2"/>
        <v>23877</v>
      </c>
    </row>
    <row r="17" spans="1:20">
      <c r="P17" s="327"/>
      <c r="Q17" s="327"/>
    </row>
    <row r="18" spans="1:20">
      <c r="P18" s="327"/>
      <c r="Q18" s="327"/>
    </row>
    <row r="19" spans="1:20">
      <c r="A19" s="485" t="s">
        <v>442</v>
      </c>
      <c r="B19" s="486"/>
      <c r="C19" s="487"/>
      <c r="D19" s="485" t="s">
        <v>504</v>
      </c>
      <c r="E19" s="485"/>
      <c r="F19" s="486"/>
      <c r="G19" s="486"/>
      <c r="H19" s="486"/>
      <c r="I19" s="486"/>
      <c r="J19" s="486"/>
      <c r="K19" s="486"/>
      <c r="L19" s="486"/>
      <c r="M19" s="486"/>
      <c r="N19" s="486"/>
      <c r="O19" s="486"/>
      <c r="P19" s="488"/>
      <c r="Q19" s="488"/>
      <c r="R19" s="486"/>
    </row>
    <row r="20" spans="1:20" ht="19.5" customHeight="1">
      <c r="A20" s="473"/>
      <c r="B20" s="489"/>
      <c r="C20" s="489"/>
      <c r="D20" s="489"/>
      <c r="E20" s="489"/>
      <c r="F20" s="489"/>
      <c r="G20" s="489"/>
      <c r="H20" s="489"/>
      <c r="I20" s="489"/>
    </row>
    <row r="21" spans="1:20" ht="19.5" customHeight="1">
      <c r="A21" s="529" t="s">
        <v>502</v>
      </c>
      <c r="B21" s="490">
        <f ca="1">+LINEST(
OFFSET($B$76,0,0,1,SUM($B$70:$R$70)),
OFFSET($B$75,0,0,1,SUM($B$70:$R$70)),
,
1)</f>
        <v>1935.2827608088</v>
      </c>
      <c r="C21" s="489"/>
      <c r="D21" s="489"/>
      <c r="E21" s="489"/>
      <c r="F21" s="489"/>
      <c r="G21" s="489"/>
      <c r="H21" s="489"/>
      <c r="I21" s="489"/>
    </row>
    <row r="22" spans="1:20" ht="19.5" customHeight="1">
      <c r="A22" s="473" t="s">
        <v>503</v>
      </c>
      <c r="B22" s="489">
        <f ca="1">RSQ(
OFFSET($B$76,0,0,1,SUM($B$70:$R$70)),
OFFSET($B$75,0,0,1,SUM($B$70:$R$70))
)</f>
        <v>0.93600945392538781</v>
      </c>
      <c r="C22" s="490"/>
      <c r="D22" s="490"/>
      <c r="E22" s="490"/>
      <c r="F22" s="490"/>
      <c r="G22" s="490"/>
      <c r="H22" s="490"/>
      <c r="I22" s="490"/>
    </row>
    <row r="23" spans="1:20" ht="19.5" customHeight="1">
      <c r="A23" s="470" t="s">
        <v>443</v>
      </c>
      <c r="B23" s="491">
        <f ca="1">+B21/R16</f>
        <v>8.1052174092591203E-2</v>
      </c>
      <c r="C23" s="489"/>
      <c r="D23" s="489"/>
      <c r="E23" s="489"/>
      <c r="F23" s="489"/>
      <c r="G23" s="489"/>
      <c r="H23" s="489"/>
      <c r="I23" s="489"/>
    </row>
    <row r="24" spans="1:20" ht="19.5" customHeight="1">
      <c r="A24" s="327" t="str">
        <f>+'2) ROR'!$D$19&amp;"-year Growth Rate"</f>
        <v>1-year Growth Rate</v>
      </c>
      <c r="B24" s="530">
        <f ca="1">ROUND(B23*'2) ROR'!$D$19,4)</f>
        <v>8.1100000000000005E-2</v>
      </c>
      <c r="C24" s="491"/>
      <c r="D24" s="491"/>
      <c r="E24" s="491"/>
      <c r="F24" s="491"/>
      <c r="G24" s="491"/>
      <c r="H24" s="491"/>
      <c r="I24" s="491"/>
    </row>
    <row r="25" spans="1:20" ht="19.5" customHeight="1">
      <c r="C25" s="492"/>
      <c r="D25" s="492"/>
      <c r="E25" s="492"/>
      <c r="F25" s="492"/>
      <c r="G25" s="492"/>
      <c r="H25" s="492"/>
      <c r="I25" s="492"/>
      <c r="L25" s="362"/>
    </row>
    <row r="27" spans="1:20">
      <c r="S27" s="493"/>
      <c r="T27" s="493"/>
    </row>
    <row r="28" spans="1:20">
      <c r="S28" s="494"/>
      <c r="T28" s="494"/>
    </row>
    <row r="29" spans="1:20">
      <c r="S29" s="494"/>
      <c r="T29" s="494"/>
    </row>
    <row r="30" spans="1:20">
      <c r="S30" s="494"/>
      <c r="T30" s="494"/>
    </row>
    <row r="31" spans="1:20">
      <c r="S31" s="494"/>
      <c r="T31" s="494"/>
    </row>
    <row r="32" spans="1:20">
      <c r="S32" s="494"/>
      <c r="T32" s="494"/>
    </row>
    <row r="35" spans="19:21">
      <c r="S35" s="495"/>
      <c r="T35" s="495"/>
      <c r="U35" s="495"/>
    </row>
    <row r="36" spans="19:21">
      <c r="S36" s="494"/>
      <c r="T36" s="494"/>
      <c r="U36" s="494"/>
    </row>
    <row r="37" spans="19:21">
      <c r="S37" s="494"/>
      <c r="T37" s="494"/>
      <c r="U37" s="494"/>
    </row>
    <row r="38" spans="19:21">
      <c r="S38" s="494"/>
      <c r="T38" s="494"/>
      <c r="U38" s="494"/>
    </row>
    <row r="39" spans="19:21">
      <c r="S39" s="494"/>
      <c r="T39" s="494"/>
      <c r="U39" s="494"/>
    </row>
    <row r="40" spans="19:21">
      <c r="S40" s="494"/>
      <c r="T40" s="494"/>
      <c r="U40" s="494"/>
    </row>
    <row r="41" spans="19:21">
      <c r="S41" s="494"/>
      <c r="T41" s="494"/>
      <c r="U41" s="494"/>
    </row>
    <row r="42" spans="19:21">
      <c r="S42" s="494"/>
      <c r="T42" s="494"/>
      <c r="U42" s="494"/>
    </row>
    <row r="43" spans="19:21">
      <c r="S43" s="494"/>
      <c r="T43" s="494"/>
      <c r="U43" s="494"/>
    </row>
    <row r="44" spans="19:21">
      <c r="S44" s="494"/>
      <c r="T44" s="494"/>
      <c r="U44" s="494"/>
    </row>
    <row r="45" spans="19:21">
      <c r="S45" s="494"/>
      <c r="T45" s="494"/>
      <c r="U45" s="494"/>
    </row>
    <row r="46" spans="19:21">
      <c r="S46" s="494"/>
      <c r="T46" s="494"/>
      <c r="U46" s="494"/>
    </row>
    <row r="47" spans="19:21">
      <c r="S47" s="494"/>
      <c r="T47" s="494"/>
      <c r="U47" s="494"/>
    </row>
    <row r="48" spans="19:21">
      <c r="S48" s="494"/>
      <c r="T48" s="494"/>
      <c r="U48" s="494"/>
    </row>
    <row r="49" spans="19:21">
      <c r="S49" s="494"/>
      <c r="T49" s="494"/>
      <c r="U49" s="494"/>
    </row>
    <row r="50" spans="19:21">
      <c r="S50" s="494"/>
      <c r="T50" s="494"/>
      <c r="U50" s="494"/>
    </row>
    <row r="51" spans="19:21">
      <c r="S51" s="494"/>
      <c r="T51" s="494"/>
      <c r="U51" s="494"/>
    </row>
    <row r="52" spans="19:21">
      <c r="S52" s="494"/>
      <c r="T52" s="494"/>
      <c r="U52" s="494"/>
    </row>
    <row r="53" spans="19:21">
      <c r="S53" s="494"/>
      <c r="T53" s="494"/>
      <c r="U53" s="494"/>
    </row>
    <row r="54" spans="19:21">
      <c r="S54" s="494"/>
      <c r="T54" s="494"/>
      <c r="U54" s="494"/>
    </row>
    <row r="55" spans="19:21">
      <c r="S55" s="494"/>
      <c r="T55" s="494"/>
      <c r="U55" s="494"/>
    </row>
    <row r="56" spans="19:21">
      <c r="S56" s="494"/>
      <c r="T56" s="494"/>
      <c r="U56" s="494"/>
    </row>
    <row r="57" spans="19:21">
      <c r="S57" s="494"/>
      <c r="T57" s="494"/>
      <c r="U57" s="494"/>
    </row>
    <row r="58" spans="19:21">
      <c r="S58" s="494"/>
      <c r="T58" s="494"/>
      <c r="U58" s="494"/>
    </row>
    <row r="60" spans="19:21">
      <c r="S60" s="495"/>
      <c r="T60" s="495"/>
      <c r="U60" s="495"/>
    </row>
    <row r="61" spans="19:21">
      <c r="S61" s="494"/>
      <c r="T61" s="494"/>
      <c r="U61" s="494"/>
    </row>
    <row r="67" spans="1:21">
      <c r="S67" s="495"/>
      <c r="T67" s="495"/>
      <c r="U67" s="495"/>
    </row>
    <row r="68" spans="1:21">
      <c r="A68" s="496" t="s">
        <v>444</v>
      </c>
      <c r="S68" s="494"/>
      <c r="T68" s="494"/>
      <c r="U68" s="494"/>
    </row>
    <row r="69" spans="1:21">
      <c r="A69" s="496" t="s">
        <v>445</v>
      </c>
      <c r="B69" s="496">
        <f t="shared" ref="B69:O69" si="3">+B9</f>
        <v>2000</v>
      </c>
      <c r="C69" s="496">
        <f t="shared" si="3"/>
        <v>2001</v>
      </c>
      <c r="D69" s="496">
        <f t="shared" si="3"/>
        <v>2002</v>
      </c>
      <c r="E69" s="496">
        <f t="shared" si="3"/>
        <v>2003</v>
      </c>
      <c r="F69" s="496">
        <f t="shared" si="3"/>
        <v>2004</v>
      </c>
      <c r="G69" s="496">
        <f t="shared" si="3"/>
        <v>2005</v>
      </c>
      <c r="H69" s="496">
        <f t="shared" si="3"/>
        <v>2006</v>
      </c>
      <c r="I69" s="496">
        <f t="shared" si="3"/>
        <v>2007</v>
      </c>
      <c r="J69" s="496">
        <f t="shared" si="3"/>
        <v>2008</v>
      </c>
      <c r="K69" s="496">
        <f t="shared" si="3"/>
        <v>2009</v>
      </c>
      <c r="L69" s="496">
        <f t="shared" si="3"/>
        <v>2010</v>
      </c>
      <c r="M69" s="496">
        <f t="shared" si="3"/>
        <v>2011</v>
      </c>
      <c r="N69" s="496">
        <f t="shared" si="3"/>
        <v>2012</v>
      </c>
      <c r="O69" s="496">
        <f t="shared" si="3"/>
        <v>2013</v>
      </c>
      <c r="P69" s="496">
        <f t="shared" ref="P69:R69" si="4">+P9</f>
        <v>2014</v>
      </c>
      <c r="Q69" s="496">
        <f t="shared" si="4"/>
        <v>2015</v>
      </c>
      <c r="R69" s="496">
        <f t="shared" si="4"/>
        <v>2016</v>
      </c>
    </row>
    <row r="70" spans="1:21">
      <c r="A70" s="497" t="s">
        <v>446</v>
      </c>
      <c r="B70" s="497"/>
      <c r="C70" s="497"/>
      <c r="D70" s="497"/>
      <c r="E70" s="497"/>
      <c r="F70" s="497"/>
      <c r="G70" s="497"/>
      <c r="H70" s="497"/>
      <c r="I70" s="497">
        <v>1</v>
      </c>
      <c r="J70" s="497">
        <v>1</v>
      </c>
      <c r="K70" s="497">
        <v>1</v>
      </c>
      <c r="L70" s="497">
        <v>1</v>
      </c>
      <c r="M70" s="497">
        <v>1</v>
      </c>
      <c r="N70" s="497">
        <v>1</v>
      </c>
      <c r="O70" s="497">
        <v>1</v>
      </c>
      <c r="P70" s="497">
        <v>1</v>
      </c>
      <c r="Q70" s="497">
        <v>1</v>
      </c>
      <c r="R70" s="497">
        <v>1</v>
      </c>
    </row>
    <row r="71" spans="1:21">
      <c r="A71" s="490"/>
      <c r="B71" s="490"/>
      <c r="C71" s="490"/>
      <c r="D71" s="490"/>
      <c r="E71" s="490"/>
      <c r="F71" s="490"/>
      <c r="G71" s="490"/>
      <c r="H71" s="490"/>
      <c r="I71" s="490"/>
      <c r="J71" s="490"/>
      <c r="K71" s="490"/>
      <c r="L71" s="490"/>
      <c r="M71" s="490"/>
      <c r="N71" s="490"/>
      <c r="O71" s="490"/>
      <c r="P71" s="490"/>
      <c r="Q71" s="490"/>
      <c r="R71" s="490"/>
      <c r="S71" s="490"/>
      <c r="T71" s="490"/>
      <c r="U71" s="490"/>
    </row>
    <row r="72" spans="1:21">
      <c r="A72" s="490"/>
      <c r="B72" s="490"/>
      <c r="C72" s="490"/>
      <c r="D72" s="490"/>
      <c r="E72" s="490"/>
      <c r="F72" s="490"/>
      <c r="G72" s="490"/>
      <c r="H72" s="490"/>
      <c r="I72" s="490"/>
      <c r="J72" s="490"/>
      <c r="K72" s="490"/>
      <c r="L72" s="490"/>
      <c r="M72" s="490"/>
      <c r="N72" s="490"/>
      <c r="O72" s="490"/>
      <c r="P72" s="490"/>
      <c r="Q72" s="490"/>
      <c r="R72" s="490"/>
      <c r="S72" s="490"/>
      <c r="T72" s="490"/>
      <c r="U72" s="490"/>
    </row>
    <row r="73" spans="1:21">
      <c r="A73" s="498" t="s">
        <v>447</v>
      </c>
      <c r="B73" s="499">
        <f>+SUM($B70:B$70)</f>
        <v>0</v>
      </c>
      <c r="C73" s="499">
        <f>+SUM($B70:C$70)</f>
        <v>0</v>
      </c>
      <c r="D73" s="499">
        <f>+SUM($B70:D$70)</f>
        <v>0</v>
      </c>
      <c r="E73" s="499">
        <f>+SUM($B70:E$70)</f>
        <v>0</v>
      </c>
      <c r="F73" s="499">
        <f>+SUM($B70:F$70)</f>
        <v>0</v>
      </c>
      <c r="G73" s="499">
        <f>+SUM($B70:G$70)</f>
        <v>0</v>
      </c>
      <c r="H73" s="499">
        <f>+SUM($B70:H$70)</f>
        <v>0</v>
      </c>
      <c r="I73" s="499">
        <f>+SUM($B70:I$70)</f>
        <v>1</v>
      </c>
      <c r="J73" s="499">
        <f>+SUM($B70:J$70)</f>
        <v>2</v>
      </c>
      <c r="K73" s="499">
        <f>+SUM($B70:K$70)</f>
        <v>3</v>
      </c>
      <c r="L73" s="499">
        <f>+SUM($B70:L$70)</f>
        <v>4</v>
      </c>
      <c r="M73" s="499">
        <f>+SUM($B70:M$70)</f>
        <v>5</v>
      </c>
      <c r="N73" s="499">
        <f>+SUM($B70:N$70)</f>
        <v>6</v>
      </c>
      <c r="O73" s="499">
        <f>+SUM($B70:O$70)</f>
        <v>7</v>
      </c>
      <c r="P73" s="499">
        <f>+SUM($B70:P$70)</f>
        <v>8</v>
      </c>
      <c r="Q73" s="499">
        <f>+SUM($B70:Q$70)</f>
        <v>9</v>
      </c>
      <c r="R73" s="499">
        <f>+SUM($B70:R$70)</f>
        <v>10</v>
      </c>
      <c r="S73" s="490"/>
      <c r="T73" s="490"/>
      <c r="U73" s="490"/>
    </row>
    <row r="74" spans="1:21">
      <c r="A74" s="498" t="s">
        <v>448</v>
      </c>
      <c r="B74" s="500">
        <v>1</v>
      </c>
      <c r="C74" s="500">
        <f t="shared" ref="C74:K74" si="5">+B74+1</f>
        <v>2</v>
      </c>
      <c r="D74" s="500">
        <f t="shared" si="5"/>
        <v>3</v>
      </c>
      <c r="E74" s="500">
        <f t="shared" si="5"/>
        <v>4</v>
      </c>
      <c r="F74" s="500">
        <f t="shared" si="5"/>
        <v>5</v>
      </c>
      <c r="G74" s="500">
        <f t="shared" si="5"/>
        <v>6</v>
      </c>
      <c r="H74" s="500">
        <f t="shared" si="5"/>
        <v>7</v>
      </c>
      <c r="I74" s="500">
        <f t="shared" si="5"/>
        <v>8</v>
      </c>
      <c r="J74" s="500">
        <f t="shared" si="5"/>
        <v>9</v>
      </c>
      <c r="K74" s="500">
        <f t="shared" si="5"/>
        <v>10</v>
      </c>
      <c r="L74" s="500">
        <f>+K74+1</f>
        <v>11</v>
      </c>
      <c r="M74" s="500">
        <f t="shared" ref="M74:O74" si="6">+L74+1</f>
        <v>12</v>
      </c>
      <c r="N74" s="500">
        <f t="shared" si="6"/>
        <v>13</v>
      </c>
      <c r="O74" s="500">
        <f t="shared" si="6"/>
        <v>14</v>
      </c>
      <c r="P74" s="500">
        <f t="shared" ref="P74" si="7">+O74+1</f>
        <v>15</v>
      </c>
      <c r="Q74" s="500">
        <f t="shared" ref="Q74" si="8">+P74+1</f>
        <v>16</v>
      </c>
      <c r="R74" s="500">
        <f t="shared" ref="R74" si="9">+Q74+1</f>
        <v>17</v>
      </c>
    </row>
    <row r="75" spans="1:21">
      <c r="A75" s="498" t="s">
        <v>449</v>
      </c>
      <c r="B75" s="500">
        <f t="shared" ref="B75:O75" ca="1" si="10">+OFFSET($A$69,0,MATCH(B$74,$B$73:$R$73,0))</f>
        <v>2007</v>
      </c>
      <c r="C75" s="500">
        <f t="shared" ca="1" si="10"/>
        <v>2008</v>
      </c>
      <c r="D75" s="500">
        <f t="shared" ca="1" si="10"/>
        <v>2009</v>
      </c>
      <c r="E75" s="500">
        <f t="shared" ca="1" si="10"/>
        <v>2010</v>
      </c>
      <c r="F75" s="500">
        <f t="shared" ca="1" si="10"/>
        <v>2011</v>
      </c>
      <c r="G75" s="500">
        <f t="shared" ca="1" si="10"/>
        <v>2012</v>
      </c>
      <c r="H75" s="500">
        <f t="shared" ca="1" si="10"/>
        <v>2013</v>
      </c>
      <c r="I75" s="500">
        <f t="shared" ca="1" si="10"/>
        <v>2014</v>
      </c>
      <c r="J75" s="500">
        <f t="shared" ca="1" si="10"/>
        <v>2015</v>
      </c>
      <c r="K75" s="500">
        <f t="shared" ca="1" si="10"/>
        <v>2016</v>
      </c>
      <c r="L75" s="500" t="e">
        <f t="shared" ca="1" si="10"/>
        <v>#N/A</v>
      </c>
      <c r="M75" s="500" t="e">
        <f t="shared" ca="1" si="10"/>
        <v>#N/A</v>
      </c>
      <c r="N75" s="500" t="e">
        <f t="shared" ca="1" si="10"/>
        <v>#N/A</v>
      </c>
      <c r="O75" s="500" t="e">
        <f t="shared" ca="1" si="10"/>
        <v>#N/A</v>
      </c>
      <c r="P75" s="500" t="e">
        <f t="shared" ref="P75:R75" ca="1" si="11">+OFFSET($A$69,0,MATCH(P$74,$B$73:$R$73,0))</f>
        <v>#N/A</v>
      </c>
      <c r="Q75" s="500" t="e">
        <f t="shared" ca="1" si="11"/>
        <v>#N/A</v>
      </c>
      <c r="R75" s="500" t="e">
        <f t="shared" ca="1" si="11"/>
        <v>#N/A</v>
      </c>
    </row>
    <row r="76" spans="1:21">
      <c r="A76" s="498" t="s">
        <v>450</v>
      </c>
      <c r="B76" s="498">
        <f t="shared" ref="B76:O76" ca="1" si="12">+INDEX(16:16,1,MATCH(B$75,9:9,0))</f>
        <v>6725.0391582033299</v>
      </c>
      <c r="C76" s="498">
        <f t="shared" ca="1" si="12"/>
        <v>7161.6790911946391</v>
      </c>
      <c r="D76" s="498">
        <f t="shared" ca="1" si="12"/>
        <v>7648.4648727881895</v>
      </c>
      <c r="E76" s="498">
        <f t="shared" ca="1" si="12"/>
        <v>9236.202177782432</v>
      </c>
      <c r="F76" s="498">
        <f t="shared" ca="1" si="12"/>
        <v>10863.905978431578</v>
      </c>
      <c r="G76" s="498">
        <f t="shared" ca="1" si="12"/>
        <v>12481.598471364256</v>
      </c>
      <c r="H76" s="498">
        <f t="shared" ca="1" si="12"/>
        <v>14721</v>
      </c>
      <c r="I76" s="498">
        <f t="shared" ca="1" si="12"/>
        <v>16947</v>
      </c>
      <c r="J76" s="498">
        <f t="shared" ca="1" si="12"/>
        <v>21503</v>
      </c>
      <c r="K76" s="498">
        <f t="shared" ca="1" si="12"/>
        <v>23877</v>
      </c>
      <c r="L76" s="498" t="e">
        <f t="shared" ca="1" si="12"/>
        <v>#N/A</v>
      </c>
      <c r="M76" s="498" t="e">
        <f t="shared" ca="1" si="12"/>
        <v>#N/A</v>
      </c>
      <c r="N76" s="498" t="e">
        <f t="shared" ca="1" si="12"/>
        <v>#N/A</v>
      </c>
      <c r="O76" s="498" t="e">
        <f t="shared" ca="1" si="12"/>
        <v>#N/A</v>
      </c>
      <c r="P76" s="498" t="e">
        <f t="shared" ref="P76:R76" ca="1" si="13">+INDEX(16:16,1,MATCH(P$75,9:9,0))</f>
        <v>#N/A</v>
      </c>
      <c r="Q76" s="498" t="e">
        <f t="shared" ca="1" si="13"/>
        <v>#N/A</v>
      </c>
      <c r="R76" s="498" t="e">
        <f t="shared" ca="1" si="13"/>
        <v>#N/A</v>
      </c>
    </row>
    <row r="79" spans="1:21">
      <c r="A79" s="501"/>
      <c r="B79" s="502" t="s">
        <v>451</v>
      </c>
      <c r="C79" s="503"/>
    </row>
    <row r="80" spans="1:21">
      <c r="A80" s="501" t="s">
        <v>452</v>
      </c>
      <c r="B80" s="504">
        <f t="array" aca="1" ref="B80:C84" ca="1">+LINEST(
OFFSET($B76,0,0,1,SUM($B70:$R70)),
OFFSET($B75,0,0,1,SUM($B70:$R70)),
,
1)</f>
        <v>1935.2827608088</v>
      </c>
      <c r="C80" s="504">
        <f ca="1"/>
        <v>-3879704.7843919247</v>
      </c>
      <c r="D80" s="470" t="s">
        <v>453</v>
      </c>
    </row>
    <row r="81" spans="1:4">
      <c r="A81" s="501" t="s">
        <v>454</v>
      </c>
      <c r="B81" s="504">
        <f ca="1"/>
        <v>178.90283596233175</v>
      </c>
      <c r="C81" s="504">
        <f ca="1"/>
        <v>359863.42141559656</v>
      </c>
      <c r="D81" s="470" t="s">
        <v>455</v>
      </c>
    </row>
    <row r="82" spans="1:4">
      <c r="A82" s="501" t="s">
        <v>456</v>
      </c>
      <c r="B82" s="504">
        <f ca="1"/>
        <v>0.93600945392538759</v>
      </c>
      <c r="C82" s="504">
        <f ca="1"/>
        <v>1624.9657039511974</v>
      </c>
      <c r="D82" s="470" t="s">
        <v>457</v>
      </c>
    </row>
    <row r="83" spans="1:4">
      <c r="A83" s="505" t="s">
        <v>458</v>
      </c>
      <c r="B83" s="504">
        <f ca="1"/>
        <v>117.01846742598619</v>
      </c>
      <c r="C83" s="504">
        <f ca="1"/>
        <v>8</v>
      </c>
      <c r="D83" s="470" t="s">
        <v>459</v>
      </c>
    </row>
    <row r="84" spans="1:4">
      <c r="A84" s="505" t="s">
        <v>460</v>
      </c>
      <c r="B84" s="504">
        <f ca="1"/>
        <v>308988847.55340779</v>
      </c>
      <c r="C84" s="504">
        <f ca="1"/>
        <v>21124108.312140886</v>
      </c>
      <c r="D84" s="470" t="s">
        <v>461</v>
      </c>
    </row>
    <row r="85" spans="1:4">
      <c r="A85" s="501"/>
    </row>
    <row r="86" spans="1:4">
      <c r="A86" s="501"/>
    </row>
    <row r="87" spans="1:4">
      <c r="A87" s="501" t="s">
        <v>462</v>
      </c>
      <c r="B87" s="470">
        <f ca="1">+B80/B81</f>
        <v>10.817507449777244</v>
      </c>
    </row>
    <row r="88" spans="1:4">
      <c r="A88" s="505" t="s">
        <v>463</v>
      </c>
      <c r="B88" s="506">
        <f ca="1">+TDIST(B87,C83,2)</f>
        <v>4.7070828317570783E-6</v>
      </c>
    </row>
  </sheetData>
  <conditionalFormatting sqref="B16:H16 J16:R16">
    <cfRule type="expression" dxfId="13" priority="2">
      <formula>B$70=1</formula>
    </cfRule>
  </conditionalFormatting>
  <conditionalFormatting sqref="B16:I16">
    <cfRule type="expression" dxfId="12"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U89"/>
  <sheetViews>
    <sheetView showGridLines="0" zoomScale="70" zoomScaleNormal="70" zoomScaleSheetLayoutView="55" workbookViewId="0"/>
  </sheetViews>
  <sheetFormatPr defaultRowHeight="12.75"/>
  <cols>
    <col min="1" max="1" width="36.5703125" style="470" customWidth="1"/>
    <col min="2" max="16" width="11.28515625" style="470" customWidth="1"/>
    <col min="17" max="17" width="11.28515625" style="719" customWidth="1"/>
    <col min="18" max="18" width="11.28515625" style="470" customWidth="1"/>
    <col min="19" max="21" width="9.140625" style="473"/>
    <col min="22" max="16384" width="9.140625" style="470"/>
  </cols>
  <sheetData>
    <row r="1" spans="1:21" s="472" customFormat="1" ht="15.75">
      <c r="A1" s="656" t="s">
        <v>540</v>
      </c>
      <c r="S1" s="590"/>
      <c r="T1" s="590"/>
      <c r="U1" s="590"/>
    </row>
    <row r="2" spans="1:21" s="472" customFormat="1" ht="15.75">
      <c r="A2" s="338" t="s">
        <v>495</v>
      </c>
      <c r="S2" s="590"/>
      <c r="T2" s="590"/>
      <c r="U2" s="590"/>
    </row>
    <row r="3" spans="1:21" s="472" customFormat="1" ht="15.75">
      <c r="A3" s="338"/>
      <c r="S3" s="590"/>
      <c r="T3" s="590"/>
      <c r="U3" s="590"/>
    </row>
    <row r="4" spans="1:21" s="472" customFormat="1" ht="15.75">
      <c r="A4" s="589" t="s">
        <v>438</v>
      </c>
      <c r="B4" s="587" t="s">
        <v>478</v>
      </c>
      <c r="C4" s="587"/>
      <c r="D4" s="587"/>
      <c r="E4" s="587"/>
      <c r="F4" s="587"/>
      <c r="G4" s="587"/>
      <c r="H4" s="587"/>
      <c r="I4" s="587"/>
      <c r="S4" s="590"/>
      <c r="T4" s="590"/>
      <c r="U4" s="590"/>
    </row>
    <row r="5" spans="1:21" s="472" customFormat="1" ht="15">
      <c r="A5" s="588"/>
      <c r="S5" s="590"/>
      <c r="T5" s="590"/>
      <c r="U5" s="590"/>
    </row>
    <row r="6" spans="1:21" s="472" customFormat="1" ht="15">
      <c r="A6" s="592" t="s">
        <v>505</v>
      </c>
      <c r="S6" s="590"/>
      <c r="T6" s="590"/>
      <c r="U6" s="590"/>
    </row>
    <row r="8" spans="1:21">
      <c r="A8" s="474"/>
      <c r="B8" s="475"/>
      <c r="C8" s="475"/>
      <c r="D8" s="475"/>
      <c r="E8" s="475"/>
      <c r="F8" s="475"/>
      <c r="G8" s="475"/>
      <c r="H8" s="475"/>
      <c r="I8" s="475"/>
      <c r="J8" s="476"/>
      <c r="K8" s="476"/>
      <c r="L8" s="476"/>
      <c r="M8" s="476"/>
      <c r="N8" s="477"/>
      <c r="O8" s="477"/>
      <c r="P8" s="478"/>
      <c r="Q8" s="478"/>
      <c r="R8" s="477"/>
    </row>
    <row r="9" spans="1:21">
      <c r="B9" s="479">
        <f t="shared" ref="B9:H9" si="0">+C9-1</f>
        <v>2000</v>
      </c>
      <c r="C9" s="479">
        <f t="shared" si="0"/>
        <v>2001</v>
      </c>
      <c r="D9" s="479">
        <f t="shared" si="0"/>
        <v>2002</v>
      </c>
      <c r="E9" s="479">
        <f t="shared" si="0"/>
        <v>2003</v>
      </c>
      <c r="F9" s="479">
        <f t="shared" si="0"/>
        <v>2004</v>
      </c>
      <c r="G9" s="479">
        <f t="shared" si="0"/>
        <v>2005</v>
      </c>
      <c r="H9" s="479">
        <f t="shared" si="0"/>
        <v>2006</v>
      </c>
      <c r="I9" s="479">
        <f>+J9-1</f>
        <v>2007</v>
      </c>
      <c r="J9" s="479">
        <v>2008</v>
      </c>
      <c r="K9" s="480">
        <v>2009</v>
      </c>
      <c r="L9" s="480">
        <v>2010</v>
      </c>
      <c r="M9" s="480">
        <v>2011</v>
      </c>
      <c r="N9" s="480">
        <v>2012</v>
      </c>
      <c r="O9" s="480">
        <v>2013</v>
      </c>
      <c r="P9" s="480">
        <v>2014</v>
      </c>
      <c r="Q9" s="480">
        <v>2015</v>
      </c>
      <c r="R9" s="480">
        <v>2016</v>
      </c>
    </row>
    <row r="10" spans="1:21" ht="8.25" customHeight="1">
      <c r="B10" s="481" t="s">
        <v>439</v>
      </c>
      <c r="C10" s="481" t="s">
        <v>439</v>
      </c>
      <c r="D10" s="481" t="s">
        <v>439</v>
      </c>
      <c r="E10" s="481" t="s">
        <v>439</v>
      </c>
      <c r="F10" s="481" t="s">
        <v>439</v>
      </c>
      <c r="G10" s="481" t="s">
        <v>439</v>
      </c>
      <c r="H10" s="481" t="s">
        <v>439</v>
      </c>
      <c r="I10" s="481" t="s">
        <v>439</v>
      </c>
      <c r="J10" s="481" t="s">
        <v>439</v>
      </c>
      <c r="K10" s="481" t="s">
        <v>439</v>
      </c>
      <c r="L10" s="481" t="s">
        <v>439</v>
      </c>
      <c r="M10" s="481" t="s">
        <v>439</v>
      </c>
      <c r="N10" s="481" t="s">
        <v>439</v>
      </c>
      <c r="O10" s="481" t="s">
        <v>439</v>
      </c>
      <c r="P10" s="481" t="s">
        <v>439</v>
      </c>
      <c r="Q10" s="481" t="s">
        <v>439</v>
      </c>
      <c r="R10" s="481" t="s">
        <v>439</v>
      </c>
    </row>
    <row r="11" spans="1:21">
      <c r="A11" s="482" t="s">
        <v>479</v>
      </c>
      <c r="B11" s="97">
        <f>+'Cost Trends'!F62</f>
        <v>15127</v>
      </c>
      <c r="C11" s="97">
        <f>+'Cost Trends'!G62</f>
        <v>16340</v>
      </c>
      <c r="D11" s="97">
        <f>+'Cost Trends'!H62</f>
        <v>20910</v>
      </c>
      <c r="E11" s="97">
        <f>+'Cost Trends'!I62</f>
        <v>21299</v>
      </c>
      <c r="F11" s="97">
        <f>+'Cost Trends'!J62</f>
        <v>21374</v>
      </c>
      <c r="G11" s="97">
        <f>+'Cost Trends'!K62</f>
        <v>22459</v>
      </c>
      <c r="H11" s="97">
        <f>+'Cost Trends'!L62</f>
        <v>23458</v>
      </c>
      <c r="I11" s="97">
        <f>+'Cost Trends'!M62</f>
        <v>20632</v>
      </c>
      <c r="J11" s="97">
        <f>+'Cost Trends'!N62</f>
        <v>23321</v>
      </c>
      <c r="K11" s="97">
        <f>+'Cost Trends'!O62</f>
        <v>57116</v>
      </c>
      <c r="L11" s="97">
        <f>+'Cost Trends'!P62</f>
        <v>81955</v>
      </c>
      <c r="M11" s="97">
        <f>+'Cost Trends'!Q62</f>
        <v>84081</v>
      </c>
      <c r="N11" s="97">
        <f>+'Cost Trends'!R62</f>
        <v>85247</v>
      </c>
      <c r="O11" s="97">
        <f>+'Cost Trends'!S62</f>
        <v>91466</v>
      </c>
      <c r="P11" s="97">
        <f>+'Cost Trends'!T62</f>
        <v>102620</v>
      </c>
      <c r="Q11" s="97">
        <f>+'Cost Trends'!U62</f>
        <v>144970</v>
      </c>
      <c r="R11" s="97">
        <f>+'Cost Trends'!V62</f>
        <v>156057</v>
      </c>
    </row>
    <row r="12" spans="1:21">
      <c r="A12" s="470" t="s">
        <v>480</v>
      </c>
      <c r="B12" s="97">
        <f>-'Cost Trends'!F74*'Sheet1 (2)'!$D$6/'Sheet1 (2)'!$D$11</f>
        <v>-4278.6358874193202</v>
      </c>
      <c r="C12" s="97">
        <f>-'Cost Trends'!G74*'Sheet1 (2)'!$D$6/'Sheet1 (2)'!$D$11</f>
        <v>-4500.697140642249</v>
      </c>
      <c r="D12" s="97">
        <f>-'Cost Trends'!H74*'Sheet1 (2)'!$D$6/'Sheet1 (2)'!$D$11</f>
        <v>-4720.9850885509786</v>
      </c>
      <c r="E12" s="97">
        <f>-'Cost Trends'!I74*'Sheet1 (2)'!$D$6/'Sheet1 (2)'!$D$11</f>
        <v>-5095.417902478971</v>
      </c>
      <c r="F12" s="97">
        <f>-'Cost Trends'!J74*'Sheet1 (2)'!$D$6/'Sheet1 (2)'!$D$11</f>
        <v>-5396.626476562159</v>
      </c>
      <c r="G12" s="97">
        <f>-'Cost Trends'!K74*'Sheet1 (2)'!$D$6/'Sheet1 (2)'!$D$11</f>
        <v>-5728.9342418018377</v>
      </c>
      <c r="H12" s="97">
        <f>-'Cost Trends'!L74*'Sheet1 (2)'!$D$6/'Sheet1 (2)'!$D$11</f>
        <v>-6111.2564548827968</v>
      </c>
      <c r="I12" s="97">
        <f>-'Sheet1 (2)'!D6</f>
        <v>-6349</v>
      </c>
      <c r="J12" s="97">
        <f>-'Sheet1 (2)'!E6</f>
        <v>-7252</v>
      </c>
      <c r="K12" s="97">
        <f>-'Sheet1 (2)'!F6</f>
        <v>-9302</v>
      </c>
      <c r="L12" s="97">
        <f>-'Sheet1 (2)'!G6</f>
        <v>-12606</v>
      </c>
      <c r="M12" s="97">
        <f>-'Cost Trends'!Q69</f>
        <v>-3744</v>
      </c>
      <c r="N12" s="97">
        <f>-'Cost Trends'!R69</f>
        <v>-4369</v>
      </c>
      <c r="O12" s="97">
        <f>-'Cost Trends'!S69</f>
        <v>-17667</v>
      </c>
      <c r="P12" s="97">
        <f>-'Cost Trends'!T69</f>
        <v>-20242</v>
      </c>
      <c r="Q12" s="97">
        <f>-'Cost Trends'!U69</f>
        <v>-24943</v>
      </c>
      <c r="R12" s="97">
        <f>-'Cost Trends'!V69</f>
        <v>-30914</v>
      </c>
    </row>
    <row r="13" spans="1:21" ht="16.5" customHeight="1">
      <c r="A13" s="470" t="s">
        <v>523</v>
      </c>
      <c r="B13" s="97"/>
      <c r="C13" s="97"/>
      <c r="D13" s="97"/>
      <c r="E13" s="97"/>
      <c r="F13" s="97"/>
      <c r="G13" s="97"/>
      <c r="H13" s="97"/>
      <c r="I13" s="97"/>
      <c r="J13" s="97"/>
      <c r="K13" s="97"/>
      <c r="L13" s="97"/>
      <c r="M13" s="97"/>
      <c r="N13" s="97"/>
      <c r="O13" s="97"/>
      <c r="P13" s="97"/>
      <c r="Q13" s="97">
        <f>-25812.396</f>
        <v>-25812.396000000001</v>
      </c>
      <c r="R13" s="97">
        <f>-25812.396</f>
        <v>-25812.396000000001</v>
      </c>
    </row>
    <row r="14" spans="1:21" ht="8.25" customHeight="1">
      <c r="B14" s="481" t="s">
        <v>439</v>
      </c>
      <c r="C14" s="481" t="s">
        <v>439</v>
      </c>
      <c r="D14" s="481" t="s">
        <v>439</v>
      </c>
      <c r="E14" s="481" t="s">
        <v>439</v>
      </c>
      <c r="F14" s="481" t="s">
        <v>439</v>
      </c>
      <c r="G14" s="481" t="s">
        <v>439</v>
      </c>
      <c r="H14" s="481" t="s">
        <v>439</v>
      </c>
      <c r="I14" s="481" t="s">
        <v>439</v>
      </c>
      <c r="J14" s="481" t="s">
        <v>439</v>
      </c>
      <c r="K14" s="481" t="s">
        <v>439</v>
      </c>
      <c r="L14" s="481" t="s">
        <v>439</v>
      </c>
      <c r="M14" s="481" t="s">
        <v>439</v>
      </c>
      <c r="N14" s="481" t="s">
        <v>439</v>
      </c>
      <c r="O14" s="481" t="s">
        <v>439</v>
      </c>
      <c r="P14" s="481" t="s">
        <v>439</v>
      </c>
      <c r="Q14" s="481" t="s">
        <v>439</v>
      </c>
      <c r="R14" s="481" t="s">
        <v>439</v>
      </c>
    </row>
    <row r="15" spans="1:21" ht="26.25" customHeight="1">
      <c r="A15" s="483" t="str">
        <f>+"Total "&amp;B4</f>
        <v>Total Intangible Net Plant</v>
      </c>
      <c r="B15" s="484">
        <f t="shared" ref="B15:O15" si="1">+SUM(B10:B14)</f>
        <v>10848.364112580679</v>
      </c>
      <c r="C15" s="484">
        <f t="shared" si="1"/>
        <v>11839.302859357751</v>
      </c>
      <c r="D15" s="484">
        <f t="shared" si="1"/>
        <v>16189.014911449021</v>
      </c>
      <c r="E15" s="484">
        <f t="shared" si="1"/>
        <v>16203.58209752103</v>
      </c>
      <c r="F15" s="484">
        <f t="shared" si="1"/>
        <v>15977.37352343784</v>
      </c>
      <c r="G15" s="484">
        <f t="shared" si="1"/>
        <v>16730.065758198161</v>
      </c>
      <c r="H15" s="484">
        <f t="shared" si="1"/>
        <v>17346.743545117202</v>
      </c>
      <c r="I15" s="484">
        <f t="shared" si="1"/>
        <v>14283</v>
      </c>
      <c r="J15" s="484">
        <f t="shared" si="1"/>
        <v>16069</v>
      </c>
      <c r="K15" s="484">
        <f t="shared" si="1"/>
        <v>47814</v>
      </c>
      <c r="L15" s="484">
        <f t="shared" si="1"/>
        <v>69349</v>
      </c>
      <c r="M15" s="484">
        <f t="shared" si="1"/>
        <v>80337</v>
      </c>
      <c r="N15" s="484">
        <f t="shared" si="1"/>
        <v>80878</v>
      </c>
      <c r="O15" s="484">
        <f t="shared" si="1"/>
        <v>73799</v>
      </c>
      <c r="P15" s="484">
        <f t="shared" ref="P15:R15" si="2">+SUM(P10:P14)</f>
        <v>82378</v>
      </c>
      <c r="Q15" s="484">
        <f t="shared" si="2"/>
        <v>94214.603999999992</v>
      </c>
      <c r="R15" s="484">
        <f t="shared" si="2"/>
        <v>99330.603999999992</v>
      </c>
    </row>
    <row r="16" spans="1:21">
      <c r="P16" s="327"/>
      <c r="Q16" s="327"/>
    </row>
    <row r="17" spans="1:20">
      <c r="P17" s="327"/>
      <c r="Q17" s="327"/>
    </row>
    <row r="18" spans="1:20">
      <c r="A18" s="485" t="s">
        <v>442</v>
      </c>
      <c r="B18" s="486"/>
      <c r="C18" s="487"/>
      <c r="D18" s="485" t="s">
        <v>504</v>
      </c>
      <c r="E18" s="485"/>
      <c r="F18" s="486"/>
      <c r="G18" s="486"/>
      <c r="H18" s="486"/>
      <c r="I18" s="486"/>
      <c r="J18" s="486"/>
      <c r="K18" s="486"/>
      <c r="L18" s="486"/>
      <c r="M18" s="486"/>
      <c r="N18" s="486"/>
      <c r="O18" s="486"/>
      <c r="P18" s="488"/>
      <c r="Q18" s="488"/>
      <c r="R18" s="486"/>
    </row>
    <row r="19" spans="1:20" ht="19.5" customHeight="1">
      <c r="A19" s="473"/>
      <c r="B19" s="489"/>
      <c r="C19" s="489"/>
      <c r="D19" s="489"/>
      <c r="E19" s="489"/>
      <c r="F19" s="489"/>
      <c r="G19" s="489"/>
      <c r="H19" s="489"/>
      <c r="I19" s="489"/>
    </row>
    <row r="20" spans="1:20" ht="19.5" customHeight="1">
      <c r="A20" s="529" t="s">
        <v>502</v>
      </c>
      <c r="B20" s="490">
        <f ca="1">+LINEST(
OFFSET($B$76,0,0,1,SUM($B$70:$R$70)),
OFFSET($B$75,0,0,1,SUM($B$70:$R$70)),
,
1)</f>
        <v>4101.6237714285699</v>
      </c>
      <c r="C20" s="489"/>
      <c r="D20" s="489"/>
      <c r="E20" s="489"/>
      <c r="F20" s="489"/>
      <c r="G20" s="489"/>
      <c r="H20" s="489"/>
      <c r="I20" s="489"/>
    </row>
    <row r="21" spans="1:20" ht="19.5" customHeight="1">
      <c r="A21" s="473" t="s">
        <v>503</v>
      </c>
      <c r="B21" s="489">
        <f ca="1">RSQ(
OFFSET($B$76,0,0,1,SUM($B$70:$R$70)),
OFFSET($B$75,0,0,1,SUM($B$70:$R$70))
)</f>
        <v>0.6383515810531244</v>
      </c>
      <c r="C21" s="490"/>
      <c r="D21" s="490"/>
      <c r="E21" s="490"/>
      <c r="F21" s="490"/>
      <c r="G21" s="490"/>
      <c r="H21" s="490"/>
      <c r="I21" s="490"/>
    </row>
    <row r="22" spans="1:20" ht="19.5" customHeight="1">
      <c r="A22" s="470" t="s">
        <v>443</v>
      </c>
      <c r="B22" s="491">
        <f ca="1">+B20/R15</f>
        <v>4.1292649055356297E-2</v>
      </c>
      <c r="C22" s="489"/>
      <c r="D22" s="489"/>
      <c r="E22" s="489"/>
      <c r="F22" s="489"/>
      <c r="G22" s="489"/>
      <c r="H22" s="489"/>
      <c r="I22" s="489"/>
    </row>
    <row r="23" spans="1:20" ht="19.5" customHeight="1">
      <c r="A23" s="327" t="str">
        <f>+'2) ROR'!$D$19&amp;"-year Growth Rate"</f>
        <v>1-year Growth Rate</v>
      </c>
      <c r="B23" s="530">
        <f ca="1">ROUND(B22*'2) ROR'!$D$19,4)</f>
        <v>4.1300000000000003E-2</v>
      </c>
      <c r="C23" s="491"/>
      <c r="D23" s="491"/>
      <c r="E23" s="491"/>
      <c r="F23" s="491"/>
      <c r="G23" s="491"/>
      <c r="H23" s="491"/>
      <c r="I23" s="491"/>
    </row>
    <row r="24" spans="1:20" ht="19.5" customHeight="1">
      <c r="C24" s="492"/>
      <c r="D24" s="492"/>
      <c r="E24" s="492"/>
      <c r="F24" s="492"/>
      <c r="G24" s="492"/>
      <c r="H24" s="492"/>
      <c r="I24" s="492"/>
      <c r="L24" s="362"/>
    </row>
    <row r="26" spans="1:20">
      <c r="S26" s="493"/>
      <c r="T26" s="493"/>
    </row>
    <row r="27" spans="1:20">
      <c r="S27" s="494"/>
      <c r="T27" s="494"/>
    </row>
    <row r="28" spans="1:20">
      <c r="S28" s="494"/>
      <c r="T28" s="494"/>
    </row>
    <row r="29" spans="1:20">
      <c r="S29" s="494"/>
      <c r="T29" s="494"/>
    </row>
    <row r="30" spans="1:20">
      <c r="S30" s="494"/>
      <c r="T30" s="494"/>
    </row>
    <row r="31" spans="1:20">
      <c r="S31" s="494"/>
      <c r="T31" s="494"/>
    </row>
    <row r="34" spans="19:21">
      <c r="S34" s="495"/>
      <c r="T34" s="495"/>
      <c r="U34" s="495"/>
    </row>
    <row r="35" spans="19:21">
      <c r="S35" s="494"/>
      <c r="T35" s="494"/>
      <c r="U35" s="494"/>
    </row>
    <row r="36" spans="19:21">
      <c r="S36" s="494"/>
      <c r="T36" s="494"/>
      <c r="U36" s="494"/>
    </row>
    <row r="37" spans="19:21">
      <c r="S37" s="494"/>
      <c r="T37" s="494"/>
      <c r="U37" s="494"/>
    </row>
    <row r="38" spans="19:21">
      <c r="S38" s="494"/>
      <c r="T38" s="494"/>
      <c r="U38" s="494"/>
    </row>
    <row r="39" spans="19:21">
      <c r="S39" s="494"/>
      <c r="T39" s="494"/>
      <c r="U39" s="494"/>
    </row>
    <row r="40" spans="19:21">
      <c r="S40" s="494"/>
      <c r="T40" s="494"/>
      <c r="U40" s="494"/>
    </row>
    <row r="41" spans="19:21">
      <c r="S41" s="494"/>
      <c r="T41" s="494"/>
      <c r="U41" s="494"/>
    </row>
    <row r="42" spans="19:21">
      <c r="S42" s="494"/>
      <c r="T42" s="494"/>
      <c r="U42" s="494"/>
    </row>
    <row r="43" spans="19:21">
      <c r="S43" s="494"/>
      <c r="T43" s="494"/>
      <c r="U43" s="494"/>
    </row>
    <row r="44" spans="19:21">
      <c r="S44" s="494"/>
      <c r="T44" s="494"/>
      <c r="U44" s="494"/>
    </row>
    <row r="45" spans="19:21">
      <c r="S45" s="494"/>
      <c r="T45" s="494"/>
      <c r="U45" s="494"/>
    </row>
    <row r="46" spans="19:21">
      <c r="S46" s="494"/>
      <c r="T46" s="494"/>
      <c r="U46" s="494"/>
    </row>
    <row r="47" spans="19:21">
      <c r="S47" s="494"/>
      <c r="T47" s="494"/>
      <c r="U47" s="494"/>
    </row>
    <row r="48" spans="19:21">
      <c r="S48" s="494"/>
      <c r="T48" s="494"/>
      <c r="U48" s="494"/>
    </row>
    <row r="49" spans="19:21">
      <c r="S49" s="494"/>
      <c r="T49" s="494"/>
      <c r="U49" s="494"/>
    </row>
    <row r="50" spans="19:21">
      <c r="S50" s="494"/>
      <c r="T50" s="494"/>
      <c r="U50" s="494"/>
    </row>
    <row r="51" spans="19:21">
      <c r="S51" s="494"/>
      <c r="T51" s="494"/>
      <c r="U51" s="494"/>
    </row>
    <row r="52" spans="19:21">
      <c r="S52" s="494"/>
      <c r="T52" s="494"/>
      <c r="U52" s="494"/>
    </row>
    <row r="53" spans="19:21">
      <c r="S53" s="494"/>
      <c r="T53" s="494"/>
      <c r="U53" s="494"/>
    </row>
    <row r="54" spans="19:21">
      <c r="S54" s="494"/>
      <c r="T54" s="494"/>
      <c r="U54" s="494"/>
    </row>
    <row r="55" spans="19:21">
      <c r="S55" s="494"/>
      <c r="T55" s="494"/>
      <c r="U55" s="494"/>
    </row>
    <row r="56" spans="19:21">
      <c r="S56" s="494"/>
      <c r="T56" s="494"/>
      <c r="U56" s="494"/>
    </row>
    <row r="57" spans="19:21">
      <c r="S57" s="494"/>
      <c r="T57" s="494"/>
      <c r="U57" s="494"/>
    </row>
    <row r="59" spans="19:21">
      <c r="S59" s="495"/>
      <c r="T59" s="495"/>
      <c r="U59" s="495"/>
    </row>
    <row r="60" spans="19:21">
      <c r="S60" s="494"/>
      <c r="T60" s="494"/>
      <c r="U60" s="494"/>
    </row>
    <row r="61" spans="19:21">
      <c r="S61" s="494"/>
      <c r="T61" s="494"/>
      <c r="U61" s="494"/>
    </row>
    <row r="67" spans="1:21">
      <c r="S67" s="495"/>
      <c r="T67" s="495"/>
      <c r="U67" s="495"/>
    </row>
    <row r="68" spans="1:21">
      <c r="A68" s="496" t="s">
        <v>444</v>
      </c>
      <c r="S68" s="494"/>
      <c r="T68" s="494"/>
      <c r="U68" s="494"/>
    </row>
    <row r="69" spans="1:21">
      <c r="A69" s="496" t="s">
        <v>445</v>
      </c>
      <c r="B69" s="496">
        <f t="shared" ref="B69:O69" si="3">+B9</f>
        <v>2000</v>
      </c>
      <c r="C69" s="496">
        <f t="shared" si="3"/>
        <v>2001</v>
      </c>
      <c r="D69" s="496">
        <f t="shared" si="3"/>
        <v>2002</v>
      </c>
      <c r="E69" s="496">
        <f t="shared" si="3"/>
        <v>2003</v>
      </c>
      <c r="F69" s="496">
        <f t="shared" si="3"/>
        <v>2004</v>
      </c>
      <c r="G69" s="496">
        <f t="shared" si="3"/>
        <v>2005</v>
      </c>
      <c r="H69" s="496">
        <f t="shared" si="3"/>
        <v>2006</v>
      </c>
      <c r="I69" s="496">
        <f t="shared" si="3"/>
        <v>2007</v>
      </c>
      <c r="J69" s="496">
        <f t="shared" si="3"/>
        <v>2008</v>
      </c>
      <c r="K69" s="496">
        <f t="shared" si="3"/>
        <v>2009</v>
      </c>
      <c r="L69" s="496">
        <f t="shared" si="3"/>
        <v>2010</v>
      </c>
      <c r="M69" s="496">
        <f t="shared" si="3"/>
        <v>2011</v>
      </c>
      <c r="N69" s="496">
        <f t="shared" si="3"/>
        <v>2012</v>
      </c>
      <c r="O69" s="496">
        <f t="shared" si="3"/>
        <v>2013</v>
      </c>
      <c r="P69" s="496">
        <f t="shared" ref="P69:R69" si="4">+P9</f>
        <v>2014</v>
      </c>
      <c r="Q69" s="496">
        <f t="shared" si="4"/>
        <v>2015</v>
      </c>
      <c r="R69" s="496">
        <f t="shared" si="4"/>
        <v>2016</v>
      </c>
    </row>
    <row r="70" spans="1:21">
      <c r="A70" s="497" t="s">
        <v>446</v>
      </c>
      <c r="B70" s="497"/>
      <c r="C70" s="497"/>
      <c r="D70" s="497"/>
      <c r="E70" s="497"/>
      <c r="F70" s="497"/>
      <c r="G70" s="497"/>
      <c r="H70" s="497"/>
      <c r="I70" s="497"/>
      <c r="J70" s="497"/>
      <c r="K70" s="497"/>
      <c r="L70" s="497">
        <v>0</v>
      </c>
      <c r="M70" s="497">
        <v>1</v>
      </c>
      <c r="N70" s="497">
        <v>1</v>
      </c>
      <c r="O70" s="497">
        <v>1</v>
      </c>
      <c r="P70" s="497">
        <v>1</v>
      </c>
      <c r="Q70" s="497">
        <v>1</v>
      </c>
      <c r="R70" s="497">
        <v>1</v>
      </c>
    </row>
    <row r="71" spans="1:21">
      <c r="A71" s="490"/>
      <c r="B71" s="490"/>
      <c r="C71" s="490"/>
      <c r="D71" s="490"/>
      <c r="E71" s="490"/>
      <c r="F71" s="490"/>
      <c r="G71" s="490"/>
      <c r="H71" s="490"/>
      <c r="I71" s="490"/>
      <c r="J71" s="490"/>
      <c r="K71" s="490"/>
      <c r="L71" s="490"/>
      <c r="M71" s="490"/>
      <c r="N71" s="490"/>
      <c r="O71" s="490"/>
      <c r="P71" s="490"/>
      <c r="Q71" s="490"/>
      <c r="R71" s="490"/>
      <c r="S71" s="490"/>
      <c r="T71" s="490"/>
      <c r="U71" s="490"/>
    </row>
    <row r="72" spans="1:21">
      <c r="A72" s="490"/>
      <c r="B72" s="490"/>
      <c r="C72" s="490"/>
      <c r="D72" s="490"/>
      <c r="E72" s="490"/>
      <c r="F72" s="490"/>
      <c r="G72" s="490"/>
      <c r="H72" s="490"/>
      <c r="I72" s="490"/>
      <c r="J72" s="490"/>
      <c r="K72" s="490"/>
      <c r="L72" s="490"/>
      <c r="M72" s="490"/>
      <c r="N72" s="490"/>
      <c r="O72" s="490"/>
      <c r="P72" s="490"/>
      <c r="Q72" s="490"/>
      <c r="R72" s="490"/>
      <c r="S72" s="490"/>
      <c r="T72" s="490"/>
      <c r="U72" s="490"/>
    </row>
    <row r="73" spans="1:21">
      <c r="A73" s="498" t="s">
        <v>447</v>
      </c>
      <c r="B73" s="499">
        <f>+SUM($B70:B$70)</f>
        <v>0</v>
      </c>
      <c r="C73" s="499">
        <f>+SUM($B70:C$70)</f>
        <v>0</v>
      </c>
      <c r="D73" s="499">
        <f>+SUM($B70:D$70)</f>
        <v>0</v>
      </c>
      <c r="E73" s="499">
        <f>+SUM($B70:E$70)</f>
        <v>0</v>
      </c>
      <c r="F73" s="499">
        <f>+SUM($B70:F$70)</f>
        <v>0</v>
      </c>
      <c r="G73" s="499">
        <f>+SUM($B70:G$70)</f>
        <v>0</v>
      </c>
      <c r="H73" s="499">
        <f>+SUM($B70:H$70)</f>
        <v>0</v>
      </c>
      <c r="I73" s="499">
        <f>+SUM($B70:I$70)</f>
        <v>0</v>
      </c>
      <c r="J73" s="499">
        <f>+SUM($B70:J$70)</f>
        <v>0</v>
      </c>
      <c r="K73" s="499">
        <f>+SUM($B70:K$70)</f>
        <v>0</v>
      </c>
      <c r="L73" s="499">
        <f>+SUM($B70:L$70)</f>
        <v>0</v>
      </c>
      <c r="M73" s="499">
        <f>+SUM($B70:M$70)</f>
        <v>1</v>
      </c>
      <c r="N73" s="499">
        <f>+SUM($B70:N$70)</f>
        <v>2</v>
      </c>
      <c r="O73" s="499">
        <f>+SUM($B70:O$70)</f>
        <v>3</v>
      </c>
      <c r="P73" s="499">
        <f>+SUM($B70:P$70)</f>
        <v>4</v>
      </c>
      <c r="Q73" s="499">
        <f>+SUM($B70:Q$70)</f>
        <v>5</v>
      </c>
      <c r="R73" s="499">
        <f>+SUM($B70:R$70)</f>
        <v>6</v>
      </c>
      <c r="S73" s="490"/>
      <c r="T73" s="490"/>
      <c r="U73" s="490"/>
    </row>
    <row r="74" spans="1:21">
      <c r="A74" s="498" t="s">
        <v>448</v>
      </c>
      <c r="B74" s="500">
        <v>1</v>
      </c>
      <c r="C74" s="500">
        <f t="shared" ref="C74:K74" si="5">+B74+1</f>
        <v>2</v>
      </c>
      <c r="D74" s="500">
        <f t="shared" si="5"/>
        <v>3</v>
      </c>
      <c r="E74" s="500">
        <f t="shared" si="5"/>
        <v>4</v>
      </c>
      <c r="F74" s="500">
        <f t="shared" si="5"/>
        <v>5</v>
      </c>
      <c r="G74" s="500">
        <f t="shared" si="5"/>
        <v>6</v>
      </c>
      <c r="H74" s="500">
        <f t="shared" si="5"/>
        <v>7</v>
      </c>
      <c r="I74" s="500">
        <f t="shared" si="5"/>
        <v>8</v>
      </c>
      <c r="J74" s="500">
        <f t="shared" si="5"/>
        <v>9</v>
      </c>
      <c r="K74" s="500">
        <f t="shared" si="5"/>
        <v>10</v>
      </c>
      <c r="L74" s="500">
        <f>+K74+1</f>
        <v>11</v>
      </c>
      <c r="M74" s="500">
        <f t="shared" ref="M74:O74" si="6">+L74+1</f>
        <v>12</v>
      </c>
      <c r="N74" s="500">
        <f t="shared" si="6"/>
        <v>13</v>
      </c>
      <c r="O74" s="500">
        <f t="shared" si="6"/>
        <v>14</v>
      </c>
      <c r="P74" s="500">
        <f t="shared" ref="P74" si="7">+O74+1</f>
        <v>15</v>
      </c>
      <c r="Q74" s="500">
        <f t="shared" ref="Q74" si="8">+P74+1</f>
        <v>16</v>
      </c>
      <c r="R74" s="500">
        <f t="shared" ref="R74" si="9">+Q74+1</f>
        <v>17</v>
      </c>
    </row>
    <row r="75" spans="1:21">
      <c r="A75" s="498" t="s">
        <v>449</v>
      </c>
      <c r="B75" s="500">
        <f t="shared" ref="B75:O75" ca="1" si="10">+OFFSET($A$69,0,MATCH(B$74,$B$73:$R$73,0))</f>
        <v>2011</v>
      </c>
      <c r="C75" s="500">
        <f t="shared" ca="1" si="10"/>
        <v>2012</v>
      </c>
      <c r="D75" s="500">
        <f t="shared" ca="1" si="10"/>
        <v>2013</v>
      </c>
      <c r="E75" s="500">
        <f t="shared" ca="1" si="10"/>
        <v>2014</v>
      </c>
      <c r="F75" s="500">
        <f t="shared" ca="1" si="10"/>
        <v>2015</v>
      </c>
      <c r="G75" s="500">
        <f t="shared" ca="1" si="10"/>
        <v>2016</v>
      </c>
      <c r="H75" s="500" t="e">
        <f t="shared" ca="1" si="10"/>
        <v>#N/A</v>
      </c>
      <c r="I75" s="500" t="e">
        <f t="shared" ca="1" si="10"/>
        <v>#N/A</v>
      </c>
      <c r="J75" s="500" t="e">
        <f t="shared" ca="1" si="10"/>
        <v>#N/A</v>
      </c>
      <c r="K75" s="500" t="e">
        <f t="shared" ca="1" si="10"/>
        <v>#N/A</v>
      </c>
      <c r="L75" s="500" t="e">
        <f t="shared" ca="1" si="10"/>
        <v>#N/A</v>
      </c>
      <c r="M75" s="500" t="e">
        <f t="shared" ca="1" si="10"/>
        <v>#N/A</v>
      </c>
      <c r="N75" s="500" t="e">
        <f t="shared" ca="1" si="10"/>
        <v>#N/A</v>
      </c>
      <c r="O75" s="500" t="e">
        <f t="shared" ca="1" si="10"/>
        <v>#N/A</v>
      </c>
      <c r="P75" s="500" t="e">
        <f t="shared" ref="P75:R75" ca="1" si="11">+OFFSET($A$69,0,MATCH(P$74,$B$73:$R$73,0))</f>
        <v>#N/A</v>
      </c>
      <c r="Q75" s="500" t="e">
        <f t="shared" ca="1" si="11"/>
        <v>#N/A</v>
      </c>
      <c r="R75" s="500" t="e">
        <f t="shared" ca="1" si="11"/>
        <v>#N/A</v>
      </c>
    </row>
    <row r="76" spans="1:21">
      <c r="A76" s="498" t="s">
        <v>450</v>
      </c>
      <c r="B76" s="498">
        <f t="shared" ref="B76:O76" ca="1" si="12">+INDEX(15:15,1,MATCH(B$75,9:9,0))</f>
        <v>80337</v>
      </c>
      <c r="C76" s="498">
        <f t="shared" ca="1" si="12"/>
        <v>80878</v>
      </c>
      <c r="D76" s="498">
        <f t="shared" ca="1" si="12"/>
        <v>73799</v>
      </c>
      <c r="E76" s="498">
        <f t="shared" ca="1" si="12"/>
        <v>82378</v>
      </c>
      <c r="F76" s="498">
        <f t="shared" ca="1" si="12"/>
        <v>94214.603999999992</v>
      </c>
      <c r="G76" s="498">
        <f t="shared" ca="1" si="12"/>
        <v>99330.603999999992</v>
      </c>
      <c r="H76" s="498" t="e">
        <f t="shared" ca="1" si="12"/>
        <v>#N/A</v>
      </c>
      <c r="I76" s="498" t="e">
        <f t="shared" ca="1" si="12"/>
        <v>#N/A</v>
      </c>
      <c r="J76" s="498" t="e">
        <f t="shared" ca="1" si="12"/>
        <v>#N/A</v>
      </c>
      <c r="K76" s="498" t="e">
        <f t="shared" ca="1" si="12"/>
        <v>#N/A</v>
      </c>
      <c r="L76" s="498" t="e">
        <f t="shared" ca="1" si="12"/>
        <v>#N/A</v>
      </c>
      <c r="M76" s="498" t="e">
        <f t="shared" ca="1" si="12"/>
        <v>#N/A</v>
      </c>
      <c r="N76" s="498" t="e">
        <f t="shared" ca="1" si="12"/>
        <v>#N/A</v>
      </c>
      <c r="O76" s="498" t="e">
        <f t="shared" ca="1" si="12"/>
        <v>#N/A</v>
      </c>
      <c r="P76" s="498" t="e">
        <f t="shared" ref="P76:R76" ca="1" si="13">+INDEX(15:15,1,MATCH(P$75,9:9,0))</f>
        <v>#N/A</v>
      </c>
      <c r="Q76" s="498" t="e">
        <f t="shared" ca="1" si="13"/>
        <v>#N/A</v>
      </c>
      <c r="R76" s="498" t="e">
        <f t="shared" ca="1" si="13"/>
        <v>#N/A</v>
      </c>
    </row>
    <row r="79" spans="1:21">
      <c r="A79" s="501"/>
      <c r="B79" s="502" t="s">
        <v>451</v>
      </c>
      <c r="C79" s="503"/>
    </row>
    <row r="80" spans="1:21">
      <c r="A80" s="501" t="s">
        <v>452</v>
      </c>
      <c r="B80" s="504">
        <f t="array" aca="1" ref="B80:C84" ca="1">+LINEST(
OFFSET($B76,0,0,1,SUM($B70:$R70)),
OFFSET($B75,0,0,1,SUM($B70:$R70)),
,
1)</f>
        <v>4101.6237714285699</v>
      </c>
      <c r="C80" s="504">
        <f ca="1"/>
        <v>-8173463.2624380914</v>
      </c>
      <c r="D80" s="470" t="s">
        <v>453</v>
      </c>
    </row>
    <row r="81" spans="1:4">
      <c r="A81" s="501" t="s">
        <v>454</v>
      </c>
      <c r="B81" s="504">
        <f ca="1"/>
        <v>1543.6155396680699</v>
      </c>
      <c r="C81" s="504">
        <f ca="1"/>
        <v>3108071.0071279118</v>
      </c>
      <c r="D81" s="470" t="s">
        <v>455</v>
      </c>
    </row>
    <row r="82" spans="1:4">
      <c r="A82" s="501" t="s">
        <v>456</v>
      </c>
      <c r="B82" s="504">
        <f ca="1"/>
        <v>0.6383515810531244</v>
      </c>
      <c r="C82" s="504">
        <f ca="1"/>
        <v>6457.4070918854941</v>
      </c>
      <c r="D82" s="470" t="s">
        <v>457</v>
      </c>
    </row>
    <row r="83" spans="1:4">
      <c r="A83" s="505" t="s">
        <v>458</v>
      </c>
      <c r="B83" s="504">
        <f ca="1"/>
        <v>7.0604658846513066</v>
      </c>
      <c r="C83" s="504">
        <f ca="1"/>
        <v>4</v>
      </c>
      <c r="D83" s="470" t="s">
        <v>459</v>
      </c>
    </row>
    <row r="84" spans="1:4">
      <c r="A84" s="505" t="s">
        <v>460</v>
      </c>
      <c r="B84" s="504">
        <f ca="1"/>
        <v>294408057.34108865</v>
      </c>
      <c r="C84" s="504">
        <f ca="1"/>
        <v>166792425.40133229</v>
      </c>
      <c r="D84" s="470" t="s">
        <v>461</v>
      </c>
    </row>
    <row r="85" spans="1:4">
      <c r="A85" s="501"/>
    </row>
    <row r="86" spans="1:4">
      <c r="A86" s="501"/>
    </row>
    <row r="87" spans="1:4">
      <c r="A87" s="501" t="s">
        <v>462</v>
      </c>
      <c r="B87" s="470">
        <f ca="1">+B80/B81</f>
        <v>2.6571537186717875</v>
      </c>
    </row>
    <row r="88" spans="1:4">
      <c r="A88" s="505" t="s">
        <v>463</v>
      </c>
      <c r="B88" s="506">
        <f ca="1">+TDIST(B87,C83,2)</f>
        <v>5.6557974914981858E-2</v>
      </c>
    </row>
    <row r="89" spans="1:4">
      <c r="A89" s="505"/>
      <c r="B89" s="506"/>
    </row>
  </sheetData>
  <conditionalFormatting sqref="B15:H15 J15:R15">
    <cfRule type="expression" dxfId="11" priority="2">
      <formula>B$70=1</formula>
    </cfRule>
  </conditionalFormatting>
  <conditionalFormatting sqref="B15:I15">
    <cfRule type="expression" dxfId="10"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86"/>
  <sheetViews>
    <sheetView showGridLines="0" zoomScale="70" zoomScaleNormal="70" zoomScaleSheetLayoutView="55" workbookViewId="0"/>
  </sheetViews>
  <sheetFormatPr defaultRowHeight="12.75"/>
  <cols>
    <col min="1" max="1" width="36.5703125" style="470" customWidth="1"/>
    <col min="2" max="16" width="11.28515625" style="470" customWidth="1"/>
    <col min="17" max="17" width="11.28515625" style="719" customWidth="1"/>
    <col min="18" max="18" width="11.28515625" style="470" customWidth="1"/>
    <col min="19" max="21" width="9.140625" style="473"/>
    <col min="22" max="16384" width="9.140625" style="470"/>
  </cols>
  <sheetData>
    <row r="1" spans="1:21" s="472" customFormat="1" ht="15.75">
      <c r="A1" s="656" t="s">
        <v>540</v>
      </c>
      <c r="S1" s="590"/>
      <c r="T1" s="590"/>
      <c r="U1" s="590"/>
    </row>
    <row r="2" spans="1:21" s="472" customFormat="1" ht="15.75">
      <c r="A2" s="338" t="s">
        <v>495</v>
      </c>
      <c r="S2" s="590"/>
      <c r="T2" s="590"/>
      <c r="U2" s="590"/>
    </row>
    <row r="3" spans="1:21" s="472" customFormat="1" ht="15.75">
      <c r="A3" s="338"/>
      <c r="S3" s="590"/>
      <c r="T3" s="590"/>
      <c r="U3" s="590"/>
    </row>
    <row r="4" spans="1:21" s="472" customFormat="1" ht="15.75">
      <c r="A4" s="589" t="s">
        <v>438</v>
      </c>
      <c r="B4" s="587" t="s">
        <v>481</v>
      </c>
      <c r="C4" s="587"/>
      <c r="D4" s="587"/>
      <c r="E4" s="587"/>
      <c r="F4" s="587"/>
      <c r="G4" s="587"/>
      <c r="H4" s="587"/>
      <c r="I4" s="587"/>
      <c r="S4" s="590"/>
      <c r="T4" s="590"/>
      <c r="U4" s="590"/>
    </row>
    <row r="5" spans="1:21" s="472" customFormat="1" ht="15">
      <c r="A5" s="588"/>
      <c r="S5" s="590"/>
      <c r="T5" s="590"/>
      <c r="U5" s="590"/>
    </row>
    <row r="6" spans="1:21" s="472" customFormat="1" ht="15">
      <c r="A6" s="592" t="s">
        <v>505</v>
      </c>
      <c r="S6" s="590"/>
      <c r="T6" s="590"/>
      <c r="U6" s="590"/>
    </row>
    <row r="8" spans="1:21">
      <c r="A8" s="474"/>
      <c r="B8" s="475"/>
      <c r="C8" s="475"/>
      <c r="D8" s="475"/>
      <c r="E8" s="475"/>
      <c r="F8" s="475"/>
      <c r="G8" s="475"/>
      <c r="H8" s="475"/>
      <c r="I8" s="475"/>
      <c r="J8" s="476"/>
      <c r="K8" s="476"/>
      <c r="L8" s="476"/>
      <c r="M8" s="476"/>
      <c r="N8" s="477"/>
      <c r="O8" s="477"/>
      <c r="P8" s="478"/>
      <c r="Q8" s="478"/>
      <c r="R8" s="477"/>
    </row>
    <row r="9" spans="1:21">
      <c r="B9" s="479">
        <f t="shared" ref="B9:H9" si="0">+C9-1</f>
        <v>2000</v>
      </c>
      <c r="C9" s="479">
        <f t="shared" si="0"/>
        <v>2001</v>
      </c>
      <c r="D9" s="479">
        <f t="shared" si="0"/>
        <v>2002</v>
      </c>
      <c r="E9" s="479">
        <f t="shared" si="0"/>
        <v>2003</v>
      </c>
      <c r="F9" s="479">
        <f t="shared" si="0"/>
        <v>2004</v>
      </c>
      <c r="G9" s="479">
        <f t="shared" si="0"/>
        <v>2005</v>
      </c>
      <c r="H9" s="479">
        <f t="shared" si="0"/>
        <v>2006</v>
      </c>
      <c r="I9" s="479">
        <f>+J9-1</f>
        <v>2007</v>
      </c>
      <c r="J9" s="479">
        <v>2008</v>
      </c>
      <c r="K9" s="480">
        <v>2009</v>
      </c>
      <c r="L9" s="480">
        <v>2010</v>
      </c>
      <c r="M9" s="480">
        <v>2011</v>
      </c>
      <c r="N9" s="480">
        <v>2012</v>
      </c>
      <c r="O9" s="480">
        <v>2013</v>
      </c>
      <c r="P9" s="480">
        <v>2014</v>
      </c>
      <c r="Q9" s="480">
        <v>2015</v>
      </c>
      <c r="R9" s="480">
        <v>2016</v>
      </c>
    </row>
    <row r="10" spans="1:21" ht="8.25" customHeight="1">
      <c r="B10" s="481" t="s">
        <v>439</v>
      </c>
      <c r="C10" s="481" t="s">
        <v>439</v>
      </c>
      <c r="D10" s="481" t="s">
        <v>439</v>
      </c>
      <c r="E10" s="481" t="s">
        <v>439</v>
      </c>
      <c r="F10" s="481" t="s">
        <v>439</v>
      </c>
      <c r="G10" s="481" t="s">
        <v>439</v>
      </c>
      <c r="H10" s="481" t="s">
        <v>439</v>
      </c>
      <c r="I10" s="481" t="s">
        <v>439</v>
      </c>
      <c r="J10" s="481" t="s">
        <v>439</v>
      </c>
      <c r="K10" s="481" t="s">
        <v>439</v>
      </c>
      <c r="L10" s="481" t="s">
        <v>439</v>
      </c>
      <c r="M10" s="481" t="s">
        <v>439</v>
      </c>
      <c r="N10" s="481" t="s">
        <v>439</v>
      </c>
      <c r="O10" s="481" t="s">
        <v>439</v>
      </c>
      <c r="P10" s="481" t="s">
        <v>439</v>
      </c>
      <c r="Q10" s="481" t="s">
        <v>439</v>
      </c>
      <c r="R10" s="481" t="s">
        <v>439</v>
      </c>
    </row>
    <row r="11" spans="1:21">
      <c r="A11" s="482" t="s">
        <v>479</v>
      </c>
      <c r="B11" s="97">
        <f>+'Cost Trends'!F63</f>
        <v>455498</v>
      </c>
      <c r="C11" s="97">
        <f>+'Cost Trends'!G63</f>
        <v>460292</v>
      </c>
      <c r="D11" s="97">
        <f>+'Cost Trends'!H63</f>
        <v>545002</v>
      </c>
      <c r="E11" s="97">
        <f>+'Cost Trends'!I63</f>
        <v>556067</v>
      </c>
      <c r="F11" s="97">
        <f>+'Cost Trends'!J63</f>
        <v>598268</v>
      </c>
      <c r="G11" s="97">
        <f>+'Cost Trends'!K63</f>
        <v>615624</v>
      </c>
      <c r="H11" s="97">
        <f>+'Cost Trends'!L63</f>
        <v>649965</v>
      </c>
      <c r="I11" s="97">
        <f>+'Cost Trends'!M63</f>
        <v>645576</v>
      </c>
      <c r="J11" s="97">
        <f>+'Cost Trends'!N63</f>
        <v>657099</v>
      </c>
      <c r="K11" s="97">
        <f>+'Cost Trends'!O63</f>
        <v>677646</v>
      </c>
      <c r="L11" s="97">
        <f>+'Cost Trends'!P63</f>
        <v>692689</v>
      </c>
      <c r="M11" s="97">
        <f>+'Cost Trends'!Q63</f>
        <v>706894</v>
      </c>
      <c r="N11" s="97">
        <f>+'Cost Trends'!R63</f>
        <v>717448</v>
      </c>
      <c r="O11" s="97">
        <f>+'Cost Trends'!S63</f>
        <v>738315</v>
      </c>
      <c r="P11" s="97">
        <f>+'Cost Trends'!T63</f>
        <v>746101</v>
      </c>
      <c r="Q11" s="97">
        <f>+'Cost Trends'!U63</f>
        <v>779441</v>
      </c>
      <c r="R11" s="97">
        <f>+'Cost Trends'!V63</f>
        <v>832833</v>
      </c>
    </row>
    <row r="12" spans="1:21">
      <c r="A12" s="470" t="s">
        <v>480</v>
      </c>
      <c r="B12" s="97">
        <f>-'Cost Trends'!F74*'Sheet1 (2)'!$D$7/'Sheet1 (2)'!$D$11</f>
        <v>-155495.96588303024</v>
      </c>
      <c r="C12" s="97">
        <f>-'Cost Trends'!G74*'Sheet1 (2)'!$D$7/'Sheet1 (2)'!$D$11</f>
        <v>-163566.20835367951</v>
      </c>
      <c r="D12" s="97">
        <f>-'Cost Trends'!H74*'Sheet1 (2)'!$D$7/'Sheet1 (2)'!$D$11</f>
        <v>-171572.00462467724</v>
      </c>
      <c r="E12" s="97">
        <f>-'Cost Trends'!I74*'Sheet1 (2)'!$D$7/'Sheet1 (2)'!$D$11</f>
        <v>-185179.7977606226</v>
      </c>
      <c r="F12" s="97">
        <f>-'Cost Trends'!J74*'Sheet1 (2)'!$D$7/'Sheet1 (2)'!$D$11</f>
        <v>-196126.4451014332</v>
      </c>
      <c r="G12" s="97">
        <f>-'Cost Trends'!K74*'Sheet1 (2)'!$D$7/'Sheet1 (2)'!$D$11</f>
        <v>-208203.31218851355</v>
      </c>
      <c r="H12" s="97">
        <f>-'Cost Trends'!L74*'Sheet1 (2)'!$D$7/'Sheet1 (2)'!$D$11</f>
        <v>-222097.82515148004</v>
      </c>
      <c r="I12" s="97">
        <f>-'Sheet1 (2)'!D7</f>
        <v>-230738</v>
      </c>
      <c r="J12" s="97">
        <f>-'Sheet1 (2)'!E7</f>
        <v>-243189</v>
      </c>
      <c r="K12" s="97">
        <f>-'Sheet1 (2)'!F7</f>
        <v>-255390</v>
      </c>
      <c r="L12" s="97">
        <f>-'Sheet1 (2)'!G7</f>
        <v>-272340</v>
      </c>
      <c r="M12" s="97">
        <f>-'Cost Trends'!Q70</f>
        <v>-286300</v>
      </c>
      <c r="N12" s="97">
        <f>-'Cost Trends'!R70</f>
        <v>-300170</v>
      </c>
      <c r="O12" s="97">
        <f>-'Cost Trends'!S70</f>
        <v>-314599</v>
      </c>
      <c r="P12" s="97">
        <f>-'Cost Trends'!T70</f>
        <v>-325531</v>
      </c>
      <c r="Q12" s="97">
        <f>-'Cost Trends'!U70</f>
        <v>-342899</v>
      </c>
      <c r="R12" s="97">
        <f>-'Cost Trends'!V70</f>
        <v>-351625</v>
      </c>
    </row>
    <row r="13" spans="1:21" ht="8.25" customHeight="1">
      <c r="B13" s="481"/>
      <c r="C13" s="481"/>
      <c r="D13" s="481"/>
      <c r="E13" s="481"/>
      <c r="F13" s="481"/>
      <c r="G13" s="481"/>
      <c r="H13" s="481"/>
      <c r="I13" s="481"/>
      <c r="J13" s="481"/>
      <c r="K13" s="481"/>
      <c r="L13" s="481"/>
      <c r="M13" s="481"/>
      <c r="N13" s="481"/>
      <c r="O13" s="481"/>
      <c r="P13" s="481"/>
      <c r="Q13" s="481"/>
      <c r="R13" s="481"/>
    </row>
    <row r="14" spans="1:21" ht="8.25" customHeight="1">
      <c r="B14" s="481" t="s">
        <v>439</v>
      </c>
      <c r="C14" s="481" t="s">
        <v>439</v>
      </c>
      <c r="D14" s="481" t="s">
        <v>439</v>
      </c>
      <c r="E14" s="481" t="s">
        <v>439</v>
      </c>
      <c r="F14" s="481" t="s">
        <v>439</v>
      </c>
      <c r="G14" s="481" t="s">
        <v>439</v>
      </c>
      <c r="H14" s="481" t="s">
        <v>439</v>
      </c>
      <c r="I14" s="481" t="s">
        <v>439</v>
      </c>
      <c r="J14" s="481" t="s">
        <v>439</v>
      </c>
      <c r="K14" s="481" t="s">
        <v>439</v>
      </c>
      <c r="L14" s="481" t="s">
        <v>439</v>
      </c>
      <c r="M14" s="481" t="s">
        <v>439</v>
      </c>
      <c r="N14" s="481" t="s">
        <v>439</v>
      </c>
      <c r="O14" s="481" t="s">
        <v>439</v>
      </c>
      <c r="P14" s="481" t="s">
        <v>439</v>
      </c>
      <c r="Q14" s="481" t="s">
        <v>439</v>
      </c>
      <c r="R14" s="481" t="s">
        <v>439</v>
      </c>
    </row>
    <row r="15" spans="1:21" ht="26.25" customHeight="1">
      <c r="A15" s="483" t="str">
        <f>+"Total "&amp;B4</f>
        <v>Total Production Net Plant</v>
      </c>
      <c r="B15" s="484">
        <f t="shared" ref="B15:O15" si="1">+SUM(B10:B14)</f>
        <v>300002.03411696979</v>
      </c>
      <c r="C15" s="484">
        <f t="shared" si="1"/>
        <v>296725.79164632049</v>
      </c>
      <c r="D15" s="484">
        <f t="shared" si="1"/>
        <v>373429.99537532276</v>
      </c>
      <c r="E15" s="484">
        <f t="shared" si="1"/>
        <v>370887.20223937742</v>
      </c>
      <c r="F15" s="484">
        <f t="shared" si="1"/>
        <v>402141.5548985668</v>
      </c>
      <c r="G15" s="484">
        <f t="shared" si="1"/>
        <v>407420.68781148642</v>
      </c>
      <c r="H15" s="484">
        <f t="shared" si="1"/>
        <v>427867.17484851996</v>
      </c>
      <c r="I15" s="484">
        <f t="shared" si="1"/>
        <v>414838</v>
      </c>
      <c r="J15" s="484">
        <f t="shared" si="1"/>
        <v>413910</v>
      </c>
      <c r="K15" s="484">
        <f t="shared" si="1"/>
        <v>422256</v>
      </c>
      <c r="L15" s="484">
        <f t="shared" si="1"/>
        <v>420349</v>
      </c>
      <c r="M15" s="484">
        <f t="shared" si="1"/>
        <v>420594</v>
      </c>
      <c r="N15" s="484">
        <f t="shared" si="1"/>
        <v>417278</v>
      </c>
      <c r="O15" s="484">
        <f t="shared" si="1"/>
        <v>423716</v>
      </c>
      <c r="P15" s="484">
        <f t="shared" ref="P15:R15" si="2">+SUM(P10:P14)</f>
        <v>420570</v>
      </c>
      <c r="Q15" s="484">
        <f t="shared" si="2"/>
        <v>436542</v>
      </c>
      <c r="R15" s="484">
        <f t="shared" si="2"/>
        <v>481208</v>
      </c>
    </row>
    <row r="16" spans="1:21">
      <c r="P16" s="327"/>
      <c r="Q16" s="327"/>
    </row>
    <row r="17" spans="1:20">
      <c r="P17" s="327"/>
      <c r="Q17" s="327"/>
    </row>
    <row r="18" spans="1:20">
      <c r="A18" s="485" t="s">
        <v>442</v>
      </c>
      <c r="B18" s="486"/>
      <c r="C18" s="487"/>
      <c r="D18" s="485" t="s">
        <v>504</v>
      </c>
      <c r="E18" s="485"/>
      <c r="F18" s="486"/>
      <c r="G18" s="486"/>
      <c r="H18" s="486"/>
      <c r="I18" s="486"/>
      <c r="J18" s="486"/>
      <c r="K18" s="486"/>
      <c r="L18" s="486"/>
      <c r="M18" s="486"/>
      <c r="N18" s="486"/>
      <c r="O18" s="486"/>
      <c r="P18" s="488"/>
      <c r="Q18" s="488"/>
      <c r="R18" s="486"/>
    </row>
    <row r="19" spans="1:20" ht="19.5" customHeight="1">
      <c r="A19" s="473"/>
      <c r="B19" s="489"/>
      <c r="C19" s="489"/>
      <c r="D19" s="489"/>
      <c r="E19" s="489"/>
      <c r="F19" s="489"/>
      <c r="G19" s="489"/>
      <c r="H19" s="489"/>
      <c r="I19" s="489"/>
    </row>
    <row r="20" spans="1:20" ht="19.5" customHeight="1">
      <c r="A20" s="529" t="s">
        <v>502</v>
      </c>
      <c r="B20" s="490">
        <f ca="1">+LINEST(
OFFSET($B$74,0,0,1,SUM($B$68:$R$68)),
OFFSET($B$73,0,0,1,SUM($B$68:$R$68)),
,
1)</f>
        <v>3394.0829614309109</v>
      </c>
      <c r="C20" s="489"/>
      <c r="D20" s="489"/>
      <c r="E20" s="489"/>
      <c r="F20" s="489"/>
      <c r="G20" s="489"/>
      <c r="H20" s="489"/>
      <c r="I20" s="489"/>
    </row>
    <row r="21" spans="1:20" ht="19.5" customHeight="1">
      <c r="A21" s="473" t="s">
        <v>503</v>
      </c>
      <c r="B21" s="489">
        <f ca="1">RSQ(
OFFSET($B$74,0,0,1,SUM($B$68:$R$68)),
OFFSET($B$73,0,0,1,SUM($B$68:$R$68))
)</f>
        <v>0.35164371968212044</v>
      </c>
      <c r="C21" s="490"/>
      <c r="D21" s="490"/>
      <c r="E21" s="490"/>
      <c r="F21" s="490"/>
      <c r="G21" s="490"/>
      <c r="H21" s="490"/>
      <c r="I21" s="490"/>
    </row>
    <row r="22" spans="1:20" ht="19.5" customHeight="1">
      <c r="A22" s="470" t="s">
        <v>443</v>
      </c>
      <c r="B22" s="491">
        <f ca="1">+B20/R15</f>
        <v>7.0532554766980409E-3</v>
      </c>
      <c r="C22" s="489"/>
      <c r="D22" s="489"/>
      <c r="E22" s="489"/>
      <c r="F22" s="489"/>
      <c r="G22" s="489"/>
      <c r="H22" s="489"/>
      <c r="I22" s="489"/>
    </row>
    <row r="23" spans="1:20" ht="19.5" customHeight="1">
      <c r="A23" s="327" t="str">
        <f>+'2) ROR'!$D$19&amp;"-year Growth Rate"</f>
        <v>1-year Growth Rate</v>
      </c>
      <c r="B23" s="530">
        <f ca="1">ROUND(B22*'2) ROR'!$D$19,4)</f>
        <v>7.1000000000000004E-3</v>
      </c>
      <c r="C23" s="491"/>
      <c r="D23" s="491"/>
      <c r="E23" s="491"/>
      <c r="F23" s="491"/>
      <c r="G23" s="491"/>
      <c r="H23" s="491"/>
      <c r="I23" s="491"/>
    </row>
    <row r="24" spans="1:20" ht="19.5" customHeight="1">
      <c r="C24" s="492"/>
      <c r="D24" s="492"/>
      <c r="E24" s="492"/>
      <c r="F24" s="492"/>
      <c r="G24" s="492"/>
      <c r="H24" s="492"/>
      <c r="I24" s="492"/>
      <c r="L24" s="362"/>
    </row>
    <row r="26" spans="1:20">
      <c r="S26" s="493"/>
      <c r="T26" s="493"/>
    </row>
    <row r="27" spans="1:20">
      <c r="S27" s="494"/>
      <c r="T27" s="494"/>
    </row>
    <row r="28" spans="1:20">
      <c r="S28" s="494"/>
      <c r="T28" s="494"/>
    </row>
    <row r="29" spans="1:20">
      <c r="S29" s="494"/>
      <c r="T29" s="494"/>
    </row>
    <row r="30" spans="1:20">
      <c r="S30" s="494"/>
      <c r="T30" s="494"/>
    </row>
    <row r="31" spans="1:20">
      <c r="S31" s="494"/>
      <c r="T31" s="494"/>
    </row>
    <row r="34" spans="19:21">
      <c r="S34" s="495"/>
      <c r="T34" s="495"/>
      <c r="U34" s="495"/>
    </row>
    <row r="35" spans="19:21">
      <c r="S35" s="494"/>
      <c r="T35" s="494"/>
      <c r="U35" s="494"/>
    </row>
    <row r="36" spans="19:21">
      <c r="S36" s="494"/>
      <c r="T36" s="494"/>
      <c r="U36" s="494"/>
    </row>
    <row r="37" spans="19:21">
      <c r="S37" s="494"/>
      <c r="T37" s="494"/>
      <c r="U37" s="494"/>
    </row>
    <row r="38" spans="19:21">
      <c r="S38" s="494"/>
      <c r="T38" s="494"/>
      <c r="U38" s="494"/>
    </row>
    <row r="39" spans="19:21">
      <c r="S39" s="494"/>
      <c r="T39" s="494"/>
      <c r="U39" s="494"/>
    </row>
    <row r="40" spans="19:21">
      <c r="S40" s="494"/>
      <c r="T40" s="494"/>
      <c r="U40" s="494"/>
    </row>
    <row r="41" spans="19:21">
      <c r="S41" s="494"/>
      <c r="T41" s="494"/>
      <c r="U41" s="494"/>
    </row>
    <row r="42" spans="19:21">
      <c r="S42" s="494"/>
      <c r="T42" s="494"/>
      <c r="U42" s="494"/>
    </row>
    <row r="43" spans="19:21">
      <c r="S43" s="494"/>
      <c r="T43" s="494"/>
      <c r="U43" s="494"/>
    </row>
    <row r="44" spans="19:21">
      <c r="S44" s="494"/>
      <c r="T44" s="494"/>
      <c r="U44" s="494"/>
    </row>
    <row r="45" spans="19:21">
      <c r="S45" s="494"/>
      <c r="T45" s="494"/>
      <c r="U45" s="494"/>
    </row>
    <row r="46" spans="19:21">
      <c r="S46" s="494"/>
      <c r="T46" s="494"/>
      <c r="U46" s="494"/>
    </row>
    <row r="47" spans="19:21">
      <c r="S47" s="494"/>
      <c r="T47" s="494"/>
      <c r="U47" s="494"/>
    </row>
    <row r="48" spans="19:21">
      <c r="S48" s="494"/>
      <c r="T48" s="494"/>
      <c r="U48" s="494"/>
    </row>
    <row r="49" spans="19:21">
      <c r="S49" s="494"/>
      <c r="T49" s="494"/>
      <c r="U49" s="494"/>
    </row>
    <row r="50" spans="19:21">
      <c r="S50" s="494"/>
      <c r="T50" s="494"/>
      <c r="U50" s="494"/>
    </row>
    <row r="51" spans="19:21">
      <c r="S51" s="494"/>
      <c r="T51" s="494"/>
      <c r="U51" s="494"/>
    </row>
    <row r="52" spans="19:21">
      <c r="S52" s="494"/>
      <c r="T52" s="494"/>
      <c r="U52" s="494"/>
    </row>
    <row r="53" spans="19:21">
      <c r="S53" s="494"/>
      <c r="T53" s="494"/>
      <c r="U53" s="494"/>
    </row>
    <row r="54" spans="19:21">
      <c r="S54" s="494"/>
      <c r="T54" s="494"/>
      <c r="U54" s="494"/>
    </row>
    <row r="55" spans="19:21">
      <c r="S55" s="494"/>
      <c r="T55" s="494"/>
      <c r="U55" s="494"/>
    </row>
    <row r="56" spans="19:21">
      <c r="S56" s="494"/>
      <c r="T56" s="494"/>
      <c r="U56" s="494"/>
    </row>
    <row r="57" spans="19:21">
      <c r="S57" s="494"/>
      <c r="T57" s="494"/>
      <c r="U57" s="494"/>
    </row>
    <row r="59" spans="19:21">
      <c r="S59" s="495"/>
      <c r="T59" s="495"/>
      <c r="U59" s="495"/>
    </row>
    <row r="60" spans="19:21">
      <c r="S60" s="494"/>
      <c r="T60" s="494"/>
      <c r="U60" s="494"/>
    </row>
    <row r="65" spans="1:21">
      <c r="S65" s="495"/>
      <c r="T65" s="495"/>
      <c r="U65" s="495"/>
    </row>
    <row r="66" spans="1:21">
      <c r="A66" s="496" t="s">
        <v>444</v>
      </c>
      <c r="S66" s="494"/>
      <c r="T66" s="494"/>
      <c r="U66" s="494"/>
    </row>
    <row r="67" spans="1:21">
      <c r="A67" s="496" t="s">
        <v>445</v>
      </c>
      <c r="B67" s="496">
        <f t="shared" ref="B67:O67" si="3">+B9</f>
        <v>2000</v>
      </c>
      <c r="C67" s="496">
        <f t="shared" si="3"/>
        <v>2001</v>
      </c>
      <c r="D67" s="496">
        <f t="shared" si="3"/>
        <v>2002</v>
      </c>
      <c r="E67" s="496">
        <f t="shared" si="3"/>
        <v>2003</v>
      </c>
      <c r="F67" s="496">
        <f t="shared" si="3"/>
        <v>2004</v>
      </c>
      <c r="G67" s="496">
        <f t="shared" si="3"/>
        <v>2005</v>
      </c>
      <c r="H67" s="496">
        <f t="shared" si="3"/>
        <v>2006</v>
      </c>
      <c r="I67" s="496">
        <f t="shared" si="3"/>
        <v>2007</v>
      </c>
      <c r="J67" s="496">
        <f t="shared" si="3"/>
        <v>2008</v>
      </c>
      <c r="K67" s="496">
        <f t="shared" si="3"/>
        <v>2009</v>
      </c>
      <c r="L67" s="496">
        <f t="shared" si="3"/>
        <v>2010</v>
      </c>
      <c r="M67" s="496">
        <f t="shared" si="3"/>
        <v>2011</v>
      </c>
      <c r="N67" s="496">
        <f t="shared" si="3"/>
        <v>2012</v>
      </c>
      <c r="O67" s="496">
        <f t="shared" si="3"/>
        <v>2013</v>
      </c>
      <c r="P67" s="496">
        <f t="shared" ref="P67:R67" si="4">+P9</f>
        <v>2014</v>
      </c>
      <c r="Q67" s="496">
        <f t="shared" si="4"/>
        <v>2015</v>
      </c>
      <c r="R67" s="496">
        <f t="shared" si="4"/>
        <v>2016</v>
      </c>
    </row>
    <row r="68" spans="1:21">
      <c r="A68" s="497" t="s">
        <v>446</v>
      </c>
      <c r="B68" s="497"/>
      <c r="C68" s="497"/>
      <c r="D68" s="497"/>
      <c r="E68" s="497"/>
      <c r="F68" s="497"/>
      <c r="G68" s="497"/>
      <c r="H68" s="497">
        <v>1</v>
      </c>
      <c r="I68" s="497">
        <v>1</v>
      </c>
      <c r="J68" s="497">
        <v>1</v>
      </c>
      <c r="K68" s="497">
        <v>1</v>
      </c>
      <c r="L68" s="497">
        <v>1</v>
      </c>
      <c r="M68" s="497">
        <v>1</v>
      </c>
      <c r="N68" s="497">
        <v>1</v>
      </c>
      <c r="O68" s="497">
        <v>1</v>
      </c>
      <c r="P68" s="497">
        <v>1</v>
      </c>
      <c r="Q68" s="497">
        <v>1</v>
      </c>
      <c r="R68" s="497">
        <v>1</v>
      </c>
    </row>
    <row r="69" spans="1:21">
      <c r="A69" s="490"/>
      <c r="B69" s="490"/>
      <c r="C69" s="490"/>
      <c r="D69" s="490"/>
      <c r="E69" s="490"/>
      <c r="F69" s="490"/>
      <c r="G69" s="490"/>
      <c r="H69" s="490"/>
      <c r="I69" s="490"/>
      <c r="J69" s="490"/>
      <c r="K69" s="490"/>
      <c r="L69" s="490"/>
      <c r="M69" s="490"/>
      <c r="N69" s="490"/>
      <c r="O69" s="490"/>
      <c r="P69" s="490"/>
      <c r="Q69" s="490"/>
      <c r="R69" s="490"/>
      <c r="S69" s="490"/>
      <c r="T69" s="490"/>
      <c r="U69" s="490"/>
    </row>
    <row r="70" spans="1:21">
      <c r="A70" s="490"/>
      <c r="B70" s="490"/>
      <c r="C70" s="490"/>
      <c r="D70" s="490"/>
      <c r="E70" s="490"/>
      <c r="F70" s="490"/>
      <c r="G70" s="490"/>
      <c r="H70" s="490"/>
      <c r="I70" s="490"/>
      <c r="J70" s="490"/>
      <c r="K70" s="490"/>
      <c r="L70" s="490"/>
      <c r="M70" s="490"/>
      <c r="N70" s="490"/>
      <c r="O70" s="490"/>
      <c r="P70" s="490"/>
      <c r="Q70" s="490"/>
      <c r="R70" s="490"/>
      <c r="S70" s="490"/>
      <c r="T70" s="490"/>
      <c r="U70" s="490"/>
    </row>
    <row r="71" spans="1:21">
      <c r="A71" s="498" t="s">
        <v>447</v>
      </c>
      <c r="B71" s="499">
        <f>+SUM($B68:B$68)</f>
        <v>0</v>
      </c>
      <c r="C71" s="499">
        <f>+SUM($B68:C$68)</f>
        <v>0</v>
      </c>
      <c r="D71" s="499">
        <f>+SUM($B68:D$68)</f>
        <v>0</v>
      </c>
      <c r="E71" s="499">
        <f>+SUM($B68:E$68)</f>
        <v>0</v>
      </c>
      <c r="F71" s="499">
        <f>+SUM($B68:F$68)</f>
        <v>0</v>
      </c>
      <c r="G71" s="499">
        <f>+SUM($B68:G$68)</f>
        <v>0</v>
      </c>
      <c r="H71" s="499">
        <f>+SUM($B68:H$68)</f>
        <v>1</v>
      </c>
      <c r="I71" s="499">
        <f>+SUM($B68:I$68)</f>
        <v>2</v>
      </c>
      <c r="J71" s="499">
        <f>+SUM($B68:J$68)</f>
        <v>3</v>
      </c>
      <c r="K71" s="499">
        <f>+SUM($B68:K$68)</f>
        <v>4</v>
      </c>
      <c r="L71" s="499">
        <f>+SUM($B68:L$68)</f>
        <v>5</v>
      </c>
      <c r="M71" s="499">
        <f>+SUM($B68:M$68)</f>
        <v>6</v>
      </c>
      <c r="N71" s="499">
        <f>+SUM($B68:N$68)</f>
        <v>7</v>
      </c>
      <c r="O71" s="499">
        <f>+SUM($B68:O$68)</f>
        <v>8</v>
      </c>
      <c r="P71" s="499">
        <f>+SUM($B68:P$68)</f>
        <v>9</v>
      </c>
      <c r="Q71" s="499">
        <f>+SUM($B68:Q$68)</f>
        <v>10</v>
      </c>
      <c r="R71" s="499">
        <f>+SUM($B68:R$68)</f>
        <v>11</v>
      </c>
      <c r="S71" s="490"/>
      <c r="T71" s="490"/>
      <c r="U71" s="490"/>
    </row>
    <row r="72" spans="1:21">
      <c r="A72" s="498" t="s">
        <v>448</v>
      </c>
      <c r="B72" s="500">
        <v>1</v>
      </c>
      <c r="C72" s="500">
        <f t="shared" ref="C72:K72" si="5">+B72+1</f>
        <v>2</v>
      </c>
      <c r="D72" s="500">
        <f t="shared" si="5"/>
        <v>3</v>
      </c>
      <c r="E72" s="500">
        <f t="shared" si="5"/>
        <v>4</v>
      </c>
      <c r="F72" s="500">
        <f t="shared" si="5"/>
        <v>5</v>
      </c>
      <c r="G72" s="500">
        <f t="shared" si="5"/>
        <v>6</v>
      </c>
      <c r="H72" s="500">
        <f t="shared" si="5"/>
        <v>7</v>
      </c>
      <c r="I72" s="500">
        <f t="shared" si="5"/>
        <v>8</v>
      </c>
      <c r="J72" s="500">
        <f t="shared" si="5"/>
        <v>9</v>
      </c>
      <c r="K72" s="500">
        <f t="shared" si="5"/>
        <v>10</v>
      </c>
      <c r="L72" s="500">
        <f>+K72+1</f>
        <v>11</v>
      </c>
      <c r="M72" s="500">
        <f t="shared" ref="M72:O72" si="6">+L72+1</f>
        <v>12</v>
      </c>
      <c r="N72" s="500">
        <f t="shared" si="6"/>
        <v>13</v>
      </c>
      <c r="O72" s="500">
        <f t="shared" si="6"/>
        <v>14</v>
      </c>
      <c r="P72" s="500">
        <f t="shared" ref="P72" si="7">+O72+1</f>
        <v>15</v>
      </c>
      <c r="Q72" s="500">
        <f t="shared" ref="Q72" si="8">+P72+1</f>
        <v>16</v>
      </c>
      <c r="R72" s="500">
        <f t="shared" ref="R72" si="9">+Q72+1</f>
        <v>17</v>
      </c>
    </row>
    <row r="73" spans="1:21">
      <c r="A73" s="498" t="s">
        <v>449</v>
      </c>
      <c r="B73" s="500">
        <f t="shared" ref="B73:O73" ca="1" si="10">+OFFSET($A$67,0,MATCH(B$72,$B$71:$R$71,0))</f>
        <v>2006</v>
      </c>
      <c r="C73" s="500">
        <f t="shared" ca="1" si="10"/>
        <v>2007</v>
      </c>
      <c r="D73" s="500">
        <f t="shared" ca="1" si="10"/>
        <v>2008</v>
      </c>
      <c r="E73" s="500">
        <f t="shared" ca="1" si="10"/>
        <v>2009</v>
      </c>
      <c r="F73" s="500">
        <f t="shared" ca="1" si="10"/>
        <v>2010</v>
      </c>
      <c r="G73" s="500">
        <f t="shared" ca="1" si="10"/>
        <v>2011</v>
      </c>
      <c r="H73" s="500">
        <f t="shared" ca="1" si="10"/>
        <v>2012</v>
      </c>
      <c r="I73" s="500">
        <f t="shared" ca="1" si="10"/>
        <v>2013</v>
      </c>
      <c r="J73" s="500">
        <f t="shared" ca="1" si="10"/>
        <v>2014</v>
      </c>
      <c r="K73" s="500">
        <f t="shared" ca="1" si="10"/>
        <v>2015</v>
      </c>
      <c r="L73" s="500">
        <f t="shared" ca="1" si="10"/>
        <v>2016</v>
      </c>
      <c r="M73" s="500" t="e">
        <f t="shared" ca="1" si="10"/>
        <v>#N/A</v>
      </c>
      <c r="N73" s="500" t="e">
        <f t="shared" ca="1" si="10"/>
        <v>#N/A</v>
      </c>
      <c r="O73" s="500" t="e">
        <f t="shared" ca="1" si="10"/>
        <v>#N/A</v>
      </c>
      <c r="P73" s="500" t="e">
        <f t="shared" ref="P73:R73" ca="1" si="11">+OFFSET($A$67,0,MATCH(P$72,$B$71:$R$71,0))</f>
        <v>#N/A</v>
      </c>
      <c r="Q73" s="500" t="e">
        <f t="shared" ca="1" si="11"/>
        <v>#N/A</v>
      </c>
      <c r="R73" s="500" t="e">
        <f t="shared" ca="1" si="11"/>
        <v>#N/A</v>
      </c>
    </row>
    <row r="74" spans="1:21">
      <c r="A74" s="498" t="s">
        <v>450</v>
      </c>
      <c r="B74" s="498">
        <f t="shared" ref="B74:O74" ca="1" si="12">+INDEX(15:15,1,MATCH(B$73,9:9,0))</f>
        <v>427867.17484851996</v>
      </c>
      <c r="C74" s="498">
        <f t="shared" ca="1" si="12"/>
        <v>414838</v>
      </c>
      <c r="D74" s="498">
        <f t="shared" ca="1" si="12"/>
        <v>413910</v>
      </c>
      <c r="E74" s="498">
        <f t="shared" ca="1" si="12"/>
        <v>422256</v>
      </c>
      <c r="F74" s="498">
        <f t="shared" ca="1" si="12"/>
        <v>420349</v>
      </c>
      <c r="G74" s="498">
        <f t="shared" ca="1" si="12"/>
        <v>420594</v>
      </c>
      <c r="H74" s="498">
        <f t="shared" ca="1" si="12"/>
        <v>417278</v>
      </c>
      <c r="I74" s="498">
        <f t="shared" ca="1" si="12"/>
        <v>423716</v>
      </c>
      <c r="J74" s="498">
        <f t="shared" ca="1" si="12"/>
        <v>420570</v>
      </c>
      <c r="K74" s="498">
        <f t="shared" ca="1" si="12"/>
        <v>436542</v>
      </c>
      <c r="L74" s="498">
        <f t="shared" ca="1" si="12"/>
        <v>481208</v>
      </c>
      <c r="M74" s="498" t="e">
        <f t="shared" ca="1" si="12"/>
        <v>#N/A</v>
      </c>
      <c r="N74" s="498" t="e">
        <f t="shared" ca="1" si="12"/>
        <v>#N/A</v>
      </c>
      <c r="O74" s="498" t="e">
        <f t="shared" ca="1" si="12"/>
        <v>#N/A</v>
      </c>
      <c r="P74" s="498" t="e">
        <f t="shared" ref="P74:R74" ca="1" si="13">+INDEX(15:15,1,MATCH(P$73,9:9,0))</f>
        <v>#N/A</v>
      </c>
      <c r="Q74" s="498" t="e">
        <f t="shared" ca="1" si="13"/>
        <v>#N/A</v>
      </c>
      <c r="R74" s="498" t="e">
        <f t="shared" ca="1" si="13"/>
        <v>#N/A</v>
      </c>
    </row>
    <row r="77" spans="1:21">
      <c r="A77" s="501"/>
      <c r="B77" s="502" t="s">
        <v>451</v>
      </c>
      <c r="C77" s="503"/>
    </row>
    <row r="78" spans="1:21">
      <c r="A78" s="501" t="s">
        <v>452</v>
      </c>
      <c r="B78" s="504">
        <f t="array" aca="1" ref="B78:C82" ca="1">+LINEST(
OFFSET($B74,0,0,1,SUM($B68:$R68)),
OFFSET($B73,0,0,1,SUM($B68:$R68)),
,
1)</f>
        <v>3394.0829614309109</v>
      </c>
      <c r="C78" s="504">
        <f ca="1"/>
        <v>-6398307.3649967881</v>
      </c>
      <c r="D78" s="470" t="s">
        <v>453</v>
      </c>
    </row>
    <row r="79" spans="1:21">
      <c r="A79" s="501" t="s">
        <v>454</v>
      </c>
      <c r="B79" s="504">
        <f ca="1"/>
        <v>1536.2313627486337</v>
      </c>
      <c r="C79" s="504">
        <f ca="1"/>
        <v>3089365.0900559085</v>
      </c>
      <c r="D79" s="470" t="s">
        <v>455</v>
      </c>
    </row>
    <row r="80" spans="1:21">
      <c r="A80" s="501" t="s">
        <v>456</v>
      </c>
      <c r="B80" s="504">
        <f ca="1"/>
        <v>0.35164371968212055</v>
      </c>
      <c r="C80" s="504">
        <f ca="1"/>
        <v>16112.130460872566</v>
      </c>
      <c r="D80" s="470" t="s">
        <v>457</v>
      </c>
    </row>
    <row r="81" spans="1:4">
      <c r="A81" s="505" t="s">
        <v>458</v>
      </c>
      <c r="B81" s="504">
        <f ca="1"/>
        <v>4.8812567614636722</v>
      </c>
      <c r="C81" s="504">
        <f ca="1"/>
        <v>9</v>
      </c>
      <c r="D81" s="470" t="s">
        <v>459</v>
      </c>
    </row>
    <row r="82" spans="1:4">
      <c r="A82" s="505" t="s">
        <v>460</v>
      </c>
      <c r="B82" s="504">
        <f ca="1"/>
        <v>1267177906.3983188</v>
      </c>
      <c r="C82" s="504">
        <f ca="1"/>
        <v>2336406731.8935986</v>
      </c>
      <c r="D82" s="470" t="s">
        <v>461</v>
      </c>
    </row>
    <row r="83" spans="1:4">
      <c r="A83" s="501"/>
    </row>
    <row r="84" spans="1:4">
      <c r="A84" s="501"/>
    </row>
    <row r="85" spans="1:4">
      <c r="A85" s="501" t="s">
        <v>462</v>
      </c>
      <c r="B85" s="470">
        <f ca="1">+B78/B79</f>
        <v>2.2093566397174698</v>
      </c>
    </row>
    <row r="86" spans="1:4">
      <c r="A86" s="505" t="s">
        <v>463</v>
      </c>
      <c r="B86" s="506">
        <f ca="1">+TDIST(B85,C81,2)</f>
        <v>5.4502415087947939E-2</v>
      </c>
    </row>
  </sheetData>
  <conditionalFormatting sqref="B15:H15 J15:R15">
    <cfRule type="expression" dxfId="9" priority="2">
      <formula>B$68=1</formula>
    </cfRule>
  </conditionalFormatting>
  <conditionalFormatting sqref="B15:I15">
    <cfRule type="expression" dxfId="8" priority="1">
      <formula>B$68=1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87"/>
  <sheetViews>
    <sheetView showGridLines="0" zoomScale="70" zoomScaleNormal="70" zoomScaleSheetLayoutView="55" workbookViewId="0"/>
  </sheetViews>
  <sheetFormatPr defaultRowHeight="12.75"/>
  <cols>
    <col min="1" max="1" width="36.5703125" style="470" customWidth="1"/>
    <col min="2" max="16" width="11.28515625" style="470" customWidth="1"/>
    <col min="17" max="17" width="11.28515625" style="719" customWidth="1"/>
    <col min="18" max="18" width="11.28515625" style="470" customWidth="1"/>
    <col min="19" max="21" width="9.140625" style="473"/>
    <col min="22" max="16384" width="9.140625" style="470"/>
  </cols>
  <sheetData>
    <row r="1" spans="1:21" s="472" customFormat="1" ht="15.75">
      <c r="A1" s="656" t="s">
        <v>540</v>
      </c>
      <c r="S1" s="590"/>
      <c r="T1" s="590"/>
      <c r="U1" s="590"/>
    </row>
    <row r="2" spans="1:21" s="472" customFormat="1" ht="15.75">
      <c r="A2" s="338" t="s">
        <v>495</v>
      </c>
      <c r="S2" s="590"/>
      <c r="T2" s="590"/>
      <c r="U2" s="590"/>
    </row>
    <row r="3" spans="1:21" s="472" customFormat="1" ht="15.75">
      <c r="A3" s="338"/>
      <c r="S3" s="590"/>
      <c r="T3" s="590"/>
      <c r="U3" s="590"/>
    </row>
    <row r="4" spans="1:21" s="472" customFormat="1" ht="15.75">
      <c r="A4" s="589" t="s">
        <v>438</v>
      </c>
      <c r="B4" s="587" t="s">
        <v>482</v>
      </c>
      <c r="C4" s="587"/>
      <c r="D4" s="587"/>
      <c r="E4" s="587"/>
      <c r="F4" s="587"/>
      <c r="G4" s="587"/>
      <c r="H4" s="587"/>
      <c r="I4" s="587"/>
      <c r="S4" s="590"/>
      <c r="T4" s="590"/>
      <c r="U4" s="590"/>
    </row>
    <row r="5" spans="1:21" s="472" customFormat="1" ht="15">
      <c r="A5" s="588"/>
      <c r="S5" s="590"/>
      <c r="T5" s="590"/>
      <c r="U5" s="590"/>
    </row>
    <row r="6" spans="1:21" s="472" customFormat="1" ht="15">
      <c r="A6" s="592" t="s">
        <v>505</v>
      </c>
      <c r="S6" s="590"/>
      <c r="T6" s="590"/>
      <c r="U6" s="590"/>
    </row>
    <row r="8" spans="1:21">
      <c r="A8" s="474"/>
      <c r="B8" s="475"/>
      <c r="C8" s="475"/>
      <c r="D8" s="475"/>
      <c r="E8" s="475"/>
      <c r="F8" s="475"/>
      <c r="G8" s="475"/>
      <c r="H8" s="475"/>
      <c r="I8" s="475"/>
      <c r="J8" s="476"/>
      <c r="K8" s="476"/>
      <c r="L8" s="476"/>
      <c r="M8" s="476"/>
      <c r="N8" s="477"/>
      <c r="O8" s="477"/>
      <c r="P8" s="478"/>
      <c r="Q8" s="478"/>
      <c r="R8" s="477"/>
    </row>
    <row r="9" spans="1:21">
      <c r="B9" s="479">
        <f t="shared" ref="B9:H9" si="0">+C9-1</f>
        <v>2000</v>
      </c>
      <c r="C9" s="479">
        <f t="shared" si="0"/>
        <v>2001</v>
      </c>
      <c r="D9" s="479">
        <f t="shared" si="0"/>
        <v>2002</v>
      </c>
      <c r="E9" s="479">
        <f t="shared" si="0"/>
        <v>2003</v>
      </c>
      <c r="F9" s="479">
        <f t="shared" si="0"/>
        <v>2004</v>
      </c>
      <c r="G9" s="479">
        <f t="shared" si="0"/>
        <v>2005</v>
      </c>
      <c r="H9" s="479">
        <f t="shared" si="0"/>
        <v>2006</v>
      </c>
      <c r="I9" s="479">
        <f>+J9-1</f>
        <v>2007</v>
      </c>
      <c r="J9" s="479">
        <v>2008</v>
      </c>
      <c r="K9" s="480">
        <v>2009</v>
      </c>
      <c r="L9" s="480">
        <v>2010</v>
      </c>
      <c r="M9" s="480">
        <v>2011</v>
      </c>
      <c r="N9" s="480">
        <v>2012</v>
      </c>
      <c r="O9" s="480">
        <v>2013</v>
      </c>
      <c r="P9" s="480">
        <v>2014</v>
      </c>
      <c r="Q9" s="480">
        <v>2015</v>
      </c>
      <c r="R9" s="480">
        <v>2016</v>
      </c>
    </row>
    <row r="10" spans="1:21" ht="8.25" customHeight="1">
      <c r="B10" s="481" t="s">
        <v>439</v>
      </c>
      <c r="C10" s="481" t="s">
        <v>439</v>
      </c>
      <c r="D10" s="481" t="s">
        <v>439</v>
      </c>
      <c r="E10" s="481" t="s">
        <v>439</v>
      </c>
      <c r="F10" s="481" t="s">
        <v>439</v>
      </c>
      <c r="G10" s="481" t="s">
        <v>439</v>
      </c>
      <c r="H10" s="481" t="s">
        <v>439</v>
      </c>
      <c r="I10" s="481" t="s">
        <v>439</v>
      </c>
      <c r="J10" s="481" t="s">
        <v>439</v>
      </c>
      <c r="K10" s="481" t="s">
        <v>439</v>
      </c>
      <c r="L10" s="481" t="s">
        <v>439</v>
      </c>
      <c r="M10" s="481" t="s">
        <v>439</v>
      </c>
      <c r="N10" s="481" t="s">
        <v>439</v>
      </c>
      <c r="O10" s="481" t="s">
        <v>439</v>
      </c>
      <c r="P10" s="481" t="s">
        <v>439</v>
      </c>
      <c r="Q10" s="481" t="s">
        <v>439</v>
      </c>
      <c r="R10" s="481" t="s">
        <v>439</v>
      </c>
    </row>
    <row r="11" spans="1:21">
      <c r="A11" s="482" t="s">
        <v>479</v>
      </c>
      <c r="B11" s="97">
        <f>+'Cost Trends'!F64</f>
        <v>181627</v>
      </c>
      <c r="C11" s="97">
        <f>+'Cost Trends'!G64</f>
        <v>191517</v>
      </c>
      <c r="D11" s="97">
        <f>+'Cost Trends'!H64</f>
        <v>186550</v>
      </c>
      <c r="E11" s="97">
        <f>+'Cost Trends'!I64</f>
        <v>196937</v>
      </c>
      <c r="F11" s="97">
        <f>+'Cost Trends'!J64</f>
        <v>213539</v>
      </c>
      <c r="G11" s="97">
        <f>+'Cost Trends'!K64</f>
        <v>224696</v>
      </c>
      <c r="H11" s="97">
        <f>+'Cost Trends'!L64</f>
        <v>244435</v>
      </c>
      <c r="I11" s="97">
        <f>+'Cost Trends'!M64</f>
        <v>259532</v>
      </c>
      <c r="J11" s="97">
        <f>+'Cost Trends'!N64</f>
        <v>289302</v>
      </c>
      <c r="K11" s="97">
        <f>+'Cost Trends'!O64</f>
        <v>301090</v>
      </c>
      <c r="L11" s="97">
        <f>+'Cost Trends'!P64</f>
        <v>312505</v>
      </c>
      <c r="M11" s="97">
        <f>+'Cost Trends'!Q64</f>
        <v>328012</v>
      </c>
      <c r="N11" s="97">
        <f>+'Cost Trends'!R64</f>
        <v>342382</v>
      </c>
      <c r="O11" s="97">
        <f>+'Cost Trends'!S64</f>
        <v>359941</v>
      </c>
      <c r="P11" s="97">
        <f>+'Cost Trends'!T64</f>
        <v>371971</v>
      </c>
      <c r="Q11" s="97">
        <f>+'Cost Trends'!U64</f>
        <v>401700</v>
      </c>
      <c r="R11" s="97">
        <f>+'Cost Trends'!V64</f>
        <v>430613</v>
      </c>
    </row>
    <row r="12" spans="1:21">
      <c r="A12" s="470" t="s">
        <v>480</v>
      </c>
      <c r="B12" s="97">
        <f>-'Cost Trends'!F74*'Sheet1 (2)'!$D$8/'Sheet1 (2)'!$D$11</f>
        <v>-60745.98186989723</v>
      </c>
      <c r="C12" s="97">
        <f>-'Cost Trends'!G74*'Sheet1 (2)'!$D$8/'Sheet1 (2)'!$D$11</f>
        <v>-63898.699048274109</v>
      </c>
      <c r="D12" s="97">
        <f>-'Cost Trends'!H74*'Sheet1 (2)'!$D$8/'Sheet1 (2)'!$D$11</f>
        <v>-67026.239704203064</v>
      </c>
      <c r="E12" s="97">
        <f>-'Cost Trends'!I74*'Sheet1 (2)'!$D$8/'Sheet1 (2)'!$D$11</f>
        <v>-72342.253855639385</v>
      </c>
      <c r="F12" s="97">
        <f>-'Cost Trends'!J74*'Sheet1 (2)'!$D$8/'Sheet1 (2)'!$D$11</f>
        <v>-76618.666025722632</v>
      </c>
      <c r="G12" s="97">
        <f>-'Cost Trends'!K74*'Sheet1 (2)'!$D$8/'Sheet1 (2)'!$D$11</f>
        <v>-81336.609317375594</v>
      </c>
      <c r="H12" s="97">
        <f>-'Cost Trends'!L74*'Sheet1 (2)'!$D$8/'Sheet1 (2)'!$D$11</f>
        <v>-86764.633303376162</v>
      </c>
      <c r="I12" s="97">
        <f>-'Sheet1 (2)'!D8</f>
        <v>-90140</v>
      </c>
      <c r="J12" s="97">
        <f>-'Sheet1 (2)'!E8</f>
        <v>-95026</v>
      </c>
      <c r="K12" s="97">
        <f>-'Sheet1 (2)'!F8</f>
        <v>-100649</v>
      </c>
      <c r="L12" s="97">
        <f>-'Sheet1 (2)'!G8</f>
        <v>-106041</v>
      </c>
      <c r="M12" s="97">
        <f>-'Cost Trends'!Q71</f>
        <v>-111144</v>
      </c>
      <c r="N12" s="97">
        <f>-'Cost Trends'!R71</f>
        <v>-116316</v>
      </c>
      <c r="O12" s="97">
        <f>-'Cost Trends'!S71</f>
        <v>-122308</v>
      </c>
      <c r="P12" s="97">
        <f>-'Cost Trends'!T71</f>
        <v>-123869</v>
      </c>
      <c r="Q12" s="97">
        <f>-'Cost Trends'!U71</f>
        <v>-129936</v>
      </c>
      <c r="R12" s="97">
        <f>-'Cost Trends'!V71</f>
        <v>-135624</v>
      </c>
    </row>
    <row r="13" spans="1:21" ht="8.25" customHeight="1">
      <c r="B13" s="481"/>
      <c r="C13" s="481"/>
      <c r="D13" s="481"/>
      <c r="E13" s="481"/>
      <c r="F13" s="481"/>
      <c r="G13" s="481"/>
      <c r="H13" s="481"/>
      <c r="I13" s="481"/>
      <c r="J13" s="481"/>
      <c r="K13" s="481"/>
      <c r="L13" s="481"/>
      <c r="M13" s="481"/>
      <c r="N13" s="481"/>
      <c r="O13" s="481"/>
      <c r="P13" s="481"/>
      <c r="Q13" s="481"/>
      <c r="R13" s="481"/>
    </row>
    <row r="14" spans="1:21" ht="8.25" customHeight="1">
      <c r="B14" s="481" t="s">
        <v>439</v>
      </c>
      <c r="C14" s="481" t="s">
        <v>439</v>
      </c>
      <c r="D14" s="481" t="s">
        <v>439</v>
      </c>
      <c r="E14" s="481" t="s">
        <v>439</v>
      </c>
      <c r="F14" s="481" t="s">
        <v>439</v>
      </c>
      <c r="G14" s="481" t="s">
        <v>439</v>
      </c>
      <c r="H14" s="481" t="s">
        <v>439</v>
      </c>
      <c r="I14" s="481" t="s">
        <v>439</v>
      </c>
      <c r="J14" s="481" t="s">
        <v>439</v>
      </c>
      <c r="K14" s="481" t="s">
        <v>439</v>
      </c>
      <c r="L14" s="481" t="s">
        <v>439</v>
      </c>
      <c r="M14" s="481" t="s">
        <v>439</v>
      </c>
      <c r="N14" s="481" t="s">
        <v>439</v>
      </c>
      <c r="O14" s="481" t="s">
        <v>439</v>
      </c>
      <c r="P14" s="481" t="s">
        <v>439</v>
      </c>
      <c r="Q14" s="481" t="s">
        <v>439</v>
      </c>
      <c r="R14" s="481" t="s">
        <v>439</v>
      </c>
    </row>
    <row r="15" spans="1:21" ht="26.25" customHeight="1">
      <c r="A15" s="483" t="str">
        <f>+"Total "&amp;B4</f>
        <v>Total Transmission Net Plant</v>
      </c>
      <c r="B15" s="484">
        <f t="shared" ref="B15:P15" si="1">+SUM(B10:B14)</f>
        <v>120881.01813010278</v>
      </c>
      <c r="C15" s="484">
        <f t="shared" si="1"/>
        <v>127618.30095172589</v>
      </c>
      <c r="D15" s="484">
        <f t="shared" si="1"/>
        <v>119523.76029579694</v>
      </c>
      <c r="E15" s="484">
        <f t="shared" si="1"/>
        <v>124594.74614436062</v>
      </c>
      <c r="F15" s="484">
        <f t="shared" si="1"/>
        <v>136920.33397427737</v>
      </c>
      <c r="G15" s="484">
        <f t="shared" si="1"/>
        <v>143359.39068262442</v>
      </c>
      <c r="H15" s="484">
        <f t="shared" si="1"/>
        <v>157670.36669662385</v>
      </c>
      <c r="I15" s="484">
        <f t="shared" si="1"/>
        <v>169392</v>
      </c>
      <c r="J15" s="484">
        <f t="shared" si="1"/>
        <v>194276</v>
      </c>
      <c r="K15" s="484">
        <f t="shared" si="1"/>
        <v>200441</v>
      </c>
      <c r="L15" s="484">
        <f t="shared" si="1"/>
        <v>206464</v>
      </c>
      <c r="M15" s="484">
        <f t="shared" si="1"/>
        <v>216868</v>
      </c>
      <c r="N15" s="484">
        <f t="shared" si="1"/>
        <v>226066</v>
      </c>
      <c r="O15" s="484">
        <f t="shared" si="1"/>
        <v>237633</v>
      </c>
      <c r="P15" s="484">
        <f t="shared" si="1"/>
        <v>248102</v>
      </c>
      <c r="Q15" s="484">
        <f t="shared" ref="Q15:R15" si="2">+SUM(Q10:Q14)</f>
        <v>271764</v>
      </c>
      <c r="R15" s="484">
        <f t="shared" si="2"/>
        <v>294989</v>
      </c>
    </row>
    <row r="16" spans="1:21">
      <c r="P16" s="327"/>
      <c r="Q16" s="327"/>
    </row>
    <row r="17" spans="1:20">
      <c r="P17" s="327"/>
      <c r="Q17" s="327"/>
    </row>
    <row r="18" spans="1:20">
      <c r="A18" s="485" t="s">
        <v>442</v>
      </c>
      <c r="B18" s="486"/>
      <c r="C18" s="487"/>
      <c r="D18" s="485" t="s">
        <v>504</v>
      </c>
      <c r="E18" s="485"/>
      <c r="F18" s="486"/>
      <c r="G18" s="486"/>
      <c r="H18" s="486"/>
      <c r="I18" s="486"/>
      <c r="J18" s="486"/>
      <c r="K18" s="486"/>
      <c r="L18" s="486"/>
      <c r="M18" s="486"/>
      <c r="N18" s="486"/>
      <c r="O18" s="486"/>
      <c r="P18" s="488"/>
      <c r="Q18" s="488"/>
      <c r="R18" s="486"/>
    </row>
    <row r="19" spans="1:20" ht="19.5" customHeight="1">
      <c r="C19" s="489"/>
      <c r="D19" s="489"/>
      <c r="E19" s="489"/>
      <c r="F19" s="489"/>
      <c r="G19" s="489"/>
      <c r="H19" s="489"/>
      <c r="I19" s="489"/>
    </row>
    <row r="20" spans="1:20" ht="19.5" customHeight="1">
      <c r="A20" s="529" t="s">
        <v>502</v>
      </c>
      <c r="B20" s="490">
        <f ca="1">+LINEST(
OFFSET($B$75,0,0,1,SUM($B$69:$R$69)),
OFFSET($B$74,0,0,1,SUM($B$69:$R$69)),
,
1)</f>
        <v>12204.842424242426</v>
      </c>
      <c r="C20" s="489"/>
      <c r="D20" s="489"/>
      <c r="E20" s="489"/>
      <c r="F20" s="489"/>
      <c r="G20" s="489"/>
      <c r="H20" s="489"/>
      <c r="I20" s="489"/>
    </row>
    <row r="21" spans="1:20" ht="19.5" customHeight="1">
      <c r="A21" s="473" t="s">
        <v>503</v>
      </c>
      <c r="B21" s="489">
        <f ca="1">RSQ(
OFFSET($B$75,0,0,1,SUM($B$69:$R$69)),
OFFSET($B$74,0,0,1,SUM($B$69:$R$69))
)</f>
        <v>0.95983827873998595</v>
      </c>
      <c r="C21" s="490"/>
      <c r="D21" s="490"/>
      <c r="E21" s="490"/>
      <c r="F21" s="490"/>
      <c r="G21" s="490"/>
      <c r="H21" s="490"/>
      <c r="I21" s="490"/>
    </row>
    <row r="22" spans="1:20" ht="19.5" customHeight="1">
      <c r="A22" s="470" t="s">
        <v>443</v>
      </c>
      <c r="B22" s="491">
        <f ca="1">+B20/R15</f>
        <v>4.1373889956040487E-2</v>
      </c>
      <c r="C22" s="489"/>
      <c r="D22" s="489"/>
      <c r="E22" s="489"/>
      <c r="F22" s="489"/>
      <c r="G22" s="489"/>
      <c r="H22" s="489"/>
      <c r="I22" s="489"/>
    </row>
    <row r="23" spans="1:20" ht="19.5" customHeight="1">
      <c r="A23" s="327" t="str">
        <f>+'2) ROR'!$D$19&amp;"-year Growth Rate"</f>
        <v>1-year Growth Rate</v>
      </c>
      <c r="B23" s="530">
        <f ca="1">ROUND(B22*'2) ROR'!$D$19,4)</f>
        <v>4.1399999999999999E-2</v>
      </c>
      <c r="C23" s="491"/>
      <c r="D23" s="491"/>
      <c r="E23" s="491"/>
      <c r="F23" s="491"/>
      <c r="G23" s="491"/>
      <c r="H23" s="491"/>
      <c r="I23" s="491"/>
    </row>
    <row r="24" spans="1:20" ht="19.5" customHeight="1">
      <c r="C24" s="492"/>
      <c r="D24" s="492"/>
      <c r="E24" s="492"/>
      <c r="F24" s="492"/>
      <c r="G24" s="492"/>
      <c r="H24" s="492"/>
      <c r="I24" s="492"/>
      <c r="L24" s="362"/>
    </row>
    <row r="26" spans="1:20">
      <c r="S26" s="493"/>
      <c r="T26" s="493"/>
    </row>
    <row r="27" spans="1:20">
      <c r="S27" s="494"/>
      <c r="T27" s="494"/>
    </row>
    <row r="28" spans="1:20">
      <c r="S28" s="494"/>
      <c r="T28" s="494"/>
    </row>
    <row r="29" spans="1:20">
      <c r="S29" s="494"/>
      <c r="T29" s="494"/>
    </row>
    <row r="30" spans="1:20">
      <c r="S30" s="494"/>
      <c r="T30" s="494"/>
    </row>
    <row r="31" spans="1:20">
      <c r="S31" s="494"/>
      <c r="T31" s="494"/>
    </row>
    <row r="34" spans="19:21">
      <c r="S34" s="495"/>
      <c r="T34" s="495"/>
      <c r="U34" s="495"/>
    </row>
    <row r="35" spans="19:21">
      <c r="S35" s="494"/>
      <c r="T35" s="494"/>
      <c r="U35" s="494"/>
    </row>
    <row r="36" spans="19:21">
      <c r="S36" s="494"/>
      <c r="T36" s="494"/>
      <c r="U36" s="494"/>
    </row>
    <row r="37" spans="19:21">
      <c r="S37" s="494"/>
      <c r="T37" s="494"/>
      <c r="U37" s="494"/>
    </row>
    <row r="38" spans="19:21">
      <c r="S38" s="494"/>
      <c r="T38" s="494"/>
      <c r="U38" s="494"/>
    </row>
    <row r="39" spans="19:21">
      <c r="S39" s="494"/>
      <c r="T39" s="494"/>
      <c r="U39" s="494"/>
    </row>
    <row r="40" spans="19:21">
      <c r="S40" s="494"/>
      <c r="T40" s="494"/>
      <c r="U40" s="494"/>
    </row>
    <row r="41" spans="19:21">
      <c r="S41" s="494"/>
      <c r="T41" s="494"/>
      <c r="U41" s="494"/>
    </row>
    <row r="42" spans="19:21">
      <c r="S42" s="494"/>
      <c r="T42" s="494"/>
      <c r="U42" s="494"/>
    </row>
    <row r="43" spans="19:21">
      <c r="S43" s="494"/>
      <c r="T43" s="494"/>
      <c r="U43" s="494"/>
    </row>
    <row r="44" spans="19:21">
      <c r="S44" s="494"/>
      <c r="T44" s="494"/>
      <c r="U44" s="494"/>
    </row>
    <row r="45" spans="19:21">
      <c r="S45" s="494"/>
      <c r="T45" s="494"/>
      <c r="U45" s="494"/>
    </row>
    <row r="46" spans="19:21">
      <c r="S46" s="494"/>
      <c r="T46" s="494"/>
      <c r="U46" s="494"/>
    </row>
    <row r="47" spans="19:21">
      <c r="S47" s="494"/>
      <c r="T47" s="494"/>
      <c r="U47" s="494"/>
    </row>
    <row r="48" spans="19:21">
      <c r="S48" s="494"/>
      <c r="T48" s="494"/>
      <c r="U48" s="494"/>
    </row>
    <row r="49" spans="19:21">
      <c r="S49" s="494"/>
      <c r="T49" s="494"/>
      <c r="U49" s="494"/>
    </row>
    <row r="50" spans="19:21">
      <c r="S50" s="494"/>
      <c r="T50" s="494"/>
      <c r="U50" s="494"/>
    </row>
    <row r="51" spans="19:21">
      <c r="S51" s="494"/>
      <c r="T51" s="494"/>
      <c r="U51" s="494"/>
    </row>
    <row r="52" spans="19:21">
      <c r="S52" s="494"/>
      <c r="T52" s="494"/>
      <c r="U52" s="494"/>
    </row>
    <row r="53" spans="19:21">
      <c r="S53" s="494"/>
      <c r="T53" s="494"/>
      <c r="U53" s="494"/>
    </row>
    <row r="54" spans="19:21">
      <c r="S54" s="494"/>
      <c r="T54" s="494"/>
      <c r="U54" s="494"/>
    </row>
    <row r="55" spans="19:21">
      <c r="S55" s="494"/>
      <c r="T55" s="494"/>
      <c r="U55" s="494"/>
    </row>
    <row r="56" spans="19:21">
      <c r="S56" s="494"/>
      <c r="T56" s="494"/>
      <c r="U56" s="494"/>
    </row>
    <row r="57" spans="19:21">
      <c r="S57" s="494"/>
      <c r="T57" s="494"/>
      <c r="U57" s="494"/>
    </row>
    <row r="59" spans="19:21">
      <c r="S59" s="495"/>
      <c r="T59" s="495"/>
      <c r="U59" s="495"/>
    </row>
    <row r="60" spans="19:21">
      <c r="S60" s="494"/>
      <c r="T60" s="494"/>
      <c r="U60" s="494"/>
    </row>
    <row r="66" spans="1:21">
      <c r="S66" s="495"/>
      <c r="T66" s="495"/>
      <c r="U66" s="495"/>
    </row>
    <row r="67" spans="1:21">
      <c r="A67" s="496" t="s">
        <v>444</v>
      </c>
      <c r="S67" s="494"/>
      <c r="T67" s="494"/>
      <c r="U67" s="494"/>
    </row>
    <row r="68" spans="1:21">
      <c r="A68" s="496" t="s">
        <v>445</v>
      </c>
      <c r="B68" s="496">
        <f t="shared" ref="B68:O68" si="3">+B9</f>
        <v>2000</v>
      </c>
      <c r="C68" s="496">
        <f t="shared" si="3"/>
        <v>2001</v>
      </c>
      <c r="D68" s="496">
        <f t="shared" si="3"/>
        <v>2002</v>
      </c>
      <c r="E68" s="496">
        <f t="shared" si="3"/>
        <v>2003</v>
      </c>
      <c r="F68" s="496">
        <f t="shared" si="3"/>
        <v>2004</v>
      </c>
      <c r="G68" s="496">
        <f t="shared" si="3"/>
        <v>2005</v>
      </c>
      <c r="H68" s="496">
        <f t="shared" si="3"/>
        <v>2006</v>
      </c>
      <c r="I68" s="496">
        <f t="shared" si="3"/>
        <v>2007</v>
      </c>
      <c r="J68" s="496">
        <f t="shared" si="3"/>
        <v>2008</v>
      </c>
      <c r="K68" s="496">
        <f t="shared" si="3"/>
        <v>2009</v>
      </c>
      <c r="L68" s="496">
        <f t="shared" si="3"/>
        <v>2010</v>
      </c>
      <c r="M68" s="496">
        <f t="shared" si="3"/>
        <v>2011</v>
      </c>
      <c r="N68" s="496">
        <f t="shared" si="3"/>
        <v>2012</v>
      </c>
      <c r="O68" s="496">
        <f t="shared" si="3"/>
        <v>2013</v>
      </c>
      <c r="P68" s="496">
        <f t="shared" ref="P68:R68" si="4">+P9</f>
        <v>2014</v>
      </c>
      <c r="Q68" s="496">
        <f t="shared" si="4"/>
        <v>2015</v>
      </c>
      <c r="R68" s="496">
        <f t="shared" si="4"/>
        <v>2016</v>
      </c>
    </row>
    <row r="69" spans="1:21">
      <c r="A69" s="497" t="s">
        <v>446</v>
      </c>
      <c r="B69" s="497"/>
      <c r="C69" s="497"/>
      <c r="D69" s="497"/>
      <c r="E69" s="497"/>
      <c r="F69" s="497"/>
      <c r="G69" s="497"/>
      <c r="H69" s="497"/>
      <c r="I69" s="497">
        <v>1</v>
      </c>
      <c r="J69" s="497">
        <v>1</v>
      </c>
      <c r="K69" s="497">
        <v>1</v>
      </c>
      <c r="L69" s="497">
        <v>1</v>
      </c>
      <c r="M69" s="497">
        <v>1</v>
      </c>
      <c r="N69" s="497">
        <v>1</v>
      </c>
      <c r="O69" s="497">
        <v>1</v>
      </c>
      <c r="P69" s="497">
        <v>1</v>
      </c>
      <c r="Q69" s="497">
        <v>1</v>
      </c>
      <c r="R69" s="497">
        <v>1</v>
      </c>
    </row>
    <row r="70" spans="1:21">
      <c r="A70" s="490"/>
      <c r="B70" s="490"/>
      <c r="C70" s="490"/>
      <c r="D70" s="490"/>
      <c r="E70" s="490"/>
      <c r="F70" s="490"/>
      <c r="G70" s="490"/>
      <c r="H70" s="490"/>
      <c r="I70" s="490"/>
      <c r="J70" s="490"/>
      <c r="K70" s="490"/>
      <c r="L70" s="490"/>
      <c r="M70" s="490"/>
      <c r="N70" s="490"/>
      <c r="O70" s="490"/>
      <c r="P70" s="490"/>
      <c r="Q70" s="490"/>
      <c r="R70" s="490"/>
      <c r="S70" s="490"/>
      <c r="T70" s="490"/>
      <c r="U70" s="490"/>
    </row>
    <row r="71" spans="1:21">
      <c r="A71" s="490"/>
      <c r="B71" s="490"/>
      <c r="C71" s="490"/>
      <c r="D71" s="490"/>
      <c r="E71" s="490"/>
      <c r="F71" s="490"/>
      <c r="G71" s="490"/>
      <c r="H71" s="490"/>
      <c r="I71" s="490"/>
      <c r="J71" s="490"/>
      <c r="K71" s="490"/>
      <c r="L71" s="490"/>
      <c r="M71" s="490"/>
      <c r="N71" s="490"/>
      <c r="O71" s="490"/>
      <c r="P71" s="490"/>
      <c r="Q71" s="490"/>
      <c r="R71" s="490"/>
      <c r="S71" s="490"/>
      <c r="T71" s="490"/>
      <c r="U71" s="490"/>
    </row>
    <row r="72" spans="1:21">
      <c r="A72" s="498" t="s">
        <v>447</v>
      </c>
      <c r="B72" s="499">
        <f>+SUM($B69:B$69)</f>
        <v>0</v>
      </c>
      <c r="C72" s="499">
        <f>+SUM($B69:C$69)</f>
        <v>0</v>
      </c>
      <c r="D72" s="499">
        <f>+SUM($B69:D$69)</f>
        <v>0</v>
      </c>
      <c r="E72" s="499">
        <f>+SUM($B69:E$69)</f>
        <v>0</v>
      </c>
      <c r="F72" s="499">
        <f>+SUM($B69:F$69)</f>
        <v>0</v>
      </c>
      <c r="G72" s="499">
        <f>+SUM($B69:G$69)</f>
        <v>0</v>
      </c>
      <c r="H72" s="499">
        <f>+SUM($B69:H$69)</f>
        <v>0</v>
      </c>
      <c r="I72" s="499">
        <f>+SUM($B69:I$69)</f>
        <v>1</v>
      </c>
      <c r="J72" s="499">
        <f>+SUM($B69:J$69)</f>
        <v>2</v>
      </c>
      <c r="K72" s="499">
        <f>+SUM($B69:K$69)</f>
        <v>3</v>
      </c>
      <c r="L72" s="499">
        <f>+SUM($B69:L$69)</f>
        <v>4</v>
      </c>
      <c r="M72" s="499">
        <f>+SUM($B69:M$69)</f>
        <v>5</v>
      </c>
      <c r="N72" s="499">
        <f>+SUM($B69:N$69)</f>
        <v>6</v>
      </c>
      <c r="O72" s="499">
        <f>+SUM($B69:O$69)</f>
        <v>7</v>
      </c>
      <c r="P72" s="499">
        <f>+SUM($B69:P$69)</f>
        <v>8</v>
      </c>
      <c r="Q72" s="499">
        <f>+SUM($B69:Q$69)</f>
        <v>9</v>
      </c>
      <c r="R72" s="499">
        <f>+SUM($B69:R$69)</f>
        <v>10</v>
      </c>
      <c r="S72" s="490"/>
      <c r="T72" s="490"/>
      <c r="U72" s="490"/>
    </row>
    <row r="73" spans="1:21">
      <c r="A73" s="498" t="s">
        <v>448</v>
      </c>
      <c r="B73" s="500">
        <v>1</v>
      </c>
      <c r="C73" s="500">
        <f t="shared" ref="C73:K73" si="5">+B73+1</f>
        <v>2</v>
      </c>
      <c r="D73" s="500">
        <f t="shared" si="5"/>
        <v>3</v>
      </c>
      <c r="E73" s="500">
        <f t="shared" si="5"/>
        <v>4</v>
      </c>
      <c r="F73" s="500">
        <f t="shared" si="5"/>
        <v>5</v>
      </c>
      <c r="G73" s="500">
        <f t="shared" si="5"/>
        <v>6</v>
      </c>
      <c r="H73" s="500">
        <f t="shared" si="5"/>
        <v>7</v>
      </c>
      <c r="I73" s="500">
        <f t="shared" si="5"/>
        <v>8</v>
      </c>
      <c r="J73" s="500">
        <f t="shared" si="5"/>
        <v>9</v>
      </c>
      <c r="K73" s="500">
        <f t="shared" si="5"/>
        <v>10</v>
      </c>
      <c r="L73" s="500">
        <f>+K73+1</f>
        <v>11</v>
      </c>
      <c r="M73" s="500">
        <f t="shared" ref="M73:O73" si="6">+L73+1</f>
        <v>12</v>
      </c>
      <c r="N73" s="500">
        <f t="shared" si="6"/>
        <v>13</v>
      </c>
      <c r="O73" s="500">
        <f t="shared" si="6"/>
        <v>14</v>
      </c>
      <c r="P73" s="500">
        <f t="shared" ref="P73" si="7">+O73+1</f>
        <v>15</v>
      </c>
      <c r="Q73" s="500">
        <f t="shared" ref="Q73" si="8">+P73+1</f>
        <v>16</v>
      </c>
      <c r="R73" s="500">
        <f t="shared" ref="R73" si="9">+Q73+1</f>
        <v>17</v>
      </c>
    </row>
    <row r="74" spans="1:21">
      <c r="A74" s="498" t="s">
        <v>449</v>
      </c>
      <c r="B74" s="500">
        <f t="shared" ref="B74:O74" ca="1" si="10">+OFFSET($A$68,0,MATCH(B$73,$B$72:$R$72,0))</f>
        <v>2007</v>
      </c>
      <c r="C74" s="500">
        <f t="shared" ca="1" si="10"/>
        <v>2008</v>
      </c>
      <c r="D74" s="500">
        <f t="shared" ca="1" si="10"/>
        <v>2009</v>
      </c>
      <c r="E74" s="500">
        <f t="shared" ca="1" si="10"/>
        <v>2010</v>
      </c>
      <c r="F74" s="500">
        <f t="shared" ca="1" si="10"/>
        <v>2011</v>
      </c>
      <c r="G74" s="500">
        <f t="shared" ca="1" si="10"/>
        <v>2012</v>
      </c>
      <c r="H74" s="500">
        <f t="shared" ca="1" si="10"/>
        <v>2013</v>
      </c>
      <c r="I74" s="500">
        <f t="shared" ca="1" si="10"/>
        <v>2014</v>
      </c>
      <c r="J74" s="500">
        <f t="shared" ca="1" si="10"/>
        <v>2015</v>
      </c>
      <c r="K74" s="500">
        <f t="shared" ca="1" si="10"/>
        <v>2016</v>
      </c>
      <c r="L74" s="500" t="e">
        <f t="shared" ca="1" si="10"/>
        <v>#N/A</v>
      </c>
      <c r="M74" s="500" t="e">
        <f t="shared" ca="1" si="10"/>
        <v>#N/A</v>
      </c>
      <c r="N74" s="500" t="e">
        <f t="shared" ca="1" si="10"/>
        <v>#N/A</v>
      </c>
      <c r="O74" s="500" t="e">
        <f t="shared" ca="1" si="10"/>
        <v>#N/A</v>
      </c>
      <c r="P74" s="500" t="e">
        <f t="shared" ref="P74:R74" ca="1" si="11">+OFFSET($A$68,0,MATCH(P$73,$B$72:$R$72,0))</f>
        <v>#N/A</v>
      </c>
      <c r="Q74" s="500" t="e">
        <f t="shared" ca="1" si="11"/>
        <v>#N/A</v>
      </c>
      <c r="R74" s="500" t="e">
        <f t="shared" ca="1" si="11"/>
        <v>#N/A</v>
      </c>
    </row>
    <row r="75" spans="1:21">
      <c r="A75" s="498" t="s">
        <v>450</v>
      </c>
      <c r="B75" s="498">
        <f t="shared" ref="B75:O75" ca="1" si="12">+INDEX(15:15,1,MATCH(B$74,9:9,0))</f>
        <v>169392</v>
      </c>
      <c r="C75" s="498">
        <f t="shared" ca="1" si="12"/>
        <v>194276</v>
      </c>
      <c r="D75" s="498">
        <f t="shared" ca="1" si="12"/>
        <v>200441</v>
      </c>
      <c r="E75" s="498">
        <f t="shared" ca="1" si="12"/>
        <v>206464</v>
      </c>
      <c r="F75" s="498">
        <f t="shared" ca="1" si="12"/>
        <v>216868</v>
      </c>
      <c r="G75" s="498">
        <f t="shared" ca="1" si="12"/>
        <v>226066</v>
      </c>
      <c r="H75" s="498">
        <f t="shared" ca="1" si="12"/>
        <v>237633</v>
      </c>
      <c r="I75" s="498">
        <f t="shared" ca="1" si="12"/>
        <v>248102</v>
      </c>
      <c r="J75" s="498">
        <f t="shared" ca="1" si="12"/>
        <v>271764</v>
      </c>
      <c r="K75" s="498">
        <f t="shared" ca="1" si="12"/>
        <v>294989</v>
      </c>
      <c r="L75" s="498" t="e">
        <f t="shared" ca="1" si="12"/>
        <v>#N/A</v>
      </c>
      <c r="M75" s="498" t="e">
        <f t="shared" ca="1" si="12"/>
        <v>#N/A</v>
      </c>
      <c r="N75" s="498" t="e">
        <f t="shared" ca="1" si="12"/>
        <v>#N/A</v>
      </c>
      <c r="O75" s="498" t="e">
        <f t="shared" ca="1" si="12"/>
        <v>#N/A</v>
      </c>
      <c r="P75" s="498" t="e">
        <f t="shared" ref="P75:R75" ca="1" si="13">+INDEX(15:15,1,MATCH(P$74,9:9,0))</f>
        <v>#N/A</v>
      </c>
      <c r="Q75" s="498" t="e">
        <f t="shared" ca="1" si="13"/>
        <v>#N/A</v>
      </c>
      <c r="R75" s="498" t="e">
        <f t="shared" ca="1" si="13"/>
        <v>#N/A</v>
      </c>
    </row>
    <row r="78" spans="1:21">
      <c r="A78" s="501"/>
      <c r="B78" s="502" t="s">
        <v>451</v>
      </c>
      <c r="C78" s="503"/>
    </row>
    <row r="79" spans="1:21">
      <c r="A79" s="501" t="s">
        <v>452</v>
      </c>
      <c r="B79" s="504">
        <f t="array" aca="1" ref="B79:C83" ca="1">+LINEST(
OFFSET($B75,0,0,1,SUM($B69:$R69)),
OFFSET($B74,0,0,1,SUM($B69:$R69)),
,
1)</f>
        <v>12204.842424242426</v>
      </c>
      <c r="C79" s="504">
        <f ca="1"/>
        <v>-24323441.036363639</v>
      </c>
      <c r="D79" s="470" t="s">
        <v>453</v>
      </c>
    </row>
    <row r="80" spans="1:21">
      <c r="A80" s="501" t="s">
        <v>454</v>
      </c>
      <c r="B80" s="504">
        <f ca="1"/>
        <v>882.66175438488938</v>
      </c>
      <c r="C80" s="504">
        <f ca="1"/>
        <v>1775475.9290261799</v>
      </c>
      <c r="D80" s="470" t="s">
        <v>455</v>
      </c>
    </row>
    <row r="81" spans="1:4">
      <c r="A81" s="501" t="s">
        <v>456</v>
      </c>
      <c r="B81" s="504">
        <f ca="1"/>
        <v>0.95983827873998628</v>
      </c>
      <c r="C81" s="504">
        <f ca="1"/>
        <v>8017.1735196351701</v>
      </c>
      <c r="D81" s="470" t="s">
        <v>457</v>
      </c>
    </row>
    <row r="82" spans="1:4">
      <c r="A82" s="505" t="s">
        <v>458</v>
      </c>
      <c r="B82" s="504">
        <f ca="1"/>
        <v>191.19464975633522</v>
      </c>
      <c r="C82" s="504">
        <f ca="1"/>
        <v>8</v>
      </c>
      <c r="D82" s="470" t="s">
        <v>459</v>
      </c>
    </row>
    <row r="83" spans="1:4">
      <c r="A83" s="505" t="s">
        <v>460</v>
      </c>
      <c r="B83" s="504">
        <f ca="1"/>
        <v>12289049734.548485</v>
      </c>
      <c r="C83" s="504">
        <f ca="1"/>
        <v>514200569.95151508</v>
      </c>
      <c r="D83" s="470" t="s">
        <v>461</v>
      </c>
    </row>
    <row r="84" spans="1:4">
      <c r="A84" s="501"/>
    </row>
    <row r="85" spans="1:4">
      <c r="A85" s="501"/>
    </row>
    <row r="86" spans="1:4">
      <c r="A86" s="501" t="s">
        <v>462</v>
      </c>
      <c r="B86" s="470">
        <f ca="1">+B79/B80</f>
        <v>13.827315348842497</v>
      </c>
    </row>
    <row r="87" spans="1:4">
      <c r="A87" s="505" t="s">
        <v>463</v>
      </c>
      <c r="B87" s="506">
        <f ca="1">+TDIST(B86,C82,2)</f>
        <v>7.2311292695232422E-7</v>
      </c>
    </row>
  </sheetData>
  <conditionalFormatting sqref="B15:H15 J15:R15">
    <cfRule type="expression" dxfId="7" priority="2">
      <formula>B$69=1</formula>
    </cfRule>
  </conditionalFormatting>
  <conditionalFormatting sqref="B15:I15">
    <cfRule type="expression" dxfId="6" priority="1">
      <formula>B$69=1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U88"/>
  <sheetViews>
    <sheetView showGridLines="0" zoomScale="70" zoomScaleNormal="70" zoomScaleSheetLayoutView="100" workbookViewId="0"/>
  </sheetViews>
  <sheetFormatPr defaultRowHeight="12.75"/>
  <cols>
    <col min="1" max="1" width="36.5703125" style="470" customWidth="1"/>
    <col min="2" max="16" width="11.28515625" style="470" customWidth="1"/>
    <col min="17" max="17" width="11.28515625" style="719" customWidth="1"/>
    <col min="18" max="18" width="11.28515625" style="470" customWidth="1"/>
    <col min="19" max="21" width="9.140625" style="473"/>
    <col min="22" max="16384" width="9.140625" style="470"/>
  </cols>
  <sheetData>
    <row r="1" spans="1:21" s="472" customFormat="1" ht="15.75">
      <c r="A1" s="656" t="s">
        <v>540</v>
      </c>
      <c r="S1" s="590"/>
      <c r="T1" s="590"/>
      <c r="U1" s="590"/>
    </row>
    <row r="2" spans="1:21" s="472" customFormat="1" ht="15.75">
      <c r="A2" s="338" t="s">
        <v>495</v>
      </c>
      <c r="S2" s="590"/>
      <c r="T2" s="590"/>
      <c r="U2" s="590"/>
    </row>
    <row r="3" spans="1:21" s="472" customFormat="1" ht="15.75">
      <c r="A3" s="338"/>
      <c r="S3" s="590"/>
      <c r="T3" s="590"/>
      <c r="U3" s="590"/>
    </row>
    <row r="4" spans="1:21" s="472" customFormat="1" ht="15.75">
      <c r="A4" s="589" t="s">
        <v>438</v>
      </c>
      <c r="B4" s="587" t="s">
        <v>483</v>
      </c>
      <c r="C4" s="587"/>
      <c r="D4" s="587"/>
      <c r="E4" s="587"/>
      <c r="F4" s="587"/>
      <c r="G4" s="587"/>
      <c r="H4" s="587"/>
      <c r="I4" s="587"/>
      <c r="S4" s="590"/>
      <c r="T4" s="590"/>
      <c r="U4" s="590"/>
    </row>
    <row r="5" spans="1:21" s="472" customFormat="1" ht="15">
      <c r="A5" s="588"/>
      <c r="S5" s="590"/>
      <c r="T5" s="590"/>
      <c r="U5" s="590"/>
    </row>
    <row r="6" spans="1:21" s="472" customFormat="1" ht="15">
      <c r="A6" s="592" t="s">
        <v>505</v>
      </c>
      <c r="S6" s="590"/>
      <c r="T6" s="590"/>
      <c r="U6" s="590"/>
    </row>
    <row r="8" spans="1:21">
      <c r="A8" s="474"/>
      <c r="B8" s="475"/>
      <c r="C8" s="475"/>
      <c r="D8" s="475"/>
      <c r="E8" s="475"/>
      <c r="F8" s="475"/>
      <c r="G8" s="475"/>
      <c r="H8" s="475"/>
      <c r="I8" s="475"/>
      <c r="J8" s="476"/>
      <c r="K8" s="476"/>
      <c r="L8" s="476"/>
      <c r="M8" s="476"/>
      <c r="N8" s="477"/>
      <c r="O8" s="477"/>
      <c r="P8" s="478"/>
      <c r="Q8" s="478"/>
      <c r="R8" s="477"/>
    </row>
    <row r="9" spans="1:21">
      <c r="B9" s="479">
        <f t="shared" ref="B9:H9" si="0">+C9-1</f>
        <v>2000</v>
      </c>
      <c r="C9" s="479">
        <f t="shared" si="0"/>
        <v>2001</v>
      </c>
      <c r="D9" s="479">
        <f t="shared" si="0"/>
        <v>2002</v>
      </c>
      <c r="E9" s="479">
        <f t="shared" si="0"/>
        <v>2003</v>
      </c>
      <c r="F9" s="479">
        <f t="shared" si="0"/>
        <v>2004</v>
      </c>
      <c r="G9" s="479">
        <f t="shared" si="0"/>
        <v>2005</v>
      </c>
      <c r="H9" s="479">
        <f t="shared" si="0"/>
        <v>2006</v>
      </c>
      <c r="I9" s="479">
        <f>+J9-1</f>
        <v>2007</v>
      </c>
      <c r="J9" s="479">
        <v>2008</v>
      </c>
      <c r="K9" s="480">
        <v>2009</v>
      </c>
      <c r="L9" s="480">
        <v>2010</v>
      </c>
      <c r="M9" s="480">
        <v>2011</v>
      </c>
      <c r="N9" s="480">
        <v>2012</v>
      </c>
      <c r="O9" s="480">
        <v>2013</v>
      </c>
      <c r="P9" s="480">
        <v>2014</v>
      </c>
      <c r="Q9" s="480">
        <v>2015</v>
      </c>
      <c r="R9" s="480">
        <v>2016</v>
      </c>
    </row>
    <row r="10" spans="1:21" ht="8.25" customHeight="1">
      <c r="B10" s="481" t="s">
        <v>439</v>
      </c>
      <c r="C10" s="481" t="s">
        <v>439</v>
      </c>
      <c r="D10" s="481" t="s">
        <v>439</v>
      </c>
      <c r="E10" s="481" t="s">
        <v>439</v>
      </c>
      <c r="F10" s="481" t="s">
        <v>439</v>
      </c>
      <c r="G10" s="481" t="s">
        <v>439</v>
      </c>
      <c r="H10" s="481" t="s">
        <v>439</v>
      </c>
      <c r="I10" s="481" t="s">
        <v>439</v>
      </c>
      <c r="J10" s="481" t="s">
        <v>439</v>
      </c>
      <c r="K10" s="481" t="s">
        <v>439</v>
      </c>
      <c r="L10" s="481" t="s">
        <v>439</v>
      </c>
      <c r="M10" s="481" t="s">
        <v>439</v>
      </c>
      <c r="N10" s="481" t="s">
        <v>439</v>
      </c>
      <c r="O10" s="481" t="s">
        <v>439</v>
      </c>
      <c r="P10" s="481" t="s">
        <v>439</v>
      </c>
      <c r="Q10" s="481" t="s">
        <v>439</v>
      </c>
      <c r="R10" s="481" t="s">
        <v>439</v>
      </c>
    </row>
    <row r="11" spans="1:21">
      <c r="A11" s="482" t="s">
        <v>479</v>
      </c>
      <c r="B11" s="97">
        <f>+'Cost Trends'!F65</f>
        <v>398952</v>
      </c>
      <c r="C11" s="97">
        <f>+'Cost Trends'!G65</f>
        <v>416914</v>
      </c>
      <c r="D11" s="97">
        <f>+'Cost Trends'!H65</f>
        <v>429987</v>
      </c>
      <c r="E11" s="97">
        <f>+'Cost Trends'!I65</f>
        <v>443649</v>
      </c>
      <c r="F11" s="97">
        <f>+'Cost Trends'!J65</f>
        <v>459739</v>
      </c>
      <c r="G11" s="97">
        <f>+'Cost Trends'!K65</f>
        <v>480886</v>
      </c>
      <c r="H11" s="97">
        <f>+'Cost Trends'!L65</f>
        <v>502838</v>
      </c>
      <c r="I11" s="97">
        <f>+'Cost Trends'!M65</f>
        <v>529067</v>
      </c>
      <c r="J11" s="97">
        <f>+'Cost Trends'!N65</f>
        <v>561248</v>
      </c>
      <c r="K11" s="97">
        <f>+'Cost Trends'!O65</f>
        <v>602201</v>
      </c>
      <c r="L11" s="97">
        <f>+'Cost Trends'!P65</f>
        <v>642143</v>
      </c>
      <c r="M11" s="97">
        <f>+'Cost Trends'!Q65</f>
        <v>696082</v>
      </c>
      <c r="N11" s="97">
        <f>+'Cost Trends'!R65</f>
        <v>743732</v>
      </c>
      <c r="O11" s="97">
        <f>+'Cost Trends'!S65</f>
        <v>796640</v>
      </c>
      <c r="P11" s="97">
        <f>+'Cost Trends'!T65</f>
        <v>842795</v>
      </c>
      <c r="Q11" s="97">
        <f>+'Cost Trends'!U65</f>
        <v>895055</v>
      </c>
      <c r="R11" s="97">
        <f>+'Cost Trends'!V65</f>
        <v>970455</v>
      </c>
    </row>
    <row r="12" spans="1:21">
      <c r="A12" s="470" t="s">
        <v>480</v>
      </c>
      <c r="B12" s="97">
        <f>-'Cost Trends'!F74*'Sheet1 (2)'!$D$9/'Sheet1 (2)'!$D$11</f>
        <v>-109404.09290775156</v>
      </c>
      <c r="C12" s="97">
        <f>-'Cost Trends'!G74*'Sheet1 (2)'!$D$9/'Sheet1 (2)'!$D$11</f>
        <v>-115082.16662518264</v>
      </c>
      <c r="D12" s="97">
        <f>-'Cost Trends'!H74*'Sheet1 (2)'!$D$9/'Sheet1 (2)'!$D$11</f>
        <v>-120714.897185483</v>
      </c>
      <c r="E12" s="97">
        <f>-'Cost Trends'!I74*'Sheet1 (2)'!$D$9/'Sheet1 (2)'!$D$11</f>
        <v>-130289.08939079283</v>
      </c>
      <c r="F12" s="97">
        <f>-'Cost Trends'!J74*'Sheet1 (2)'!$D$9/'Sheet1 (2)'!$D$11</f>
        <v>-137990.94850914011</v>
      </c>
      <c r="G12" s="97">
        <f>-'Cost Trends'!K74*'Sheet1 (2)'!$D$9/'Sheet1 (2)'!$D$11</f>
        <v>-146488.0093899568</v>
      </c>
      <c r="H12" s="97">
        <f>-'Cost Trends'!L74*'Sheet1 (2)'!$D$9/'Sheet1 (2)'!$D$11</f>
        <v>-156263.93237597067</v>
      </c>
      <c r="I12" s="97">
        <f>-'Sheet1 (2)'!D9</f>
        <v>-162343</v>
      </c>
      <c r="J12" s="97">
        <f>-'Sheet1 (2)'!E9</f>
        <v>-172026</v>
      </c>
      <c r="K12" s="97">
        <f>-'Sheet1 (2)'!F9</f>
        <v>-181327</v>
      </c>
      <c r="L12" s="97">
        <f>-'Sheet1 (2)'!G9</f>
        <v>-194593</v>
      </c>
      <c r="M12" s="97">
        <f>-'Cost Trends'!Q72</f>
        <v>-209101</v>
      </c>
      <c r="N12" s="97">
        <f>-'Cost Trends'!R72</f>
        <v>-221408</v>
      </c>
      <c r="O12" s="97">
        <f>-'Cost Trends'!S72</f>
        <v>-236201</v>
      </c>
      <c r="P12" s="97">
        <f>-'Cost Trends'!T72</f>
        <v>-252722</v>
      </c>
      <c r="Q12" s="97">
        <f>-'Cost Trends'!U72</f>
        <v>-273578</v>
      </c>
      <c r="R12" s="97">
        <f>-'Cost Trends'!V72</f>
        <v>-295383</v>
      </c>
    </row>
    <row r="13" spans="1:21" ht="8.25" customHeight="1">
      <c r="B13" s="481"/>
      <c r="C13" s="481"/>
      <c r="D13" s="481"/>
      <c r="E13" s="481"/>
      <c r="F13" s="481"/>
      <c r="G13" s="481"/>
      <c r="H13" s="481"/>
      <c r="I13" s="481"/>
      <c r="J13" s="481"/>
      <c r="K13" s="481"/>
      <c r="L13" s="481"/>
      <c r="M13" s="481"/>
      <c r="N13" s="481"/>
      <c r="O13" s="481"/>
      <c r="P13" s="481"/>
      <c r="Q13" s="481"/>
      <c r="R13" s="481"/>
    </row>
    <row r="14" spans="1:21" ht="8.25" customHeight="1">
      <c r="B14" s="481" t="s">
        <v>439</v>
      </c>
      <c r="C14" s="481" t="s">
        <v>439</v>
      </c>
      <c r="D14" s="481" t="s">
        <v>439</v>
      </c>
      <c r="E14" s="481" t="s">
        <v>439</v>
      </c>
      <c r="F14" s="481" t="s">
        <v>439</v>
      </c>
      <c r="G14" s="481" t="s">
        <v>439</v>
      </c>
      <c r="H14" s="481" t="s">
        <v>439</v>
      </c>
      <c r="I14" s="481" t="s">
        <v>439</v>
      </c>
      <c r="J14" s="481" t="s">
        <v>439</v>
      </c>
      <c r="K14" s="481" t="s">
        <v>439</v>
      </c>
      <c r="L14" s="481" t="s">
        <v>439</v>
      </c>
      <c r="M14" s="481" t="s">
        <v>439</v>
      </c>
      <c r="N14" s="481" t="s">
        <v>439</v>
      </c>
      <c r="O14" s="481" t="s">
        <v>439</v>
      </c>
      <c r="P14" s="481" t="s">
        <v>439</v>
      </c>
      <c r="Q14" s="481" t="s">
        <v>439</v>
      </c>
      <c r="R14" s="481" t="s">
        <v>439</v>
      </c>
    </row>
    <row r="15" spans="1:21" ht="26.25" customHeight="1">
      <c r="A15" s="483" t="str">
        <f>+"Total "&amp;B4</f>
        <v>Total Distribution Net Plant</v>
      </c>
      <c r="B15" s="484">
        <f t="shared" ref="B15:O15" si="1">+SUM(B10:B14)</f>
        <v>289547.90709224844</v>
      </c>
      <c r="C15" s="484">
        <f t="shared" si="1"/>
        <v>301831.83337481739</v>
      </c>
      <c r="D15" s="484">
        <f t="shared" si="1"/>
        <v>309272.10281451698</v>
      </c>
      <c r="E15" s="484">
        <f t="shared" si="1"/>
        <v>313359.91060920717</v>
      </c>
      <c r="F15" s="484">
        <f t="shared" si="1"/>
        <v>321748.05149085989</v>
      </c>
      <c r="G15" s="484">
        <f t="shared" si="1"/>
        <v>334397.99061004317</v>
      </c>
      <c r="H15" s="484">
        <f t="shared" si="1"/>
        <v>346574.06762402935</v>
      </c>
      <c r="I15" s="484">
        <f t="shared" si="1"/>
        <v>366724</v>
      </c>
      <c r="J15" s="484">
        <f t="shared" si="1"/>
        <v>389222</v>
      </c>
      <c r="K15" s="484">
        <f t="shared" si="1"/>
        <v>420874</v>
      </c>
      <c r="L15" s="484">
        <f t="shared" si="1"/>
        <v>447550</v>
      </c>
      <c r="M15" s="484">
        <f t="shared" si="1"/>
        <v>486981</v>
      </c>
      <c r="N15" s="484">
        <f t="shared" si="1"/>
        <v>522324</v>
      </c>
      <c r="O15" s="484">
        <f t="shared" si="1"/>
        <v>560439</v>
      </c>
      <c r="P15" s="484">
        <f t="shared" ref="P15:R15" si="2">+SUM(P10:P14)</f>
        <v>590073</v>
      </c>
      <c r="Q15" s="484">
        <f t="shared" si="2"/>
        <v>621477</v>
      </c>
      <c r="R15" s="484">
        <f t="shared" si="2"/>
        <v>675072</v>
      </c>
    </row>
    <row r="16" spans="1:21">
      <c r="P16" s="327"/>
      <c r="Q16" s="327"/>
    </row>
    <row r="17" spans="1:20">
      <c r="P17" s="327"/>
      <c r="Q17" s="327"/>
    </row>
    <row r="18" spans="1:20">
      <c r="A18" s="485" t="s">
        <v>442</v>
      </c>
      <c r="B18" s="486"/>
      <c r="C18" s="487"/>
      <c r="D18" s="485" t="s">
        <v>504</v>
      </c>
      <c r="E18" s="485"/>
      <c r="F18" s="486"/>
      <c r="G18" s="486"/>
      <c r="H18" s="486"/>
      <c r="I18" s="486"/>
      <c r="J18" s="486"/>
      <c r="K18" s="486"/>
      <c r="L18" s="486"/>
      <c r="M18" s="486"/>
      <c r="N18" s="486"/>
      <c r="O18" s="486"/>
      <c r="P18" s="488"/>
      <c r="Q18" s="488"/>
      <c r="R18" s="486"/>
    </row>
    <row r="19" spans="1:20" ht="19.5" customHeight="1">
      <c r="A19" s="473"/>
      <c r="B19" s="489"/>
      <c r="C19" s="489"/>
      <c r="D19" s="489"/>
      <c r="E19" s="489"/>
      <c r="F19" s="489"/>
      <c r="G19" s="489"/>
      <c r="H19" s="489"/>
      <c r="I19" s="489"/>
    </row>
    <row r="20" spans="1:20" ht="19.5" customHeight="1">
      <c r="A20" s="529" t="s">
        <v>502</v>
      </c>
      <c r="B20" s="490">
        <f ca="1">+LINEST(
OFFSET($B$76,0,0,1,SUM($B$70:$R$70)),
OFFSET($B$75,0,0,1,SUM($B$70:$R$70)),
,
1)</f>
        <v>34066.193939393954</v>
      </c>
      <c r="C20" s="489"/>
      <c r="D20" s="489"/>
      <c r="E20" s="489"/>
      <c r="F20" s="489"/>
      <c r="G20" s="489"/>
      <c r="H20" s="489"/>
      <c r="I20" s="489"/>
    </row>
    <row r="21" spans="1:20" ht="19.5" customHeight="1">
      <c r="A21" s="473" t="s">
        <v>503</v>
      </c>
      <c r="B21" s="489">
        <f ca="1">RSQ(
OFFSET($B$76,0,0,1,SUM($B$70:$R$70)),
OFFSET($B$75,0,0,1,SUM($B$70:$R$70))
)</f>
        <v>0.99487313554767631</v>
      </c>
      <c r="C21" s="490"/>
      <c r="D21" s="490"/>
      <c r="E21" s="490"/>
      <c r="F21" s="490"/>
      <c r="G21" s="490"/>
      <c r="H21" s="490"/>
      <c r="I21" s="490"/>
    </row>
    <row r="22" spans="1:20" ht="19.5" customHeight="1">
      <c r="A22" s="470" t="s">
        <v>443</v>
      </c>
      <c r="B22" s="491">
        <f ca="1">+B20/R15</f>
        <v>5.0463052740143205E-2</v>
      </c>
      <c r="C22" s="489"/>
      <c r="D22" s="489"/>
      <c r="E22" s="489"/>
      <c r="F22" s="489"/>
      <c r="G22" s="489"/>
      <c r="H22" s="489"/>
      <c r="I22" s="489"/>
    </row>
    <row r="23" spans="1:20" ht="19.5" customHeight="1">
      <c r="A23" s="327" t="str">
        <f>+'2) ROR'!$D$19&amp;"-year Growth Rate"</f>
        <v>1-year Growth Rate</v>
      </c>
      <c r="B23" s="530">
        <f ca="1">ROUND(B22*'2) ROR'!$D$19,4)</f>
        <v>5.0500000000000003E-2</v>
      </c>
      <c r="C23" s="491"/>
      <c r="D23" s="491"/>
      <c r="E23" s="491"/>
      <c r="F23" s="491"/>
      <c r="G23" s="491"/>
      <c r="H23" s="491"/>
      <c r="I23" s="491"/>
    </row>
    <row r="24" spans="1:20" ht="19.5" customHeight="1">
      <c r="C24" s="492"/>
      <c r="D24" s="492"/>
      <c r="E24" s="492"/>
      <c r="F24" s="492"/>
      <c r="G24" s="492"/>
      <c r="H24" s="492"/>
      <c r="I24" s="492"/>
      <c r="L24" s="362"/>
    </row>
    <row r="26" spans="1:20">
      <c r="S26" s="493"/>
      <c r="T26" s="493"/>
    </row>
    <row r="27" spans="1:20">
      <c r="S27" s="494"/>
      <c r="T27" s="494"/>
    </row>
    <row r="28" spans="1:20">
      <c r="S28" s="494"/>
      <c r="T28" s="494"/>
    </row>
    <row r="29" spans="1:20">
      <c r="S29" s="494"/>
      <c r="T29" s="494"/>
    </row>
    <row r="30" spans="1:20">
      <c r="S30" s="494"/>
      <c r="T30" s="494"/>
    </row>
    <row r="31" spans="1:20">
      <c r="S31" s="494"/>
      <c r="T31" s="494"/>
    </row>
    <row r="34" spans="19:21">
      <c r="S34" s="495"/>
      <c r="T34" s="495"/>
      <c r="U34" s="495"/>
    </row>
    <row r="35" spans="19:21">
      <c r="S35" s="494"/>
      <c r="T35" s="494"/>
      <c r="U35" s="494"/>
    </row>
    <row r="36" spans="19:21">
      <c r="S36" s="494"/>
      <c r="T36" s="494"/>
      <c r="U36" s="494"/>
    </row>
    <row r="37" spans="19:21">
      <c r="S37" s="494"/>
      <c r="T37" s="494"/>
      <c r="U37" s="494"/>
    </row>
    <row r="38" spans="19:21">
      <c r="S38" s="494"/>
      <c r="T38" s="494"/>
      <c r="U38" s="494"/>
    </row>
    <row r="39" spans="19:21">
      <c r="S39" s="494"/>
      <c r="T39" s="494"/>
      <c r="U39" s="494"/>
    </row>
    <row r="40" spans="19:21">
      <c r="S40" s="494"/>
      <c r="T40" s="494"/>
      <c r="U40" s="494"/>
    </row>
    <row r="41" spans="19:21">
      <c r="S41" s="494"/>
      <c r="T41" s="494"/>
      <c r="U41" s="494"/>
    </row>
    <row r="42" spans="19:21">
      <c r="S42" s="494"/>
      <c r="T42" s="494"/>
      <c r="U42" s="494"/>
    </row>
    <row r="43" spans="19:21">
      <c r="S43" s="494"/>
      <c r="T43" s="494"/>
      <c r="U43" s="494"/>
    </row>
    <row r="44" spans="19:21">
      <c r="S44" s="494"/>
      <c r="T44" s="494"/>
      <c r="U44" s="494"/>
    </row>
    <row r="45" spans="19:21">
      <c r="S45" s="494"/>
      <c r="T45" s="494"/>
      <c r="U45" s="494"/>
    </row>
    <row r="46" spans="19:21">
      <c r="S46" s="494"/>
      <c r="T46" s="494"/>
      <c r="U46" s="494"/>
    </row>
    <row r="47" spans="19:21">
      <c r="S47" s="494"/>
      <c r="T47" s="494"/>
      <c r="U47" s="494"/>
    </row>
    <row r="48" spans="19:21">
      <c r="S48" s="494"/>
      <c r="T48" s="494"/>
      <c r="U48" s="494"/>
    </row>
    <row r="49" spans="19:21">
      <c r="S49" s="494"/>
      <c r="T49" s="494"/>
      <c r="U49" s="494"/>
    </row>
    <row r="50" spans="19:21">
      <c r="S50" s="494"/>
      <c r="T50" s="494"/>
      <c r="U50" s="494"/>
    </row>
    <row r="51" spans="19:21">
      <c r="S51" s="494"/>
      <c r="T51" s="494"/>
      <c r="U51" s="494"/>
    </row>
    <row r="52" spans="19:21">
      <c r="S52" s="494"/>
      <c r="T52" s="494"/>
      <c r="U52" s="494"/>
    </row>
    <row r="53" spans="19:21">
      <c r="S53" s="494"/>
      <c r="T53" s="494"/>
      <c r="U53" s="494"/>
    </row>
    <row r="54" spans="19:21">
      <c r="S54" s="494"/>
      <c r="T54" s="494"/>
      <c r="U54" s="494"/>
    </row>
    <row r="55" spans="19:21">
      <c r="S55" s="494"/>
      <c r="T55" s="494"/>
      <c r="U55" s="494"/>
    </row>
    <row r="56" spans="19:21">
      <c r="S56" s="494"/>
      <c r="T56" s="494"/>
      <c r="U56" s="494"/>
    </row>
    <row r="57" spans="19:21">
      <c r="S57" s="494"/>
      <c r="T57" s="494"/>
      <c r="U57" s="494"/>
    </row>
    <row r="59" spans="19:21">
      <c r="S59" s="495"/>
      <c r="T59" s="495"/>
      <c r="U59" s="495"/>
    </row>
    <row r="60" spans="19:21">
      <c r="S60" s="494"/>
      <c r="T60" s="494"/>
      <c r="U60" s="494"/>
    </row>
    <row r="61" spans="19:21">
      <c r="S61" s="494"/>
      <c r="T61" s="494"/>
      <c r="U61" s="494"/>
    </row>
    <row r="67" spans="1:21">
      <c r="S67" s="495"/>
      <c r="T67" s="495"/>
      <c r="U67" s="495"/>
    </row>
    <row r="68" spans="1:21">
      <c r="A68" s="496" t="s">
        <v>444</v>
      </c>
      <c r="S68" s="494"/>
      <c r="T68" s="494"/>
      <c r="U68" s="494"/>
    </row>
    <row r="69" spans="1:21">
      <c r="A69" s="496" t="s">
        <v>445</v>
      </c>
      <c r="B69" s="496">
        <f t="shared" ref="B69:O69" si="3">+B9</f>
        <v>2000</v>
      </c>
      <c r="C69" s="496">
        <f t="shared" si="3"/>
        <v>2001</v>
      </c>
      <c r="D69" s="496">
        <f t="shared" si="3"/>
        <v>2002</v>
      </c>
      <c r="E69" s="496">
        <f t="shared" si="3"/>
        <v>2003</v>
      </c>
      <c r="F69" s="496">
        <f t="shared" si="3"/>
        <v>2004</v>
      </c>
      <c r="G69" s="496">
        <f t="shared" si="3"/>
        <v>2005</v>
      </c>
      <c r="H69" s="496">
        <f t="shared" si="3"/>
        <v>2006</v>
      </c>
      <c r="I69" s="496">
        <f t="shared" si="3"/>
        <v>2007</v>
      </c>
      <c r="J69" s="496">
        <f t="shared" si="3"/>
        <v>2008</v>
      </c>
      <c r="K69" s="496">
        <f t="shared" si="3"/>
        <v>2009</v>
      </c>
      <c r="L69" s="496">
        <f t="shared" si="3"/>
        <v>2010</v>
      </c>
      <c r="M69" s="496">
        <f t="shared" si="3"/>
        <v>2011</v>
      </c>
      <c r="N69" s="496">
        <f t="shared" si="3"/>
        <v>2012</v>
      </c>
      <c r="O69" s="496">
        <f t="shared" si="3"/>
        <v>2013</v>
      </c>
      <c r="P69" s="496">
        <f t="shared" ref="P69:R69" si="4">+P9</f>
        <v>2014</v>
      </c>
      <c r="Q69" s="496">
        <f t="shared" si="4"/>
        <v>2015</v>
      </c>
      <c r="R69" s="496">
        <f t="shared" si="4"/>
        <v>2016</v>
      </c>
    </row>
    <row r="70" spans="1:21">
      <c r="A70" s="497" t="s">
        <v>446</v>
      </c>
      <c r="B70" s="497"/>
      <c r="C70" s="497"/>
      <c r="D70" s="497"/>
      <c r="E70" s="497"/>
      <c r="F70" s="497"/>
      <c r="G70" s="497"/>
      <c r="H70" s="497"/>
      <c r="I70" s="497">
        <v>1</v>
      </c>
      <c r="J70" s="497">
        <v>1</v>
      </c>
      <c r="K70" s="497">
        <v>1</v>
      </c>
      <c r="L70" s="497">
        <v>1</v>
      </c>
      <c r="M70" s="497">
        <v>1</v>
      </c>
      <c r="N70" s="497">
        <v>1</v>
      </c>
      <c r="O70" s="497">
        <v>1</v>
      </c>
      <c r="P70" s="497">
        <v>1</v>
      </c>
      <c r="Q70" s="497">
        <v>1</v>
      </c>
      <c r="R70" s="497">
        <v>1</v>
      </c>
    </row>
    <row r="71" spans="1:21">
      <c r="A71" s="490"/>
      <c r="B71" s="490"/>
      <c r="C71" s="490"/>
      <c r="D71" s="490"/>
      <c r="E71" s="490"/>
      <c r="F71" s="490"/>
      <c r="G71" s="490"/>
      <c r="H71" s="490"/>
      <c r="I71" s="490"/>
      <c r="J71" s="490"/>
      <c r="K71" s="490"/>
      <c r="L71" s="490"/>
      <c r="M71" s="490"/>
      <c r="N71" s="490"/>
      <c r="O71" s="490"/>
      <c r="P71" s="490"/>
      <c r="Q71" s="490"/>
      <c r="R71" s="490"/>
      <c r="S71" s="490"/>
      <c r="T71" s="490"/>
      <c r="U71" s="490"/>
    </row>
    <row r="72" spans="1:21">
      <c r="A72" s="490"/>
      <c r="B72" s="490"/>
      <c r="C72" s="490"/>
      <c r="D72" s="490"/>
      <c r="E72" s="490"/>
      <c r="F72" s="490"/>
      <c r="G72" s="490"/>
      <c r="H72" s="490"/>
      <c r="I72" s="490"/>
      <c r="J72" s="490"/>
      <c r="K72" s="490"/>
      <c r="L72" s="490"/>
      <c r="M72" s="490"/>
      <c r="N72" s="490"/>
      <c r="O72" s="490"/>
      <c r="P72" s="490"/>
      <c r="Q72" s="490"/>
      <c r="R72" s="490"/>
      <c r="S72" s="490"/>
      <c r="T72" s="490"/>
      <c r="U72" s="490"/>
    </row>
    <row r="73" spans="1:21">
      <c r="A73" s="498" t="s">
        <v>447</v>
      </c>
      <c r="B73" s="499">
        <f>+SUM($B70:B$70)</f>
        <v>0</v>
      </c>
      <c r="C73" s="499">
        <f>+SUM($B70:C$70)</f>
        <v>0</v>
      </c>
      <c r="D73" s="499">
        <f>+SUM($B70:D$70)</f>
        <v>0</v>
      </c>
      <c r="E73" s="499">
        <f>+SUM($B70:E$70)</f>
        <v>0</v>
      </c>
      <c r="F73" s="499">
        <f>+SUM($B70:F$70)</f>
        <v>0</v>
      </c>
      <c r="G73" s="499">
        <f>+SUM($B70:G$70)</f>
        <v>0</v>
      </c>
      <c r="H73" s="499">
        <f>+SUM($B70:H$70)</f>
        <v>0</v>
      </c>
      <c r="I73" s="499">
        <f>+SUM($B70:I$70)</f>
        <v>1</v>
      </c>
      <c r="J73" s="499">
        <f>+SUM($B70:J$70)</f>
        <v>2</v>
      </c>
      <c r="K73" s="499">
        <f>+SUM($B70:K$70)</f>
        <v>3</v>
      </c>
      <c r="L73" s="499">
        <f>+SUM($B70:L$70)</f>
        <v>4</v>
      </c>
      <c r="M73" s="499">
        <f>+SUM($B70:M$70)</f>
        <v>5</v>
      </c>
      <c r="N73" s="499">
        <f>+SUM($B70:N$70)</f>
        <v>6</v>
      </c>
      <c r="O73" s="499">
        <f>+SUM($B70:O$70)</f>
        <v>7</v>
      </c>
      <c r="P73" s="499">
        <f>+SUM($B70:P$70)</f>
        <v>8</v>
      </c>
      <c r="Q73" s="499">
        <f>+SUM($B70:Q$70)</f>
        <v>9</v>
      </c>
      <c r="R73" s="499">
        <f>+SUM($B70:R$70)</f>
        <v>10</v>
      </c>
      <c r="S73" s="490"/>
      <c r="T73" s="490"/>
      <c r="U73" s="490"/>
    </row>
    <row r="74" spans="1:21">
      <c r="A74" s="498" t="s">
        <v>448</v>
      </c>
      <c r="B74" s="500">
        <v>1</v>
      </c>
      <c r="C74" s="500">
        <f t="shared" ref="C74:K74" si="5">+B74+1</f>
        <v>2</v>
      </c>
      <c r="D74" s="500">
        <f t="shared" si="5"/>
        <v>3</v>
      </c>
      <c r="E74" s="500">
        <f t="shared" si="5"/>
        <v>4</v>
      </c>
      <c r="F74" s="500">
        <f t="shared" si="5"/>
        <v>5</v>
      </c>
      <c r="G74" s="500">
        <f t="shared" si="5"/>
        <v>6</v>
      </c>
      <c r="H74" s="500">
        <f t="shared" si="5"/>
        <v>7</v>
      </c>
      <c r="I74" s="500">
        <f t="shared" si="5"/>
        <v>8</v>
      </c>
      <c r="J74" s="500">
        <f t="shared" si="5"/>
        <v>9</v>
      </c>
      <c r="K74" s="500">
        <f t="shared" si="5"/>
        <v>10</v>
      </c>
      <c r="L74" s="500">
        <f>+K74+1</f>
        <v>11</v>
      </c>
      <c r="M74" s="500">
        <f t="shared" ref="M74:O74" si="6">+L74+1</f>
        <v>12</v>
      </c>
      <c r="N74" s="500">
        <f t="shared" si="6"/>
        <v>13</v>
      </c>
      <c r="O74" s="500">
        <f t="shared" si="6"/>
        <v>14</v>
      </c>
      <c r="P74" s="500">
        <f t="shared" ref="P74" si="7">+O74+1</f>
        <v>15</v>
      </c>
      <c r="Q74" s="500">
        <f t="shared" ref="Q74" si="8">+P74+1</f>
        <v>16</v>
      </c>
      <c r="R74" s="500">
        <f t="shared" ref="R74" si="9">+Q74+1</f>
        <v>17</v>
      </c>
    </row>
    <row r="75" spans="1:21">
      <c r="A75" s="498" t="s">
        <v>449</v>
      </c>
      <c r="B75" s="500">
        <f t="shared" ref="B75:O75" ca="1" si="10">+OFFSET($A$69,0,MATCH(B$74,$B$73:$R$73,0))</f>
        <v>2007</v>
      </c>
      <c r="C75" s="500">
        <f t="shared" ca="1" si="10"/>
        <v>2008</v>
      </c>
      <c r="D75" s="500">
        <f t="shared" ca="1" si="10"/>
        <v>2009</v>
      </c>
      <c r="E75" s="500">
        <f t="shared" ca="1" si="10"/>
        <v>2010</v>
      </c>
      <c r="F75" s="500">
        <f t="shared" ca="1" si="10"/>
        <v>2011</v>
      </c>
      <c r="G75" s="500">
        <f t="shared" ca="1" si="10"/>
        <v>2012</v>
      </c>
      <c r="H75" s="500">
        <f t="shared" ca="1" si="10"/>
        <v>2013</v>
      </c>
      <c r="I75" s="500">
        <f t="shared" ca="1" si="10"/>
        <v>2014</v>
      </c>
      <c r="J75" s="500">
        <f t="shared" ca="1" si="10"/>
        <v>2015</v>
      </c>
      <c r="K75" s="500">
        <f t="shared" ca="1" si="10"/>
        <v>2016</v>
      </c>
      <c r="L75" s="500" t="e">
        <f t="shared" ca="1" si="10"/>
        <v>#N/A</v>
      </c>
      <c r="M75" s="500" t="e">
        <f t="shared" ca="1" si="10"/>
        <v>#N/A</v>
      </c>
      <c r="N75" s="500" t="e">
        <f t="shared" ca="1" si="10"/>
        <v>#N/A</v>
      </c>
      <c r="O75" s="500" t="e">
        <f t="shared" ca="1" si="10"/>
        <v>#N/A</v>
      </c>
      <c r="P75" s="500" t="e">
        <f t="shared" ref="P75:R75" ca="1" si="11">+OFFSET($A$69,0,MATCH(P$74,$B$73:$R$73,0))</f>
        <v>#N/A</v>
      </c>
      <c r="Q75" s="500" t="e">
        <f t="shared" ca="1" si="11"/>
        <v>#N/A</v>
      </c>
      <c r="R75" s="500" t="e">
        <f t="shared" ca="1" si="11"/>
        <v>#N/A</v>
      </c>
    </row>
    <row r="76" spans="1:21">
      <c r="A76" s="498" t="s">
        <v>450</v>
      </c>
      <c r="B76" s="498">
        <f t="shared" ref="B76:O76" ca="1" si="12">+INDEX(15:15,1,MATCH(B$75,9:9,0))</f>
        <v>366724</v>
      </c>
      <c r="C76" s="498">
        <f t="shared" ca="1" si="12"/>
        <v>389222</v>
      </c>
      <c r="D76" s="498">
        <f t="shared" ca="1" si="12"/>
        <v>420874</v>
      </c>
      <c r="E76" s="498">
        <f t="shared" ca="1" si="12"/>
        <v>447550</v>
      </c>
      <c r="F76" s="498">
        <f t="shared" ca="1" si="12"/>
        <v>486981</v>
      </c>
      <c r="G76" s="498">
        <f t="shared" ca="1" si="12"/>
        <v>522324</v>
      </c>
      <c r="H76" s="498">
        <f t="shared" ca="1" si="12"/>
        <v>560439</v>
      </c>
      <c r="I76" s="498">
        <f t="shared" ca="1" si="12"/>
        <v>590073</v>
      </c>
      <c r="J76" s="498">
        <f t="shared" ca="1" si="12"/>
        <v>621477</v>
      </c>
      <c r="K76" s="498">
        <f t="shared" ca="1" si="12"/>
        <v>675072</v>
      </c>
      <c r="L76" s="498" t="e">
        <f t="shared" ca="1" si="12"/>
        <v>#N/A</v>
      </c>
      <c r="M76" s="498" t="e">
        <f t="shared" ca="1" si="12"/>
        <v>#N/A</v>
      </c>
      <c r="N76" s="498" t="e">
        <f t="shared" ca="1" si="12"/>
        <v>#N/A</v>
      </c>
      <c r="O76" s="498" t="e">
        <f t="shared" ca="1" si="12"/>
        <v>#N/A</v>
      </c>
      <c r="P76" s="498" t="e">
        <f t="shared" ref="P76:R76" ca="1" si="13">+INDEX(15:15,1,MATCH(P$75,9:9,0))</f>
        <v>#N/A</v>
      </c>
      <c r="Q76" s="498" t="e">
        <f t="shared" ca="1" si="13"/>
        <v>#N/A</v>
      </c>
      <c r="R76" s="498" t="e">
        <f t="shared" ca="1" si="13"/>
        <v>#N/A</v>
      </c>
    </row>
    <row r="79" spans="1:21">
      <c r="A79" s="501"/>
      <c r="B79" s="502" t="s">
        <v>451</v>
      </c>
      <c r="C79" s="503"/>
    </row>
    <row r="80" spans="1:21">
      <c r="A80" s="501" t="s">
        <v>452</v>
      </c>
      <c r="B80" s="504">
        <f t="array" aca="1" ref="B80:C84" ca="1">+LINEST(
OFFSET($B76,0,0,1,SUM($B70:$R70)),
OFFSET($B75,0,0,1,SUM($B70:$R70)),
,
1)</f>
        <v>34066.193939393954</v>
      </c>
      <c r="C80" s="504">
        <f ca="1"/>
        <v>-68016075.509090945</v>
      </c>
      <c r="D80" s="470" t="s">
        <v>453</v>
      </c>
    </row>
    <row r="81" spans="1:4">
      <c r="A81" s="501" t="s">
        <v>454</v>
      </c>
      <c r="B81" s="504">
        <f ca="1"/>
        <v>864.61086123125119</v>
      </c>
      <c r="C81" s="504">
        <f ca="1"/>
        <v>1739166.5204305367</v>
      </c>
      <c r="D81" s="470" t="s">
        <v>455</v>
      </c>
    </row>
    <row r="82" spans="1:4">
      <c r="A82" s="501" t="s">
        <v>456</v>
      </c>
      <c r="B82" s="504">
        <f ca="1"/>
        <v>0.99487313554767653</v>
      </c>
      <c r="C82" s="504">
        <f ca="1"/>
        <v>7853.2181404900039</v>
      </c>
      <c r="D82" s="470" t="s">
        <v>457</v>
      </c>
    </row>
    <row r="83" spans="1:4">
      <c r="A83" s="505" t="s">
        <v>458</v>
      </c>
      <c r="B83" s="504">
        <f ca="1"/>
        <v>1552.4079402517596</v>
      </c>
      <c r="C83" s="504">
        <f ca="1"/>
        <v>8</v>
      </c>
      <c r="D83" s="470" t="s">
        <v>459</v>
      </c>
    </row>
    <row r="84" spans="1:4">
      <c r="A84" s="505" t="s">
        <v>460</v>
      </c>
      <c r="B84" s="504">
        <f ca="1"/>
        <v>95741709485.103043</v>
      </c>
      <c r="C84" s="504">
        <f ca="1"/>
        <v>493384281.29697025</v>
      </c>
      <c r="D84" s="470" t="s">
        <v>461</v>
      </c>
    </row>
    <row r="85" spans="1:4">
      <c r="A85" s="501"/>
    </row>
    <row r="86" spans="1:4">
      <c r="A86" s="501"/>
    </row>
    <row r="87" spans="1:4">
      <c r="A87" s="501" t="s">
        <v>462</v>
      </c>
      <c r="B87" s="470">
        <f ca="1">+B80/B81</f>
        <v>39.400608374132503</v>
      </c>
    </row>
    <row r="88" spans="1:4">
      <c r="A88" s="505" t="s">
        <v>463</v>
      </c>
      <c r="B88" s="506">
        <f ca="1">+TDIST(B87,C83,2)</f>
        <v>1.8930321525370385E-10</v>
      </c>
    </row>
  </sheetData>
  <conditionalFormatting sqref="B15:H15 J15:R15">
    <cfRule type="expression" dxfId="5" priority="2">
      <formula>B$70=1</formula>
    </cfRule>
  </conditionalFormatting>
  <conditionalFormatting sqref="B15:I15">
    <cfRule type="expression" dxfId="4"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U88"/>
  <sheetViews>
    <sheetView showGridLines="0" zoomScale="70" zoomScaleNormal="70" zoomScaleSheetLayoutView="55" workbookViewId="0"/>
  </sheetViews>
  <sheetFormatPr defaultRowHeight="12.75"/>
  <cols>
    <col min="1" max="1" width="36.5703125" style="470" customWidth="1"/>
    <col min="2" max="16" width="11.28515625" style="470" customWidth="1"/>
    <col min="17" max="17" width="11.28515625" style="719" customWidth="1"/>
    <col min="18" max="18" width="11.28515625" style="470" customWidth="1"/>
    <col min="19" max="21" width="9.140625" style="473"/>
    <col min="22" max="16384" width="9.140625" style="470"/>
  </cols>
  <sheetData>
    <row r="1" spans="1:21" s="472" customFormat="1" ht="15.75">
      <c r="A1" s="656" t="s">
        <v>540</v>
      </c>
      <c r="S1" s="590"/>
      <c r="T1" s="590"/>
      <c r="U1" s="590"/>
    </row>
    <row r="2" spans="1:21" s="472" customFormat="1" ht="15.75">
      <c r="A2" s="338" t="s">
        <v>495</v>
      </c>
      <c r="S2" s="590"/>
      <c r="T2" s="590"/>
      <c r="U2" s="590"/>
    </row>
    <row r="3" spans="1:21" s="472" customFormat="1" ht="15.75">
      <c r="A3" s="589"/>
      <c r="B3" s="587"/>
      <c r="C3" s="587"/>
      <c r="D3" s="587"/>
      <c r="E3" s="587"/>
      <c r="F3" s="587"/>
      <c r="G3" s="587"/>
      <c r="H3" s="587"/>
      <c r="I3" s="587"/>
      <c r="S3" s="590"/>
      <c r="T3" s="590"/>
      <c r="U3" s="590"/>
    </row>
    <row r="4" spans="1:21" s="472" customFormat="1" ht="15.75">
      <c r="A4" s="589" t="s">
        <v>438</v>
      </c>
      <c r="B4" s="587" t="s">
        <v>484</v>
      </c>
      <c r="C4" s="587"/>
      <c r="D4" s="587"/>
      <c r="E4" s="587"/>
      <c r="F4" s="587"/>
      <c r="G4" s="587"/>
      <c r="H4" s="587"/>
      <c r="I4" s="587"/>
      <c r="S4" s="590"/>
      <c r="T4" s="590"/>
      <c r="U4" s="590"/>
    </row>
    <row r="5" spans="1:21" s="472" customFormat="1" ht="15">
      <c r="A5" s="588"/>
      <c r="S5" s="590"/>
      <c r="T5" s="590"/>
      <c r="U5" s="590"/>
    </row>
    <row r="6" spans="1:21" s="472" customFormat="1" ht="15">
      <c r="A6" s="592" t="s">
        <v>505</v>
      </c>
      <c r="S6" s="590"/>
      <c r="T6" s="590"/>
      <c r="U6" s="590"/>
    </row>
    <row r="8" spans="1:21">
      <c r="A8" s="474"/>
      <c r="B8" s="475"/>
      <c r="C8" s="475"/>
      <c r="D8" s="475"/>
      <c r="E8" s="475"/>
      <c r="F8" s="475"/>
      <c r="G8" s="475"/>
      <c r="H8" s="475"/>
      <c r="I8" s="475"/>
      <c r="J8" s="476"/>
      <c r="K8" s="476"/>
      <c r="L8" s="476"/>
      <c r="M8" s="476"/>
      <c r="N8" s="477"/>
      <c r="O8" s="477"/>
      <c r="P8" s="478"/>
      <c r="Q8" s="478"/>
      <c r="R8" s="477"/>
    </row>
    <row r="9" spans="1:21">
      <c r="B9" s="479">
        <f t="shared" ref="B9:H9" si="0">+C9-1</f>
        <v>2000</v>
      </c>
      <c r="C9" s="479">
        <f t="shared" si="0"/>
        <v>2001</v>
      </c>
      <c r="D9" s="479">
        <f t="shared" si="0"/>
        <v>2002</v>
      </c>
      <c r="E9" s="479">
        <f t="shared" si="0"/>
        <v>2003</v>
      </c>
      <c r="F9" s="479">
        <f t="shared" si="0"/>
        <v>2004</v>
      </c>
      <c r="G9" s="479">
        <f t="shared" si="0"/>
        <v>2005</v>
      </c>
      <c r="H9" s="479">
        <f t="shared" si="0"/>
        <v>2006</v>
      </c>
      <c r="I9" s="479">
        <f>+J9-1</f>
        <v>2007</v>
      </c>
      <c r="J9" s="479">
        <v>2008</v>
      </c>
      <c r="K9" s="480">
        <v>2009</v>
      </c>
      <c r="L9" s="480">
        <v>2010</v>
      </c>
      <c r="M9" s="480">
        <v>2011</v>
      </c>
      <c r="N9" s="480">
        <v>2012</v>
      </c>
      <c r="O9" s="480">
        <v>2013</v>
      </c>
      <c r="P9" s="480">
        <v>2014</v>
      </c>
      <c r="Q9" s="480">
        <v>2015</v>
      </c>
      <c r="R9" s="480">
        <v>2016</v>
      </c>
    </row>
    <row r="10" spans="1:21" ht="8.25" customHeight="1">
      <c r="B10" s="481" t="s">
        <v>439</v>
      </c>
      <c r="C10" s="481" t="s">
        <v>439</v>
      </c>
      <c r="D10" s="481" t="s">
        <v>439</v>
      </c>
      <c r="E10" s="481" t="s">
        <v>439</v>
      </c>
      <c r="F10" s="481" t="s">
        <v>439</v>
      </c>
      <c r="G10" s="481" t="s">
        <v>439</v>
      </c>
      <c r="H10" s="481" t="s">
        <v>439</v>
      </c>
      <c r="I10" s="481" t="s">
        <v>439</v>
      </c>
      <c r="J10" s="481" t="s">
        <v>439</v>
      </c>
      <c r="K10" s="481" t="s">
        <v>439</v>
      </c>
      <c r="L10" s="481" t="s">
        <v>439</v>
      </c>
      <c r="M10" s="481" t="s">
        <v>439</v>
      </c>
      <c r="N10" s="481" t="s">
        <v>439</v>
      </c>
      <c r="O10" s="481" t="s">
        <v>439</v>
      </c>
      <c r="P10" s="481" t="s">
        <v>439</v>
      </c>
      <c r="Q10" s="481" t="s">
        <v>439</v>
      </c>
      <c r="R10" s="481" t="s">
        <v>439</v>
      </c>
    </row>
    <row r="11" spans="1:21">
      <c r="A11" s="482" t="s">
        <v>479</v>
      </c>
      <c r="B11" s="97">
        <f>+'Cost Trends'!F66</f>
        <v>58402</v>
      </c>
      <c r="C11" s="97">
        <f>+'Cost Trends'!G66</f>
        <v>59846</v>
      </c>
      <c r="D11" s="97">
        <f>+'Cost Trends'!H66</f>
        <v>59771</v>
      </c>
      <c r="E11" s="97">
        <f>+'Cost Trends'!I66</f>
        <v>60444</v>
      </c>
      <c r="F11" s="97">
        <f>+'Cost Trends'!J66</f>
        <v>63155</v>
      </c>
      <c r="G11" s="97">
        <f>+'Cost Trends'!K66</f>
        <v>65299</v>
      </c>
      <c r="H11" s="97">
        <f>+'Cost Trends'!L66</f>
        <v>80110</v>
      </c>
      <c r="I11" s="97">
        <f>+'Cost Trends'!M66</f>
        <v>81368</v>
      </c>
      <c r="J11" s="97">
        <f>+'Cost Trends'!N66</f>
        <v>91205</v>
      </c>
      <c r="K11" s="97">
        <f>+'Cost Trends'!O66</f>
        <v>98727</v>
      </c>
      <c r="L11" s="97">
        <f>+'Cost Trends'!P66</f>
        <v>120996</v>
      </c>
      <c r="M11" s="97">
        <f>+'Cost Trends'!Q66</f>
        <v>140218</v>
      </c>
      <c r="N11" s="97">
        <f>+'Cost Trends'!R66</f>
        <v>155104</v>
      </c>
      <c r="O11" s="97">
        <f>+'Cost Trends'!S66</f>
        <v>179134</v>
      </c>
      <c r="P11" s="97">
        <f>+'Cost Trends'!T66</f>
        <v>196867</v>
      </c>
      <c r="Q11" s="97">
        <f>+'Cost Trends'!U66</f>
        <v>212726</v>
      </c>
      <c r="R11" s="97">
        <f>+'Cost Trends'!V66</f>
        <v>233266</v>
      </c>
    </row>
    <row r="12" spans="1:21">
      <c r="A12" s="684" t="s">
        <v>480</v>
      </c>
      <c r="B12" s="97">
        <f>-'Cost Trends'!F74*'Sheet1 (2)'!$D$10/'Sheet1 (2)'!$D$11</f>
        <v>-24757.323451901648</v>
      </c>
      <c r="C12" s="97">
        <f>-'Cost Trends'!G74*'Sheet1 (2)'!$D$10/'Sheet1 (2)'!$D$11</f>
        <v>-26042.228832221499</v>
      </c>
      <c r="D12" s="97">
        <f>-'Cost Trends'!H74*'Sheet1 (2)'!$D$10/'Sheet1 (2)'!$D$11</f>
        <v>-27316.873397085732</v>
      </c>
      <c r="E12" s="97">
        <f>-'Cost Trends'!I74*'Sheet1 (2)'!$D$10/'Sheet1 (2)'!$D$11</f>
        <v>-29483.441090466211</v>
      </c>
      <c r="F12" s="97">
        <f>-'Cost Trends'!J74*'Sheet1 (2)'!$D$10/'Sheet1 (2)'!$D$11</f>
        <v>-31226.313887141914</v>
      </c>
      <c r="G12" s="97">
        <f>-'Cost Trends'!K74*'Sheet1 (2)'!$D$10/'Sheet1 (2)'!$D$11</f>
        <v>-33149.134862352199</v>
      </c>
      <c r="H12" s="97">
        <f>-'Cost Trends'!L74*'Sheet1 (2)'!$D$10/'Sheet1 (2)'!$D$11</f>
        <v>-35361.352714290326</v>
      </c>
      <c r="I12" s="97">
        <f>-'Sheet1 (2)'!D10</f>
        <v>-36737</v>
      </c>
      <c r="J12" s="97">
        <f>-'Sheet1 (2)'!E10</f>
        <v>-39933</v>
      </c>
      <c r="K12" s="97">
        <f>-'Sheet1 (2)'!F10</f>
        <v>-39153</v>
      </c>
      <c r="L12" s="97">
        <f>-'Sheet1 (2)'!G10</f>
        <v>-43819</v>
      </c>
      <c r="M12" s="97">
        <f>-'Cost Trends'!Q73</f>
        <v>-56694</v>
      </c>
      <c r="N12" s="97">
        <f>-'Cost Trends'!R73</f>
        <v>-61871</v>
      </c>
      <c r="O12" s="97">
        <f>-'Cost Trends'!S73</f>
        <v>-58357</v>
      </c>
      <c r="P12" s="97">
        <f>-'Cost Trends'!T73</f>
        <v>-65720</v>
      </c>
      <c r="Q12" s="97">
        <f>-'Cost Trends'!U73</f>
        <v>-73050</v>
      </c>
      <c r="R12" s="97">
        <f>-'Cost Trends'!V73</f>
        <v>-80093</v>
      </c>
    </row>
    <row r="13" spans="1:21" ht="8.25" customHeight="1">
      <c r="B13" s="481"/>
      <c r="C13" s="481"/>
      <c r="D13" s="481"/>
      <c r="E13" s="481"/>
      <c r="F13" s="481"/>
      <c r="G13" s="481"/>
      <c r="H13" s="481"/>
      <c r="I13" s="481"/>
      <c r="J13" s="481"/>
      <c r="K13" s="481"/>
      <c r="L13" s="481"/>
      <c r="M13" s="481"/>
      <c r="N13" s="481"/>
      <c r="O13" s="481"/>
      <c r="P13" s="481"/>
      <c r="Q13" s="481"/>
      <c r="R13" s="481"/>
    </row>
    <row r="14" spans="1:21" ht="8.25" customHeight="1">
      <c r="B14" s="481" t="s">
        <v>439</v>
      </c>
      <c r="C14" s="481" t="s">
        <v>439</v>
      </c>
      <c r="D14" s="481" t="s">
        <v>439</v>
      </c>
      <c r="E14" s="481" t="s">
        <v>439</v>
      </c>
      <c r="F14" s="481" t="s">
        <v>439</v>
      </c>
      <c r="G14" s="481" t="s">
        <v>439</v>
      </c>
      <c r="H14" s="481" t="s">
        <v>439</v>
      </c>
      <c r="I14" s="481" t="s">
        <v>439</v>
      </c>
      <c r="J14" s="481" t="s">
        <v>439</v>
      </c>
      <c r="K14" s="481" t="s">
        <v>439</v>
      </c>
      <c r="L14" s="481" t="s">
        <v>439</v>
      </c>
      <c r="M14" s="481" t="s">
        <v>439</v>
      </c>
      <c r="N14" s="481" t="s">
        <v>439</v>
      </c>
      <c r="O14" s="481" t="s">
        <v>439</v>
      </c>
      <c r="P14" s="481" t="s">
        <v>439</v>
      </c>
      <c r="Q14" s="481" t="s">
        <v>439</v>
      </c>
      <c r="R14" s="481" t="s">
        <v>439</v>
      </c>
    </row>
    <row r="15" spans="1:21" ht="26.25" customHeight="1">
      <c r="A15" s="483" t="str">
        <f>+"Total "&amp;B4</f>
        <v>Total General Net Plant</v>
      </c>
      <c r="B15" s="484">
        <f t="shared" ref="B15:O15" si="1">+SUM(B10:B14)</f>
        <v>33644.676548098352</v>
      </c>
      <c r="C15" s="484">
        <f t="shared" si="1"/>
        <v>33803.771167778497</v>
      </c>
      <c r="D15" s="484">
        <f t="shared" si="1"/>
        <v>32454.126602914268</v>
      </c>
      <c r="E15" s="484">
        <f t="shared" si="1"/>
        <v>30960.558909533789</v>
      </c>
      <c r="F15" s="484">
        <f t="shared" si="1"/>
        <v>31928.686112858086</v>
      </c>
      <c r="G15" s="484">
        <f t="shared" si="1"/>
        <v>32149.865137647801</v>
      </c>
      <c r="H15" s="484">
        <f t="shared" si="1"/>
        <v>44748.647285709674</v>
      </c>
      <c r="I15" s="484">
        <f t="shared" si="1"/>
        <v>44631</v>
      </c>
      <c r="J15" s="484">
        <f t="shared" si="1"/>
        <v>51272</v>
      </c>
      <c r="K15" s="484">
        <f t="shared" si="1"/>
        <v>59574</v>
      </c>
      <c r="L15" s="484">
        <f t="shared" si="1"/>
        <v>77177</v>
      </c>
      <c r="M15" s="484">
        <f t="shared" si="1"/>
        <v>83524</v>
      </c>
      <c r="N15" s="484">
        <f t="shared" si="1"/>
        <v>93233</v>
      </c>
      <c r="O15" s="484">
        <f t="shared" si="1"/>
        <v>120777</v>
      </c>
      <c r="P15" s="484">
        <f t="shared" ref="P15:R15" si="2">+SUM(P10:P14)</f>
        <v>131147</v>
      </c>
      <c r="Q15" s="484">
        <f t="shared" si="2"/>
        <v>139676</v>
      </c>
      <c r="R15" s="484">
        <f t="shared" si="2"/>
        <v>153173</v>
      </c>
    </row>
    <row r="16" spans="1:21">
      <c r="P16" s="327"/>
      <c r="Q16" s="327"/>
    </row>
    <row r="17" spans="1:20">
      <c r="P17" s="327"/>
      <c r="Q17" s="327"/>
    </row>
    <row r="18" spans="1:20">
      <c r="A18" s="485" t="s">
        <v>442</v>
      </c>
      <c r="B18" s="486"/>
      <c r="C18" s="487"/>
      <c r="D18" s="485" t="s">
        <v>504</v>
      </c>
      <c r="E18" s="485"/>
      <c r="F18" s="486"/>
      <c r="G18" s="486"/>
      <c r="H18" s="486"/>
      <c r="I18" s="486"/>
      <c r="J18" s="486"/>
      <c r="K18" s="486"/>
      <c r="L18" s="486"/>
      <c r="M18" s="486"/>
      <c r="N18" s="486"/>
      <c r="O18" s="486"/>
      <c r="P18" s="488"/>
      <c r="Q18" s="488"/>
      <c r="R18" s="486"/>
    </row>
    <row r="19" spans="1:20" ht="19.5" customHeight="1">
      <c r="A19" s="473"/>
      <c r="B19" s="489"/>
      <c r="C19" s="489"/>
      <c r="D19" s="489"/>
      <c r="E19" s="489"/>
      <c r="F19" s="489"/>
      <c r="G19" s="489"/>
      <c r="H19" s="489"/>
      <c r="I19" s="489"/>
    </row>
    <row r="20" spans="1:20" ht="19.5" customHeight="1">
      <c r="A20" s="529" t="s">
        <v>502</v>
      </c>
      <c r="B20" s="490">
        <f ca="1">+LINEST(
OFFSET($B$76,0,0,1,SUM($B$70:$R$70)),
OFFSET($B$75,0,0,1,SUM($B$70:$R$70)),
,
1)</f>
        <v>12691.393939393944</v>
      </c>
      <c r="C20" s="490"/>
      <c r="D20" s="489"/>
      <c r="E20" s="489"/>
      <c r="F20" s="489"/>
      <c r="G20" s="489"/>
      <c r="H20" s="489"/>
      <c r="I20" s="489"/>
    </row>
    <row r="21" spans="1:20" ht="19.5" customHeight="1">
      <c r="A21" s="473" t="s">
        <v>503</v>
      </c>
      <c r="B21" s="489">
        <f ca="1">RSQ(
OFFSET($B$76,0,0,1,SUM($B$70:$R$70)),
OFFSET($B$75,0,0,1,SUM($B$70:$R$70))
)</f>
        <v>0.98388788377752168</v>
      </c>
      <c r="C21" s="489"/>
      <c r="D21" s="490"/>
      <c r="E21" s="490"/>
      <c r="F21" s="490"/>
      <c r="G21" s="490"/>
      <c r="H21" s="490"/>
      <c r="I21" s="490"/>
    </row>
    <row r="22" spans="1:20" ht="19.5" customHeight="1">
      <c r="A22" s="470" t="s">
        <v>443</v>
      </c>
      <c r="B22" s="491">
        <f ca="1">+B20/R15</f>
        <v>8.2856599657863614E-2</v>
      </c>
      <c r="C22" s="491"/>
      <c r="D22" s="489"/>
      <c r="E22" s="489"/>
      <c r="F22" s="489"/>
      <c r="G22" s="489"/>
      <c r="H22" s="489"/>
      <c r="I22" s="489"/>
    </row>
    <row r="23" spans="1:20" ht="19.5" customHeight="1">
      <c r="A23" s="327" t="str">
        <f>+'2) ROR'!$D$19&amp;"-year Growth Rate"</f>
        <v>1-year Growth Rate</v>
      </c>
      <c r="B23" s="530">
        <f ca="1">ROUND(B22*'2) ROR'!$D$19,4)</f>
        <v>8.2900000000000001E-2</v>
      </c>
      <c r="C23" s="492"/>
      <c r="D23" s="491"/>
      <c r="E23" s="491"/>
      <c r="F23" s="491"/>
      <c r="G23" s="491"/>
      <c r="H23" s="491"/>
      <c r="I23" s="491"/>
    </row>
    <row r="24" spans="1:20" ht="19.5" customHeight="1">
      <c r="D24" s="492"/>
      <c r="E24" s="492"/>
      <c r="F24" s="492"/>
      <c r="G24" s="492"/>
      <c r="H24" s="492"/>
      <c r="I24" s="492"/>
      <c r="L24" s="362"/>
    </row>
    <row r="26" spans="1:20">
      <c r="S26" s="493"/>
      <c r="T26" s="493"/>
    </row>
    <row r="27" spans="1:20">
      <c r="S27" s="494"/>
      <c r="T27" s="494"/>
    </row>
    <row r="28" spans="1:20">
      <c r="S28" s="494"/>
      <c r="T28" s="494"/>
    </row>
    <row r="29" spans="1:20">
      <c r="S29" s="494"/>
      <c r="T29" s="494"/>
    </row>
    <row r="30" spans="1:20">
      <c r="S30" s="494"/>
      <c r="T30" s="494"/>
    </row>
    <row r="31" spans="1:20">
      <c r="S31" s="494"/>
      <c r="T31" s="494"/>
    </row>
    <row r="34" spans="19:21">
      <c r="S34" s="495"/>
      <c r="T34" s="495"/>
      <c r="U34" s="495"/>
    </row>
    <row r="35" spans="19:21">
      <c r="S35" s="494"/>
      <c r="T35" s="494"/>
      <c r="U35" s="494"/>
    </row>
    <row r="36" spans="19:21">
      <c r="S36" s="494"/>
      <c r="T36" s="494"/>
      <c r="U36" s="494"/>
    </row>
    <row r="37" spans="19:21">
      <c r="S37" s="494"/>
      <c r="T37" s="494"/>
      <c r="U37" s="494"/>
    </row>
    <row r="38" spans="19:21">
      <c r="S38" s="494"/>
      <c r="T38" s="494"/>
      <c r="U38" s="494"/>
    </row>
    <row r="39" spans="19:21">
      <c r="S39" s="494"/>
      <c r="T39" s="494"/>
      <c r="U39" s="494"/>
    </row>
    <row r="40" spans="19:21">
      <c r="S40" s="494"/>
      <c r="T40" s="494"/>
      <c r="U40" s="494"/>
    </row>
    <row r="41" spans="19:21">
      <c r="S41" s="494"/>
      <c r="T41" s="494"/>
      <c r="U41" s="494"/>
    </row>
    <row r="42" spans="19:21">
      <c r="S42" s="494"/>
      <c r="T42" s="494"/>
      <c r="U42" s="494"/>
    </row>
    <row r="43" spans="19:21">
      <c r="S43" s="494"/>
      <c r="T43" s="494"/>
      <c r="U43" s="494"/>
    </row>
    <row r="44" spans="19:21">
      <c r="S44" s="494"/>
      <c r="T44" s="494"/>
      <c r="U44" s="494"/>
    </row>
    <row r="45" spans="19:21">
      <c r="S45" s="494"/>
      <c r="T45" s="494"/>
      <c r="U45" s="494"/>
    </row>
    <row r="46" spans="19:21">
      <c r="S46" s="494"/>
      <c r="T46" s="494"/>
      <c r="U46" s="494"/>
    </row>
    <row r="47" spans="19:21">
      <c r="S47" s="494"/>
      <c r="T47" s="494"/>
      <c r="U47" s="494"/>
    </row>
    <row r="48" spans="19:21">
      <c r="S48" s="494"/>
      <c r="T48" s="494"/>
      <c r="U48" s="494"/>
    </row>
    <row r="49" spans="19:21">
      <c r="S49" s="494"/>
      <c r="T49" s="494"/>
      <c r="U49" s="494"/>
    </row>
    <row r="50" spans="19:21">
      <c r="S50" s="494"/>
      <c r="T50" s="494"/>
      <c r="U50" s="494"/>
    </row>
    <row r="51" spans="19:21">
      <c r="S51" s="494"/>
      <c r="T51" s="494"/>
      <c r="U51" s="494"/>
    </row>
    <row r="52" spans="19:21">
      <c r="S52" s="494"/>
      <c r="T52" s="494"/>
      <c r="U52" s="494"/>
    </row>
    <row r="53" spans="19:21">
      <c r="S53" s="494"/>
      <c r="T53" s="494"/>
      <c r="U53" s="494"/>
    </row>
    <row r="54" spans="19:21">
      <c r="S54" s="494"/>
      <c r="T54" s="494"/>
      <c r="U54" s="494"/>
    </row>
    <row r="55" spans="19:21">
      <c r="S55" s="494"/>
      <c r="T55" s="494"/>
      <c r="U55" s="494"/>
    </row>
    <row r="56" spans="19:21">
      <c r="S56" s="494"/>
      <c r="T56" s="494"/>
      <c r="U56" s="494"/>
    </row>
    <row r="57" spans="19:21">
      <c r="S57" s="494"/>
      <c r="T57" s="494"/>
      <c r="U57" s="494"/>
    </row>
    <row r="59" spans="19:21">
      <c r="S59" s="495"/>
      <c r="T59" s="495"/>
      <c r="U59" s="495"/>
    </row>
    <row r="60" spans="19:21">
      <c r="S60" s="494"/>
      <c r="T60" s="494"/>
      <c r="U60" s="494"/>
    </row>
    <row r="61" spans="19:21">
      <c r="S61" s="494"/>
      <c r="T61" s="494"/>
      <c r="U61" s="494"/>
    </row>
    <row r="67" spans="1:21">
      <c r="S67" s="495"/>
      <c r="T67" s="495"/>
      <c r="U67" s="495"/>
    </row>
    <row r="68" spans="1:21">
      <c r="A68" s="496" t="s">
        <v>444</v>
      </c>
      <c r="S68" s="494"/>
      <c r="T68" s="494"/>
      <c r="U68" s="494"/>
    </row>
    <row r="69" spans="1:21">
      <c r="A69" s="496" t="s">
        <v>445</v>
      </c>
      <c r="B69" s="496">
        <f t="shared" ref="B69:N69" si="3">+B9</f>
        <v>2000</v>
      </c>
      <c r="C69" s="496">
        <f t="shared" si="3"/>
        <v>2001</v>
      </c>
      <c r="D69" s="496">
        <f t="shared" si="3"/>
        <v>2002</v>
      </c>
      <c r="E69" s="496">
        <f t="shared" si="3"/>
        <v>2003</v>
      </c>
      <c r="F69" s="496">
        <f t="shared" si="3"/>
        <v>2004</v>
      </c>
      <c r="G69" s="496">
        <f t="shared" si="3"/>
        <v>2005</v>
      </c>
      <c r="H69" s="496">
        <f t="shared" si="3"/>
        <v>2006</v>
      </c>
      <c r="I69" s="496">
        <f t="shared" si="3"/>
        <v>2007</v>
      </c>
      <c r="J69" s="496">
        <f t="shared" si="3"/>
        <v>2008</v>
      </c>
      <c r="K69" s="496">
        <f t="shared" si="3"/>
        <v>2009</v>
      </c>
      <c r="L69" s="496">
        <f t="shared" si="3"/>
        <v>2010</v>
      </c>
      <c r="M69" s="496">
        <f t="shared" si="3"/>
        <v>2011</v>
      </c>
      <c r="N69" s="496">
        <f t="shared" si="3"/>
        <v>2012</v>
      </c>
      <c r="O69" s="496">
        <f t="shared" ref="O69:R69" si="4">+O9</f>
        <v>2013</v>
      </c>
      <c r="P69" s="496">
        <f t="shared" si="4"/>
        <v>2014</v>
      </c>
      <c r="Q69" s="496">
        <f t="shared" si="4"/>
        <v>2015</v>
      </c>
      <c r="R69" s="496">
        <f t="shared" si="4"/>
        <v>2016</v>
      </c>
    </row>
    <row r="70" spans="1:21">
      <c r="A70" s="497" t="s">
        <v>446</v>
      </c>
      <c r="B70" s="497"/>
      <c r="C70" s="497"/>
      <c r="D70" s="497"/>
      <c r="E70" s="497"/>
      <c r="F70" s="497"/>
      <c r="G70" s="497"/>
      <c r="H70" s="497"/>
      <c r="I70" s="497">
        <v>1</v>
      </c>
      <c r="J70" s="497">
        <v>1</v>
      </c>
      <c r="K70" s="497">
        <v>1</v>
      </c>
      <c r="L70" s="497">
        <v>1</v>
      </c>
      <c r="M70" s="497">
        <v>1</v>
      </c>
      <c r="N70" s="497">
        <v>1</v>
      </c>
      <c r="O70" s="497">
        <v>1</v>
      </c>
      <c r="P70" s="497">
        <v>1</v>
      </c>
      <c r="Q70" s="497">
        <v>1</v>
      </c>
      <c r="R70" s="497">
        <v>1</v>
      </c>
    </row>
    <row r="71" spans="1:21">
      <c r="A71" s="490"/>
      <c r="B71" s="490"/>
      <c r="C71" s="490"/>
      <c r="D71" s="490"/>
      <c r="E71" s="490"/>
      <c r="F71" s="490"/>
      <c r="G71" s="490"/>
      <c r="H71" s="490"/>
      <c r="I71" s="490"/>
      <c r="J71" s="490"/>
      <c r="K71" s="490"/>
      <c r="L71" s="490"/>
      <c r="M71" s="490"/>
      <c r="N71" s="490"/>
      <c r="O71" s="490"/>
      <c r="P71" s="490"/>
      <c r="Q71" s="490"/>
      <c r="R71" s="490"/>
      <c r="S71" s="490"/>
      <c r="T71" s="490"/>
      <c r="U71" s="490"/>
    </row>
    <row r="72" spans="1:21">
      <c r="A72" s="490"/>
      <c r="B72" s="490"/>
      <c r="C72" s="490"/>
      <c r="D72" s="490"/>
      <c r="E72" s="490"/>
      <c r="F72" s="490"/>
      <c r="G72" s="490"/>
      <c r="H72" s="490"/>
      <c r="I72" s="490"/>
      <c r="J72" s="490"/>
      <c r="K72" s="490"/>
      <c r="L72" s="490"/>
      <c r="M72" s="490"/>
      <c r="N72" s="490"/>
      <c r="O72" s="490"/>
      <c r="P72" s="490"/>
      <c r="Q72" s="490"/>
      <c r="R72" s="490"/>
      <c r="S72" s="490"/>
      <c r="T72" s="490"/>
      <c r="U72" s="490"/>
    </row>
    <row r="73" spans="1:21">
      <c r="A73" s="498" t="s">
        <v>447</v>
      </c>
      <c r="B73" s="499">
        <f>+SUM($B70:B$70)</f>
        <v>0</v>
      </c>
      <c r="C73" s="499">
        <f>+SUM($B70:C$70)</f>
        <v>0</v>
      </c>
      <c r="D73" s="499">
        <f>+SUM($B70:D$70)</f>
        <v>0</v>
      </c>
      <c r="E73" s="499">
        <f>+SUM($B70:E$70)</f>
        <v>0</v>
      </c>
      <c r="F73" s="499">
        <f>+SUM($B70:F$70)</f>
        <v>0</v>
      </c>
      <c r="G73" s="499">
        <f>+SUM($B70:G$70)</f>
        <v>0</v>
      </c>
      <c r="H73" s="499">
        <f>+SUM($B70:H$70)</f>
        <v>0</v>
      </c>
      <c r="I73" s="499">
        <f>+SUM($B70:I$70)</f>
        <v>1</v>
      </c>
      <c r="J73" s="499">
        <f>+SUM($B70:J$70)</f>
        <v>2</v>
      </c>
      <c r="K73" s="499">
        <f>+SUM($B70:K$70)</f>
        <v>3</v>
      </c>
      <c r="L73" s="499">
        <f>+SUM($B70:L$70)</f>
        <v>4</v>
      </c>
      <c r="M73" s="499">
        <f>+SUM($B70:M$70)</f>
        <v>5</v>
      </c>
      <c r="N73" s="499">
        <f>+SUM($B70:N$70)</f>
        <v>6</v>
      </c>
      <c r="O73" s="499">
        <f>+SUM($B70:O$70)</f>
        <v>7</v>
      </c>
      <c r="P73" s="499">
        <f>+SUM($B70:P$70)</f>
        <v>8</v>
      </c>
      <c r="Q73" s="499">
        <f>+SUM($B70:Q$70)</f>
        <v>9</v>
      </c>
      <c r="R73" s="499">
        <f>+SUM($B70:R$70)</f>
        <v>10</v>
      </c>
      <c r="S73" s="490"/>
      <c r="T73" s="490"/>
      <c r="U73" s="490"/>
    </row>
    <row r="74" spans="1:21">
      <c r="A74" s="498" t="s">
        <v>448</v>
      </c>
      <c r="B74" s="500">
        <v>1</v>
      </c>
      <c r="C74" s="500">
        <f t="shared" ref="C74:K74" si="5">+B74+1</f>
        <v>2</v>
      </c>
      <c r="D74" s="500">
        <f t="shared" si="5"/>
        <v>3</v>
      </c>
      <c r="E74" s="500">
        <f t="shared" si="5"/>
        <v>4</v>
      </c>
      <c r="F74" s="500">
        <f t="shared" si="5"/>
        <v>5</v>
      </c>
      <c r="G74" s="500">
        <f t="shared" si="5"/>
        <v>6</v>
      </c>
      <c r="H74" s="500">
        <f t="shared" si="5"/>
        <v>7</v>
      </c>
      <c r="I74" s="500">
        <f t="shared" si="5"/>
        <v>8</v>
      </c>
      <c r="J74" s="500">
        <f t="shared" si="5"/>
        <v>9</v>
      </c>
      <c r="K74" s="500">
        <f t="shared" si="5"/>
        <v>10</v>
      </c>
      <c r="L74" s="500">
        <f>+K74+1</f>
        <v>11</v>
      </c>
      <c r="M74" s="500">
        <f t="shared" ref="M74:N74" si="6">+L74+1</f>
        <v>12</v>
      </c>
      <c r="N74" s="500">
        <f t="shared" si="6"/>
        <v>13</v>
      </c>
      <c r="O74" s="500">
        <f t="shared" ref="O74" si="7">+N74+1</f>
        <v>14</v>
      </c>
      <c r="P74" s="500">
        <f t="shared" ref="P74" si="8">+O74+1</f>
        <v>15</v>
      </c>
      <c r="Q74" s="500">
        <f t="shared" ref="Q74" si="9">+P74+1</f>
        <v>16</v>
      </c>
      <c r="R74" s="500">
        <f t="shared" ref="R74" si="10">+Q74+1</f>
        <v>17</v>
      </c>
    </row>
    <row r="75" spans="1:21">
      <c r="A75" s="498" t="s">
        <v>449</v>
      </c>
      <c r="B75" s="500">
        <f t="shared" ref="B75:N75" ca="1" si="11">+OFFSET($A$69,0,MATCH(B$74,$B$73:$R$73,0))</f>
        <v>2007</v>
      </c>
      <c r="C75" s="500">
        <f t="shared" ca="1" si="11"/>
        <v>2008</v>
      </c>
      <c r="D75" s="500">
        <f t="shared" ca="1" si="11"/>
        <v>2009</v>
      </c>
      <c r="E75" s="500">
        <f t="shared" ca="1" si="11"/>
        <v>2010</v>
      </c>
      <c r="F75" s="500">
        <f t="shared" ca="1" si="11"/>
        <v>2011</v>
      </c>
      <c r="G75" s="500">
        <f t="shared" ca="1" si="11"/>
        <v>2012</v>
      </c>
      <c r="H75" s="500">
        <f t="shared" ca="1" si="11"/>
        <v>2013</v>
      </c>
      <c r="I75" s="500">
        <f t="shared" ca="1" si="11"/>
        <v>2014</v>
      </c>
      <c r="J75" s="500">
        <f t="shared" ca="1" si="11"/>
        <v>2015</v>
      </c>
      <c r="K75" s="500">
        <f t="shared" ca="1" si="11"/>
        <v>2016</v>
      </c>
      <c r="L75" s="500" t="e">
        <f t="shared" ca="1" si="11"/>
        <v>#N/A</v>
      </c>
      <c r="M75" s="500" t="e">
        <f t="shared" ca="1" si="11"/>
        <v>#N/A</v>
      </c>
      <c r="N75" s="500" t="e">
        <f t="shared" ca="1" si="11"/>
        <v>#N/A</v>
      </c>
      <c r="O75" s="500" t="e">
        <f t="shared" ref="O75:R75" ca="1" si="12">+OFFSET($A$69,0,MATCH(O$74,$B$73:$R$73,0))</f>
        <v>#N/A</v>
      </c>
      <c r="P75" s="500" t="e">
        <f t="shared" ca="1" si="12"/>
        <v>#N/A</v>
      </c>
      <c r="Q75" s="500" t="e">
        <f t="shared" ca="1" si="12"/>
        <v>#N/A</v>
      </c>
      <c r="R75" s="500" t="e">
        <f t="shared" ca="1" si="12"/>
        <v>#N/A</v>
      </c>
    </row>
    <row r="76" spans="1:21">
      <c r="A76" s="498" t="s">
        <v>450</v>
      </c>
      <c r="B76" s="498">
        <f t="shared" ref="B76:N76" ca="1" si="13">+INDEX(15:15,1,MATCH(B$75,9:9,0))</f>
        <v>44631</v>
      </c>
      <c r="C76" s="498">
        <f t="shared" ca="1" si="13"/>
        <v>51272</v>
      </c>
      <c r="D76" s="498">
        <f t="shared" ca="1" si="13"/>
        <v>59574</v>
      </c>
      <c r="E76" s="498">
        <f t="shared" ca="1" si="13"/>
        <v>77177</v>
      </c>
      <c r="F76" s="498">
        <f t="shared" ca="1" si="13"/>
        <v>83524</v>
      </c>
      <c r="G76" s="498">
        <f t="shared" ca="1" si="13"/>
        <v>93233</v>
      </c>
      <c r="H76" s="498">
        <f t="shared" ca="1" si="13"/>
        <v>120777</v>
      </c>
      <c r="I76" s="498">
        <f t="shared" ca="1" si="13"/>
        <v>131147</v>
      </c>
      <c r="J76" s="498">
        <f t="shared" ca="1" si="13"/>
        <v>139676</v>
      </c>
      <c r="K76" s="498">
        <f t="shared" ca="1" si="13"/>
        <v>153173</v>
      </c>
      <c r="L76" s="498" t="e">
        <f t="shared" ca="1" si="13"/>
        <v>#N/A</v>
      </c>
      <c r="M76" s="498" t="e">
        <f t="shared" ca="1" si="13"/>
        <v>#N/A</v>
      </c>
      <c r="N76" s="498" t="e">
        <f t="shared" ca="1" si="13"/>
        <v>#N/A</v>
      </c>
      <c r="O76" s="498" t="e">
        <f t="shared" ref="O76:R76" ca="1" si="14">+INDEX(15:15,1,MATCH(O$75,9:9,0))</f>
        <v>#N/A</v>
      </c>
      <c r="P76" s="498" t="e">
        <f t="shared" ca="1" si="14"/>
        <v>#N/A</v>
      </c>
      <c r="Q76" s="498" t="e">
        <f t="shared" ca="1" si="14"/>
        <v>#N/A</v>
      </c>
      <c r="R76" s="498" t="e">
        <f t="shared" ca="1" si="14"/>
        <v>#N/A</v>
      </c>
    </row>
    <row r="79" spans="1:21">
      <c r="A79" s="501"/>
      <c r="B79" s="502" t="s">
        <v>451</v>
      </c>
      <c r="C79" s="503"/>
    </row>
    <row r="80" spans="1:21">
      <c r="A80" s="501" t="s">
        <v>452</v>
      </c>
      <c r="B80" s="504">
        <f t="array" aca="1" ref="B80:C84" ca="1">+LINEST(
OFFSET($B76,0,0,1,SUM($B70:$R70)),
OFFSET($B75,0,0,1,SUM($B70:$R70)),
,
1)</f>
        <v>12691.393939393944</v>
      </c>
      <c r="C80" s="504">
        <f ca="1"/>
        <v>-25433320.509090919</v>
      </c>
      <c r="D80" s="470" t="s">
        <v>453</v>
      </c>
    </row>
    <row r="81" spans="1:4">
      <c r="A81" s="501" t="s">
        <v>454</v>
      </c>
      <c r="B81" s="504">
        <f ca="1"/>
        <v>574.20612139186812</v>
      </c>
      <c r="C81" s="504">
        <f ca="1"/>
        <v>1155016.7907084741</v>
      </c>
      <c r="D81" s="470" t="s">
        <v>455</v>
      </c>
    </row>
    <row r="82" spans="1:4">
      <c r="A82" s="501" t="s">
        <v>456</v>
      </c>
      <c r="B82" s="504">
        <f ca="1"/>
        <v>0.98388788377752168</v>
      </c>
      <c r="C82" s="504">
        <f ca="1"/>
        <v>5215.4861002711104</v>
      </c>
      <c r="D82" s="470" t="s">
        <v>457</v>
      </c>
    </row>
    <row r="83" spans="1:4">
      <c r="A83" s="505" t="s">
        <v>458</v>
      </c>
      <c r="B83" s="504">
        <f ca="1"/>
        <v>488.52074808392064</v>
      </c>
      <c r="C83" s="504">
        <f ca="1"/>
        <v>8</v>
      </c>
      <c r="D83" s="470" t="s">
        <v>459</v>
      </c>
    </row>
    <row r="84" spans="1:4">
      <c r="A84" s="505" t="s">
        <v>460</v>
      </c>
      <c r="B84" s="504">
        <f ca="1"/>
        <v>13288397110.303032</v>
      </c>
      <c r="C84" s="504">
        <f ca="1"/>
        <v>217610362.09696922</v>
      </c>
      <c r="D84" s="470" t="s">
        <v>461</v>
      </c>
    </row>
    <row r="85" spans="1:4">
      <c r="A85" s="501"/>
    </row>
    <row r="86" spans="1:4">
      <c r="A86" s="501"/>
    </row>
    <row r="87" spans="1:4">
      <c r="A87" s="501" t="s">
        <v>462</v>
      </c>
      <c r="B87" s="470">
        <f ca="1">+B80/B81</f>
        <v>22.102505470736137</v>
      </c>
    </row>
    <row r="88" spans="1:4">
      <c r="A88" s="505" t="s">
        <v>463</v>
      </c>
      <c r="B88" s="506">
        <f ca="1">+TDIST(B87,C83,2)</f>
        <v>1.8547557645251749E-8</v>
      </c>
    </row>
  </sheetData>
  <conditionalFormatting sqref="B15:H15 J15:R15">
    <cfRule type="expression" dxfId="3" priority="2">
      <formula>B$70=1</formula>
    </cfRule>
  </conditionalFormatting>
  <conditionalFormatting sqref="B15:I15">
    <cfRule type="expression" dxfId="2"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U88"/>
  <sheetViews>
    <sheetView showGridLines="0" zoomScale="70" zoomScaleNormal="70" zoomScaleSheetLayoutView="55" workbookViewId="0"/>
  </sheetViews>
  <sheetFormatPr defaultRowHeight="12.75"/>
  <cols>
    <col min="1" max="1" width="36.5703125" style="470" customWidth="1"/>
    <col min="2" max="16" width="11.28515625" style="470" customWidth="1"/>
    <col min="17" max="17" width="11.28515625" style="719" customWidth="1"/>
    <col min="18" max="18" width="11.28515625" style="470" customWidth="1"/>
    <col min="19" max="21" width="9.140625" style="473"/>
    <col min="22" max="16384" width="9.140625" style="470"/>
  </cols>
  <sheetData>
    <row r="1" spans="1:21" s="472" customFormat="1" ht="15.75">
      <c r="A1" s="656" t="s">
        <v>540</v>
      </c>
      <c r="S1" s="590"/>
      <c r="T1" s="590"/>
      <c r="U1" s="590"/>
    </row>
    <row r="2" spans="1:21" s="472" customFormat="1" ht="15.75">
      <c r="A2" s="338" t="s">
        <v>495</v>
      </c>
      <c r="S2" s="590"/>
      <c r="T2" s="590"/>
      <c r="U2" s="590"/>
    </row>
    <row r="3" spans="1:21" s="472" customFormat="1" ht="15.75">
      <c r="A3" s="338"/>
      <c r="S3" s="590"/>
      <c r="T3" s="590"/>
      <c r="U3" s="590"/>
    </row>
    <row r="4" spans="1:21" s="472" customFormat="1" ht="15.75">
      <c r="A4" s="589" t="s">
        <v>438</v>
      </c>
      <c r="B4" s="587" t="s">
        <v>485</v>
      </c>
      <c r="C4" s="587"/>
      <c r="D4" s="587"/>
      <c r="E4" s="587"/>
      <c r="F4" s="587"/>
      <c r="G4" s="587"/>
      <c r="H4" s="587"/>
      <c r="I4" s="587"/>
      <c r="S4" s="590"/>
      <c r="T4" s="590"/>
      <c r="U4" s="590"/>
    </row>
    <row r="5" spans="1:21" s="472" customFormat="1" ht="15">
      <c r="A5" s="588"/>
      <c r="S5" s="590"/>
      <c r="T5" s="590"/>
      <c r="U5" s="590"/>
    </row>
    <row r="6" spans="1:21" s="472" customFormat="1" ht="15">
      <c r="A6" s="592" t="s">
        <v>505</v>
      </c>
      <c r="S6" s="590"/>
      <c r="T6" s="590"/>
      <c r="U6" s="590"/>
    </row>
    <row r="8" spans="1:21">
      <c r="A8" s="474"/>
      <c r="B8" s="475"/>
      <c r="C8" s="475"/>
      <c r="D8" s="475"/>
      <c r="E8" s="475"/>
      <c r="F8" s="475"/>
      <c r="G8" s="475"/>
      <c r="H8" s="475"/>
      <c r="I8" s="475"/>
      <c r="J8" s="476"/>
      <c r="K8" s="476"/>
      <c r="L8" s="476"/>
      <c r="M8" s="476"/>
      <c r="N8" s="477"/>
      <c r="O8" s="477"/>
      <c r="P8" s="478"/>
      <c r="Q8" s="478"/>
      <c r="R8" s="477"/>
    </row>
    <row r="9" spans="1:21">
      <c r="B9" s="479">
        <f t="shared" ref="B9:H9" si="0">+C9-1</f>
        <v>2000</v>
      </c>
      <c r="C9" s="479">
        <f t="shared" si="0"/>
        <v>2001</v>
      </c>
      <c r="D9" s="479">
        <f t="shared" si="0"/>
        <v>2002</v>
      </c>
      <c r="E9" s="479">
        <f t="shared" si="0"/>
        <v>2003</v>
      </c>
      <c r="F9" s="479">
        <f t="shared" si="0"/>
        <v>2004</v>
      </c>
      <c r="G9" s="479">
        <f t="shared" si="0"/>
        <v>2005</v>
      </c>
      <c r="H9" s="479">
        <f t="shared" si="0"/>
        <v>2006</v>
      </c>
      <c r="I9" s="479">
        <f>+J9-1</f>
        <v>2007</v>
      </c>
      <c r="J9" s="479">
        <v>2008</v>
      </c>
      <c r="K9" s="480">
        <v>2009</v>
      </c>
      <c r="L9" s="480">
        <v>2010</v>
      </c>
      <c r="M9" s="480">
        <v>2011</v>
      </c>
      <c r="N9" s="480">
        <v>2012</v>
      </c>
      <c r="O9" s="480">
        <v>2013</v>
      </c>
      <c r="P9" s="480">
        <v>2014</v>
      </c>
      <c r="Q9" s="480">
        <v>2015</v>
      </c>
      <c r="R9" s="480">
        <v>2016</v>
      </c>
    </row>
    <row r="10" spans="1:21" ht="8.25" customHeight="1">
      <c r="B10" s="481" t="s">
        <v>439</v>
      </c>
      <c r="C10" s="481" t="s">
        <v>439</v>
      </c>
      <c r="D10" s="481" t="s">
        <v>439</v>
      </c>
      <c r="E10" s="481" t="s">
        <v>439</v>
      </c>
      <c r="F10" s="481" t="s">
        <v>439</v>
      </c>
      <c r="G10" s="481" t="s">
        <v>439</v>
      </c>
      <c r="H10" s="481" t="s">
        <v>439</v>
      </c>
      <c r="I10" s="481" t="s">
        <v>439</v>
      </c>
      <c r="J10" s="481" t="s">
        <v>439</v>
      </c>
      <c r="K10" s="481" t="s">
        <v>439</v>
      </c>
      <c r="L10" s="481" t="s">
        <v>439</v>
      </c>
      <c r="M10" s="481" t="s">
        <v>439</v>
      </c>
      <c r="N10" s="481" t="s">
        <v>439</v>
      </c>
      <c r="O10" s="481" t="s">
        <v>439</v>
      </c>
      <c r="P10" s="481" t="s">
        <v>439</v>
      </c>
      <c r="Q10" s="481" t="s">
        <v>439</v>
      </c>
      <c r="R10" s="481" t="s">
        <v>439</v>
      </c>
    </row>
    <row r="11" spans="1:21">
      <c r="A11" s="482" t="s">
        <v>485</v>
      </c>
      <c r="B11" s="97">
        <f>-'Cost Trends'!F77</f>
        <v>105775</v>
      </c>
      <c r="C11" s="97">
        <f>-'Cost Trends'!G77</f>
        <v>109541</v>
      </c>
      <c r="D11" s="97">
        <f>-'Cost Trends'!H77</f>
        <v>111367</v>
      </c>
      <c r="E11" s="97">
        <f>-'Cost Trends'!I77</f>
        <v>135404</v>
      </c>
      <c r="F11" s="97">
        <f>-'Cost Trends'!J77</f>
        <v>150960</v>
      </c>
      <c r="G11" s="97">
        <f>-'Cost Trends'!K77</f>
        <v>134967</v>
      </c>
      <c r="H11" s="97">
        <f>-'Cost Trends'!L77</f>
        <v>138495</v>
      </c>
      <c r="I11" s="97">
        <f>-'Cost Trends'!M77</f>
        <v>139033</v>
      </c>
      <c r="J11" s="97">
        <f>-'Cost Trends'!N77</f>
        <v>147502</v>
      </c>
      <c r="K11" s="97">
        <f>-'Cost Trends'!O77</f>
        <v>163716</v>
      </c>
      <c r="L11" s="97">
        <f>-'Cost Trends'!P77</f>
        <v>184825</v>
      </c>
      <c r="M11" s="97">
        <f>-'Cost Trends'!Q77</f>
        <v>201163</v>
      </c>
      <c r="N11" s="97">
        <f>-'Cost Trends'!R77</f>
        <v>208209</v>
      </c>
      <c r="O11" s="97">
        <f>-'Cost Trends'!S77</f>
        <v>221354</v>
      </c>
      <c r="P11" s="97">
        <f>-'Cost Trends'!T77</f>
        <v>257766</v>
      </c>
      <c r="Q11" s="97">
        <f>-'Cost Trends'!U77</f>
        <v>317860</v>
      </c>
      <c r="R11" s="97">
        <f>-'Cost Trends'!V77</f>
        <v>353900</v>
      </c>
    </row>
    <row r="12" spans="1:21" ht="8.25" customHeight="1">
      <c r="B12" s="481"/>
      <c r="C12" s="481"/>
      <c r="D12" s="481"/>
      <c r="E12" s="481"/>
      <c r="F12" s="481"/>
      <c r="G12" s="481"/>
      <c r="H12" s="481"/>
      <c r="I12" s="481"/>
      <c r="J12" s="481"/>
      <c r="K12" s="481"/>
      <c r="L12" s="481"/>
      <c r="M12" s="481"/>
      <c r="N12" s="481"/>
      <c r="O12" s="481"/>
      <c r="P12" s="481"/>
      <c r="Q12" s="481"/>
      <c r="R12" s="481"/>
    </row>
    <row r="13" spans="1:21" ht="8.25" customHeight="1">
      <c r="B13" s="481" t="s">
        <v>439</v>
      </c>
      <c r="C13" s="481" t="s">
        <v>439</v>
      </c>
      <c r="D13" s="481" t="s">
        <v>439</v>
      </c>
      <c r="E13" s="481" t="s">
        <v>439</v>
      </c>
      <c r="F13" s="481" t="s">
        <v>439</v>
      </c>
      <c r="G13" s="481" t="s">
        <v>439</v>
      </c>
      <c r="H13" s="481" t="s">
        <v>439</v>
      </c>
      <c r="I13" s="481" t="s">
        <v>439</v>
      </c>
      <c r="J13" s="481" t="s">
        <v>439</v>
      </c>
      <c r="K13" s="481" t="s">
        <v>439</v>
      </c>
      <c r="L13" s="481" t="s">
        <v>439</v>
      </c>
      <c r="M13" s="481" t="s">
        <v>439</v>
      </c>
      <c r="N13" s="481" t="s">
        <v>439</v>
      </c>
      <c r="O13" s="481" t="s">
        <v>439</v>
      </c>
      <c r="P13" s="481" t="s">
        <v>439</v>
      </c>
      <c r="Q13" s="481" t="s">
        <v>439</v>
      </c>
      <c r="R13" s="481" t="s">
        <v>439</v>
      </c>
    </row>
    <row r="14" spans="1:21" ht="26.25" customHeight="1">
      <c r="A14" s="483" t="str">
        <f>+"Total "&amp;B4</f>
        <v>Total Accumulated Deferred Income Taxes</v>
      </c>
      <c r="B14" s="484">
        <f t="shared" ref="B14:O14" si="1">+SUM(B10:B13)</f>
        <v>105775</v>
      </c>
      <c r="C14" s="484">
        <f t="shared" si="1"/>
        <v>109541</v>
      </c>
      <c r="D14" s="484">
        <f t="shared" si="1"/>
        <v>111367</v>
      </c>
      <c r="E14" s="484">
        <f t="shared" si="1"/>
        <v>135404</v>
      </c>
      <c r="F14" s="484">
        <f t="shared" si="1"/>
        <v>150960</v>
      </c>
      <c r="G14" s="484">
        <f t="shared" si="1"/>
        <v>134967</v>
      </c>
      <c r="H14" s="484">
        <f t="shared" si="1"/>
        <v>138495</v>
      </c>
      <c r="I14" s="484">
        <f t="shared" si="1"/>
        <v>139033</v>
      </c>
      <c r="J14" s="484">
        <f t="shared" si="1"/>
        <v>147502</v>
      </c>
      <c r="K14" s="484">
        <f t="shared" si="1"/>
        <v>163716</v>
      </c>
      <c r="L14" s="484">
        <f t="shared" si="1"/>
        <v>184825</v>
      </c>
      <c r="M14" s="484">
        <f t="shared" si="1"/>
        <v>201163</v>
      </c>
      <c r="N14" s="484">
        <f t="shared" si="1"/>
        <v>208209</v>
      </c>
      <c r="O14" s="484">
        <f t="shared" si="1"/>
        <v>221354</v>
      </c>
      <c r="P14" s="484">
        <f t="shared" ref="P14:R14" si="2">+SUM(P10:P13)</f>
        <v>257766</v>
      </c>
      <c r="Q14" s="484">
        <f t="shared" si="2"/>
        <v>317860</v>
      </c>
      <c r="R14" s="484">
        <f t="shared" si="2"/>
        <v>353900</v>
      </c>
    </row>
    <row r="15" spans="1:21">
      <c r="P15" s="327"/>
      <c r="Q15" s="327"/>
    </row>
    <row r="16" spans="1:21">
      <c r="P16" s="327"/>
      <c r="Q16" s="327"/>
    </row>
    <row r="17" spans="1:20">
      <c r="A17" s="485" t="s">
        <v>442</v>
      </c>
      <c r="B17" s="486"/>
      <c r="C17" s="487"/>
      <c r="D17" s="485" t="s">
        <v>504</v>
      </c>
      <c r="E17" s="485"/>
      <c r="F17" s="486"/>
      <c r="G17" s="486"/>
      <c r="H17" s="486"/>
      <c r="I17" s="486"/>
      <c r="J17" s="486"/>
      <c r="K17" s="486"/>
      <c r="L17" s="486"/>
      <c r="M17" s="486"/>
      <c r="N17" s="486"/>
      <c r="O17" s="486"/>
      <c r="P17" s="488"/>
      <c r="Q17" s="488"/>
      <c r="R17" s="486"/>
    </row>
    <row r="18" spans="1:20" ht="19.5" customHeight="1">
      <c r="A18" s="473"/>
      <c r="B18" s="489"/>
      <c r="C18" s="489"/>
      <c r="D18" s="489"/>
      <c r="E18" s="489"/>
      <c r="F18" s="489"/>
      <c r="G18" s="489"/>
      <c r="H18" s="489"/>
      <c r="I18" s="489"/>
    </row>
    <row r="19" spans="1:20" ht="19.5" customHeight="1">
      <c r="A19" s="529" t="s">
        <v>502</v>
      </c>
      <c r="B19" s="490">
        <f ca="1">+LINEST(
OFFSET($B$76,0,0,1,SUM($B$70:$R$70)),
OFFSET($B$75,0,0,1,SUM($B$70:$R$70)),
,
1)</f>
        <v>45773.200000000004</v>
      </c>
      <c r="C19" s="489"/>
      <c r="D19" s="489"/>
      <c r="E19" s="489"/>
      <c r="F19" s="489"/>
      <c r="G19" s="489"/>
      <c r="H19" s="489"/>
      <c r="I19" s="489"/>
    </row>
    <row r="20" spans="1:20" ht="19.5" customHeight="1">
      <c r="A20" s="473" t="s">
        <v>503</v>
      </c>
      <c r="B20" s="489">
        <f ca="1">RSQ(
OFFSET($B$76,0,0,1,SUM($B$70:$R$70)),
OFFSET($B$75,0,0,1,SUM($B$70:$R$70))
)</f>
        <v>0.98923777561401727</v>
      </c>
      <c r="C20" s="490"/>
      <c r="D20" s="490"/>
      <c r="E20" s="490"/>
      <c r="F20" s="490"/>
      <c r="G20" s="490"/>
      <c r="H20" s="490"/>
      <c r="I20" s="490"/>
    </row>
    <row r="21" spans="1:20" ht="19.5" customHeight="1">
      <c r="A21" s="470" t="s">
        <v>443</v>
      </c>
      <c r="B21" s="491">
        <f ca="1">+B19/R14</f>
        <v>0.12933936140152585</v>
      </c>
      <c r="C21" s="489"/>
      <c r="D21" s="489"/>
      <c r="E21" s="489"/>
      <c r="F21" s="489"/>
      <c r="G21" s="489"/>
      <c r="H21" s="489"/>
      <c r="I21" s="489"/>
    </row>
    <row r="22" spans="1:20" ht="19.5" customHeight="1">
      <c r="A22" s="327" t="str">
        <f>+'2) ROR'!$D$19&amp;"-year Growth Rate"</f>
        <v>1-year Growth Rate</v>
      </c>
      <c r="B22" s="530">
        <f ca="1">ROUND(B21*'2) ROR'!$D$19,4)</f>
        <v>0.1293</v>
      </c>
      <c r="C22" s="491"/>
      <c r="D22" s="491"/>
      <c r="E22" s="491"/>
      <c r="F22" s="491"/>
      <c r="G22" s="491"/>
      <c r="H22" s="491"/>
      <c r="I22" s="491"/>
    </row>
    <row r="23" spans="1:20" ht="19.5" customHeight="1">
      <c r="C23" s="492"/>
      <c r="D23" s="492"/>
      <c r="E23" s="492"/>
      <c r="F23" s="492"/>
      <c r="G23" s="492"/>
      <c r="H23" s="492"/>
      <c r="I23" s="492"/>
      <c r="L23" s="362"/>
    </row>
    <row r="25" spans="1:20">
      <c r="S25" s="493"/>
      <c r="T25" s="493"/>
    </row>
    <row r="26" spans="1:20">
      <c r="S26" s="494"/>
      <c r="T26" s="494"/>
    </row>
    <row r="27" spans="1:20">
      <c r="S27" s="494"/>
      <c r="T27" s="494"/>
    </row>
    <row r="28" spans="1:20">
      <c r="S28" s="494"/>
      <c r="T28" s="494"/>
    </row>
    <row r="29" spans="1:20">
      <c r="S29" s="494"/>
      <c r="T29" s="494"/>
    </row>
    <row r="30" spans="1:20">
      <c r="S30" s="494"/>
      <c r="T30" s="494"/>
    </row>
    <row r="33" spans="19:21">
      <c r="S33" s="495"/>
      <c r="T33" s="495"/>
      <c r="U33" s="495"/>
    </row>
    <row r="34" spans="19:21">
      <c r="S34" s="494"/>
      <c r="T34" s="494"/>
      <c r="U34" s="494"/>
    </row>
    <row r="35" spans="19:21">
      <c r="S35" s="494"/>
      <c r="T35" s="494"/>
      <c r="U35" s="494"/>
    </row>
    <row r="36" spans="19:21">
      <c r="S36" s="494"/>
      <c r="T36" s="494"/>
      <c r="U36" s="494"/>
    </row>
    <row r="37" spans="19:21">
      <c r="S37" s="494"/>
      <c r="T37" s="494"/>
      <c r="U37" s="494"/>
    </row>
    <row r="38" spans="19:21">
      <c r="S38" s="494"/>
      <c r="T38" s="494"/>
      <c r="U38" s="494"/>
    </row>
    <row r="39" spans="19:21">
      <c r="S39" s="494"/>
      <c r="T39" s="494"/>
      <c r="U39" s="494"/>
    </row>
    <row r="40" spans="19:21">
      <c r="S40" s="494"/>
      <c r="T40" s="494"/>
      <c r="U40" s="494"/>
    </row>
    <row r="41" spans="19:21">
      <c r="S41" s="494"/>
      <c r="T41" s="494"/>
      <c r="U41" s="494"/>
    </row>
    <row r="42" spans="19:21">
      <c r="S42" s="494"/>
      <c r="T42" s="494"/>
      <c r="U42" s="494"/>
    </row>
    <row r="43" spans="19:21">
      <c r="S43" s="494"/>
      <c r="T43" s="494"/>
      <c r="U43" s="494"/>
    </row>
    <row r="44" spans="19:21">
      <c r="S44" s="494"/>
      <c r="T44" s="494"/>
      <c r="U44" s="494"/>
    </row>
    <row r="45" spans="19:21">
      <c r="S45" s="494"/>
      <c r="T45" s="494"/>
      <c r="U45" s="494"/>
    </row>
    <row r="46" spans="19:21">
      <c r="S46" s="494"/>
      <c r="T46" s="494"/>
      <c r="U46" s="494"/>
    </row>
    <row r="47" spans="19:21">
      <c r="S47" s="494"/>
      <c r="T47" s="494"/>
      <c r="U47" s="494"/>
    </row>
    <row r="48" spans="19:21">
      <c r="S48" s="494"/>
      <c r="T48" s="494"/>
      <c r="U48" s="494"/>
    </row>
    <row r="49" spans="19:21">
      <c r="S49" s="494"/>
      <c r="T49" s="494"/>
      <c r="U49" s="494"/>
    </row>
    <row r="50" spans="19:21">
      <c r="S50" s="494"/>
      <c r="T50" s="494"/>
      <c r="U50" s="494"/>
    </row>
    <row r="51" spans="19:21">
      <c r="S51" s="494"/>
      <c r="T51" s="494"/>
      <c r="U51" s="494"/>
    </row>
    <row r="52" spans="19:21">
      <c r="S52" s="494"/>
      <c r="T52" s="494"/>
      <c r="U52" s="494"/>
    </row>
    <row r="53" spans="19:21">
      <c r="S53" s="494"/>
      <c r="T53" s="494"/>
      <c r="U53" s="494"/>
    </row>
    <row r="54" spans="19:21">
      <c r="S54" s="494"/>
      <c r="T54" s="494"/>
      <c r="U54" s="494"/>
    </row>
    <row r="55" spans="19:21">
      <c r="S55" s="494"/>
      <c r="T55" s="494"/>
      <c r="U55" s="494"/>
    </row>
    <row r="56" spans="19:21">
      <c r="S56" s="494"/>
      <c r="T56" s="494"/>
      <c r="U56" s="494"/>
    </row>
    <row r="58" spans="19:21">
      <c r="S58" s="495"/>
      <c r="T58" s="495"/>
      <c r="U58" s="495"/>
    </row>
    <row r="59" spans="19:21">
      <c r="S59" s="494"/>
      <c r="T59" s="494"/>
      <c r="U59" s="494"/>
    </row>
    <row r="60" spans="19:21">
      <c r="S60" s="494"/>
      <c r="T60" s="494"/>
      <c r="U60" s="494"/>
    </row>
    <row r="61" spans="19:21">
      <c r="S61" s="494"/>
      <c r="T61" s="494"/>
      <c r="U61" s="494"/>
    </row>
    <row r="67" spans="1:21">
      <c r="S67" s="495"/>
      <c r="T67" s="495"/>
      <c r="U67" s="495"/>
    </row>
    <row r="68" spans="1:21">
      <c r="A68" s="496" t="s">
        <v>444</v>
      </c>
      <c r="S68" s="494"/>
      <c r="T68" s="494"/>
      <c r="U68" s="494"/>
    </row>
    <row r="69" spans="1:21">
      <c r="A69" s="496" t="s">
        <v>445</v>
      </c>
      <c r="B69" s="496">
        <f t="shared" ref="B69:N69" si="3">+B9</f>
        <v>2000</v>
      </c>
      <c r="C69" s="496">
        <f t="shared" si="3"/>
        <v>2001</v>
      </c>
      <c r="D69" s="496">
        <f t="shared" si="3"/>
        <v>2002</v>
      </c>
      <c r="E69" s="496">
        <f t="shared" si="3"/>
        <v>2003</v>
      </c>
      <c r="F69" s="496">
        <f t="shared" si="3"/>
        <v>2004</v>
      </c>
      <c r="G69" s="496">
        <f t="shared" si="3"/>
        <v>2005</v>
      </c>
      <c r="H69" s="496">
        <f t="shared" si="3"/>
        <v>2006</v>
      </c>
      <c r="I69" s="496">
        <f t="shared" si="3"/>
        <v>2007</v>
      </c>
      <c r="J69" s="496">
        <f t="shared" si="3"/>
        <v>2008</v>
      </c>
      <c r="K69" s="496">
        <f t="shared" si="3"/>
        <v>2009</v>
      </c>
      <c r="L69" s="496">
        <f t="shared" si="3"/>
        <v>2010</v>
      </c>
      <c r="M69" s="496">
        <f t="shared" si="3"/>
        <v>2011</v>
      </c>
      <c r="N69" s="496">
        <f t="shared" si="3"/>
        <v>2012</v>
      </c>
      <c r="O69" s="496">
        <f t="shared" ref="O69:R69" si="4">+O9</f>
        <v>2013</v>
      </c>
      <c r="P69" s="496">
        <f t="shared" si="4"/>
        <v>2014</v>
      </c>
      <c r="Q69" s="496">
        <f t="shared" si="4"/>
        <v>2015</v>
      </c>
      <c r="R69" s="496">
        <f t="shared" si="4"/>
        <v>2016</v>
      </c>
    </row>
    <row r="70" spans="1:21">
      <c r="A70" s="497" t="s">
        <v>446</v>
      </c>
      <c r="B70" s="497"/>
      <c r="C70" s="497"/>
      <c r="D70" s="497"/>
      <c r="E70" s="497"/>
      <c r="F70" s="497"/>
      <c r="G70" s="497"/>
      <c r="H70" s="497"/>
      <c r="I70" s="497"/>
      <c r="J70" s="497"/>
      <c r="K70" s="497"/>
      <c r="L70" s="497"/>
      <c r="M70" s="497"/>
      <c r="N70" s="497"/>
      <c r="O70" s="497">
        <v>1</v>
      </c>
      <c r="P70" s="497">
        <v>1</v>
      </c>
      <c r="Q70" s="497">
        <v>1</v>
      </c>
      <c r="R70" s="497">
        <v>1</v>
      </c>
    </row>
    <row r="71" spans="1:21">
      <c r="A71" s="490"/>
      <c r="B71" s="490"/>
      <c r="C71" s="490"/>
      <c r="D71" s="490"/>
      <c r="E71" s="490"/>
      <c r="F71" s="490"/>
      <c r="G71" s="490"/>
      <c r="H71" s="490"/>
      <c r="I71" s="490"/>
      <c r="J71" s="490"/>
      <c r="K71" s="490"/>
      <c r="L71" s="490"/>
      <c r="M71" s="490"/>
      <c r="N71" s="490"/>
      <c r="O71" s="490"/>
      <c r="P71" s="490"/>
      <c r="Q71" s="490"/>
      <c r="R71" s="490"/>
      <c r="S71" s="490"/>
      <c r="T71" s="490"/>
      <c r="U71" s="490"/>
    </row>
    <row r="72" spans="1:21">
      <c r="A72" s="490"/>
      <c r="B72" s="490"/>
      <c r="C72" s="490"/>
      <c r="D72" s="490"/>
      <c r="E72" s="490"/>
      <c r="F72" s="490"/>
      <c r="G72" s="490"/>
      <c r="H72" s="490"/>
      <c r="I72" s="490"/>
      <c r="J72" s="490"/>
      <c r="K72" s="490"/>
      <c r="L72" s="490"/>
      <c r="M72" s="490"/>
      <c r="N72" s="490"/>
      <c r="O72" s="490"/>
      <c r="P72" s="490"/>
      <c r="Q72" s="490"/>
      <c r="R72" s="490"/>
      <c r="S72" s="490"/>
      <c r="T72" s="490"/>
      <c r="U72" s="490"/>
    </row>
    <row r="73" spans="1:21">
      <c r="A73" s="498" t="s">
        <v>447</v>
      </c>
      <c r="B73" s="499">
        <f>+SUM($B70:B$70)</f>
        <v>0</v>
      </c>
      <c r="C73" s="499">
        <f>+SUM($B70:C$70)</f>
        <v>0</v>
      </c>
      <c r="D73" s="499">
        <f>+SUM($B70:D$70)</f>
        <v>0</v>
      </c>
      <c r="E73" s="499">
        <f>+SUM($B70:E$70)</f>
        <v>0</v>
      </c>
      <c r="F73" s="499">
        <f>+SUM($B70:F$70)</f>
        <v>0</v>
      </c>
      <c r="G73" s="499">
        <f>+SUM($B70:G$70)</f>
        <v>0</v>
      </c>
      <c r="H73" s="499">
        <f>+SUM($B70:H$70)</f>
        <v>0</v>
      </c>
      <c r="I73" s="499">
        <f>+SUM($B70:I$70)</f>
        <v>0</v>
      </c>
      <c r="J73" s="499">
        <f>+SUM($B70:J$70)</f>
        <v>0</v>
      </c>
      <c r="K73" s="499">
        <f>+SUM($B70:K$70)</f>
        <v>0</v>
      </c>
      <c r="L73" s="499">
        <f>+SUM($B70:L$70)</f>
        <v>0</v>
      </c>
      <c r="M73" s="499">
        <f>+SUM($B70:M$70)</f>
        <v>0</v>
      </c>
      <c r="N73" s="499">
        <f>+SUM($B70:N$70)</f>
        <v>0</v>
      </c>
      <c r="O73" s="499">
        <f>+SUM($B70:O$70)</f>
        <v>1</v>
      </c>
      <c r="P73" s="499">
        <f>+SUM($B70:P$70)</f>
        <v>2</v>
      </c>
      <c r="Q73" s="499">
        <f>+SUM($B70:Q$70)</f>
        <v>3</v>
      </c>
      <c r="R73" s="499">
        <f>+SUM($B70:R$70)</f>
        <v>4</v>
      </c>
      <c r="S73" s="490"/>
      <c r="T73" s="490"/>
      <c r="U73" s="490"/>
    </row>
    <row r="74" spans="1:21">
      <c r="A74" s="498" t="s">
        <v>448</v>
      </c>
      <c r="B74" s="500">
        <v>1</v>
      </c>
      <c r="C74" s="500">
        <f t="shared" ref="C74:K74" si="5">+B74+1</f>
        <v>2</v>
      </c>
      <c r="D74" s="500">
        <f t="shared" si="5"/>
        <v>3</v>
      </c>
      <c r="E74" s="500">
        <f t="shared" si="5"/>
        <v>4</v>
      </c>
      <c r="F74" s="500">
        <f t="shared" si="5"/>
        <v>5</v>
      </c>
      <c r="G74" s="500">
        <f t="shared" si="5"/>
        <v>6</v>
      </c>
      <c r="H74" s="500">
        <f t="shared" si="5"/>
        <v>7</v>
      </c>
      <c r="I74" s="500">
        <f t="shared" si="5"/>
        <v>8</v>
      </c>
      <c r="J74" s="500">
        <f t="shared" si="5"/>
        <v>9</v>
      </c>
      <c r="K74" s="500">
        <f t="shared" si="5"/>
        <v>10</v>
      </c>
      <c r="L74" s="500">
        <f>+K74+1</f>
        <v>11</v>
      </c>
      <c r="M74" s="500">
        <f t="shared" ref="M74:N74" si="6">+L74+1</f>
        <v>12</v>
      </c>
      <c r="N74" s="500">
        <f t="shared" si="6"/>
        <v>13</v>
      </c>
      <c r="O74" s="500">
        <f t="shared" ref="O74" si="7">+N74+1</f>
        <v>14</v>
      </c>
      <c r="P74" s="500">
        <f t="shared" ref="P74" si="8">+O74+1</f>
        <v>15</v>
      </c>
      <c r="Q74" s="500">
        <f t="shared" ref="Q74" si="9">+P74+1</f>
        <v>16</v>
      </c>
      <c r="R74" s="500">
        <f t="shared" ref="R74" si="10">+Q74+1</f>
        <v>17</v>
      </c>
    </row>
    <row r="75" spans="1:21">
      <c r="A75" s="498" t="s">
        <v>449</v>
      </c>
      <c r="B75" s="500">
        <f t="shared" ref="B75:N75" ca="1" si="11">+OFFSET($A$69,0,MATCH(B$74,$B$73:$R$73,0))</f>
        <v>2013</v>
      </c>
      <c r="C75" s="500">
        <f t="shared" ca="1" si="11"/>
        <v>2014</v>
      </c>
      <c r="D75" s="500">
        <f t="shared" ca="1" si="11"/>
        <v>2015</v>
      </c>
      <c r="E75" s="500">
        <f t="shared" ca="1" si="11"/>
        <v>2016</v>
      </c>
      <c r="F75" s="500" t="e">
        <f t="shared" ca="1" si="11"/>
        <v>#N/A</v>
      </c>
      <c r="G75" s="500" t="e">
        <f t="shared" ca="1" si="11"/>
        <v>#N/A</v>
      </c>
      <c r="H75" s="500" t="e">
        <f t="shared" ca="1" si="11"/>
        <v>#N/A</v>
      </c>
      <c r="I75" s="500" t="e">
        <f t="shared" ca="1" si="11"/>
        <v>#N/A</v>
      </c>
      <c r="J75" s="500" t="e">
        <f t="shared" ca="1" si="11"/>
        <v>#N/A</v>
      </c>
      <c r="K75" s="500" t="e">
        <f t="shared" ca="1" si="11"/>
        <v>#N/A</v>
      </c>
      <c r="L75" s="500" t="e">
        <f t="shared" ca="1" si="11"/>
        <v>#N/A</v>
      </c>
      <c r="M75" s="500" t="e">
        <f t="shared" ca="1" si="11"/>
        <v>#N/A</v>
      </c>
      <c r="N75" s="500" t="e">
        <f t="shared" ca="1" si="11"/>
        <v>#N/A</v>
      </c>
      <c r="O75" s="500" t="e">
        <f t="shared" ref="O75:R75" ca="1" si="12">+OFFSET($A$69,0,MATCH(O$74,$B$73:$R$73,0))</f>
        <v>#N/A</v>
      </c>
      <c r="P75" s="500" t="e">
        <f t="shared" ca="1" si="12"/>
        <v>#N/A</v>
      </c>
      <c r="Q75" s="500" t="e">
        <f t="shared" ca="1" si="12"/>
        <v>#N/A</v>
      </c>
      <c r="R75" s="500" t="e">
        <f t="shared" ca="1" si="12"/>
        <v>#N/A</v>
      </c>
    </row>
    <row r="76" spans="1:21">
      <c r="A76" s="498" t="s">
        <v>450</v>
      </c>
      <c r="B76" s="498">
        <f t="shared" ref="B76:N76" ca="1" si="13">+INDEX(14:14,1,MATCH(B$75,9:9,0))</f>
        <v>221354</v>
      </c>
      <c r="C76" s="498">
        <f t="shared" ca="1" si="13"/>
        <v>257766</v>
      </c>
      <c r="D76" s="498">
        <f t="shared" ca="1" si="13"/>
        <v>317860</v>
      </c>
      <c r="E76" s="498">
        <f t="shared" ca="1" si="13"/>
        <v>353900</v>
      </c>
      <c r="F76" s="498" t="e">
        <f t="shared" ca="1" si="13"/>
        <v>#N/A</v>
      </c>
      <c r="G76" s="498" t="e">
        <f t="shared" ca="1" si="13"/>
        <v>#N/A</v>
      </c>
      <c r="H76" s="498" t="e">
        <f t="shared" ca="1" si="13"/>
        <v>#N/A</v>
      </c>
      <c r="I76" s="498" t="e">
        <f t="shared" ca="1" si="13"/>
        <v>#N/A</v>
      </c>
      <c r="J76" s="498" t="e">
        <f t="shared" ca="1" si="13"/>
        <v>#N/A</v>
      </c>
      <c r="K76" s="498" t="e">
        <f t="shared" ca="1" si="13"/>
        <v>#N/A</v>
      </c>
      <c r="L76" s="498" t="e">
        <f t="shared" ca="1" si="13"/>
        <v>#N/A</v>
      </c>
      <c r="M76" s="498" t="e">
        <f t="shared" ca="1" si="13"/>
        <v>#N/A</v>
      </c>
      <c r="N76" s="498" t="e">
        <f t="shared" ca="1" si="13"/>
        <v>#N/A</v>
      </c>
      <c r="O76" s="498" t="e">
        <f t="shared" ref="O76:R76" ca="1" si="14">+INDEX(14:14,1,MATCH(O$75,9:9,0))</f>
        <v>#N/A</v>
      </c>
      <c r="P76" s="498" t="e">
        <f t="shared" ca="1" si="14"/>
        <v>#N/A</v>
      </c>
      <c r="Q76" s="498" t="e">
        <f t="shared" ca="1" si="14"/>
        <v>#N/A</v>
      </c>
      <c r="R76" s="498" t="e">
        <f t="shared" ca="1" si="14"/>
        <v>#N/A</v>
      </c>
    </row>
    <row r="79" spans="1:21">
      <c r="A79" s="501"/>
      <c r="B79" s="502" t="s">
        <v>451</v>
      </c>
      <c r="C79" s="503"/>
    </row>
    <row r="80" spans="1:21">
      <c r="A80" s="501" t="s">
        <v>452</v>
      </c>
      <c r="B80" s="504">
        <f t="array" aca="1" ref="B80:C84" ca="1">+LINEST(
OFFSET($B76,0,0,1,SUM($B70:$R70)),
OFFSET($B75,0,0,1,SUM($B70:$R70)),
,
1)</f>
        <v>45773.200000000004</v>
      </c>
      <c r="C80" s="504">
        <f ca="1"/>
        <v>-91922391.400000006</v>
      </c>
      <c r="D80" s="470" t="s">
        <v>453</v>
      </c>
    </row>
    <row r="81" spans="1:4">
      <c r="A81" s="501" t="s">
        <v>454</v>
      </c>
      <c r="B81" s="504">
        <f ca="1"/>
        <v>3375.9573575505965</v>
      </c>
      <c r="C81" s="504">
        <f ca="1"/>
        <v>6800867.1441786708</v>
      </c>
      <c r="D81" s="470" t="s">
        <v>455</v>
      </c>
    </row>
    <row r="82" spans="1:4">
      <c r="A82" s="501" t="s">
        <v>456</v>
      </c>
      <c r="B82" s="504">
        <f ca="1"/>
        <v>0.98923777561401727</v>
      </c>
      <c r="C82" s="504">
        <f ca="1"/>
        <v>7548.8701406236969</v>
      </c>
      <c r="D82" s="470" t="s">
        <v>457</v>
      </c>
    </row>
    <row r="83" spans="1:4">
      <c r="A83" s="505" t="s">
        <v>458</v>
      </c>
      <c r="B83" s="504">
        <f ca="1"/>
        <v>183.8351887370865</v>
      </c>
      <c r="C83" s="504">
        <f ca="1"/>
        <v>2</v>
      </c>
      <c r="D83" s="470" t="s">
        <v>459</v>
      </c>
    </row>
    <row r="84" spans="1:4">
      <c r="A84" s="505" t="s">
        <v>460</v>
      </c>
      <c r="B84" s="504">
        <f ca="1"/>
        <v>10475929191.200001</v>
      </c>
      <c r="C84" s="504">
        <f ca="1"/>
        <v>113970880.80000007</v>
      </c>
      <c r="D84" s="470" t="s">
        <v>461</v>
      </c>
    </row>
    <row r="85" spans="1:4">
      <c r="A85" s="501"/>
    </row>
    <row r="86" spans="1:4">
      <c r="A86" s="501"/>
    </row>
    <row r="87" spans="1:4">
      <c r="A87" s="501" t="s">
        <v>462</v>
      </c>
      <c r="B87" s="470">
        <f ca="1">+B80/B81</f>
        <v>13.558583581520843</v>
      </c>
    </row>
    <row r="88" spans="1:4">
      <c r="A88" s="505" t="s">
        <v>463</v>
      </c>
      <c r="B88" s="506">
        <f ca="1">+TDIST(B87,C83,2)</f>
        <v>5.3956688139664344E-3</v>
      </c>
    </row>
  </sheetData>
  <conditionalFormatting sqref="B14:H14 J14:R14">
    <cfRule type="expression" dxfId="1" priority="2">
      <formula>B$70=1</formula>
    </cfRule>
  </conditionalFormatting>
  <conditionalFormatting sqref="B14:I14">
    <cfRule type="expression" dxfId="0"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V1088"/>
  <sheetViews>
    <sheetView view="pageBreakPreview" zoomScaleNormal="115" zoomScaleSheetLayoutView="100" workbookViewId="0">
      <selection sqref="A1:R1"/>
    </sheetView>
  </sheetViews>
  <sheetFormatPr defaultColWidth="12.42578125" defaultRowHeight="12"/>
  <cols>
    <col min="1" max="1" width="3.85546875" style="29" customWidth="1"/>
    <col min="2" max="2" width="3.42578125" style="29" customWidth="1"/>
    <col min="3" max="3" width="3" style="29" customWidth="1"/>
    <col min="4" max="4" width="22.5703125" style="29" customWidth="1"/>
    <col min="5" max="5" width="9.7109375" style="29" customWidth="1"/>
    <col min="6" max="6" width="8.42578125" style="30" customWidth="1"/>
    <col min="7" max="7" width="9" style="100" customWidth="1"/>
    <col min="8" max="8" width="9.140625" style="100" customWidth="1"/>
    <col min="9" max="9" width="10.28515625" style="100" customWidth="1"/>
    <col min="10" max="10" width="9" style="100" customWidth="1"/>
    <col min="11" max="11" width="9" style="30" customWidth="1"/>
    <col min="12" max="12" width="9.28515625" style="100" customWidth="1"/>
    <col min="13" max="14" width="8.42578125" style="100" bestFit="1" customWidth="1"/>
    <col min="15" max="15" width="10.140625" style="100" bestFit="1" customWidth="1"/>
    <col min="16" max="17" width="9.28515625" style="100" bestFit="1" customWidth="1"/>
    <col min="18" max="18" width="9.28515625" style="29" bestFit="1" customWidth="1"/>
    <col min="19" max="19" width="9.140625" style="30" customWidth="1"/>
    <col min="20" max="21" width="9.5703125" style="30" customWidth="1"/>
    <col min="22" max="16384" width="12.42578125" style="29"/>
  </cols>
  <sheetData>
    <row r="1" spans="1:22" ht="7.5" customHeight="1">
      <c r="A1" s="781"/>
      <c r="B1" s="781"/>
      <c r="C1" s="781"/>
      <c r="D1" s="781"/>
      <c r="E1" s="781"/>
      <c r="F1" s="781"/>
      <c r="G1" s="781"/>
      <c r="H1" s="781"/>
      <c r="I1" s="781"/>
      <c r="J1" s="781"/>
      <c r="K1" s="781"/>
      <c r="L1" s="781"/>
      <c r="M1" s="781"/>
      <c r="N1" s="781"/>
      <c r="O1" s="781"/>
      <c r="P1" s="781"/>
      <c r="Q1" s="781"/>
      <c r="R1" s="781"/>
    </row>
    <row r="2" spans="1:22" ht="23.25" customHeight="1">
      <c r="A2" s="782" t="s">
        <v>415</v>
      </c>
      <c r="B2" s="782"/>
      <c r="C2" s="782"/>
      <c r="D2" s="782"/>
      <c r="E2" s="782"/>
      <c r="F2" s="782"/>
      <c r="G2" s="782"/>
      <c r="H2" s="782"/>
      <c r="I2" s="782"/>
      <c r="J2" s="782"/>
      <c r="K2" s="782"/>
      <c r="L2" s="782"/>
      <c r="M2" s="782"/>
      <c r="N2" s="782"/>
      <c r="O2" s="782"/>
      <c r="P2" s="782"/>
      <c r="Q2" s="782"/>
      <c r="R2" s="782"/>
    </row>
    <row r="3" spans="1:22" ht="10.9" customHeight="1">
      <c r="A3" s="197"/>
      <c r="B3" s="197"/>
      <c r="C3" s="197"/>
      <c r="D3" s="197"/>
      <c r="E3" s="197"/>
      <c r="F3" s="197"/>
      <c r="G3" s="197"/>
      <c r="H3" s="197"/>
      <c r="I3" s="197"/>
      <c r="J3" s="197"/>
      <c r="K3" s="197"/>
      <c r="L3" s="197"/>
      <c r="M3" s="197"/>
      <c r="N3" s="197"/>
      <c r="O3" s="197"/>
      <c r="P3" s="197"/>
      <c r="Q3" s="197"/>
      <c r="R3" s="197"/>
    </row>
    <row r="4" spans="1:22" ht="12.75" customHeight="1">
      <c r="A4" s="123" t="s">
        <v>73</v>
      </c>
      <c r="E4" s="784" t="s">
        <v>244</v>
      </c>
      <c r="F4" s="784"/>
      <c r="G4" s="784"/>
      <c r="H4" s="784"/>
      <c r="I4" s="785"/>
      <c r="J4" s="784"/>
      <c r="K4" s="784"/>
      <c r="L4" s="784"/>
      <c r="M4" s="784"/>
      <c r="N4" s="784"/>
      <c r="O4" s="784"/>
      <c r="P4" s="784"/>
      <c r="Q4" s="784"/>
      <c r="R4" s="784"/>
    </row>
    <row r="5" spans="1:22" ht="15" customHeight="1">
      <c r="A5" s="123"/>
      <c r="F5" s="199"/>
      <c r="G5" s="199"/>
      <c r="H5" s="199"/>
      <c r="I5" s="199"/>
      <c r="J5" s="199"/>
      <c r="K5" s="199"/>
      <c r="L5" s="199"/>
      <c r="M5" s="199"/>
      <c r="N5" s="199"/>
      <c r="O5" s="199"/>
      <c r="P5" s="199"/>
      <c r="Q5" s="199"/>
      <c r="R5" s="199"/>
    </row>
    <row r="6" spans="1:22" ht="10.5" customHeight="1">
      <c r="G6" s="30"/>
      <c r="H6" s="30"/>
      <c r="I6" s="30"/>
      <c r="J6" s="30"/>
      <c r="L6" s="30"/>
      <c r="M6" s="30"/>
      <c r="N6" s="30"/>
      <c r="O6" s="30"/>
      <c r="P6" s="30"/>
      <c r="Q6" s="30"/>
      <c r="U6" s="424"/>
    </row>
    <row r="7" spans="1:22" ht="12.75">
      <c r="A7" s="123" t="s">
        <v>72</v>
      </c>
      <c r="F7" s="780"/>
      <c r="G7" s="780"/>
      <c r="H7" s="780"/>
      <c r="I7" s="780"/>
      <c r="J7" s="780"/>
      <c r="K7" s="780"/>
      <c r="L7" s="780"/>
      <c r="M7" s="780"/>
      <c r="N7" s="780"/>
      <c r="O7" s="780"/>
      <c r="P7" s="780"/>
      <c r="Q7" s="31"/>
      <c r="T7" s="311"/>
      <c r="U7" s="694" t="s">
        <v>354</v>
      </c>
    </row>
    <row r="8" spans="1:22">
      <c r="A8" s="41" t="s">
        <v>2</v>
      </c>
      <c r="F8" s="78">
        <v>2000</v>
      </c>
      <c r="G8" s="78">
        <v>2001</v>
      </c>
      <c r="H8" s="78">
        <v>2002</v>
      </c>
      <c r="I8" s="78">
        <v>2003</v>
      </c>
      <c r="J8" s="78">
        <v>2004</v>
      </c>
      <c r="K8" s="78">
        <v>2005</v>
      </c>
      <c r="L8" s="78">
        <v>2006</v>
      </c>
      <c r="M8" s="78">
        <v>2007</v>
      </c>
      <c r="N8" s="78">
        <v>2008</v>
      </c>
      <c r="O8" s="78">
        <v>2009</v>
      </c>
      <c r="P8" s="78">
        <v>2010</v>
      </c>
      <c r="Q8" s="78">
        <v>2011</v>
      </c>
      <c r="R8" s="78">
        <v>2012</v>
      </c>
      <c r="S8" s="78">
        <v>2013</v>
      </c>
      <c r="T8" s="78">
        <v>2014</v>
      </c>
      <c r="U8" s="695">
        <v>12.201499999999999</v>
      </c>
      <c r="V8" s="78">
        <v>2016</v>
      </c>
    </row>
    <row r="9" spans="1:22">
      <c r="A9" s="41" t="s">
        <v>69</v>
      </c>
      <c r="B9" s="29" t="s">
        <v>66</v>
      </c>
      <c r="F9" s="31"/>
      <c r="G9" s="31"/>
      <c r="H9" s="31"/>
      <c r="I9" s="31"/>
      <c r="J9" s="31"/>
      <c r="K9" s="121"/>
      <c r="L9" s="31"/>
      <c r="M9" s="31"/>
      <c r="N9" s="31"/>
      <c r="O9" s="31"/>
      <c r="P9" s="31"/>
      <c r="Q9" s="31"/>
      <c r="S9" s="29"/>
      <c r="T9" s="29"/>
      <c r="U9" s="696"/>
    </row>
    <row r="10" spans="1:22">
      <c r="A10" s="41">
        <v>1</v>
      </c>
      <c r="B10" s="29" t="s">
        <v>65</v>
      </c>
      <c r="F10" s="81">
        <f>'CBR Hist'!F13</f>
        <v>242529</v>
      </c>
      <c r="G10" s="81">
        <f>'CBR Hist'!G13</f>
        <v>258201</v>
      </c>
      <c r="H10" s="81">
        <f>'CBR Hist'!H13</f>
        <v>273318</v>
      </c>
      <c r="I10" s="81">
        <f>'CBR Hist'!I13</f>
        <v>283356</v>
      </c>
      <c r="J10" s="81">
        <f>'CBR Hist'!J13</f>
        <v>285399</v>
      </c>
      <c r="K10" s="81">
        <f>'CBR Hist'!K13</f>
        <v>289216</v>
      </c>
      <c r="L10" s="81">
        <f>'CBR Hist'!L13</f>
        <v>321929</v>
      </c>
      <c r="M10" s="81">
        <f>'CBR Hist'!M13</f>
        <v>326335</v>
      </c>
      <c r="N10" s="81">
        <f>'CBR Hist'!N13</f>
        <v>365425</v>
      </c>
      <c r="O10" s="81">
        <f>'CBR Hist'!O13</f>
        <v>402618</v>
      </c>
      <c r="P10" s="81">
        <f>'CBR Hist'!P13</f>
        <v>415739.9703632</v>
      </c>
      <c r="Q10" s="81">
        <f>'CBR Hist'!Q13</f>
        <v>451837</v>
      </c>
      <c r="R10" s="81">
        <f>'CBR Hist'!R13-816-113</f>
        <v>459266</v>
      </c>
      <c r="S10" s="81">
        <f>'CBR Hist'!S13</f>
        <v>468006</v>
      </c>
      <c r="T10" s="81">
        <f>'CBR Hist'!T13</f>
        <v>488372</v>
      </c>
      <c r="U10" s="697">
        <v>497229</v>
      </c>
      <c r="V10" s="269">
        <v>492413</v>
      </c>
    </row>
    <row r="11" spans="1:22">
      <c r="A11" s="41">
        <v>2</v>
      </c>
      <c r="B11" s="29" t="s">
        <v>64</v>
      </c>
      <c r="F11" s="80">
        <f>'CBR Hist'!F14</f>
        <v>546</v>
      </c>
      <c r="G11" s="80">
        <f>'CBR Hist'!G14</f>
        <v>528</v>
      </c>
      <c r="H11" s="80">
        <f>'CBR Hist'!H14</f>
        <v>791</v>
      </c>
      <c r="I11" s="80">
        <f>'CBR Hist'!I14</f>
        <v>752</v>
      </c>
      <c r="J11" s="80">
        <f>'CBR Hist'!J14</f>
        <v>752</v>
      </c>
      <c r="K11" s="80">
        <f>'CBR Hist'!K14</f>
        <v>713</v>
      </c>
      <c r="L11" s="80">
        <f>'CBR Hist'!L14</f>
        <v>733</v>
      </c>
      <c r="M11" s="80">
        <f>'CBR Hist'!M14</f>
        <v>739</v>
      </c>
      <c r="N11" s="80">
        <f>'CBR Hist'!N14</f>
        <v>820</v>
      </c>
      <c r="O11" s="80">
        <f>'CBR Hist'!O14</f>
        <v>871.54909999999995</v>
      </c>
      <c r="P11" s="80">
        <f>'CBR Hist'!P14</f>
        <v>790</v>
      </c>
      <c r="Q11" s="80">
        <f>'CBR Hist'!Q14</f>
        <v>820</v>
      </c>
      <c r="R11" s="80">
        <f>'CBR Hist'!R14+816+113</f>
        <v>816</v>
      </c>
      <c r="S11" s="80">
        <f>'CBR Hist'!S14</f>
        <v>884</v>
      </c>
      <c r="T11" s="80">
        <f>'CBR Hist'!T14</f>
        <v>922</v>
      </c>
      <c r="U11" s="698">
        <v>928</v>
      </c>
      <c r="V11" s="162">
        <v>946</v>
      </c>
    </row>
    <row r="12" spans="1:22">
      <c r="A12" s="41">
        <v>3</v>
      </c>
      <c r="B12" s="29" t="s">
        <v>63</v>
      </c>
      <c r="F12" s="80">
        <f>'CBR Hist'!F15</f>
        <v>137117</v>
      </c>
      <c r="G12" s="80">
        <f>'CBR Hist'!G15</f>
        <v>91388</v>
      </c>
      <c r="H12" s="80">
        <f>'CBR Hist'!H15</f>
        <v>29918</v>
      </c>
      <c r="I12" s="80">
        <f>'CBR Hist'!I15</f>
        <v>35252</v>
      </c>
      <c r="J12" s="80">
        <f>'CBR Hist'!J15</f>
        <v>40460</v>
      </c>
      <c r="K12" s="80">
        <f>'CBR Hist'!K15</f>
        <v>44718</v>
      </c>
      <c r="L12" s="80">
        <f>'CBR Hist'!L15</f>
        <v>35380</v>
      </c>
      <c r="M12" s="80">
        <f>'CBR Hist'!M15</f>
        <v>34954</v>
      </c>
      <c r="N12" s="80">
        <f>'CBR Hist'!N15</f>
        <v>46848</v>
      </c>
      <c r="O12" s="80">
        <f>'CBR Hist'!O15</f>
        <v>31491</v>
      </c>
      <c r="P12" s="80">
        <f>'CBR Hist'!P15</f>
        <v>133479</v>
      </c>
      <c r="Q12" s="80">
        <f>'CBR Hist'!Q15</f>
        <v>52604</v>
      </c>
      <c r="R12" s="80">
        <f>'CBR Hist'!R15</f>
        <v>54549</v>
      </c>
      <c r="S12" s="80">
        <f>'CBR Hist'!S15</f>
        <v>75349</v>
      </c>
      <c r="T12" s="80">
        <f>'CBR Hist'!T15</f>
        <v>60998</v>
      </c>
      <c r="U12" s="698">
        <v>49505</v>
      </c>
      <c r="V12" s="691">
        <v>57854</v>
      </c>
    </row>
    <row r="13" spans="1:22">
      <c r="A13" s="41">
        <v>4</v>
      </c>
      <c r="B13" s="29" t="s">
        <v>62</v>
      </c>
      <c r="F13" s="169">
        <f>SUM(F10:F12)</f>
        <v>380192</v>
      </c>
      <c r="G13" s="169">
        <f t="shared" ref="G13:R13" si="0">SUM(G10:G12)</f>
        <v>350117</v>
      </c>
      <c r="H13" s="169">
        <f t="shared" si="0"/>
        <v>304027</v>
      </c>
      <c r="I13" s="169">
        <f t="shared" si="0"/>
        <v>319360</v>
      </c>
      <c r="J13" s="169">
        <f t="shared" si="0"/>
        <v>326611</v>
      </c>
      <c r="K13" s="169">
        <f t="shared" si="0"/>
        <v>334647</v>
      </c>
      <c r="L13" s="169">
        <f t="shared" si="0"/>
        <v>358042</v>
      </c>
      <c r="M13" s="169">
        <f t="shared" si="0"/>
        <v>362028</v>
      </c>
      <c r="N13" s="169">
        <f t="shared" si="0"/>
        <v>413093</v>
      </c>
      <c r="O13" s="169">
        <f t="shared" si="0"/>
        <v>434980.5491</v>
      </c>
      <c r="P13" s="169">
        <f t="shared" si="0"/>
        <v>550008.97036319994</v>
      </c>
      <c r="Q13" s="169">
        <f t="shared" si="0"/>
        <v>505261</v>
      </c>
      <c r="R13" s="169">
        <f t="shared" si="0"/>
        <v>514631</v>
      </c>
      <c r="S13" s="169">
        <f t="shared" ref="S13:T13" si="1">SUM(S10:S12)</f>
        <v>544239</v>
      </c>
      <c r="T13" s="169">
        <f t="shared" si="1"/>
        <v>550292</v>
      </c>
      <c r="U13" s="699">
        <v>547662</v>
      </c>
      <c r="V13" s="160">
        <f>SUM(V10:V12)</f>
        <v>551213</v>
      </c>
    </row>
    <row r="14" spans="1:22">
      <c r="A14" s="41">
        <v>5</v>
      </c>
      <c r="B14" s="29" t="s">
        <v>61</v>
      </c>
      <c r="F14" s="80">
        <f>'CBR Hist'!F17</f>
        <v>13062</v>
      </c>
      <c r="G14" s="80">
        <f>'CBR Hist'!G17</f>
        <v>14305</v>
      </c>
      <c r="H14" s="80">
        <f>'CBR Hist'!H17</f>
        <v>34274</v>
      </c>
      <c r="I14" s="80">
        <f>'CBR Hist'!I17</f>
        <v>57244</v>
      </c>
      <c r="J14" s="80">
        <f>'CBR Hist'!J17</f>
        <v>8587</v>
      </c>
      <c r="K14" s="80">
        <f>'CBR Hist'!K17</f>
        <v>10259</v>
      </c>
      <c r="L14" s="80">
        <f>'CBR Hist'!L17</f>
        <v>10178</v>
      </c>
      <c r="M14" s="80">
        <f>'CBR Hist'!M17</f>
        <v>10170</v>
      </c>
      <c r="N14" s="80">
        <f>'CBR Hist'!N17</f>
        <v>10927</v>
      </c>
      <c r="O14" s="80">
        <f>'CBR Hist'!O17</f>
        <v>9395</v>
      </c>
      <c r="P14" s="80">
        <f>'CBR Hist'!P17</f>
        <v>11786</v>
      </c>
      <c r="Q14" s="80">
        <f>'CBR Hist'!Q17</f>
        <v>13666</v>
      </c>
      <c r="R14" s="80">
        <f>'CBR Hist'!R17</f>
        <v>13089</v>
      </c>
      <c r="S14" s="80">
        <f>'CBR Hist'!S17</f>
        <v>13408</v>
      </c>
      <c r="T14" s="80">
        <f>'CBR Hist'!T17</f>
        <v>17163</v>
      </c>
      <c r="U14" s="698">
        <v>16920</v>
      </c>
      <c r="V14" s="691">
        <v>17310</v>
      </c>
    </row>
    <row r="15" spans="1:22">
      <c r="A15" s="41">
        <v>6</v>
      </c>
      <c r="B15" s="29" t="s">
        <v>60</v>
      </c>
      <c r="F15" s="169">
        <f>SUM(F13:F14)</f>
        <v>393254</v>
      </c>
      <c r="G15" s="169">
        <f t="shared" ref="G15:R15" si="2">SUM(G13:G14)</f>
        <v>364422</v>
      </c>
      <c r="H15" s="169">
        <f t="shared" si="2"/>
        <v>338301</v>
      </c>
      <c r="I15" s="169">
        <f t="shared" si="2"/>
        <v>376604</v>
      </c>
      <c r="J15" s="169">
        <f t="shared" si="2"/>
        <v>335198</v>
      </c>
      <c r="K15" s="169">
        <f t="shared" si="2"/>
        <v>344906</v>
      </c>
      <c r="L15" s="169">
        <f t="shared" si="2"/>
        <v>368220</v>
      </c>
      <c r="M15" s="169">
        <f t="shared" si="2"/>
        <v>372198</v>
      </c>
      <c r="N15" s="169">
        <f t="shared" si="2"/>
        <v>424020</v>
      </c>
      <c r="O15" s="169">
        <f t="shared" si="2"/>
        <v>444375.5491</v>
      </c>
      <c r="P15" s="169">
        <f t="shared" si="2"/>
        <v>561794.97036319994</v>
      </c>
      <c r="Q15" s="169">
        <f t="shared" si="2"/>
        <v>518927</v>
      </c>
      <c r="R15" s="169">
        <f t="shared" si="2"/>
        <v>527720</v>
      </c>
      <c r="S15" s="169">
        <f t="shared" ref="S15:T15" si="3">SUM(S13:S14)</f>
        <v>557647</v>
      </c>
      <c r="T15" s="169">
        <f t="shared" si="3"/>
        <v>567455</v>
      </c>
      <c r="U15" s="699">
        <v>564582</v>
      </c>
      <c r="V15" s="160">
        <f>SUM(V13:V14)</f>
        <v>568523</v>
      </c>
    </row>
    <row r="16" spans="1:22" ht="6.75" customHeight="1">
      <c r="A16" s="41"/>
      <c r="F16" s="33"/>
      <c r="G16" s="33"/>
      <c r="H16" s="33"/>
      <c r="I16" s="33"/>
      <c r="J16" s="33"/>
      <c r="K16" s="33"/>
      <c r="L16" s="33"/>
      <c r="M16" s="33"/>
      <c r="N16" s="33"/>
      <c r="O16" s="33"/>
      <c r="P16" s="33"/>
      <c r="Q16" s="33"/>
      <c r="R16" s="33"/>
      <c r="S16" s="33"/>
      <c r="T16" s="33"/>
      <c r="U16" s="700"/>
    </row>
    <row r="17" spans="1:22">
      <c r="A17" s="41"/>
      <c r="B17" s="29" t="s">
        <v>59</v>
      </c>
      <c r="F17" s="33"/>
      <c r="G17" s="33"/>
      <c r="H17" s="33"/>
      <c r="I17" s="33"/>
      <c r="J17" s="33"/>
      <c r="K17" s="33"/>
      <c r="L17" s="33"/>
      <c r="M17" s="33"/>
      <c r="N17" s="33"/>
      <c r="O17" s="33"/>
      <c r="P17" s="33"/>
      <c r="Q17" s="33"/>
      <c r="R17" s="33"/>
      <c r="S17" s="33"/>
      <c r="T17" s="33"/>
      <c r="U17" s="700"/>
    </row>
    <row r="18" spans="1:22">
      <c r="A18" s="41"/>
      <c r="B18" s="29" t="s">
        <v>58</v>
      </c>
      <c r="F18" s="33"/>
      <c r="G18" s="33"/>
      <c r="H18" s="33"/>
      <c r="I18" s="33"/>
      <c r="J18" s="33"/>
      <c r="K18" s="33"/>
      <c r="L18" s="33"/>
      <c r="M18" s="33"/>
      <c r="N18" s="33"/>
      <c r="O18" s="33"/>
      <c r="P18" s="33"/>
      <c r="Q18" s="33"/>
      <c r="R18" s="33"/>
      <c r="S18" s="33"/>
      <c r="T18" s="33"/>
      <c r="U18" s="700"/>
    </row>
    <row r="19" spans="1:22">
      <c r="A19" s="41">
        <v>7</v>
      </c>
      <c r="C19" s="29" t="s">
        <v>50</v>
      </c>
      <c r="F19" s="80">
        <f>'CBR Hist'!F22</f>
        <v>78721</v>
      </c>
      <c r="G19" s="80">
        <f>'CBR Hist'!G22</f>
        <v>47157</v>
      </c>
      <c r="H19" s="80">
        <f>'CBR Hist'!H22</f>
        <v>101475</v>
      </c>
      <c r="I19" s="80">
        <f>'CBR Hist'!I22</f>
        <v>132098</v>
      </c>
      <c r="J19" s="80">
        <f>'CBR Hist'!J22</f>
        <v>101545</v>
      </c>
      <c r="K19" s="80">
        <f>'CBR Hist'!K22</f>
        <v>105374</v>
      </c>
      <c r="L19" s="80">
        <f>'CBR Hist'!L22</f>
        <v>104260</v>
      </c>
      <c r="M19" s="80">
        <f>'CBR Hist'!M22</f>
        <v>102890</v>
      </c>
      <c r="N19" s="80">
        <f>'CBR Hist'!N22</f>
        <v>117123</v>
      </c>
      <c r="O19" s="80">
        <f>'CBR Hist'!O22</f>
        <v>87599</v>
      </c>
      <c r="P19" s="80">
        <f>'CBR Hist'!P22</f>
        <v>147107</v>
      </c>
      <c r="Q19" s="80">
        <f>'CBR Hist'!Q22</f>
        <v>145634</v>
      </c>
      <c r="R19" s="80">
        <f>'CBR Hist'!R22</f>
        <v>131795</v>
      </c>
      <c r="S19" s="80">
        <f>'CBR Hist'!S22</f>
        <v>143904</v>
      </c>
      <c r="T19" s="80">
        <f>'CBR Hist'!T22</f>
        <v>120307</v>
      </c>
      <c r="U19" s="698">
        <v>140485</v>
      </c>
      <c r="V19" s="162">
        <v>136385</v>
      </c>
    </row>
    <row r="20" spans="1:22">
      <c r="A20" s="41">
        <v>8</v>
      </c>
      <c r="C20" s="29" t="s">
        <v>57</v>
      </c>
      <c r="F20" s="80">
        <f>'CBR Hist'!F23</f>
        <v>181189</v>
      </c>
      <c r="G20" s="80">
        <f>'CBR Hist'!G23</f>
        <v>132159</v>
      </c>
      <c r="H20" s="80">
        <f>'CBR Hist'!H23</f>
        <v>50769</v>
      </c>
      <c r="I20" s="80">
        <f>'CBR Hist'!I23</f>
        <v>46591</v>
      </c>
      <c r="J20" s="80">
        <f>'CBR Hist'!J23</f>
        <v>51042</v>
      </c>
      <c r="K20" s="80">
        <f>'CBR Hist'!K23</f>
        <v>55046</v>
      </c>
      <c r="L20" s="80">
        <f>'CBR Hist'!L23</f>
        <v>79146</v>
      </c>
      <c r="M20" s="80">
        <f>'CBR Hist'!M23</f>
        <v>65640</v>
      </c>
      <c r="N20" s="80">
        <f>'CBR Hist'!N23</f>
        <v>72508</v>
      </c>
      <c r="O20" s="80">
        <f>'CBR Hist'!O23</f>
        <v>100437</v>
      </c>
      <c r="P20" s="80">
        <f>'CBR Hist'!P23</f>
        <v>142197</v>
      </c>
      <c r="Q20" s="80">
        <f>'CBR Hist'!Q23</f>
        <v>91142</v>
      </c>
      <c r="R20" s="80">
        <f>'CBR Hist'!R23</f>
        <v>101283</v>
      </c>
      <c r="S20" s="80">
        <f>'CBR Hist'!S23</f>
        <v>109034</v>
      </c>
      <c r="T20" s="80">
        <f>'CBR Hist'!T23</f>
        <v>116643</v>
      </c>
      <c r="U20" s="698">
        <v>85107</v>
      </c>
      <c r="V20" s="162">
        <v>78794</v>
      </c>
    </row>
    <row r="21" spans="1:22">
      <c r="A21" s="41">
        <v>9</v>
      </c>
      <c r="C21" s="29" t="s">
        <v>86</v>
      </c>
      <c r="F21" s="80">
        <f>'CBR Hist'!F24+'CBR Hist'!F25-F22</f>
        <v>14850</v>
      </c>
      <c r="G21" s="80">
        <f>'CBR Hist'!G24+'CBR Hist'!G25-G22</f>
        <v>15202</v>
      </c>
      <c r="H21" s="80">
        <f>'CBR Hist'!H24+'CBR Hist'!H25-H22</f>
        <v>20157</v>
      </c>
      <c r="I21" s="80">
        <f>'CBR Hist'!I24+'CBR Hist'!I25-I22</f>
        <v>20523</v>
      </c>
      <c r="J21" s="80">
        <f>'CBR Hist'!J24+'CBR Hist'!J25-J22</f>
        <v>22312</v>
      </c>
      <c r="K21" s="80">
        <f>'CBR Hist'!K24+'CBR Hist'!K25-K22</f>
        <v>22629</v>
      </c>
      <c r="L21" s="80">
        <f>'CBR Hist'!L24+'CBR Hist'!L25-L22</f>
        <v>24577</v>
      </c>
      <c r="M21" s="80">
        <f>'CBR Hist'!M24+'CBR Hist'!M25-M22</f>
        <v>24877</v>
      </c>
      <c r="N21" s="80">
        <f>'CBR Hist'!N24+'CBR Hist'!N25-N22</f>
        <v>23076</v>
      </c>
      <c r="O21" s="80">
        <f>'CBR Hist'!O24+'CBR Hist'!O25-O22</f>
        <v>23969</v>
      </c>
      <c r="P21" s="80">
        <f>'CBR Hist'!P24+'CBR Hist'!P25-P22</f>
        <v>25008</v>
      </c>
      <c r="Q21" s="80">
        <f>'CBR Hist'!Q24+'CBR Hist'!Q25-Q22</f>
        <v>25158</v>
      </c>
      <c r="R21" s="80">
        <f>'CBR Hist'!R24+'CBR Hist'!R25-R22</f>
        <v>25680</v>
      </c>
      <c r="S21" s="80">
        <f>'CBR Hist'!S24+'CBR Hist'!S25-S22</f>
        <v>23284</v>
      </c>
      <c r="T21" s="80">
        <f>'CBR Hist'!T24+'CBR Hist'!T25-T22</f>
        <v>23715</v>
      </c>
      <c r="U21" s="698">
        <v>24947</v>
      </c>
      <c r="V21" s="162">
        <v>26677</v>
      </c>
    </row>
    <row r="22" spans="1:22">
      <c r="A22" s="41">
        <v>10</v>
      </c>
      <c r="C22" s="29" t="s">
        <v>87</v>
      </c>
      <c r="F22" s="80">
        <f>'Reg Amorts'!E43</f>
        <v>-17964</v>
      </c>
      <c r="G22" s="80">
        <f>'Reg Amorts'!F43</f>
        <v>-6050</v>
      </c>
      <c r="H22" s="80">
        <f>'Reg Amorts'!G43</f>
        <v>-6349</v>
      </c>
      <c r="I22" s="80">
        <f>'Reg Amorts'!H43</f>
        <v>-5608</v>
      </c>
      <c r="J22" s="80">
        <f>'Reg Amorts'!I43</f>
        <v>567</v>
      </c>
      <c r="K22" s="80">
        <f>'Reg Amorts'!J43</f>
        <v>-8817</v>
      </c>
      <c r="L22" s="80">
        <f>'Reg Amorts'!K43</f>
        <v>1168</v>
      </c>
      <c r="M22" s="80">
        <f>'Reg Amorts'!L43</f>
        <v>-3082</v>
      </c>
      <c r="N22" s="80">
        <f>'Reg Amorts'!M43</f>
        <v>-1076</v>
      </c>
      <c r="O22" s="80">
        <f>'Reg Amorts'!N43</f>
        <v>-1703</v>
      </c>
      <c r="P22" s="80">
        <f>'Reg Amorts'!O43</f>
        <v>-2879</v>
      </c>
      <c r="Q22" s="80">
        <f>'Reg Amorts'!P43</f>
        <v>403</v>
      </c>
      <c r="R22" s="80">
        <f>'Reg Amorts'!Q43</f>
        <v>-7744</v>
      </c>
      <c r="S22" s="80">
        <f>'Reg Amorts'!R43</f>
        <v>8629</v>
      </c>
      <c r="T22" s="80">
        <f>'Reg Amorts'!S43</f>
        <v>8101</v>
      </c>
      <c r="U22" s="698">
        <v>5974</v>
      </c>
      <c r="V22" s="12">
        <v>4705</v>
      </c>
    </row>
    <row r="23" spans="1:22">
      <c r="A23" s="41">
        <v>11</v>
      </c>
      <c r="C23" s="29" t="s">
        <v>49</v>
      </c>
      <c r="F23" s="80">
        <f>'CBR Hist'!F26</f>
        <v>9346</v>
      </c>
      <c r="G23" s="80">
        <f>'CBR Hist'!G26</f>
        <v>5139</v>
      </c>
      <c r="H23" s="80">
        <f>'CBR Hist'!H26</f>
        <v>7164</v>
      </c>
      <c r="I23" s="80">
        <f>'CBR Hist'!I26</f>
        <v>6722</v>
      </c>
      <c r="J23" s="80">
        <f>'CBR Hist'!J26</f>
        <v>7283</v>
      </c>
      <c r="K23" s="80">
        <f>'CBR Hist'!K26</f>
        <v>9900</v>
      </c>
      <c r="L23" s="80">
        <f>'CBR Hist'!L26</f>
        <v>9115</v>
      </c>
      <c r="M23" s="80">
        <f>'CBR Hist'!M26</f>
        <v>8319</v>
      </c>
      <c r="N23" s="80">
        <f>'CBR Hist'!N26</f>
        <v>8146</v>
      </c>
      <c r="O23" s="80">
        <f>'CBR Hist'!O26</f>
        <v>9014</v>
      </c>
      <c r="P23" s="80">
        <f>'CBR Hist'!P26</f>
        <v>9955</v>
      </c>
      <c r="Q23" s="80">
        <f>'CBR Hist'!Q26</f>
        <v>10846</v>
      </c>
      <c r="R23" s="80">
        <f>'CBR Hist'!R26</f>
        <v>11456</v>
      </c>
      <c r="S23" s="80">
        <f>'CBR Hist'!S26</f>
        <v>12913</v>
      </c>
      <c r="T23" s="80">
        <f>'CBR Hist'!T26</f>
        <v>12828</v>
      </c>
      <c r="U23" s="698">
        <v>14133</v>
      </c>
      <c r="V23" s="691">
        <v>14654</v>
      </c>
    </row>
    <row r="24" spans="1:22">
      <c r="A24" s="41">
        <v>12</v>
      </c>
      <c r="B24" s="29" t="s">
        <v>56</v>
      </c>
      <c r="F24" s="170">
        <f>SUM(F19:F23)</f>
        <v>266142</v>
      </c>
      <c r="G24" s="170">
        <f t="shared" ref="G24:R24" si="4">SUM(G19:G23)</f>
        <v>193607</v>
      </c>
      <c r="H24" s="170">
        <f t="shared" si="4"/>
        <v>173216</v>
      </c>
      <c r="I24" s="170">
        <f t="shared" si="4"/>
        <v>200326</v>
      </c>
      <c r="J24" s="170">
        <f t="shared" si="4"/>
        <v>182749</v>
      </c>
      <c r="K24" s="170">
        <f t="shared" si="4"/>
        <v>184132</v>
      </c>
      <c r="L24" s="170">
        <f t="shared" si="4"/>
        <v>218266</v>
      </c>
      <c r="M24" s="170">
        <f t="shared" si="4"/>
        <v>198644</v>
      </c>
      <c r="N24" s="170">
        <f t="shared" si="4"/>
        <v>219777</v>
      </c>
      <c r="O24" s="170">
        <f t="shared" si="4"/>
        <v>219316</v>
      </c>
      <c r="P24" s="170">
        <f t="shared" si="4"/>
        <v>321388</v>
      </c>
      <c r="Q24" s="170">
        <f t="shared" si="4"/>
        <v>273183</v>
      </c>
      <c r="R24" s="170">
        <f t="shared" si="4"/>
        <v>262470</v>
      </c>
      <c r="S24" s="170">
        <f t="shared" ref="S24:T24" si="5">SUM(S19:S23)</f>
        <v>297764</v>
      </c>
      <c r="T24" s="170">
        <f t="shared" si="5"/>
        <v>281594</v>
      </c>
      <c r="U24" s="701">
        <v>270646</v>
      </c>
      <c r="V24" s="160">
        <f>SUM(V19:V23)</f>
        <v>261215</v>
      </c>
    </row>
    <row r="25" spans="1:22" ht="13.5" customHeight="1">
      <c r="A25" s="41"/>
      <c r="F25" s="33"/>
      <c r="G25" s="33"/>
      <c r="H25" s="33"/>
      <c r="I25" s="33"/>
      <c r="J25" s="33"/>
      <c r="K25" s="33"/>
      <c r="L25" s="33"/>
      <c r="M25" s="33"/>
      <c r="N25" s="33"/>
      <c r="O25" s="33"/>
      <c r="P25" s="33"/>
      <c r="Q25" s="33"/>
      <c r="R25" s="33"/>
      <c r="S25" s="263"/>
      <c r="T25" s="263"/>
      <c r="U25" s="702"/>
    </row>
    <row r="26" spans="1:22">
      <c r="A26" s="41"/>
      <c r="B26" s="29" t="s">
        <v>36</v>
      </c>
      <c r="F26" s="33"/>
      <c r="G26" s="33"/>
      <c r="H26" s="33"/>
      <c r="I26" s="33"/>
      <c r="J26" s="33"/>
      <c r="K26" s="33"/>
      <c r="L26" s="33"/>
      <c r="M26" s="33"/>
      <c r="N26" s="33"/>
      <c r="O26" s="33"/>
      <c r="P26" s="33"/>
      <c r="Q26" s="33"/>
      <c r="R26" s="33"/>
      <c r="S26" s="33"/>
      <c r="T26" s="33"/>
      <c r="U26" s="700"/>
    </row>
    <row r="27" spans="1:22">
      <c r="A27" s="41">
        <v>13</v>
      </c>
      <c r="C27" s="29" t="s">
        <v>50</v>
      </c>
      <c r="F27" s="80">
        <f>'CBR Hist'!F30</f>
        <v>9418</v>
      </c>
      <c r="G27" s="80">
        <f>'CBR Hist'!G30</f>
        <v>10560</v>
      </c>
      <c r="H27" s="80">
        <f>'CBR Hist'!H30</f>
        <v>9631</v>
      </c>
      <c r="I27" s="80">
        <f>'CBR Hist'!I30</f>
        <v>10171</v>
      </c>
      <c r="J27" s="80">
        <f>'CBR Hist'!J30</f>
        <v>12016</v>
      </c>
      <c r="K27" s="80">
        <f>'CBR Hist'!K30</f>
        <v>14263</v>
      </c>
      <c r="L27" s="80">
        <f>'CBR Hist'!L30</f>
        <v>15485</v>
      </c>
      <c r="M27" s="80">
        <f>'CBR Hist'!M30</f>
        <v>14563</v>
      </c>
      <c r="N27" s="80">
        <f>'CBR Hist'!N30</f>
        <v>17329</v>
      </c>
      <c r="O27" s="80">
        <f>'CBR Hist'!O30</f>
        <v>17267</v>
      </c>
      <c r="P27" s="80">
        <f>'CBR Hist'!P30</f>
        <v>18354</v>
      </c>
      <c r="Q27" s="80">
        <f>'CBR Hist'!Q30</f>
        <v>19081</v>
      </c>
      <c r="R27" s="80">
        <f>'CBR Hist'!R30</f>
        <v>21152</v>
      </c>
      <c r="S27" s="80">
        <f>'CBR Hist'!S30</f>
        <v>20878</v>
      </c>
      <c r="T27" s="80">
        <f>'CBR Hist'!T30</f>
        <v>21299</v>
      </c>
      <c r="U27" s="698">
        <v>24056</v>
      </c>
      <c r="V27" s="162">
        <v>21415</v>
      </c>
    </row>
    <row r="28" spans="1:22">
      <c r="A28" s="41">
        <v>14</v>
      </c>
      <c r="C28" s="29" t="s">
        <v>88</v>
      </c>
      <c r="F28" s="80">
        <f>'CBR Hist'!F31</f>
        <v>9056</v>
      </c>
      <c r="G28" s="80">
        <f>'CBR Hist'!G31</f>
        <v>9178</v>
      </c>
      <c r="H28" s="80">
        <f>'CBR Hist'!H31</f>
        <v>9427</v>
      </c>
      <c r="I28" s="80">
        <f>'CBR Hist'!I31</f>
        <v>9752</v>
      </c>
      <c r="J28" s="80">
        <f>'CBR Hist'!J31</f>
        <v>10067</v>
      </c>
      <c r="K28" s="80">
        <f>'CBR Hist'!K31</f>
        <v>10399</v>
      </c>
      <c r="L28" s="80">
        <f>'CBR Hist'!L31</f>
        <v>10776</v>
      </c>
      <c r="M28" s="80">
        <f>'CBR Hist'!M31</f>
        <v>11333</v>
      </c>
      <c r="N28" s="80">
        <f>'CBR Hist'!N31</f>
        <v>15611</v>
      </c>
      <c r="O28" s="80">
        <f>'CBR Hist'!O31</f>
        <v>16809</v>
      </c>
      <c r="P28" s="80">
        <f>'CBR Hist'!P31</f>
        <v>17985</v>
      </c>
      <c r="Q28" s="80">
        <f>'CBR Hist'!Q31</f>
        <v>19240</v>
      </c>
      <c r="R28" s="80">
        <f>'CBR Hist'!R31</f>
        <v>20749</v>
      </c>
      <c r="S28" s="80">
        <f>'CBR Hist'!S31</f>
        <v>22303</v>
      </c>
      <c r="T28" s="80">
        <f>'CBR Hist'!T31</f>
        <v>23794</v>
      </c>
      <c r="U28" s="698">
        <v>25379</v>
      </c>
      <c r="V28" s="162">
        <v>27819</v>
      </c>
    </row>
    <row r="29" spans="1:22">
      <c r="A29" s="41">
        <v>15</v>
      </c>
      <c r="C29" s="29" t="s">
        <v>49</v>
      </c>
      <c r="F29" s="80">
        <f>'CBR Hist'!F32</f>
        <v>11693</v>
      </c>
      <c r="G29" s="80">
        <f>'CBR Hist'!G32</f>
        <v>15462</v>
      </c>
      <c r="H29" s="80">
        <f>'CBR Hist'!H32</f>
        <v>16996</v>
      </c>
      <c r="I29" s="80">
        <f>'CBR Hist'!I32</f>
        <v>17286</v>
      </c>
      <c r="J29" s="80">
        <f>'CBR Hist'!J32</f>
        <v>17401</v>
      </c>
      <c r="K29" s="80">
        <f>'CBR Hist'!K32</f>
        <v>14988</v>
      </c>
      <c r="L29" s="80">
        <f>'CBR Hist'!L32</f>
        <v>16307</v>
      </c>
      <c r="M29" s="80">
        <f>'CBR Hist'!M32</f>
        <v>16156</v>
      </c>
      <c r="N29" s="80">
        <f>'CBR Hist'!N32</f>
        <v>17416</v>
      </c>
      <c r="O29" s="80">
        <f>'CBR Hist'!O32</f>
        <v>18216</v>
      </c>
      <c r="P29" s="80">
        <f>'CBR Hist'!P32</f>
        <v>20029</v>
      </c>
      <c r="Q29" s="80">
        <f>'CBR Hist'!Q32</f>
        <v>22459</v>
      </c>
      <c r="R29" s="80">
        <f>'CBR Hist'!R32</f>
        <v>22699</v>
      </c>
      <c r="S29" s="80">
        <f>'CBR Hist'!S32</f>
        <v>23809</v>
      </c>
      <c r="T29" s="80">
        <f>'CBR Hist'!T32</f>
        <v>25821</v>
      </c>
      <c r="U29" s="698">
        <v>27448</v>
      </c>
      <c r="V29" s="691">
        <v>27287</v>
      </c>
    </row>
    <row r="30" spans="1:22">
      <c r="A30" s="41">
        <v>16</v>
      </c>
      <c r="B30" s="29" t="s">
        <v>55</v>
      </c>
      <c r="F30" s="170">
        <f>SUM(F27:F29)</f>
        <v>30167</v>
      </c>
      <c r="G30" s="170">
        <f t="shared" ref="G30:R30" si="6">SUM(G27:G29)</f>
        <v>35200</v>
      </c>
      <c r="H30" s="170">
        <f t="shared" si="6"/>
        <v>36054</v>
      </c>
      <c r="I30" s="170">
        <f t="shared" si="6"/>
        <v>37209</v>
      </c>
      <c r="J30" s="170">
        <f t="shared" si="6"/>
        <v>39484</v>
      </c>
      <c r="K30" s="170">
        <f t="shared" si="6"/>
        <v>39650</v>
      </c>
      <c r="L30" s="170">
        <f t="shared" si="6"/>
        <v>42568</v>
      </c>
      <c r="M30" s="170">
        <f t="shared" si="6"/>
        <v>42052</v>
      </c>
      <c r="N30" s="170">
        <f t="shared" si="6"/>
        <v>50356</v>
      </c>
      <c r="O30" s="170">
        <f t="shared" si="6"/>
        <v>52292</v>
      </c>
      <c r="P30" s="170">
        <f t="shared" si="6"/>
        <v>56368</v>
      </c>
      <c r="Q30" s="170">
        <f t="shared" si="6"/>
        <v>60780</v>
      </c>
      <c r="R30" s="170">
        <f t="shared" si="6"/>
        <v>64600</v>
      </c>
      <c r="S30" s="170">
        <f t="shared" ref="S30:T30" si="7">SUM(S27:S29)</f>
        <v>66990</v>
      </c>
      <c r="T30" s="170">
        <f t="shared" si="7"/>
        <v>70914</v>
      </c>
      <c r="U30" s="701">
        <v>76883</v>
      </c>
      <c r="V30" s="160">
        <f>SUM(V27:V29)</f>
        <v>76521</v>
      </c>
    </row>
    <row r="31" spans="1:22" ht="4.5" customHeight="1">
      <c r="A31" s="41"/>
      <c r="F31" s="33"/>
      <c r="G31" s="33"/>
      <c r="H31" s="33"/>
      <c r="I31" s="33"/>
      <c r="J31" s="33"/>
      <c r="K31" s="33"/>
      <c r="L31" s="33"/>
      <c r="M31" s="33"/>
      <c r="N31" s="33"/>
      <c r="O31" s="33"/>
      <c r="P31" s="33"/>
      <c r="Q31" s="33"/>
      <c r="R31" s="33"/>
      <c r="S31" s="33"/>
      <c r="T31" s="33"/>
      <c r="U31" s="700"/>
    </row>
    <row r="32" spans="1:22">
      <c r="A32" s="41">
        <v>17</v>
      </c>
      <c r="B32" s="29" t="s">
        <v>54</v>
      </c>
      <c r="F32" s="80">
        <f>'CBR Hist'!F35</f>
        <v>5768</v>
      </c>
      <c r="G32" s="80">
        <f>'CBR Hist'!G35</f>
        <v>6196</v>
      </c>
      <c r="H32" s="80">
        <f>'CBR Hist'!H35</f>
        <v>7113</v>
      </c>
      <c r="I32" s="80">
        <f>'CBR Hist'!I35</f>
        <v>7129</v>
      </c>
      <c r="J32" s="80">
        <f>'CBR Hist'!J35</f>
        <v>7352</v>
      </c>
      <c r="K32" s="80">
        <f>'CBR Hist'!K35</f>
        <v>7156</v>
      </c>
      <c r="L32" s="80">
        <f>'CBR Hist'!L35</f>
        <v>7097</v>
      </c>
      <c r="M32" s="80">
        <f>'CBR Hist'!M35</f>
        <v>7514</v>
      </c>
      <c r="N32" s="80">
        <f>'CBR Hist'!N35</f>
        <v>7919</v>
      </c>
      <c r="O32" s="80">
        <f>'CBR Hist'!O35</f>
        <v>9646</v>
      </c>
      <c r="P32" s="80">
        <f>'CBR Hist'!P35</f>
        <v>9261</v>
      </c>
      <c r="Q32" s="80">
        <f>'CBR Hist'!Q35</f>
        <v>10274.701588</v>
      </c>
      <c r="R32" s="80">
        <f>'CBR Hist'!R35</f>
        <v>10335.791302</v>
      </c>
      <c r="S32" s="80">
        <f>'CBR Hist'!S35</f>
        <v>11334</v>
      </c>
      <c r="T32" s="80">
        <f>'CBR Hist'!T35</f>
        <v>11166</v>
      </c>
      <c r="U32" s="698">
        <v>12363</v>
      </c>
      <c r="V32" s="162">
        <v>13021</v>
      </c>
    </row>
    <row r="33" spans="1:22">
      <c r="A33" s="41">
        <v>18</v>
      </c>
      <c r="B33" s="29" t="s">
        <v>53</v>
      </c>
      <c r="F33" s="80">
        <f>'CBR Hist'!F36</f>
        <v>5704</v>
      </c>
      <c r="G33" s="80">
        <f>'CBR Hist'!G36</f>
        <v>5381</v>
      </c>
      <c r="H33" s="80">
        <f>'CBR Hist'!H36</f>
        <v>6261</v>
      </c>
      <c r="I33" s="80">
        <f>'CBR Hist'!I36</f>
        <v>6620</v>
      </c>
      <c r="J33" s="80">
        <f>'CBR Hist'!J36</f>
        <v>266</v>
      </c>
      <c r="K33" s="80">
        <f>'CBR Hist'!K36</f>
        <v>7127</v>
      </c>
      <c r="L33" s="80">
        <f>'CBR Hist'!L36</f>
        <v>1159</v>
      </c>
      <c r="M33" s="80">
        <f>'CBR Hist'!M36</f>
        <v>7472</v>
      </c>
      <c r="N33" s="80">
        <f>'CBR Hist'!N36</f>
        <v>12847</v>
      </c>
      <c r="O33" s="80">
        <f>'CBR Hist'!O36</f>
        <v>19736</v>
      </c>
      <c r="P33" s="80">
        <f>'CBR Hist'!P36</f>
        <v>20832</v>
      </c>
      <c r="Q33" s="80">
        <f>'CBR Hist'!Q36</f>
        <v>21292</v>
      </c>
      <c r="R33" s="80">
        <f>'CBR Hist'!R36</f>
        <v>18487</v>
      </c>
      <c r="S33" s="80">
        <f>'CBR Hist'!S36</f>
        <v>1516</v>
      </c>
      <c r="T33" s="80">
        <f>'CBR Hist'!T36</f>
        <v>1383</v>
      </c>
      <c r="U33" s="698">
        <v>1454</v>
      </c>
      <c r="V33" s="162">
        <v>1406</v>
      </c>
    </row>
    <row r="34" spans="1:22">
      <c r="A34" s="41">
        <v>19</v>
      </c>
      <c r="B34" s="29" t="s">
        <v>52</v>
      </c>
      <c r="F34" s="80">
        <f>'CBR Hist'!F37</f>
        <v>1071</v>
      </c>
      <c r="G34" s="80">
        <f>'CBR Hist'!G37</f>
        <v>734</v>
      </c>
      <c r="H34" s="80">
        <f>'CBR Hist'!H37</f>
        <v>628</v>
      </c>
      <c r="I34" s="80">
        <f>'CBR Hist'!I37</f>
        <v>734</v>
      </c>
      <c r="J34" s="80">
        <f>'CBR Hist'!J37</f>
        <v>686</v>
      </c>
      <c r="K34" s="80">
        <f>'CBR Hist'!K37</f>
        <v>430</v>
      </c>
      <c r="L34" s="80">
        <f>'CBR Hist'!L37</f>
        <v>657</v>
      </c>
      <c r="M34" s="80">
        <f>'CBR Hist'!M37</f>
        <v>682</v>
      </c>
      <c r="N34" s="80">
        <f>'CBR Hist'!N37</f>
        <v>571</v>
      </c>
      <c r="O34" s="80">
        <f>'CBR Hist'!O37</f>
        <v>660</v>
      </c>
      <c r="P34" s="80">
        <f>'CBR Hist'!P37</f>
        <v>176</v>
      </c>
      <c r="Q34" s="80">
        <f>'CBR Hist'!Q37</f>
        <v>4</v>
      </c>
      <c r="R34" s="80">
        <f>'CBR Hist'!R37</f>
        <v>5</v>
      </c>
      <c r="S34" s="80">
        <f>'CBR Hist'!S37</f>
        <v>5</v>
      </c>
      <c r="T34" s="80">
        <f>'CBR Hist'!T37</f>
        <v>0</v>
      </c>
      <c r="U34" s="698">
        <v>0</v>
      </c>
      <c r="V34" s="162">
        <v>0</v>
      </c>
    </row>
    <row r="35" spans="1:22" ht="6.75" customHeight="1">
      <c r="A35" s="41"/>
      <c r="F35" s="33"/>
      <c r="G35" s="33"/>
      <c r="H35" s="33"/>
      <c r="I35" s="33"/>
      <c r="J35" s="33"/>
      <c r="K35" s="33"/>
      <c r="L35" s="33"/>
      <c r="M35" s="33"/>
      <c r="N35" s="33"/>
      <c r="O35" s="33"/>
      <c r="P35" s="33"/>
      <c r="Q35" s="33"/>
      <c r="R35" s="33"/>
      <c r="S35" s="33"/>
      <c r="T35" s="33"/>
      <c r="U35" s="700"/>
    </row>
    <row r="36" spans="1:22">
      <c r="A36" s="41"/>
      <c r="B36" s="29" t="s">
        <v>51</v>
      </c>
      <c r="F36" s="33"/>
      <c r="G36" s="33"/>
      <c r="H36" s="33"/>
      <c r="I36" s="33"/>
      <c r="J36" s="33"/>
      <c r="K36" s="33"/>
      <c r="L36" s="33"/>
      <c r="M36" s="33"/>
      <c r="N36" s="33"/>
      <c r="O36" s="33"/>
      <c r="P36" s="33"/>
      <c r="Q36" s="33"/>
      <c r="R36" s="33"/>
      <c r="S36" s="33"/>
      <c r="T36" s="33"/>
      <c r="U36" s="700"/>
    </row>
    <row r="37" spans="1:22">
      <c r="A37" s="41">
        <v>20</v>
      </c>
      <c r="C37" s="29" t="s">
        <v>50</v>
      </c>
      <c r="F37" s="80">
        <f>'CBR Hist'!F40</f>
        <v>30350</v>
      </c>
      <c r="G37" s="80">
        <f>'CBR Hist'!G40</f>
        <v>25102</v>
      </c>
      <c r="H37" s="80">
        <f>'CBR Hist'!H40</f>
        <v>30304</v>
      </c>
      <c r="I37" s="80">
        <f>'CBR Hist'!I40</f>
        <v>30153</v>
      </c>
      <c r="J37" s="80">
        <f>'CBR Hist'!J40</f>
        <v>31927</v>
      </c>
      <c r="K37" s="80">
        <f>'CBR Hist'!K40</f>
        <v>33143</v>
      </c>
      <c r="L37" s="80">
        <f>'CBR Hist'!L40</f>
        <v>33148</v>
      </c>
      <c r="M37" s="80">
        <f>'CBR Hist'!M40</f>
        <v>35844</v>
      </c>
      <c r="N37" s="80">
        <f>'CBR Hist'!N40</f>
        <v>35982</v>
      </c>
      <c r="O37" s="80">
        <f>'CBR Hist'!O40</f>
        <v>38461</v>
      </c>
      <c r="P37" s="80">
        <f>'CBR Hist'!P40</f>
        <v>44662</v>
      </c>
      <c r="Q37" s="80">
        <f>'CBR Hist'!Q40</f>
        <v>44779.252</v>
      </c>
      <c r="R37" s="80">
        <f>'CBR Hist'!R40</f>
        <v>49333.396000000001</v>
      </c>
      <c r="S37" s="80">
        <f>'CBR Hist'!S40</f>
        <v>43310</v>
      </c>
      <c r="T37" s="80">
        <f>'CBR Hist'!T40</f>
        <v>46210</v>
      </c>
      <c r="U37" s="698">
        <v>49942</v>
      </c>
      <c r="V37" s="162">
        <v>48989</v>
      </c>
    </row>
    <row r="38" spans="1:22">
      <c r="A38" s="41">
        <v>21</v>
      </c>
      <c r="C38" s="29" t="s">
        <v>88</v>
      </c>
      <c r="F38" s="80">
        <f>'CBR Hist'!F41</f>
        <v>3998</v>
      </c>
      <c r="G38" s="80">
        <f>'CBR Hist'!G41</f>
        <v>4414</v>
      </c>
      <c r="H38" s="80">
        <f>'CBR Hist'!H41</f>
        <v>6606</v>
      </c>
      <c r="I38" s="80">
        <f>'CBR Hist'!I41</f>
        <v>6659</v>
      </c>
      <c r="J38" s="80">
        <f>'CBR Hist'!J41</f>
        <v>6072</v>
      </c>
      <c r="K38" s="80">
        <f>'CBR Hist'!K41</f>
        <v>6537</v>
      </c>
      <c r="L38" s="80">
        <f>'CBR Hist'!L41</f>
        <v>6459</v>
      </c>
      <c r="M38" s="80">
        <f>'CBR Hist'!M41</f>
        <v>6739</v>
      </c>
      <c r="N38" s="80">
        <f>'CBR Hist'!N41</f>
        <v>7187</v>
      </c>
      <c r="O38" s="80">
        <f>'CBR Hist'!O41</f>
        <v>7688</v>
      </c>
      <c r="P38" s="80">
        <f>'CBR Hist'!P41</f>
        <v>9277</v>
      </c>
      <c r="Q38" s="80">
        <f>'CBR Hist'!Q41</f>
        <v>10906</v>
      </c>
      <c r="R38" s="80">
        <f>'CBR Hist'!R41</f>
        <v>12517</v>
      </c>
      <c r="S38" s="80">
        <f>'CBR Hist'!S41</f>
        <v>14721</v>
      </c>
      <c r="T38" s="80">
        <f>'CBR Hist'!T41</f>
        <v>16947</v>
      </c>
      <c r="U38" s="698">
        <v>21503</v>
      </c>
      <c r="V38" s="162">
        <v>23877</v>
      </c>
    </row>
    <row r="39" spans="1:22">
      <c r="A39" s="41">
        <v>22</v>
      </c>
      <c r="C39" s="29" t="s">
        <v>49</v>
      </c>
      <c r="F39" s="80">
        <f>'CBR Hist'!F42</f>
        <v>5</v>
      </c>
      <c r="G39" s="80">
        <f>'CBR Hist'!G42</f>
        <v>2</v>
      </c>
      <c r="H39" s="80">
        <f>'CBR Hist'!H42</f>
        <v>1</v>
      </c>
      <c r="I39" s="80">
        <f>'CBR Hist'!I42</f>
        <v>2</v>
      </c>
      <c r="J39" s="80">
        <f>'CBR Hist'!J42</f>
        <v>3</v>
      </c>
      <c r="K39" s="80">
        <f>'CBR Hist'!K42</f>
        <v>-4</v>
      </c>
      <c r="L39" s="80">
        <f>'CBR Hist'!L42</f>
        <v>0</v>
      </c>
      <c r="M39" s="80">
        <f>'CBR Hist'!M42</f>
        <v>-9</v>
      </c>
      <c r="N39" s="80">
        <f>'CBR Hist'!N42</f>
        <v>-3</v>
      </c>
      <c r="O39" s="80">
        <f>'CBR Hist'!O42</f>
        <v>-3</v>
      </c>
      <c r="P39" s="80">
        <f>'CBR Hist'!P42</f>
        <v>2</v>
      </c>
      <c r="Q39" s="80">
        <f>'CBR Hist'!Q42</f>
        <v>0</v>
      </c>
      <c r="R39" s="80">
        <f>'CBR Hist'!R42</f>
        <v>-4</v>
      </c>
      <c r="S39" s="80">
        <f>'CBR Hist'!S42</f>
        <v>0</v>
      </c>
      <c r="T39" s="80">
        <f>'CBR Hist'!T42</f>
        <v>0</v>
      </c>
      <c r="U39" s="698">
        <v>0</v>
      </c>
      <c r="V39" s="691">
        <v>0</v>
      </c>
    </row>
    <row r="40" spans="1:22">
      <c r="A40" s="41">
        <v>23</v>
      </c>
      <c r="B40" s="29" t="s">
        <v>48</v>
      </c>
      <c r="F40" s="170">
        <f>SUM(F37:F39)</f>
        <v>34353</v>
      </c>
      <c r="G40" s="170">
        <f t="shared" ref="G40:R40" si="8">SUM(G37:G39)</f>
        <v>29518</v>
      </c>
      <c r="H40" s="170">
        <f t="shared" si="8"/>
        <v>36911</v>
      </c>
      <c r="I40" s="170">
        <f t="shared" si="8"/>
        <v>36814</v>
      </c>
      <c r="J40" s="170">
        <f t="shared" si="8"/>
        <v>38002</v>
      </c>
      <c r="K40" s="170">
        <f t="shared" si="8"/>
        <v>39676</v>
      </c>
      <c r="L40" s="170">
        <f t="shared" si="8"/>
        <v>39607</v>
      </c>
      <c r="M40" s="170">
        <f t="shared" si="8"/>
        <v>42574</v>
      </c>
      <c r="N40" s="170">
        <f t="shared" si="8"/>
        <v>43166</v>
      </c>
      <c r="O40" s="170">
        <f t="shared" si="8"/>
        <v>46146</v>
      </c>
      <c r="P40" s="170">
        <f t="shared" si="8"/>
        <v>53941</v>
      </c>
      <c r="Q40" s="170">
        <f t="shared" si="8"/>
        <v>55685.252</v>
      </c>
      <c r="R40" s="170">
        <f t="shared" si="8"/>
        <v>61846.396000000001</v>
      </c>
      <c r="S40" s="170">
        <f t="shared" ref="S40:T40" si="9">SUM(S37:S39)</f>
        <v>58031</v>
      </c>
      <c r="T40" s="170">
        <f t="shared" si="9"/>
        <v>63157</v>
      </c>
      <c r="U40" s="701">
        <v>71445</v>
      </c>
      <c r="V40" s="170">
        <f t="shared" ref="V40" si="10">SUM(V37:V39)</f>
        <v>72866</v>
      </c>
    </row>
    <row r="41" spans="1:22">
      <c r="A41" s="41">
        <v>24</v>
      </c>
      <c r="B41" s="29" t="s">
        <v>47</v>
      </c>
      <c r="F41" s="170">
        <f>F24+F30+F32+F33+F34+F40</f>
        <v>343205</v>
      </c>
      <c r="G41" s="170">
        <f t="shared" ref="G41:R41" si="11">G24+G30+G32+G33+G34+G40</f>
        <v>270636</v>
      </c>
      <c r="H41" s="170">
        <f t="shared" si="11"/>
        <v>260183</v>
      </c>
      <c r="I41" s="170">
        <f t="shared" si="11"/>
        <v>288832</v>
      </c>
      <c r="J41" s="170">
        <f t="shared" si="11"/>
        <v>268539</v>
      </c>
      <c r="K41" s="170">
        <f t="shared" si="11"/>
        <v>278171</v>
      </c>
      <c r="L41" s="170">
        <f t="shared" si="11"/>
        <v>309354</v>
      </c>
      <c r="M41" s="170">
        <f t="shared" si="11"/>
        <v>298938</v>
      </c>
      <c r="N41" s="170">
        <f t="shared" si="11"/>
        <v>334636</v>
      </c>
      <c r="O41" s="170">
        <f t="shared" si="11"/>
        <v>347796</v>
      </c>
      <c r="P41" s="170">
        <f t="shared" si="11"/>
        <v>461966</v>
      </c>
      <c r="Q41" s="170">
        <f t="shared" si="11"/>
        <v>421218.95358799997</v>
      </c>
      <c r="R41" s="170">
        <f t="shared" si="11"/>
        <v>417744.18730200001</v>
      </c>
      <c r="S41" s="170">
        <f t="shared" ref="S41:T41" si="12">S24+S30+S32+S33+S34+S40</f>
        <v>435640</v>
      </c>
      <c r="T41" s="170">
        <f t="shared" si="12"/>
        <v>428214</v>
      </c>
      <c r="U41" s="701">
        <v>432791</v>
      </c>
      <c r="V41" s="170">
        <f t="shared" ref="V41" si="13">V24+V30+V32+V33+V34+V40</f>
        <v>425029</v>
      </c>
    </row>
    <row r="42" spans="1:22" ht="6.75" customHeight="1">
      <c r="A42" s="41"/>
      <c r="F42" s="75"/>
      <c r="G42" s="75"/>
      <c r="H42" s="75"/>
      <c r="I42" s="75"/>
      <c r="J42" s="75"/>
      <c r="K42" s="75"/>
      <c r="L42" s="75"/>
      <c r="M42" s="75"/>
      <c r="N42" s="75"/>
      <c r="O42" s="75"/>
      <c r="P42" s="75"/>
      <c r="Q42" s="75"/>
      <c r="R42" s="75"/>
      <c r="S42" s="75"/>
      <c r="T42" s="75"/>
      <c r="U42" s="703"/>
    </row>
    <row r="43" spans="1:22">
      <c r="A43" s="41">
        <v>25</v>
      </c>
      <c r="B43" s="29" t="s">
        <v>46</v>
      </c>
      <c r="F43" s="170">
        <f>F15-F41</f>
        <v>50049</v>
      </c>
      <c r="G43" s="170">
        <f t="shared" ref="G43:R43" si="14">G15-G41</f>
        <v>93786</v>
      </c>
      <c r="H43" s="170">
        <f t="shared" si="14"/>
        <v>78118</v>
      </c>
      <c r="I43" s="170">
        <f t="shared" si="14"/>
        <v>87772</v>
      </c>
      <c r="J43" s="170">
        <f t="shared" si="14"/>
        <v>66659</v>
      </c>
      <c r="K43" s="170">
        <f t="shared" si="14"/>
        <v>66735</v>
      </c>
      <c r="L43" s="170">
        <f t="shared" si="14"/>
        <v>58866</v>
      </c>
      <c r="M43" s="170">
        <f t="shared" si="14"/>
        <v>73260</v>
      </c>
      <c r="N43" s="170">
        <f t="shared" si="14"/>
        <v>89384</v>
      </c>
      <c r="O43" s="170">
        <f t="shared" si="14"/>
        <v>96579.549100000004</v>
      </c>
      <c r="P43" s="170">
        <f t="shared" si="14"/>
        <v>99828.970363199944</v>
      </c>
      <c r="Q43" s="170">
        <f t="shared" si="14"/>
        <v>97708.046412000025</v>
      </c>
      <c r="R43" s="170">
        <f t="shared" si="14"/>
        <v>109975.81269799999</v>
      </c>
      <c r="S43" s="170">
        <f t="shared" ref="S43:V43" si="15">S15-S41</f>
        <v>122007</v>
      </c>
      <c r="T43" s="170">
        <f t="shared" si="15"/>
        <v>139241</v>
      </c>
      <c r="U43" s="701">
        <v>131791</v>
      </c>
      <c r="V43" s="170">
        <f t="shared" si="15"/>
        <v>143494</v>
      </c>
    </row>
    <row r="44" spans="1:22" ht="6.75" customHeight="1">
      <c r="A44" s="41"/>
      <c r="F44" s="33"/>
      <c r="G44" s="33"/>
      <c r="H44" s="33"/>
      <c r="I44" s="33"/>
      <c r="J44" s="33"/>
      <c r="K44" s="33"/>
      <c r="L44" s="33"/>
      <c r="M44" s="33"/>
      <c r="N44" s="33"/>
      <c r="O44" s="33"/>
      <c r="P44" s="33"/>
      <c r="Q44" s="33"/>
      <c r="R44" s="33"/>
      <c r="S44" s="33"/>
      <c r="T44" s="33"/>
      <c r="U44" s="700"/>
    </row>
    <row r="45" spans="1:22">
      <c r="A45" s="41"/>
      <c r="B45" s="29" t="s">
        <v>45</v>
      </c>
      <c r="F45" s="33"/>
      <c r="G45" s="33"/>
      <c r="H45" s="33"/>
      <c r="I45" s="33"/>
      <c r="J45" s="33"/>
      <c r="K45" s="33"/>
      <c r="L45" s="33"/>
      <c r="M45" s="33"/>
      <c r="N45" s="33"/>
      <c r="O45" s="33"/>
      <c r="P45" s="33"/>
      <c r="Q45" s="33"/>
      <c r="R45" s="33"/>
      <c r="S45" s="33"/>
      <c r="T45" s="33"/>
      <c r="U45" s="700"/>
    </row>
    <row r="46" spans="1:22">
      <c r="A46" s="41">
        <v>26</v>
      </c>
      <c r="B46" s="29" t="s">
        <v>89</v>
      </c>
      <c r="F46" s="80">
        <f>'CBR Hist'!F49</f>
        <v>13500</v>
      </c>
      <c r="G46" s="80">
        <f>'CBR Hist'!G49</f>
        <v>7802.6454399910144</v>
      </c>
      <c r="H46" s="80">
        <f>'CBR Hist'!H49</f>
        <v>12532.4934614427</v>
      </c>
      <c r="I46" s="80">
        <f>'CBR Hist'!I49</f>
        <v>18199.38094551977</v>
      </c>
      <c r="J46" s="80">
        <f>'CBR Hist'!J49</f>
        <v>10602.745932108257</v>
      </c>
      <c r="K46" s="80">
        <f>'CBR Hist'!K49</f>
        <v>6760.4768703774607</v>
      </c>
      <c r="L46" s="80">
        <f>'CBR Hist'!L49</f>
        <v>3583.5198936206907</v>
      </c>
      <c r="M46" s="80">
        <f>'CBR Hist'!M49</f>
        <v>5069.5165750000015</v>
      </c>
      <c r="N46" s="80">
        <f>'CBR Hist'!N49</f>
        <v>-6217.1202000000012</v>
      </c>
      <c r="O46" s="80">
        <f>'CBR Hist'!O49</f>
        <v>-1846</v>
      </c>
      <c r="P46" s="80">
        <f>'CBR Hist'!P49</f>
        <v>9263</v>
      </c>
      <c r="Q46" s="80">
        <f>'CBR Hist'!Q49</f>
        <v>6568.9074099999998</v>
      </c>
      <c r="R46" s="80">
        <f>'CBR Hist'!R49</f>
        <v>11499.260571799998</v>
      </c>
      <c r="S46" s="80">
        <f>'CBR Hist'!S49</f>
        <v>19267</v>
      </c>
      <c r="T46" s="80">
        <f>'CBR Hist'!T49</f>
        <v>-7683</v>
      </c>
      <c r="U46" s="698">
        <v>4968</v>
      </c>
      <c r="V46" s="162">
        <v>-29081</v>
      </c>
    </row>
    <row r="47" spans="1:22">
      <c r="A47" s="41">
        <v>27</v>
      </c>
      <c r="B47" s="29" t="s">
        <v>90</v>
      </c>
      <c r="F47" s="80">
        <f>'CBR Hist'!F50</f>
        <v>0</v>
      </c>
      <c r="G47" s="80">
        <f>'CBR Hist'!G50</f>
        <v>0</v>
      </c>
      <c r="H47" s="80">
        <f>'CBR Hist'!H50</f>
        <v>0</v>
      </c>
      <c r="I47" s="80">
        <f>'CBR Hist'!I50</f>
        <v>0</v>
      </c>
      <c r="J47" s="80">
        <f>'CBR Hist'!J50</f>
        <v>0</v>
      </c>
      <c r="K47" s="80">
        <f>'CBR Hist'!K50</f>
        <v>0</v>
      </c>
      <c r="L47" s="80">
        <f>'CBR Hist'!L50</f>
        <v>0</v>
      </c>
      <c r="M47" s="80">
        <f>'CBR Hist'!M50</f>
        <v>0</v>
      </c>
      <c r="N47" s="80">
        <f>'CBR Hist'!N50</f>
        <v>0</v>
      </c>
      <c r="O47" s="80">
        <f>'CBR Hist'!O50</f>
        <v>0</v>
      </c>
      <c r="P47" s="80">
        <f>'CBR Hist'!P50</f>
        <v>0</v>
      </c>
      <c r="Q47" s="80">
        <f>'CBR Hist'!Q50</f>
        <v>206.8288</v>
      </c>
      <c r="R47" s="80">
        <f>'CBR Hist'!R50</f>
        <v>70.410550000000001</v>
      </c>
      <c r="S47" s="80">
        <f>'CBR Hist'!S50</f>
        <v>1</v>
      </c>
      <c r="T47" s="80">
        <f>'CBR Hist'!T50</f>
        <v>-136</v>
      </c>
      <c r="U47" s="698">
        <v>1</v>
      </c>
      <c r="V47" s="162">
        <v>21</v>
      </c>
    </row>
    <row r="48" spans="1:22">
      <c r="A48" s="41">
        <v>28</v>
      </c>
      <c r="B48" s="29" t="s">
        <v>44</v>
      </c>
      <c r="F48" s="80">
        <f>'CBR Hist'!F51</f>
        <v>3549</v>
      </c>
      <c r="G48" s="80">
        <f>'CBR Hist'!G51</f>
        <v>16107</v>
      </c>
      <c r="H48" s="80">
        <f>'CBR Hist'!H51</f>
        <v>3470</v>
      </c>
      <c r="I48" s="80">
        <f>'CBR Hist'!I51</f>
        <v>1284</v>
      </c>
      <c r="J48" s="80">
        <f>'CBR Hist'!J51</f>
        <v>608</v>
      </c>
      <c r="K48" s="80">
        <f>'CBR Hist'!K51</f>
        <v>3867</v>
      </c>
      <c r="L48" s="80">
        <f>'CBR Hist'!L51</f>
        <v>3975</v>
      </c>
      <c r="M48" s="80">
        <f>'CBR Hist'!M51</f>
        <v>6497</v>
      </c>
      <c r="N48" s="80">
        <f>'CBR Hist'!N51</f>
        <v>26634</v>
      </c>
      <c r="O48" s="80">
        <f>'CBR Hist'!O51</f>
        <v>23983</v>
      </c>
      <c r="P48" s="80">
        <f>'CBR Hist'!P51</f>
        <v>13823</v>
      </c>
      <c r="Q48" s="80">
        <f>'CBR Hist'!Q51</f>
        <v>16402</v>
      </c>
      <c r="R48" s="80">
        <f>'CBR Hist'!R51</f>
        <v>15684</v>
      </c>
      <c r="S48" s="80">
        <f>'CBR Hist'!S51</f>
        <v>10613</v>
      </c>
      <c r="T48" s="80">
        <f>'CBR Hist'!T51</f>
        <v>46085</v>
      </c>
      <c r="U48" s="698">
        <v>29492</v>
      </c>
      <c r="V48" s="162">
        <v>67191</v>
      </c>
    </row>
    <row r="49" spans="1:22">
      <c r="A49" s="41">
        <v>29</v>
      </c>
      <c r="B49" s="29" t="s">
        <v>43</v>
      </c>
      <c r="F49" s="80">
        <f>'CBR Hist'!F52</f>
        <v>0</v>
      </c>
      <c r="G49" s="80">
        <f>'CBR Hist'!G52</f>
        <v>0</v>
      </c>
      <c r="H49" s="80">
        <f>'CBR Hist'!H52</f>
        <v>0</v>
      </c>
      <c r="I49" s="80">
        <f>'CBR Hist'!I52</f>
        <v>0</v>
      </c>
      <c r="J49" s="80">
        <f>'CBR Hist'!J52</f>
        <v>0</v>
      </c>
      <c r="K49" s="80">
        <f>'CBR Hist'!K52</f>
        <v>0</v>
      </c>
      <c r="L49" s="80">
        <f>'CBR Hist'!L52</f>
        <v>0</v>
      </c>
      <c r="M49" s="80">
        <f>'CBR Hist'!M52</f>
        <v>0</v>
      </c>
      <c r="N49" s="80">
        <f>'CBR Hist'!N52</f>
        <v>0</v>
      </c>
      <c r="O49" s="80">
        <f>'CBR Hist'!O52</f>
        <v>-58</v>
      </c>
      <c r="P49" s="80">
        <f>'CBR Hist'!P52</f>
        <v>-83</v>
      </c>
      <c r="Q49" s="80">
        <f>'CBR Hist'!Q52</f>
        <v>-99</v>
      </c>
      <c r="R49" s="80">
        <f>'CBR Hist'!R52</f>
        <v>-128</v>
      </c>
      <c r="S49" s="80">
        <f>'CBR Hist'!S52</f>
        <v>-130</v>
      </c>
      <c r="T49" s="80">
        <f>'CBR Hist'!T52</f>
        <v>-128</v>
      </c>
      <c r="U49" s="698">
        <v>-469</v>
      </c>
      <c r="V49" s="162">
        <v>-326</v>
      </c>
    </row>
    <row r="50" spans="1:22" s="79" customFormat="1">
      <c r="A50" s="41">
        <v>30</v>
      </c>
      <c r="B50" s="79" t="s">
        <v>137</v>
      </c>
      <c r="F50" s="80">
        <f>'CBR Hist'!F53</f>
        <v>5683</v>
      </c>
      <c r="G50" s="80">
        <f>'CBR Hist'!G53</f>
        <v>5369</v>
      </c>
      <c r="H50" s="80">
        <f>'CBR Hist'!H53</f>
        <v>0</v>
      </c>
      <c r="I50" s="80">
        <f>'CBR Hist'!I53</f>
        <v>0</v>
      </c>
      <c r="J50" s="80">
        <f>'CBR Hist'!J53</f>
        <v>0</v>
      </c>
      <c r="K50" s="80">
        <f>'CBR Hist'!K53</f>
        <v>0</v>
      </c>
      <c r="L50" s="80">
        <f>'CBR Hist'!L53</f>
        <v>0</v>
      </c>
      <c r="M50" s="80">
        <f>'CBR Hist'!M53</f>
        <v>0</v>
      </c>
      <c r="N50" s="80">
        <f>'CBR Hist'!N53</f>
        <v>0</v>
      </c>
      <c r="O50" s="80">
        <f>'CBR Hist'!O53</f>
        <v>0</v>
      </c>
      <c r="P50" s="80">
        <f>'CBR Hist'!P53</f>
        <v>0</v>
      </c>
      <c r="Q50" s="80">
        <f>'CBR Hist'!Q53</f>
        <v>0</v>
      </c>
      <c r="R50" s="80">
        <f>'CBR Hist'!R53</f>
        <v>0</v>
      </c>
      <c r="S50" s="80">
        <f>'CBR Hist'!S53</f>
        <v>0</v>
      </c>
      <c r="T50" s="80">
        <f>T79*'2) ROR'!F11*-0.35</f>
        <v>-101.73548</v>
      </c>
      <c r="U50" s="698">
        <v>0</v>
      </c>
    </row>
    <row r="51" spans="1:22" ht="12.75" thickBot="1">
      <c r="A51" s="41">
        <v>31</v>
      </c>
      <c r="B51" s="29" t="s">
        <v>42</v>
      </c>
      <c r="F51" s="171">
        <f>F43-SUM(F46:F50)</f>
        <v>27317</v>
      </c>
      <c r="G51" s="171">
        <f t="shared" ref="G51:R51" si="16">G43-SUM(G46:G50)</f>
        <v>64507.354560008986</v>
      </c>
      <c r="H51" s="171">
        <f t="shared" si="16"/>
        <v>62115.506538557296</v>
      </c>
      <c r="I51" s="171">
        <f t="shared" si="16"/>
        <v>68288.619054480223</v>
      </c>
      <c r="J51" s="171">
        <f t="shared" si="16"/>
        <v>55448.254067891743</v>
      </c>
      <c r="K51" s="171">
        <f t="shared" si="16"/>
        <v>56107.523129622539</v>
      </c>
      <c r="L51" s="171">
        <f t="shared" si="16"/>
        <v>51307.480106379313</v>
      </c>
      <c r="M51" s="171">
        <f t="shared" si="16"/>
        <v>61693.483424999999</v>
      </c>
      <c r="N51" s="171">
        <f t="shared" si="16"/>
        <v>68967.120200000005</v>
      </c>
      <c r="O51" s="171">
        <f t="shared" si="16"/>
        <v>74500.549100000004</v>
      </c>
      <c r="P51" s="171">
        <f t="shared" si="16"/>
        <v>76825.970363199944</v>
      </c>
      <c r="Q51" s="171">
        <f t="shared" si="16"/>
        <v>74629.310202000022</v>
      </c>
      <c r="R51" s="171">
        <f t="shared" si="16"/>
        <v>82850.141576199996</v>
      </c>
      <c r="S51" s="171">
        <f t="shared" ref="S51:V51" si="17">S43-SUM(S46:S50)</f>
        <v>92256</v>
      </c>
      <c r="T51" s="171">
        <f t="shared" si="17"/>
        <v>101204.73548</v>
      </c>
      <c r="U51" s="704">
        <v>97799</v>
      </c>
      <c r="V51" s="171">
        <f t="shared" si="17"/>
        <v>105689</v>
      </c>
    </row>
    <row r="52" spans="1:22" ht="12.75" thickTop="1">
      <c r="A52" s="41"/>
      <c r="F52" s="205"/>
      <c r="G52" s="205"/>
      <c r="H52" s="205"/>
      <c r="I52" s="205"/>
      <c r="J52" s="205"/>
      <c r="K52" s="205"/>
      <c r="L52" s="205"/>
      <c r="M52" s="205"/>
      <c r="N52" s="205"/>
      <c r="O52" s="205"/>
      <c r="P52" s="205"/>
      <c r="Q52" s="205"/>
      <c r="R52" s="205"/>
      <c r="S52" s="63"/>
      <c r="T52" s="63"/>
      <c r="U52" s="694"/>
    </row>
    <row r="53" spans="1:22">
      <c r="A53" s="41"/>
      <c r="C53" s="207" t="s">
        <v>290</v>
      </c>
      <c r="F53" s="78"/>
      <c r="G53" s="78"/>
      <c r="H53" s="78"/>
      <c r="I53" s="78"/>
      <c r="J53" s="78"/>
      <c r="K53" s="78"/>
      <c r="L53" s="78"/>
      <c r="M53" s="78"/>
      <c r="N53" s="78"/>
      <c r="O53" s="78"/>
      <c r="P53" s="78"/>
      <c r="Q53" s="78"/>
      <c r="R53" s="78"/>
      <c r="S53" s="63"/>
      <c r="T53" s="63"/>
      <c r="U53" s="694"/>
    </row>
    <row r="54" spans="1:22" ht="13.5" customHeight="1">
      <c r="A54" s="783"/>
      <c r="B54" s="783"/>
      <c r="C54" s="783"/>
      <c r="D54" s="783"/>
      <c r="E54" s="783"/>
      <c r="F54" s="783"/>
      <c r="G54" s="783"/>
      <c r="H54" s="783"/>
      <c r="I54" s="783"/>
      <c r="J54" s="783"/>
      <c r="K54" s="783"/>
      <c r="L54" s="783"/>
      <c r="M54" s="783"/>
      <c r="N54" s="783"/>
      <c r="O54" s="783"/>
      <c r="P54" s="783"/>
      <c r="Q54" s="783"/>
      <c r="R54" s="783"/>
      <c r="U54" s="705"/>
    </row>
    <row r="55" spans="1:22" ht="15.75">
      <c r="A55" s="202" t="str">
        <f>A4</f>
        <v xml:space="preserve">AVISTA UTILITIES  </v>
      </c>
      <c r="E55" s="784" t="str">
        <f>E4</f>
        <v>Commission Basis Results of Operations</v>
      </c>
      <c r="F55" s="784"/>
      <c r="G55" s="784"/>
      <c r="H55" s="784"/>
      <c r="I55" s="784"/>
      <c r="J55" s="784"/>
      <c r="K55" s="784"/>
      <c r="L55" s="784"/>
      <c r="M55" s="784"/>
      <c r="N55" s="784"/>
      <c r="O55" s="784"/>
      <c r="P55" s="784"/>
      <c r="Q55" s="784"/>
      <c r="R55" s="784"/>
      <c r="S55" s="63"/>
      <c r="T55" s="63"/>
      <c r="U55" s="694"/>
    </row>
    <row r="56" spans="1:22">
      <c r="A56" s="202"/>
      <c r="G56" s="78"/>
      <c r="H56" s="78"/>
      <c r="I56" s="78"/>
      <c r="J56" s="78"/>
      <c r="K56" s="78"/>
      <c r="L56" s="78"/>
      <c r="M56" s="78"/>
      <c r="N56" s="78"/>
      <c r="O56" s="78"/>
      <c r="P56" s="78"/>
      <c r="Q56" s="78"/>
      <c r="R56" s="78"/>
      <c r="S56" s="63"/>
      <c r="T56" s="63"/>
      <c r="U56" s="694"/>
    </row>
    <row r="57" spans="1:22" ht="6" customHeight="1">
      <c r="A57" s="202"/>
      <c r="G57" s="78"/>
      <c r="H57" s="78"/>
      <c r="I57" s="78"/>
      <c r="J57" s="78"/>
      <c r="K57" s="78"/>
      <c r="L57" s="78"/>
      <c r="M57" s="78"/>
      <c r="N57" s="78"/>
      <c r="O57" s="78"/>
      <c r="P57" s="78"/>
      <c r="Q57" s="78"/>
      <c r="R57" s="78"/>
      <c r="S57" s="63"/>
      <c r="T57" s="63"/>
      <c r="U57" s="694"/>
    </row>
    <row r="58" spans="1:22" ht="12.75">
      <c r="A58" s="202" t="str">
        <f>A7</f>
        <v xml:space="preserve">(000'S OF DOLLARS)  </v>
      </c>
      <c r="F58" s="78"/>
      <c r="G58" s="78"/>
      <c r="H58" s="78"/>
      <c r="I58" s="78"/>
      <c r="J58" s="78"/>
      <c r="K58" s="78"/>
      <c r="L58" s="78"/>
      <c r="M58" s="78"/>
      <c r="N58" s="78"/>
      <c r="O58" s="78"/>
      <c r="P58" s="78"/>
      <c r="Q58" s="78"/>
      <c r="R58" s="78"/>
      <c r="S58" s="63"/>
      <c r="T58" s="311"/>
      <c r="U58" s="706"/>
    </row>
    <row r="59" spans="1:22">
      <c r="A59" s="41" t="s">
        <v>2</v>
      </c>
      <c r="F59" s="78">
        <f>F8</f>
        <v>2000</v>
      </c>
      <c r="G59" s="78">
        <f t="shared" ref="G59:R59" si="18">G8</f>
        <v>2001</v>
      </c>
      <c r="H59" s="78">
        <f t="shared" si="18"/>
        <v>2002</v>
      </c>
      <c r="I59" s="78">
        <f t="shared" si="18"/>
        <v>2003</v>
      </c>
      <c r="J59" s="78">
        <f t="shared" si="18"/>
        <v>2004</v>
      </c>
      <c r="K59" s="78">
        <f t="shared" si="18"/>
        <v>2005</v>
      </c>
      <c r="L59" s="78">
        <f t="shared" si="18"/>
        <v>2006</v>
      </c>
      <c r="M59" s="78">
        <f t="shared" si="18"/>
        <v>2007</v>
      </c>
      <c r="N59" s="78">
        <f t="shared" si="18"/>
        <v>2008</v>
      </c>
      <c r="O59" s="78">
        <f t="shared" si="18"/>
        <v>2009</v>
      </c>
      <c r="P59" s="78">
        <f t="shared" si="18"/>
        <v>2010</v>
      </c>
      <c r="Q59" s="78">
        <f t="shared" si="18"/>
        <v>2011</v>
      </c>
      <c r="R59" s="78">
        <f t="shared" si="18"/>
        <v>2012</v>
      </c>
      <c r="S59" s="78">
        <f t="shared" ref="S59:T59" si="19">S8</f>
        <v>2013</v>
      </c>
      <c r="T59" s="78">
        <f t="shared" si="19"/>
        <v>2014</v>
      </c>
      <c r="U59" s="695">
        <v>12.201499999999999</v>
      </c>
    </row>
    <row r="60" spans="1:22">
      <c r="A60" s="41" t="s">
        <v>286</v>
      </c>
      <c r="B60" s="29" t="s">
        <v>41</v>
      </c>
      <c r="G60" s="30"/>
      <c r="H60" s="30"/>
      <c r="I60" s="30"/>
      <c r="J60" s="30"/>
      <c r="L60" s="30"/>
      <c r="M60" s="30"/>
      <c r="N60" s="30"/>
      <c r="O60" s="30"/>
      <c r="P60" s="30"/>
      <c r="Q60" s="30"/>
      <c r="R60" s="30"/>
      <c r="U60" s="705"/>
    </row>
    <row r="61" spans="1:22">
      <c r="A61" s="41"/>
      <c r="B61" s="29" t="s">
        <v>40</v>
      </c>
      <c r="G61" s="30"/>
      <c r="H61" s="30"/>
      <c r="I61" s="30"/>
      <c r="J61" s="30"/>
      <c r="L61" s="30"/>
      <c r="M61" s="30"/>
      <c r="N61" s="30"/>
      <c r="O61" s="30"/>
      <c r="P61" s="30"/>
      <c r="Q61" s="30"/>
      <c r="R61" s="30"/>
      <c r="U61" s="705"/>
    </row>
    <row r="62" spans="1:22">
      <c r="A62" s="41">
        <v>32</v>
      </c>
      <c r="C62" s="29" t="s">
        <v>39</v>
      </c>
      <c r="F62" s="81">
        <f>'Reg Amorts'!E53</f>
        <v>15127</v>
      </c>
      <c r="G62" s="81">
        <f>'Reg Amorts'!F53</f>
        <v>16340</v>
      </c>
      <c r="H62" s="81">
        <f>'Reg Amorts'!G53</f>
        <v>20910</v>
      </c>
      <c r="I62" s="81">
        <f>'Reg Amorts'!H53</f>
        <v>21299</v>
      </c>
      <c r="J62" s="81">
        <f>'Reg Amorts'!I53</f>
        <v>21374</v>
      </c>
      <c r="K62" s="81">
        <f>'Reg Amorts'!J53</f>
        <v>22459</v>
      </c>
      <c r="L62" s="81">
        <f>'Reg Amorts'!K53</f>
        <v>23458</v>
      </c>
      <c r="M62" s="81">
        <f>'Reg Amorts'!L53</f>
        <v>20632</v>
      </c>
      <c r="N62" s="81">
        <f>'Reg Amorts'!M53</f>
        <v>23321</v>
      </c>
      <c r="O62" s="81">
        <f>'Reg Amorts'!N53</f>
        <v>57116</v>
      </c>
      <c r="P62" s="81">
        <f>'Reg Amorts'!O53</f>
        <v>81955</v>
      </c>
      <c r="Q62" s="81">
        <f>'Reg Amorts'!P53</f>
        <v>84081</v>
      </c>
      <c r="R62" s="81">
        <f>'Reg Amorts'!Q53</f>
        <v>85247</v>
      </c>
      <c r="S62" s="81">
        <f>'Reg Amorts'!R53</f>
        <v>91466</v>
      </c>
      <c r="T62" s="81">
        <f>'Reg Amorts'!S53</f>
        <v>102620</v>
      </c>
      <c r="U62" s="697">
        <v>144970</v>
      </c>
      <c r="V62" s="269">
        <v>156057</v>
      </c>
    </row>
    <row r="63" spans="1:22">
      <c r="A63" s="41">
        <v>33</v>
      </c>
      <c r="C63" s="29" t="s">
        <v>38</v>
      </c>
      <c r="F63" s="80">
        <f>'Reg Amorts'!E54-'Reg Amorts'!E104</f>
        <v>455498</v>
      </c>
      <c r="G63" s="80">
        <f>'Reg Amorts'!F54-'Reg Amorts'!F104</f>
        <v>460292</v>
      </c>
      <c r="H63" s="80">
        <f>'Reg Amorts'!G54-'Reg Amorts'!G104</f>
        <v>545002</v>
      </c>
      <c r="I63" s="80">
        <f>'Reg Amorts'!H54-'Reg Amorts'!H104</f>
        <v>556067</v>
      </c>
      <c r="J63" s="80">
        <f>'Reg Amorts'!I54-'Reg Amorts'!I104</f>
        <v>598268</v>
      </c>
      <c r="K63" s="80">
        <f>'Reg Amorts'!J54-'Reg Amorts'!J104</f>
        <v>615624</v>
      </c>
      <c r="L63" s="80">
        <f>'Reg Amorts'!K54-'Reg Amorts'!K104</f>
        <v>649965</v>
      </c>
      <c r="M63" s="80">
        <f>'Reg Amorts'!L54-'Reg Amorts'!L104</f>
        <v>645576</v>
      </c>
      <c r="N63" s="80">
        <f>'Reg Amorts'!M54-'Reg Amorts'!M104</f>
        <v>657099</v>
      </c>
      <c r="O63" s="80">
        <f>'Reg Amorts'!N54-'Reg Amorts'!N104</f>
        <v>677646</v>
      </c>
      <c r="P63" s="80">
        <f>'Reg Amorts'!O54-'Reg Amorts'!O104</f>
        <v>692689</v>
      </c>
      <c r="Q63" s="80">
        <f>'Reg Amorts'!P54</f>
        <v>706894</v>
      </c>
      <c r="R63" s="80">
        <f>'Reg Amorts'!Q54</f>
        <v>717448</v>
      </c>
      <c r="S63" s="80">
        <f>'Reg Amorts'!R54</f>
        <v>738315</v>
      </c>
      <c r="T63" s="80">
        <f>'Reg Amorts'!S54</f>
        <v>746101</v>
      </c>
      <c r="U63" s="698">
        <v>779441</v>
      </c>
      <c r="V63" s="162">
        <v>832833</v>
      </c>
    </row>
    <row r="64" spans="1:22">
      <c r="A64" s="41">
        <v>34</v>
      </c>
      <c r="C64" s="29" t="s">
        <v>37</v>
      </c>
      <c r="F64" s="80">
        <f>'Reg Amorts'!E55</f>
        <v>181627</v>
      </c>
      <c r="G64" s="80">
        <f>'Reg Amorts'!F55</f>
        <v>191517</v>
      </c>
      <c r="H64" s="80">
        <f>'Reg Amorts'!G55</f>
        <v>186550</v>
      </c>
      <c r="I64" s="80">
        <f>'Reg Amorts'!H55</f>
        <v>196937</v>
      </c>
      <c r="J64" s="80">
        <f>'Reg Amorts'!I55</f>
        <v>213539</v>
      </c>
      <c r="K64" s="80">
        <f>'Reg Amorts'!J55</f>
        <v>224696</v>
      </c>
      <c r="L64" s="80">
        <f>'Reg Amorts'!K55</f>
        <v>244435</v>
      </c>
      <c r="M64" s="80">
        <f>'Reg Amorts'!L55</f>
        <v>259532</v>
      </c>
      <c r="N64" s="80">
        <f>'Reg Amorts'!M55</f>
        <v>289302</v>
      </c>
      <c r="O64" s="80">
        <f>'Reg Amorts'!N55</f>
        <v>301090</v>
      </c>
      <c r="P64" s="80">
        <f>'Reg Amorts'!O55</f>
        <v>312505</v>
      </c>
      <c r="Q64" s="80">
        <f>'Reg Amorts'!P55</f>
        <v>328012</v>
      </c>
      <c r="R64" s="80">
        <f>'Reg Amorts'!Q55</f>
        <v>342382</v>
      </c>
      <c r="S64" s="80">
        <f>'Reg Amorts'!R55</f>
        <v>359941</v>
      </c>
      <c r="T64" s="80">
        <f>'Reg Amorts'!S55</f>
        <v>371971</v>
      </c>
      <c r="U64" s="698">
        <v>401700</v>
      </c>
      <c r="V64" s="162">
        <v>430613</v>
      </c>
    </row>
    <row r="65" spans="1:22">
      <c r="A65" s="41">
        <v>35</v>
      </c>
      <c r="C65" s="29" t="s">
        <v>36</v>
      </c>
      <c r="F65" s="80">
        <f>'Reg Amorts'!E56-'Reg Amorts'!E105</f>
        <v>398952</v>
      </c>
      <c r="G65" s="80">
        <f>'Reg Amorts'!F56-'Reg Amorts'!F105</f>
        <v>416914</v>
      </c>
      <c r="H65" s="80">
        <f>'Reg Amorts'!G56-'Reg Amorts'!G105</f>
        <v>429987</v>
      </c>
      <c r="I65" s="80">
        <f>'Reg Amorts'!H56-'Reg Amorts'!H105</f>
        <v>443649</v>
      </c>
      <c r="J65" s="80">
        <f>'Reg Amorts'!I56-'Reg Amorts'!I105</f>
        <v>459739</v>
      </c>
      <c r="K65" s="80">
        <f>'Reg Amorts'!J56-'Reg Amorts'!J105</f>
        <v>480886</v>
      </c>
      <c r="L65" s="80">
        <f>'Reg Amorts'!K56-'Reg Amorts'!K105</f>
        <v>502838</v>
      </c>
      <c r="M65" s="80">
        <f>'Reg Amorts'!L56-'Reg Amorts'!L105</f>
        <v>529067</v>
      </c>
      <c r="N65" s="80">
        <f>'Reg Amorts'!M56-'Reg Amorts'!M105</f>
        <v>561248</v>
      </c>
      <c r="O65" s="80">
        <f>'Reg Amorts'!N56-'Reg Amorts'!N105</f>
        <v>602201</v>
      </c>
      <c r="P65" s="80">
        <f>'Reg Amorts'!O56-'Reg Amorts'!O105</f>
        <v>642143</v>
      </c>
      <c r="Q65" s="80">
        <f>'Reg Amorts'!P56</f>
        <v>696082</v>
      </c>
      <c r="R65" s="80">
        <f>'Reg Amorts'!Q56</f>
        <v>743732</v>
      </c>
      <c r="S65" s="80">
        <f>'Reg Amorts'!R56</f>
        <v>796640</v>
      </c>
      <c r="T65" s="80">
        <f>'Reg Amorts'!S56</f>
        <v>842795</v>
      </c>
      <c r="U65" s="698">
        <v>895055</v>
      </c>
      <c r="V65" s="162">
        <v>970455</v>
      </c>
    </row>
    <row r="66" spans="1:22">
      <c r="A66" s="41">
        <v>36</v>
      </c>
      <c r="C66" s="29" t="s">
        <v>35</v>
      </c>
      <c r="F66" s="80">
        <f>'Reg Amorts'!E57</f>
        <v>58402</v>
      </c>
      <c r="G66" s="80">
        <f>'Reg Amorts'!F57</f>
        <v>59846</v>
      </c>
      <c r="H66" s="80">
        <f>'Reg Amorts'!G57</f>
        <v>59771</v>
      </c>
      <c r="I66" s="80">
        <f>'Reg Amorts'!H57</f>
        <v>60444</v>
      </c>
      <c r="J66" s="80">
        <f>'Reg Amorts'!I57</f>
        <v>63155</v>
      </c>
      <c r="K66" s="80">
        <f>'Reg Amorts'!J57</f>
        <v>65299</v>
      </c>
      <c r="L66" s="80">
        <f>'Reg Amorts'!K57</f>
        <v>80110</v>
      </c>
      <c r="M66" s="80">
        <f>'Reg Amorts'!L57</f>
        <v>81368</v>
      </c>
      <c r="N66" s="80">
        <f>'Reg Amorts'!M57</f>
        <v>91205</v>
      </c>
      <c r="O66" s="80">
        <f>'Reg Amorts'!N57</f>
        <v>98727</v>
      </c>
      <c r="P66" s="80">
        <f>'Reg Amorts'!O57</f>
        <v>120996</v>
      </c>
      <c r="Q66" s="80">
        <f>'Reg Amorts'!P57</f>
        <v>140218</v>
      </c>
      <c r="R66" s="80">
        <f>'Reg Amorts'!Q57</f>
        <v>155104</v>
      </c>
      <c r="S66" s="80">
        <f>'Reg Amorts'!R57</f>
        <v>179134</v>
      </c>
      <c r="T66" s="80">
        <f>'Reg Amorts'!S57</f>
        <v>196867</v>
      </c>
      <c r="U66" s="698">
        <v>212726</v>
      </c>
      <c r="V66" s="691">
        <v>233266</v>
      </c>
    </row>
    <row r="67" spans="1:22">
      <c r="A67" s="41">
        <v>37</v>
      </c>
      <c r="B67" s="29" t="s">
        <v>34</v>
      </c>
      <c r="F67" s="170">
        <f>SUM(F62:F66)</f>
        <v>1109606</v>
      </c>
      <c r="G67" s="170">
        <f t="shared" ref="G67:R67" si="20">SUM(G62:G66)</f>
        <v>1144909</v>
      </c>
      <c r="H67" s="170">
        <f t="shared" si="20"/>
        <v>1242220</v>
      </c>
      <c r="I67" s="170">
        <f t="shared" si="20"/>
        <v>1278396</v>
      </c>
      <c r="J67" s="170">
        <f t="shared" si="20"/>
        <v>1356075</v>
      </c>
      <c r="K67" s="170">
        <f t="shared" si="20"/>
        <v>1408964</v>
      </c>
      <c r="L67" s="170">
        <f t="shared" si="20"/>
        <v>1500806</v>
      </c>
      <c r="M67" s="170">
        <f t="shared" si="20"/>
        <v>1536175</v>
      </c>
      <c r="N67" s="170">
        <f t="shared" si="20"/>
        <v>1622175</v>
      </c>
      <c r="O67" s="170">
        <f t="shared" si="20"/>
        <v>1736780</v>
      </c>
      <c r="P67" s="170">
        <f t="shared" si="20"/>
        <v>1850288</v>
      </c>
      <c r="Q67" s="170">
        <f t="shared" si="20"/>
        <v>1955287</v>
      </c>
      <c r="R67" s="170">
        <f t="shared" si="20"/>
        <v>2043913</v>
      </c>
      <c r="S67" s="170">
        <f t="shared" ref="S67:V67" si="21">SUM(S62:S66)</f>
        <v>2165496</v>
      </c>
      <c r="T67" s="170">
        <f t="shared" si="21"/>
        <v>2260354</v>
      </c>
      <c r="U67" s="701">
        <v>2433892</v>
      </c>
      <c r="V67" s="170">
        <f t="shared" si="21"/>
        <v>2623224</v>
      </c>
    </row>
    <row r="68" spans="1:22">
      <c r="A68" s="41"/>
      <c r="B68" s="29" t="s">
        <v>91</v>
      </c>
      <c r="G68" s="30"/>
      <c r="H68" s="30"/>
      <c r="I68" s="30"/>
      <c r="J68" s="30"/>
      <c r="L68" s="30"/>
      <c r="M68" s="30"/>
      <c r="N68" s="30"/>
      <c r="O68" s="30"/>
      <c r="P68" s="30"/>
      <c r="Q68" s="30"/>
      <c r="R68" s="30"/>
      <c r="U68" s="705"/>
    </row>
    <row r="69" spans="1:22">
      <c r="A69" s="41">
        <v>38</v>
      </c>
      <c r="C69" s="29" t="s">
        <v>39</v>
      </c>
      <c r="F69" s="82" t="s">
        <v>120</v>
      </c>
      <c r="G69" s="82" t="s">
        <v>120</v>
      </c>
      <c r="H69" s="82" t="s">
        <v>120</v>
      </c>
      <c r="I69" s="82" t="s">
        <v>120</v>
      </c>
      <c r="J69" s="82" t="s">
        <v>120</v>
      </c>
      <c r="K69" s="82" t="s">
        <v>120</v>
      </c>
      <c r="L69" s="82" t="s">
        <v>120</v>
      </c>
      <c r="M69" s="82" t="s">
        <v>120</v>
      </c>
      <c r="N69" s="82" t="s">
        <v>120</v>
      </c>
      <c r="O69" s="82" t="s">
        <v>120</v>
      </c>
      <c r="P69" s="82" t="s">
        <v>120</v>
      </c>
      <c r="Q69" s="80">
        <f>'Reg Amorts'!P60</f>
        <v>3744</v>
      </c>
      <c r="R69" s="80">
        <f>'Reg Amorts'!Q60</f>
        <v>4369</v>
      </c>
      <c r="S69" s="80">
        <f>'Reg Amorts'!R60</f>
        <v>17667</v>
      </c>
      <c r="T69" s="80">
        <f>'Reg Amorts'!S60</f>
        <v>20242</v>
      </c>
      <c r="U69" s="698">
        <v>24943</v>
      </c>
      <c r="V69" s="167">
        <v>30914</v>
      </c>
    </row>
    <row r="70" spans="1:22" ht="12.75" customHeight="1">
      <c r="A70" s="41">
        <v>39</v>
      </c>
      <c r="C70" s="29" t="s">
        <v>38</v>
      </c>
      <c r="F70" s="82" t="s">
        <v>120</v>
      </c>
      <c r="G70" s="82" t="s">
        <v>120</v>
      </c>
      <c r="H70" s="82" t="s">
        <v>120</v>
      </c>
      <c r="I70" s="82" t="s">
        <v>120</v>
      </c>
      <c r="J70" s="82" t="s">
        <v>120</v>
      </c>
      <c r="K70" s="82" t="s">
        <v>120</v>
      </c>
      <c r="L70" s="82" t="s">
        <v>120</v>
      </c>
      <c r="M70" s="82" t="s">
        <v>120</v>
      </c>
      <c r="N70" s="82" t="s">
        <v>120</v>
      </c>
      <c r="O70" s="82" t="s">
        <v>120</v>
      </c>
      <c r="P70" s="82" t="s">
        <v>120</v>
      </c>
      <c r="Q70" s="80">
        <f>'Reg Amorts'!P61</f>
        <v>286300</v>
      </c>
      <c r="R70" s="80">
        <f>'Reg Amorts'!Q61</f>
        <v>300170</v>
      </c>
      <c r="S70" s="80">
        <f>'Reg Amorts'!R61</f>
        <v>314599</v>
      </c>
      <c r="T70" s="80">
        <f>'Reg Amorts'!S61</f>
        <v>325531</v>
      </c>
      <c r="U70" s="698">
        <v>342899</v>
      </c>
      <c r="V70" s="167">
        <v>351625</v>
      </c>
    </row>
    <row r="71" spans="1:22" ht="12.75" customHeight="1">
      <c r="A71" s="41">
        <v>40</v>
      </c>
      <c r="C71" s="29" t="s">
        <v>37</v>
      </c>
      <c r="F71" s="82" t="s">
        <v>120</v>
      </c>
      <c r="G71" s="82" t="s">
        <v>120</v>
      </c>
      <c r="H71" s="82" t="s">
        <v>120</v>
      </c>
      <c r="I71" s="82" t="s">
        <v>120</v>
      </c>
      <c r="J71" s="82" t="s">
        <v>120</v>
      </c>
      <c r="K71" s="82" t="s">
        <v>120</v>
      </c>
      <c r="L71" s="82" t="s">
        <v>120</v>
      </c>
      <c r="M71" s="82" t="s">
        <v>120</v>
      </c>
      <c r="N71" s="82" t="s">
        <v>120</v>
      </c>
      <c r="O71" s="82" t="s">
        <v>120</v>
      </c>
      <c r="P71" s="82" t="s">
        <v>120</v>
      </c>
      <c r="Q71" s="80">
        <f>'Reg Amorts'!P62</f>
        <v>111144</v>
      </c>
      <c r="R71" s="80">
        <f>'Reg Amorts'!Q62</f>
        <v>116316</v>
      </c>
      <c r="S71" s="80">
        <f>'Reg Amorts'!R62</f>
        <v>122308</v>
      </c>
      <c r="T71" s="80">
        <f>'Reg Amorts'!S62</f>
        <v>123869</v>
      </c>
      <c r="U71" s="698">
        <v>129936</v>
      </c>
      <c r="V71" s="167">
        <v>135624</v>
      </c>
    </row>
    <row r="72" spans="1:22" ht="12.75" customHeight="1">
      <c r="A72" s="41">
        <v>41</v>
      </c>
      <c r="C72" s="29" t="s">
        <v>36</v>
      </c>
      <c r="F72" s="82" t="s">
        <v>120</v>
      </c>
      <c r="G72" s="82" t="s">
        <v>120</v>
      </c>
      <c r="H72" s="82" t="s">
        <v>120</v>
      </c>
      <c r="I72" s="82" t="s">
        <v>120</v>
      </c>
      <c r="J72" s="82" t="s">
        <v>120</v>
      </c>
      <c r="K72" s="82" t="s">
        <v>120</v>
      </c>
      <c r="L72" s="82" t="s">
        <v>120</v>
      </c>
      <c r="M72" s="82" t="s">
        <v>120</v>
      </c>
      <c r="N72" s="82" t="s">
        <v>120</v>
      </c>
      <c r="O72" s="82" t="s">
        <v>120</v>
      </c>
      <c r="P72" s="82" t="s">
        <v>120</v>
      </c>
      <c r="Q72" s="80">
        <f>'Reg Amorts'!P63</f>
        <v>209101</v>
      </c>
      <c r="R72" s="80">
        <f>'Reg Amorts'!Q63</f>
        <v>221408</v>
      </c>
      <c r="S72" s="80">
        <f>'Reg Amorts'!R63</f>
        <v>236201</v>
      </c>
      <c r="T72" s="80">
        <f>'Reg Amorts'!S63</f>
        <v>252722</v>
      </c>
      <c r="U72" s="698">
        <v>273578</v>
      </c>
      <c r="V72" s="167">
        <v>295383</v>
      </c>
    </row>
    <row r="73" spans="1:22" ht="12.75" customHeight="1">
      <c r="A73" s="41">
        <v>42</v>
      </c>
      <c r="C73" s="29" t="s">
        <v>35</v>
      </c>
      <c r="F73" s="82" t="s">
        <v>120</v>
      </c>
      <c r="G73" s="82" t="s">
        <v>120</v>
      </c>
      <c r="H73" s="82" t="s">
        <v>120</v>
      </c>
      <c r="I73" s="82" t="s">
        <v>120</v>
      </c>
      <c r="J73" s="82" t="s">
        <v>120</v>
      </c>
      <c r="K73" s="82" t="s">
        <v>120</v>
      </c>
      <c r="L73" s="82" t="s">
        <v>120</v>
      </c>
      <c r="M73" s="425" t="s">
        <v>120</v>
      </c>
      <c r="N73" s="425" t="s">
        <v>120</v>
      </c>
      <c r="O73" s="425" t="s">
        <v>120</v>
      </c>
      <c r="P73" s="425" t="s">
        <v>120</v>
      </c>
      <c r="Q73" s="426">
        <f>'Reg Amorts'!P64</f>
        <v>56694</v>
      </c>
      <c r="R73" s="426">
        <f>'Reg Amorts'!Q64</f>
        <v>61871</v>
      </c>
      <c r="S73" s="426">
        <f>'Reg Amorts'!R64</f>
        <v>58357</v>
      </c>
      <c r="T73" s="426">
        <f>'Reg Amorts'!S64</f>
        <v>65720</v>
      </c>
      <c r="U73" s="707">
        <v>73050</v>
      </c>
      <c r="V73" s="693">
        <v>80093</v>
      </c>
    </row>
    <row r="74" spans="1:22" ht="12.75" customHeight="1">
      <c r="A74" s="41">
        <v>43</v>
      </c>
      <c r="B74" s="29" t="s">
        <v>92</v>
      </c>
      <c r="F74" s="80">
        <f>'Reg Amorts'!E65--'Reg Amorts'!E106</f>
        <v>354682</v>
      </c>
      <c r="G74" s="80">
        <f>'Reg Amorts'!F65--'Reg Amorts'!F106</f>
        <v>373090</v>
      </c>
      <c r="H74" s="80">
        <f>'Reg Amorts'!G65--'Reg Amorts'!G106</f>
        <v>391351</v>
      </c>
      <c r="I74" s="80">
        <f>'Reg Amorts'!H65--'Reg Amorts'!H106</f>
        <v>422390</v>
      </c>
      <c r="J74" s="80">
        <f>'Reg Amorts'!I65--'Reg Amorts'!I106</f>
        <v>447359</v>
      </c>
      <c r="K74" s="80">
        <f>'Reg Amorts'!J65--'Reg Amorts'!J106</f>
        <v>474906</v>
      </c>
      <c r="L74" s="80">
        <f>'Reg Amorts'!K65--'Reg Amorts'!K106</f>
        <v>506599</v>
      </c>
      <c r="M74" s="80">
        <f>'Reg Amorts'!L65--'Reg Amorts'!L106</f>
        <v>526307</v>
      </c>
      <c r="N74" s="80">
        <f>'Reg Amorts'!M65--'Reg Amorts'!M106</f>
        <v>557426</v>
      </c>
      <c r="O74" s="80">
        <f>'Reg Amorts'!N65--'Reg Amorts'!N106</f>
        <v>585821</v>
      </c>
      <c r="P74" s="80">
        <f>'Reg Amorts'!O65--'Reg Amorts'!O106</f>
        <v>629399</v>
      </c>
      <c r="Q74" s="80">
        <f>SUM(Q69:Q73)</f>
        <v>666983</v>
      </c>
      <c r="R74" s="80">
        <f>SUM(R69:R73)</f>
        <v>704134</v>
      </c>
      <c r="S74" s="80">
        <f>SUM(S69:S73)</f>
        <v>749132</v>
      </c>
      <c r="T74" s="80">
        <f>SUM(T69:T73)</f>
        <v>788084</v>
      </c>
      <c r="U74" s="698">
        <v>844406</v>
      </c>
      <c r="V74" s="80">
        <f>SUM(V69:V73)</f>
        <v>893639</v>
      </c>
    </row>
    <row r="75" spans="1:22" ht="12.75" customHeight="1">
      <c r="A75" s="41">
        <v>44</v>
      </c>
      <c r="B75" s="29" t="s">
        <v>93</v>
      </c>
      <c r="F75" s="169">
        <f t="shared" ref="F75:R75" si="22">F67-F74</f>
        <v>754924</v>
      </c>
      <c r="G75" s="169">
        <f t="shared" si="22"/>
        <v>771819</v>
      </c>
      <c r="H75" s="169">
        <f t="shared" si="22"/>
        <v>850869</v>
      </c>
      <c r="I75" s="169">
        <f t="shared" si="22"/>
        <v>856006</v>
      </c>
      <c r="J75" s="169">
        <f t="shared" si="22"/>
        <v>908716</v>
      </c>
      <c r="K75" s="169">
        <f t="shared" si="22"/>
        <v>934058</v>
      </c>
      <c r="L75" s="169">
        <f t="shared" si="22"/>
        <v>994207</v>
      </c>
      <c r="M75" s="169">
        <f t="shared" si="22"/>
        <v>1009868</v>
      </c>
      <c r="N75" s="169">
        <f t="shared" si="22"/>
        <v>1064749</v>
      </c>
      <c r="O75" s="169">
        <f t="shared" si="22"/>
        <v>1150959</v>
      </c>
      <c r="P75" s="169">
        <f t="shared" si="22"/>
        <v>1220889</v>
      </c>
      <c r="Q75" s="169">
        <f>Q67-Q74</f>
        <v>1288304</v>
      </c>
      <c r="R75" s="169">
        <f t="shared" si="22"/>
        <v>1339779</v>
      </c>
      <c r="S75" s="169">
        <f t="shared" ref="S75:T75" si="23">S67-S74</f>
        <v>1416364</v>
      </c>
      <c r="T75" s="169">
        <f t="shared" si="23"/>
        <v>1472270</v>
      </c>
      <c r="U75" s="699">
        <v>1589486</v>
      </c>
      <c r="V75" s="169">
        <f t="shared" ref="V75" si="24">V67-V74</f>
        <v>1729585</v>
      </c>
    </row>
    <row r="76" spans="1:22">
      <c r="A76" s="41"/>
      <c r="F76" s="80"/>
      <c r="G76" s="80"/>
      <c r="H76" s="80"/>
      <c r="I76" s="80"/>
      <c r="J76" s="80"/>
      <c r="K76" s="80"/>
      <c r="L76" s="80"/>
      <c r="M76" s="80"/>
      <c r="N76" s="80"/>
      <c r="O76" s="80"/>
      <c r="P76" s="80"/>
      <c r="Q76" s="80"/>
      <c r="R76" s="80"/>
      <c r="S76" s="80"/>
      <c r="T76" s="80"/>
      <c r="U76" s="698"/>
    </row>
    <row r="77" spans="1:22">
      <c r="A77" s="41">
        <v>45</v>
      </c>
      <c r="B77" s="29" t="s">
        <v>32</v>
      </c>
      <c r="F77" s="33">
        <f>'Reg Amorts'!E68-'Reg Amorts'!E107</f>
        <v>-105775</v>
      </c>
      <c r="G77" s="33">
        <f>'Reg Amorts'!F68-'Reg Amorts'!F107</f>
        <v>-109541</v>
      </c>
      <c r="H77" s="33">
        <f>'Reg Amorts'!G68-'Reg Amorts'!G107</f>
        <v>-111367</v>
      </c>
      <c r="I77" s="33">
        <f>'Reg Amorts'!H68-'Reg Amorts'!H107</f>
        <v>-135404</v>
      </c>
      <c r="J77" s="33">
        <f>'Reg Amorts'!I68-'Reg Amorts'!I107</f>
        <v>-150960</v>
      </c>
      <c r="K77" s="33">
        <f>'Reg Amorts'!J68-'Reg Amorts'!J107</f>
        <v>-134967</v>
      </c>
      <c r="L77" s="33">
        <f>'Reg Amorts'!K68-'Reg Amorts'!K107</f>
        <v>-138495</v>
      </c>
      <c r="M77" s="33">
        <f>'Reg Amorts'!L68-'Reg Amorts'!L107</f>
        <v>-139033</v>
      </c>
      <c r="N77" s="33">
        <f>'Reg Amorts'!M68-'Reg Amorts'!M107</f>
        <v>-147502</v>
      </c>
      <c r="O77" s="33">
        <f>'Reg Amorts'!N68-'Reg Amorts'!N107</f>
        <v>-163716</v>
      </c>
      <c r="P77" s="33">
        <f>'Reg Amorts'!O68-'Reg Amorts'!O107</f>
        <v>-184825</v>
      </c>
      <c r="Q77" s="33">
        <f>'Reg Amorts'!P68</f>
        <v>-201163</v>
      </c>
      <c r="R77" s="33">
        <f>'Reg Amorts'!Q68</f>
        <v>-208209</v>
      </c>
      <c r="S77" s="33">
        <f>'Reg Amorts'!R68</f>
        <v>-221354</v>
      </c>
      <c r="T77" s="33">
        <f>'Reg Amorts'!S68</f>
        <v>-257766</v>
      </c>
      <c r="U77" s="700">
        <v>-317860</v>
      </c>
      <c r="V77" s="162">
        <v>-353900</v>
      </c>
    </row>
    <row r="78" spans="1:22">
      <c r="A78" s="41">
        <v>46</v>
      </c>
      <c r="C78" s="123" t="s">
        <v>132</v>
      </c>
      <c r="D78" s="123"/>
      <c r="E78" s="123"/>
      <c r="F78" s="172">
        <f t="shared" ref="F78:P78" si="25">F75+F77</f>
        <v>649149</v>
      </c>
      <c r="G78" s="172">
        <f t="shared" si="25"/>
        <v>662278</v>
      </c>
      <c r="H78" s="172">
        <f t="shared" si="25"/>
        <v>739502</v>
      </c>
      <c r="I78" s="172">
        <f t="shared" si="25"/>
        <v>720602</v>
      </c>
      <c r="J78" s="172">
        <f t="shared" si="25"/>
        <v>757756</v>
      </c>
      <c r="K78" s="172">
        <f t="shared" si="25"/>
        <v>799091</v>
      </c>
      <c r="L78" s="172">
        <f t="shared" si="25"/>
        <v>855712</v>
      </c>
      <c r="M78" s="172">
        <f t="shared" si="25"/>
        <v>870835</v>
      </c>
      <c r="N78" s="172">
        <f t="shared" si="25"/>
        <v>917247</v>
      </c>
      <c r="O78" s="172">
        <f t="shared" si="25"/>
        <v>987243</v>
      </c>
      <c r="P78" s="172">
        <f t="shared" si="25"/>
        <v>1036064</v>
      </c>
      <c r="Q78" s="172">
        <f>Q75+Q77</f>
        <v>1087141</v>
      </c>
      <c r="R78" s="172">
        <f>R75+R77</f>
        <v>1131570</v>
      </c>
      <c r="S78" s="172">
        <f>S75+S77</f>
        <v>1195010</v>
      </c>
      <c r="T78" s="172">
        <f>T75+T77</f>
        <v>1214504</v>
      </c>
      <c r="U78" s="708">
        <v>1271626</v>
      </c>
    </row>
    <row r="79" spans="1:22">
      <c r="A79" s="41">
        <v>47</v>
      </c>
      <c r="B79" s="29" t="s">
        <v>95</v>
      </c>
      <c r="F79" s="80">
        <f>'Reg Amorts'!E103</f>
        <v>-80657</v>
      </c>
      <c r="G79" s="80">
        <f>'Reg Amorts'!F103</f>
        <v>-64763</v>
      </c>
      <c r="H79" s="80">
        <f>'Reg Amorts'!G103</f>
        <v>22356</v>
      </c>
      <c r="I79" s="80">
        <f>'Reg Amorts'!H103</f>
        <v>21841</v>
      </c>
      <c r="J79" s="80">
        <f>'Reg Amorts'!I103</f>
        <v>20255</v>
      </c>
      <c r="K79" s="80">
        <f>'Reg Amorts'!J103</f>
        <v>20751</v>
      </c>
      <c r="L79" s="80">
        <f>'Reg Amorts'!K103</f>
        <v>18799</v>
      </c>
      <c r="M79" s="80">
        <f>'Reg Amorts'!L103</f>
        <v>21020</v>
      </c>
      <c r="N79" s="80">
        <f>'Reg Amorts'!M103</f>
        <v>19593</v>
      </c>
      <c r="O79" s="80">
        <f>'Reg Amorts'!N103</f>
        <v>17776</v>
      </c>
      <c r="P79" s="80">
        <f>'Reg Amorts'!O103</f>
        <v>17776</v>
      </c>
      <c r="Q79" s="80">
        <f>'Reg Amorts'!P103</f>
        <v>18845</v>
      </c>
      <c r="R79" s="80">
        <f>'Reg Amorts'!Q103</f>
        <v>16438</v>
      </c>
      <c r="S79" s="80">
        <f>'Reg Amorts'!R103</f>
        <v>14761</v>
      </c>
      <c r="T79" s="80">
        <f>'Reg Amorts'!S103</f>
        <v>10846</v>
      </c>
      <c r="U79" s="698">
        <v>7458</v>
      </c>
      <c r="V79" s="162">
        <v>4567</v>
      </c>
    </row>
    <row r="80" spans="1:22">
      <c r="A80" s="41">
        <v>48</v>
      </c>
      <c r="B80" s="29" t="s">
        <v>33</v>
      </c>
      <c r="F80" s="80">
        <f>'Reg Amorts'!E71</f>
        <v>0</v>
      </c>
      <c r="G80" s="80">
        <f>'Reg Amorts'!F71</f>
        <v>0</v>
      </c>
      <c r="H80" s="80">
        <f>'Reg Amorts'!G71</f>
        <v>0</v>
      </c>
      <c r="I80" s="80">
        <f>'Reg Amorts'!H71</f>
        <v>0</v>
      </c>
      <c r="J80" s="80">
        <f>'Reg Amorts'!I71</f>
        <v>0</v>
      </c>
      <c r="K80" s="80">
        <f>'Reg Amorts'!J71</f>
        <v>0</v>
      </c>
      <c r="L80" s="80">
        <f>'Reg Amorts'!K71</f>
        <v>0</v>
      </c>
      <c r="M80" s="80">
        <f>'Reg Amorts'!L71</f>
        <v>0</v>
      </c>
      <c r="N80" s="80">
        <f>'Reg Amorts'!M71</f>
        <v>0</v>
      </c>
      <c r="O80" s="80">
        <f>'Reg Amorts'!N71</f>
        <v>0</v>
      </c>
      <c r="P80" s="80">
        <f>'Reg Amorts'!O71</f>
        <v>18188</v>
      </c>
      <c r="Q80" s="80">
        <f>'Reg Amorts'!P71+'Reg Amorts'!P111</f>
        <v>31877</v>
      </c>
      <c r="R80" s="80">
        <f>'Reg Amorts'!Q71</f>
        <v>10967</v>
      </c>
      <c r="S80" s="80">
        <f>'Reg Amorts'!R71</f>
        <v>16281</v>
      </c>
      <c r="T80" s="80">
        <f>'Reg Amorts'!S71</f>
        <v>47807</v>
      </c>
      <c r="U80" s="698">
        <v>59722</v>
      </c>
      <c r="V80" s="162">
        <v>62474</v>
      </c>
    </row>
    <row r="81" spans="1:22" ht="6.75" customHeight="1">
      <c r="A81" s="41"/>
      <c r="G81" s="30"/>
      <c r="H81" s="30"/>
      <c r="I81" s="30"/>
      <c r="J81" s="30"/>
      <c r="L81" s="30"/>
      <c r="M81" s="30"/>
      <c r="N81" s="30"/>
      <c r="O81" s="30"/>
      <c r="P81" s="30"/>
      <c r="Q81" s="80"/>
      <c r="R81" s="80"/>
      <c r="S81" s="80"/>
      <c r="T81" s="80"/>
      <c r="U81" s="698"/>
    </row>
    <row r="82" spans="1:22" ht="12.75" thickBot="1">
      <c r="A82" s="41">
        <v>49</v>
      </c>
      <c r="B82" s="29" t="s">
        <v>31</v>
      </c>
      <c r="F82" s="171">
        <f>'CBR Hist'!F78</f>
        <v>568492</v>
      </c>
      <c r="G82" s="171">
        <f>'CBR Hist'!G78</f>
        <v>597515</v>
      </c>
      <c r="H82" s="171">
        <f>'CBR Hist'!H78</f>
        <v>761858</v>
      </c>
      <c r="I82" s="171">
        <f>'CBR Hist'!I78</f>
        <v>742443</v>
      </c>
      <c r="J82" s="171">
        <f>'CBR Hist'!J78</f>
        <v>778011</v>
      </c>
      <c r="K82" s="171">
        <f>'CBR Hist'!K78</f>
        <v>819842</v>
      </c>
      <c r="L82" s="171">
        <f>'CBR Hist'!L78</f>
        <v>874511</v>
      </c>
      <c r="M82" s="171">
        <f>'CBR Hist'!M78</f>
        <v>891855</v>
      </c>
      <c r="N82" s="171">
        <f>'CBR Hist'!N78</f>
        <v>936840</v>
      </c>
      <c r="O82" s="171">
        <f>'CBR Hist'!O78</f>
        <v>1005019</v>
      </c>
      <c r="P82" s="171">
        <f>'CBR Hist'!P78</f>
        <v>1072028</v>
      </c>
      <c r="Q82" s="171">
        <f>'CBR Hist'!Q78</f>
        <v>1137863</v>
      </c>
      <c r="R82" s="171">
        <f>'CBR Hist'!R78</f>
        <v>1158975</v>
      </c>
      <c r="S82" s="171">
        <f>'CBR Hist'!S78</f>
        <v>1226052</v>
      </c>
      <c r="T82" s="171">
        <f>'CBR Hist'!T78</f>
        <v>1273157</v>
      </c>
      <c r="U82" s="704">
        <v>1338806</v>
      </c>
      <c r="V82" s="168">
        <v>1442726</v>
      </c>
    </row>
    <row r="83" spans="1:22" ht="12.75" thickTop="1">
      <c r="A83" s="41"/>
      <c r="F83" s="205">
        <f>F78+F79+F80-F82</f>
        <v>0</v>
      </c>
      <c r="G83" s="205">
        <f t="shared" ref="G83:P83" si="26">G78+G79+G80-G82</f>
        <v>0</v>
      </c>
      <c r="H83" s="205">
        <f t="shared" si="26"/>
        <v>0</v>
      </c>
      <c r="I83" s="205">
        <f t="shared" si="26"/>
        <v>0</v>
      </c>
      <c r="J83" s="205">
        <f t="shared" si="26"/>
        <v>0</v>
      </c>
      <c r="K83" s="205">
        <f t="shared" si="26"/>
        <v>0</v>
      </c>
      <c r="L83" s="205">
        <f t="shared" si="26"/>
        <v>0</v>
      </c>
      <c r="M83" s="205">
        <f t="shared" si="26"/>
        <v>0</v>
      </c>
      <c r="N83" s="205">
        <f t="shared" si="26"/>
        <v>0</v>
      </c>
      <c r="O83" s="205">
        <f t="shared" si="26"/>
        <v>0</v>
      </c>
      <c r="P83" s="205">
        <f t="shared" si="26"/>
        <v>0</v>
      </c>
      <c r="Q83" s="205">
        <f>Q78+Q79+Q80-Q82</f>
        <v>0</v>
      </c>
      <c r="R83" s="205">
        <f t="shared" ref="R83:S83" si="27">R78+R79+R80-R82</f>
        <v>0</v>
      </c>
      <c r="S83" s="205">
        <f t="shared" si="27"/>
        <v>0</v>
      </c>
      <c r="T83" s="205">
        <f>T78+T79+T80-T82</f>
        <v>0</v>
      </c>
      <c r="U83" s="709">
        <v>0</v>
      </c>
    </row>
    <row r="84" spans="1:22">
      <c r="A84" s="41"/>
      <c r="C84" s="207" t="s">
        <v>289</v>
      </c>
      <c r="F84" s="205"/>
      <c r="G84" s="205"/>
      <c r="H84" s="205"/>
      <c r="I84" s="205"/>
      <c r="J84" s="205"/>
      <c r="K84" s="205"/>
      <c r="L84" s="205"/>
      <c r="M84" s="205"/>
      <c r="N84" s="205"/>
      <c r="O84" s="205"/>
      <c r="P84" s="205"/>
      <c r="Q84" s="205"/>
      <c r="R84" s="205"/>
      <c r="S84" s="63"/>
      <c r="T84" s="63"/>
      <c r="U84" s="694"/>
    </row>
    <row r="85" spans="1:22">
      <c r="A85" s="215" t="s">
        <v>73</v>
      </c>
      <c r="B85" s="207"/>
      <c r="C85" s="207"/>
      <c r="F85" s="205"/>
      <c r="G85" s="205"/>
      <c r="H85" s="205"/>
      <c r="I85" s="205"/>
      <c r="J85" s="205"/>
      <c r="K85" s="205"/>
      <c r="L85" s="205"/>
      <c r="M85" s="205"/>
      <c r="N85" s="205"/>
      <c r="O85" s="205"/>
      <c r="P85" s="205"/>
      <c r="Q85" s="205"/>
      <c r="R85" s="205"/>
      <c r="S85" s="63"/>
      <c r="T85" s="63"/>
      <c r="U85" s="694"/>
    </row>
    <row r="86" spans="1:22">
      <c r="A86" s="215" t="s">
        <v>83</v>
      </c>
      <c r="B86" s="207"/>
      <c r="C86" s="207"/>
      <c r="F86" s="205"/>
      <c r="G86" s="205"/>
      <c r="H86" s="205"/>
      <c r="I86" s="205"/>
      <c r="J86" s="205"/>
      <c r="K86" s="205"/>
      <c r="L86" s="205"/>
      <c r="M86" s="205"/>
      <c r="N86" s="205"/>
      <c r="O86" s="205"/>
      <c r="P86" s="205"/>
      <c r="Q86" s="205"/>
      <c r="R86" s="205"/>
      <c r="S86" s="63"/>
      <c r="T86" s="63"/>
      <c r="U86" s="694"/>
    </row>
    <row r="87" spans="1:22" ht="4.5" customHeight="1">
      <c r="A87" s="41"/>
      <c r="C87" s="207"/>
      <c r="F87" s="205"/>
      <c r="G87" s="205"/>
      <c r="H87" s="205"/>
      <c r="I87" s="205"/>
      <c r="J87" s="205"/>
      <c r="K87" s="205"/>
      <c r="L87" s="205"/>
      <c r="M87" s="205"/>
      <c r="N87" s="205"/>
      <c r="O87" s="205"/>
      <c r="P87" s="205"/>
      <c r="Q87" s="205"/>
      <c r="R87" s="205"/>
      <c r="S87" s="63"/>
      <c r="T87" s="63"/>
      <c r="U87" s="694"/>
    </row>
    <row r="88" spans="1:22" ht="15.75">
      <c r="A88" s="216" t="str">
        <f>A58</f>
        <v xml:space="preserve">(000'S OF DOLLARS)  </v>
      </c>
      <c r="E88" s="779" t="s">
        <v>303</v>
      </c>
      <c r="F88" s="779"/>
      <c r="G88" s="779"/>
      <c r="H88" s="779"/>
      <c r="I88" s="779"/>
      <c r="J88" s="779"/>
      <c r="K88" s="779"/>
      <c r="L88" s="779"/>
      <c r="M88" s="779"/>
      <c r="N88" s="779"/>
      <c r="O88" s="779"/>
      <c r="P88" s="779"/>
      <c r="Q88" s="779"/>
      <c r="R88" s="779"/>
      <c r="S88" s="63"/>
      <c r="T88" s="311"/>
      <c r="U88" s="706"/>
    </row>
    <row r="89" spans="1:22" ht="3" customHeight="1">
      <c r="A89" s="41"/>
      <c r="F89" s="198"/>
      <c r="G89" s="198"/>
      <c r="H89" s="198"/>
      <c r="I89" s="198"/>
      <c r="J89" s="198"/>
      <c r="K89" s="198"/>
      <c r="L89" s="198"/>
      <c r="M89" s="198"/>
      <c r="N89" s="198"/>
      <c r="O89" s="198"/>
      <c r="P89" s="198"/>
      <c r="Q89" s="198"/>
      <c r="R89" s="198"/>
      <c r="S89" s="63"/>
      <c r="T89" s="63"/>
      <c r="U89" s="694"/>
    </row>
    <row r="90" spans="1:22" ht="12" customHeight="1">
      <c r="A90" s="41"/>
      <c r="F90" s="78">
        <f>F8</f>
        <v>2000</v>
      </c>
      <c r="G90" s="78">
        <f t="shared" ref="G90:R90" si="28">G8</f>
        <v>2001</v>
      </c>
      <c r="H90" s="78">
        <f t="shared" si="28"/>
        <v>2002</v>
      </c>
      <c r="I90" s="78">
        <f t="shared" si="28"/>
        <v>2003</v>
      </c>
      <c r="J90" s="78">
        <f t="shared" si="28"/>
        <v>2004</v>
      </c>
      <c r="K90" s="78">
        <f t="shared" si="28"/>
        <v>2005</v>
      </c>
      <c r="L90" s="78">
        <f t="shared" si="28"/>
        <v>2006</v>
      </c>
      <c r="M90" s="78">
        <f t="shared" si="28"/>
        <v>2007</v>
      </c>
      <c r="N90" s="78">
        <f t="shared" si="28"/>
        <v>2008</v>
      </c>
      <c r="O90" s="78">
        <f t="shared" si="28"/>
        <v>2009</v>
      </c>
      <c r="P90" s="78">
        <f t="shared" si="28"/>
        <v>2010</v>
      </c>
      <c r="Q90" s="78">
        <f t="shared" si="28"/>
        <v>2011</v>
      </c>
      <c r="R90" s="78">
        <f t="shared" si="28"/>
        <v>2012</v>
      </c>
      <c r="S90" s="78">
        <f t="shared" ref="S90:T90" si="29">S8</f>
        <v>2013</v>
      </c>
      <c r="T90" s="78">
        <f t="shared" si="29"/>
        <v>2014</v>
      </c>
      <c r="U90" s="695">
        <v>12.201499999999999</v>
      </c>
      <c r="V90" s="78">
        <v>2016</v>
      </c>
    </row>
    <row r="91" spans="1:22" ht="25.9" customHeight="1">
      <c r="A91" s="235" t="s">
        <v>305</v>
      </c>
      <c r="D91" s="29" t="s">
        <v>287</v>
      </c>
      <c r="F91" s="198"/>
      <c r="G91" s="198"/>
      <c r="H91" s="198"/>
      <c r="I91" s="198"/>
      <c r="J91" s="198"/>
      <c r="K91" s="198"/>
      <c r="L91" s="198"/>
      <c r="M91" s="198"/>
      <c r="N91" s="198"/>
      <c r="O91" s="198"/>
      <c r="P91" s="198"/>
      <c r="Q91" s="198"/>
      <c r="R91" s="198"/>
      <c r="S91" s="237"/>
      <c r="T91" s="282"/>
      <c r="U91" s="710"/>
    </row>
    <row r="92" spans="1:22" ht="12" customHeight="1">
      <c r="A92" s="41">
        <v>1</v>
      </c>
      <c r="B92" s="29" t="s">
        <v>249</v>
      </c>
      <c r="E92" s="114" t="s">
        <v>265</v>
      </c>
      <c r="F92" s="80">
        <f>F19</f>
        <v>78721</v>
      </c>
      <c r="G92" s="80">
        <f t="shared" ref="G92:R92" si="30">G19</f>
        <v>47157</v>
      </c>
      <c r="H92" s="80">
        <f t="shared" si="30"/>
        <v>101475</v>
      </c>
      <c r="I92" s="80">
        <f t="shared" si="30"/>
        <v>132098</v>
      </c>
      <c r="J92" s="80">
        <f t="shared" si="30"/>
        <v>101545</v>
      </c>
      <c r="K92" s="80">
        <f t="shared" si="30"/>
        <v>105374</v>
      </c>
      <c r="L92" s="80">
        <f t="shared" si="30"/>
        <v>104260</v>
      </c>
      <c r="M92" s="80">
        <f t="shared" si="30"/>
        <v>102890</v>
      </c>
      <c r="N92" s="80">
        <f t="shared" si="30"/>
        <v>117123</v>
      </c>
      <c r="O92" s="80">
        <f t="shared" si="30"/>
        <v>87599</v>
      </c>
      <c r="P92" s="80">
        <f t="shared" si="30"/>
        <v>147107</v>
      </c>
      <c r="Q92" s="80">
        <f t="shared" si="30"/>
        <v>145634</v>
      </c>
      <c r="R92" s="80">
        <f t="shared" si="30"/>
        <v>131795</v>
      </c>
      <c r="S92" s="80">
        <f>S19</f>
        <v>143904</v>
      </c>
      <c r="T92" s="80">
        <f>T19</f>
        <v>120307</v>
      </c>
      <c r="U92" s="698">
        <v>140485</v>
      </c>
      <c r="V92" s="80">
        <f>V19</f>
        <v>136385</v>
      </c>
    </row>
    <row r="93" spans="1:22" ht="12" customHeight="1">
      <c r="A93" s="41">
        <v>2</v>
      </c>
      <c r="B93" s="29" t="s">
        <v>250</v>
      </c>
      <c r="E93" s="114" t="s">
        <v>266</v>
      </c>
      <c r="F93" s="80">
        <f>F20</f>
        <v>181189</v>
      </c>
      <c r="G93" s="80">
        <f t="shared" ref="G93:R93" si="31">G20</f>
        <v>132159</v>
      </c>
      <c r="H93" s="80">
        <f t="shared" si="31"/>
        <v>50769</v>
      </c>
      <c r="I93" s="80">
        <f t="shared" si="31"/>
        <v>46591</v>
      </c>
      <c r="J93" s="80">
        <f t="shared" si="31"/>
        <v>51042</v>
      </c>
      <c r="K93" s="80">
        <f t="shared" si="31"/>
        <v>55046</v>
      </c>
      <c r="L93" s="80">
        <f t="shared" si="31"/>
        <v>79146</v>
      </c>
      <c r="M93" s="80">
        <f t="shared" si="31"/>
        <v>65640</v>
      </c>
      <c r="N93" s="80">
        <f t="shared" si="31"/>
        <v>72508</v>
      </c>
      <c r="O93" s="80">
        <f t="shared" si="31"/>
        <v>100437</v>
      </c>
      <c r="P93" s="80">
        <f t="shared" si="31"/>
        <v>142197</v>
      </c>
      <c r="Q93" s="80">
        <f t="shared" si="31"/>
        <v>91142</v>
      </c>
      <c r="R93" s="80">
        <f t="shared" si="31"/>
        <v>101283</v>
      </c>
      <c r="S93" s="80">
        <f t="shared" ref="S93:T93" si="32">S20</f>
        <v>109034</v>
      </c>
      <c r="T93" s="80">
        <f t="shared" si="32"/>
        <v>116643</v>
      </c>
      <c r="U93" s="698">
        <v>85107</v>
      </c>
      <c r="V93" s="80">
        <f t="shared" ref="V93" si="33">V20</f>
        <v>78794</v>
      </c>
    </row>
    <row r="94" spans="1:22" ht="12" customHeight="1">
      <c r="A94" s="41">
        <v>3</v>
      </c>
      <c r="B94" s="29" t="s">
        <v>251</v>
      </c>
      <c r="E94" s="114" t="s">
        <v>267</v>
      </c>
      <c r="F94" s="80">
        <f>F27</f>
        <v>9418</v>
      </c>
      <c r="G94" s="80">
        <f t="shared" ref="G94:R94" si="34">G27</f>
        <v>10560</v>
      </c>
      <c r="H94" s="80">
        <f t="shared" si="34"/>
        <v>9631</v>
      </c>
      <c r="I94" s="80">
        <f t="shared" si="34"/>
        <v>10171</v>
      </c>
      <c r="J94" s="80">
        <f t="shared" si="34"/>
        <v>12016</v>
      </c>
      <c r="K94" s="80">
        <f t="shared" si="34"/>
        <v>14263</v>
      </c>
      <c r="L94" s="80">
        <f t="shared" si="34"/>
        <v>15485</v>
      </c>
      <c r="M94" s="80">
        <f t="shared" si="34"/>
        <v>14563</v>
      </c>
      <c r="N94" s="80">
        <f t="shared" si="34"/>
        <v>17329</v>
      </c>
      <c r="O94" s="80">
        <f t="shared" si="34"/>
        <v>17267</v>
      </c>
      <c r="P94" s="80">
        <f t="shared" si="34"/>
        <v>18354</v>
      </c>
      <c r="Q94" s="80">
        <f t="shared" si="34"/>
        <v>19081</v>
      </c>
      <c r="R94" s="80">
        <f t="shared" si="34"/>
        <v>21152</v>
      </c>
      <c r="S94" s="80">
        <f t="shared" ref="S94:T94" si="35">S27</f>
        <v>20878</v>
      </c>
      <c r="T94" s="80">
        <f t="shared" si="35"/>
        <v>21299</v>
      </c>
      <c r="U94" s="698">
        <v>24056</v>
      </c>
      <c r="V94" s="80">
        <f t="shared" ref="V94" si="36">V27</f>
        <v>21415</v>
      </c>
    </row>
    <row r="95" spans="1:22" ht="12" customHeight="1">
      <c r="A95" s="41">
        <v>4</v>
      </c>
      <c r="B95" s="29" t="s">
        <v>252</v>
      </c>
      <c r="E95" s="114" t="s">
        <v>268</v>
      </c>
      <c r="F95" s="80">
        <f>F32</f>
        <v>5768</v>
      </c>
      <c r="G95" s="80">
        <f t="shared" ref="G95:R95" si="37">G32</f>
        <v>6196</v>
      </c>
      <c r="H95" s="80">
        <f t="shared" si="37"/>
        <v>7113</v>
      </c>
      <c r="I95" s="80">
        <f t="shared" si="37"/>
        <v>7129</v>
      </c>
      <c r="J95" s="80">
        <f t="shared" si="37"/>
        <v>7352</v>
      </c>
      <c r="K95" s="80">
        <f t="shared" si="37"/>
        <v>7156</v>
      </c>
      <c r="L95" s="80">
        <f t="shared" si="37"/>
        <v>7097</v>
      </c>
      <c r="M95" s="80">
        <f t="shared" si="37"/>
        <v>7514</v>
      </c>
      <c r="N95" s="80">
        <f t="shared" si="37"/>
        <v>7919</v>
      </c>
      <c r="O95" s="80">
        <f t="shared" si="37"/>
        <v>9646</v>
      </c>
      <c r="P95" s="80">
        <f t="shared" si="37"/>
        <v>9261</v>
      </c>
      <c r="Q95" s="80">
        <f t="shared" si="37"/>
        <v>10274.701588</v>
      </c>
      <c r="R95" s="80">
        <f t="shared" si="37"/>
        <v>10335.791302</v>
      </c>
      <c r="S95" s="80">
        <f t="shared" ref="S95:T95" si="38">S32</f>
        <v>11334</v>
      </c>
      <c r="T95" s="80">
        <f t="shared" si="38"/>
        <v>11166</v>
      </c>
      <c r="U95" s="698">
        <v>12363</v>
      </c>
      <c r="V95" s="80">
        <f t="shared" ref="V95" si="39">V32</f>
        <v>13021</v>
      </c>
    </row>
    <row r="96" spans="1:22" ht="12" customHeight="1">
      <c r="A96" s="41">
        <v>5</v>
      </c>
      <c r="B96" s="29" t="s">
        <v>253</v>
      </c>
      <c r="E96" s="114" t="s">
        <v>269</v>
      </c>
      <c r="F96" s="80">
        <f>F33</f>
        <v>5704</v>
      </c>
      <c r="G96" s="80">
        <f t="shared" ref="G96:R96" si="40">G33</f>
        <v>5381</v>
      </c>
      <c r="H96" s="80">
        <f t="shared" si="40"/>
        <v>6261</v>
      </c>
      <c r="I96" s="80">
        <f t="shared" si="40"/>
        <v>6620</v>
      </c>
      <c r="J96" s="80">
        <f t="shared" si="40"/>
        <v>266</v>
      </c>
      <c r="K96" s="80">
        <f t="shared" si="40"/>
        <v>7127</v>
      </c>
      <c r="L96" s="80">
        <f t="shared" si="40"/>
        <v>1159</v>
      </c>
      <c r="M96" s="80">
        <f t="shared" si="40"/>
        <v>7472</v>
      </c>
      <c r="N96" s="80">
        <f t="shared" si="40"/>
        <v>12847</v>
      </c>
      <c r="O96" s="80">
        <f t="shared" si="40"/>
        <v>19736</v>
      </c>
      <c r="P96" s="80">
        <f t="shared" si="40"/>
        <v>20832</v>
      </c>
      <c r="Q96" s="80">
        <f t="shared" si="40"/>
        <v>21292</v>
      </c>
      <c r="R96" s="80">
        <f t="shared" si="40"/>
        <v>18487</v>
      </c>
      <c r="S96" s="80">
        <f t="shared" ref="S96:T96" si="41">S33</f>
        <v>1516</v>
      </c>
      <c r="T96" s="80">
        <f t="shared" si="41"/>
        <v>1383</v>
      </c>
      <c r="U96" s="698">
        <v>1454</v>
      </c>
      <c r="V96" s="80">
        <f t="shared" ref="V96" si="42">V33</f>
        <v>1406</v>
      </c>
    </row>
    <row r="97" spans="1:22" ht="12" customHeight="1">
      <c r="A97" s="41">
        <v>6</v>
      </c>
      <c r="B97" s="29" t="s">
        <v>254</v>
      </c>
      <c r="E97" s="114" t="s">
        <v>270</v>
      </c>
      <c r="F97" s="80">
        <f>F34</f>
        <v>1071</v>
      </c>
      <c r="G97" s="80">
        <f t="shared" ref="G97:R97" si="43">G34</f>
        <v>734</v>
      </c>
      <c r="H97" s="80">
        <f t="shared" si="43"/>
        <v>628</v>
      </c>
      <c r="I97" s="80">
        <f t="shared" si="43"/>
        <v>734</v>
      </c>
      <c r="J97" s="80">
        <f t="shared" si="43"/>
        <v>686</v>
      </c>
      <c r="K97" s="80">
        <f t="shared" si="43"/>
        <v>430</v>
      </c>
      <c r="L97" s="80">
        <f t="shared" si="43"/>
        <v>657</v>
      </c>
      <c r="M97" s="80">
        <f t="shared" si="43"/>
        <v>682</v>
      </c>
      <c r="N97" s="80">
        <f t="shared" si="43"/>
        <v>571</v>
      </c>
      <c r="O97" s="80">
        <f t="shared" si="43"/>
        <v>660</v>
      </c>
      <c r="P97" s="80">
        <f t="shared" si="43"/>
        <v>176</v>
      </c>
      <c r="Q97" s="80">
        <f t="shared" si="43"/>
        <v>4</v>
      </c>
      <c r="R97" s="80">
        <f t="shared" si="43"/>
        <v>5</v>
      </c>
      <c r="S97" s="80">
        <f t="shared" ref="S97:T97" si="44">S34</f>
        <v>5</v>
      </c>
      <c r="T97" s="80">
        <f t="shared" si="44"/>
        <v>0</v>
      </c>
      <c r="U97" s="698">
        <v>0</v>
      </c>
      <c r="V97" s="80">
        <f t="shared" ref="V97" si="45">V34</f>
        <v>0</v>
      </c>
    </row>
    <row r="98" spans="1:22" ht="12" customHeight="1">
      <c r="A98" s="41">
        <v>7</v>
      </c>
      <c r="B98" s="29" t="s">
        <v>255</v>
      </c>
      <c r="E98" s="114" t="s">
        <v>271</v>
      </c>
      <c r="F98" s="80">
        <f>F37</f>
        <v>30350</v>
      </c>
      <c r="G98" s="80">
        <f t="shared" ref="G98:R98" si="46">G37</f>
        <v>25102</v>
      </c>
      <c r="H98" s="80">
        <f t="shared" si="46"/>
        <v>30304</v>
      </c>
      <c r="I98" s="80">
        <f t="shared" si="46"/>
        <v>30153</v>
      </c>
      <c r="J98" s="80">
        <f t="shared" si="46"/>
        <v>31927</v>
      </c>
      <c r="K98" s="80">
        <f t="shared" si="46"/>
        <v>33143</v>
      </c>
      <c r="L98" s="80">
        <f t="shared" si="46"/>
        <v>33148</v>
      </c>
      <c r="M98" s="80">
        <f t="shared" si="46"/>
        <v>35844</v>
      </c>
      <c r="N98" s="80">
        <f t="shared" si="46"/>
        <v>35982</v>
      </c>
      <c r="O98" s="80">
        <f t="shared" si="46"/>
        <v>38461</v>
      </c>
      <c r="P98" s="80">
        <f t="shared" si="46"/>
        <v>44662</v>
      </c>
      <c r="Q98" s="80">
        <f t="shared" si="46"/>
        <v>44779.252</v>
      </c>
      <c r="R98" s="80">
        <f t="shared" si="46"/>
        <v>49333.396000000001</v>
      </c>
      <c r="S98" s="80">
        <f t="shared" ref="S98:T98" si="47">S37</f>
        <v>43310</v>
      </c>
      <c r="T98" s="80">
        <f t="shared" si="47"/>
        <v>46210</v>
      </c>
      <c r="U98" s="698">
        <v>49942</v>
      </c>
      <c r="V98" s="80">
        <f t="shared" ref="V98" si="48">V37</f>
        <v>48989</v>
      </c>
    </row>
    <row r="99" spans="1:22" ht="12" customHeight="1">
      <c r="A99" s="41">
        <v>8</v>
      </c>
      <c r="B99" s="60" t="s">
        <v>256</v>
      </c>
      <c r="C99" s="41"/>
      <c r="D99" s="41"/>
      <c r="E99" s="41"/>
      <c r="F99" s="169">
        <f>SUM(F92:F98)</f>
        <v>312221</v>
      </c>
      <c r="G99" s="169">
        <f t="shared" ref="G99:R99" si="49">SUM(G92:G98)</f>
        <v>227289</v>
      </c>
      <c r="H99" s="169">
        <f t="shared" si="49"/>
        <v>206181</v>
      </c>
      <c r="I99" s="169">
        <f t="shared" si="49"/>
        <v>233496</v>
      </c>
      <c r="J99" s="169">
        <f t="shared" si="49"/>
        <v>204834</v>
      </c>
      <c r="K99" s="169">
        <f t="shared" si="49"/>
        <v>222539</v>
      </c>
      <c r="L99" s="169">
        <f t="shared" si="49"/>
        <v>240952</v>
      </c>
      <c r="M99" s="169">
        <f t="shared" si="49"/>
        <v>234605</v>
      </c>
      <c r="N99" s="169">
        <f t="shared" si="49"/>
        <v>264279</v>
      </c>
      <c r="O99" s="169">
        <f t="shared" si="49"/>
        <v>273806</v>
      </c>
      <c r="P99" s="169">
        <f t="shared" si="49"/>
        <v>382589</v>
      </c>
      <c r="Q99" s="169">
        <f t="shared" si="49"/>
        <v>332206.95358799997</v>
      </c>
      <c r="R99" s="169">
        <f t="shared" si="49"/>
        <v>332391.18730200001</v>
      </c>
      <c r="S99" s="169">
        <f t="shared" ref="S99:T99" si="50">SUM(S92:S98)</f>
        <v>329981</v>
      </c>
      <c r="T99" s="169">
        <f t="shared" si="50"/>
        <v>317008</v>
      </c>
      <c r="U99" s="699">
        <v>313407</v>
      </c>
      <c r="V99" s="169">
        <f t="shared" ref="V99" si="51">SUM(V92:V98)</f>
        <v>300010</v>
      </c>
    </row>
    <row r="100" spans="1:22">
      <c r="A100" s="41">
        <v>9</v>
      </c>
      <c r="B100" s="41"/>
      <c r="C100" s="60" t="s">
        <v>248</v>
      </c>
      <c r="D100" s="41"/>
      <c r="E100" s="41"/>
      <c r="F100" s="80">
        <f>-'PS Consolidated'!E29</f>
        <v>-234785.2591</v>
      </c>
      <c r="G100" s="80">
        <f>-'PS Consolidated'!F29</f>
        <v>-156185</v>
      </c>
      <c r="H100" s="80">
        <f>-'PS Consolidated'!G29</f>
        <v>-124379</v>
      </c>
      <c r="I100" s="80">
        <f>-'PS Consolidated'!H29</f>
        <v>-154282</v>
      </c>
      <c r="J100" s="80">
        <f>-'PS Consolidated'!I29</f>
        <v>-122799</v>
      </c>
      <c r="K100" s="80">
        <f>-'PS Consolidated'!J29</f>
        <v>-133120.12169999999</v>
      </c>
      <c r="L100" s="80">
        <f>-'PS Consolidated'!K29</f>
        <v>-152124</v>
      </c>
      <c r="M100" s="80">
        <f>-'PS Consolidated'!L29</f>
        <v>-135719</v>
      </c>
      <c r="N100" s="80">
        <f>-'PS Consolidated'!M29</f>
        <v>-152984</v>
      </c>
      <c r="O100" s="80">
        <f>-'PS Consolidated'!N29</f>
        <v>-146538.0865</v>
      </c>
      <c r="P100" s="80">
        <f>-'PS Consolidated'!O29</f>
        <v>-249368.62319999994</v>
      </c>
      <c r="Q100" s="80">
        <f>-'PS Consolidated'!P29</f>
        <v>-188583.39639999997</v>
      </c>
      <c r="R100" s="80">
        <f>-'PS Consolidated'!Q29</f>
        <v>-180833.76630000002</v>
      </c>
      <c r="S100" s="80">
        <f>-'PS Consolidated'!R29</f>
        <v>-201471</v>
      </c>
      <c r="T100" s="80">
        <f>-'PS Consolidated'!S29</f>
        <v>-186117</v>
      </c>
      <c r="U100" s="698">
        <v>-175095</v>
      </c>
      <c r="V100" s="80">
        <v>-160262</v>
      </c>
    </row>
    <row r="101" spans="1:22">
      <c r="A101" s="41">
        <v>10</v>
      </c>
      <c r="B101" s="41"/>
      <c r="C101" s="60" t="s">
        <v>245</v>
      </c>
      <c r="D101" s="41"/>
      <c r="E101" s="41"/>
      <c r="F101" s="80">
        <f>SUM(DSM!I34:I39)</f>
        <v>-3473.9924664958971</v>
      </c>
      <c r="G101" s="80">
        <f>SUM(DSM!J34:J39)</f>
        <v>-5119.6740560558192</v>
      </c>
      <c r="H101" s="80">
        <f>SUM(DSM!K34:K39)</f>
        <v>-6118.585627891699</v>
      </c>
      <c r="I101" s="80">
        <f>SUM(DSM!L34:L39)</f>
        <v>-6185.1797326807582</v>
      </c>
      <c r="J101" s="80">
        <v>0</v>
      </c>
      <c r="K101" s="80">
        <f>SUM(DSM!N34:N39)</f>
        <v>-6651.8503863469796</v>
      </c>
      <c r="L101" s="80">
        <v>0</v>
      </c>
      <c r="M101" s="80">
        <f>SUM(DSM!P34:P39)</f>
        <v>-6711.241907653648</v>
      </c>
      <c r="N101" s="80">
        <f>SUM(DSM!Q34:Q39)</f>
        <v>-12172.241960004189</v>
      </c>
      <c r="O101" s="80">
        <f>SUM(DSM!R34:R39)</f>
        <v>-19005.286818134227</v>
      </c>
      <c r="P101" s="80">
        <f>SUM(DSM!S34:S39)</f>
        <v>-19612.288298607476</v>
      </c>
      <c r="Q101" s="80">
        <f>SUM(DSM!T34:T39)</f>
        <v>-20235.39595435033</v>
      </c>
      <c r="R101" s="80">
        <f>SUM(DSM!U34:U39)</f>
        <v>-17018.187444246676</v>
      </c>
      <c r="S101" s="80">
        <f>SUM(DSM!V34:V39)</f>
        <v>0</v>
      </c>
      <c r="T101" s="80">
        <f>SUM(DSM!W34:W39)</f>
        <v>0</v>
      </c>
      <c r="U101" s="698">
        <v>0</v>
      </c>
      <c r="V101" s="80">
        <f>SUM(DSM!Y34:Y39)</f>
        <v>0</v>
      </c>
    </row>
    <row r="102" spans="1:22">
      <c r="A102" s="41">
        <v>11</v>
      </c>
      <c r="B102" s="41"/>
      <c r="C102" s="60" t="s">
        <v>246</v>
      </c>
      <c r="D102" s="41"/>
      <c r="E102" s="41"/>
      <c r="F102" s="80">
        <f>SUM(ResX!I34:I39)</f>
        <v>149.82242589535787</v>
      </c>
      <c r="G102" s="80">
        <f>SUM(ResX!J34:J39)</f>
        <v>12.746248201623811</v>
      </c>
      <c r="H102" s="80">
        <f>SUM(ResX!K34:K39)</f>
        <v>67.619926900139887</v>
      </c>
      <c r="I102" s="80">
        <f>SUM(ResX!L34:L39)</f>
        <v>57.06106451277779</v>
      </c>
      <c r="J102" s="80">
        <v>0</v>
      </c>
      <c r="K102" s="80">
        <f>SUM(ResX!N34:N39)</f>
        <v>62.298339440896243</v>
      </c>
      <c r="L102" s="80">
        <v>0</v>
      </c>
      <c r="M102" s="80">
        <f>SUM(ResX!P34:P39)</f>
        <v>37.041897183540996</v>
      </c>
      <c r="N102" s="80">
        <f>SUM(ResX!Q34:Q39)</f>
        <v>23.730172756779396</v>
      </c>
      <c r="O102" s="80">
        <f>SUM(ResX!R34:R39)</f>
        <v>26.576997173070886</v>
      </c>
      <c r="P102" s="80">
        <f>SUM(ResX!S34:S39)</f>
        <v>41.434898963459318</v>
      </c>
      <c r="Q102" s="80">
        <f>SUM(ResX!T34:T39)</f>
        <v>30.591749555020414</v>
      </c>
      <c r="R102" s="80">
        <f>SUM(ResX!U34:U39)</f>
        <v>55.257591875196319</v>
      </c>
      <c r="S102" s="80">
        <f>SUM(ResX!V34:V39)</f>
        <v>0</v>
      </c>
      <c r="T102" s="80">
        <f>SUM(ResX!W34:W39)</f>
        <v>0</v>
      </c>
      <c r="U102" s="698">
        <v>0</v>
      </c>
      <c r="V102" s="80">
        <f>SUM(ResX!Y34:Y39)</f>
        <v>0</v>
      </c>
    </row>
    <row r="103" spans="1:22" ht="1.5" customHeight="1">
      <c r="A103" s="41"/>
      <c r="B103" s="41"/>
      <c r="C103" s="60"/>
      <c r="D103" s="41"/>
      <c r="E103" s="41"/>
      <c r="F103" s="80"/>
      <c r="G103" s="80"/>
      <c r="H103" s="80"/>
      <c r="I103" s="80"/>
      <c r="J103" s="80"/>
      <c r="K103" s="80"/>
      <c r="L103" s="80"/>
      <c r="M103" s="80"/>
      <c r="N103" s="80"/>
      <c r="O103" s="80"/>
      <c r="P103" s="80"/>
      <c r="Q103" s="80"/>
      <c r="R103" s="80"/>
      <c r="S103" s="80"/>
      <c r="T103" s="80"/>
      <c r="U103" s="698"/>
      <c r="V103" s="80"/>
    </row>
    <row r="104" spans="1:22" ht="12.75" thickBot="1">
      <c r="A104" s="41">
        <v>12</v>
      </c>
      <c r="B104" s="202" t="s">
        <v>247</v>
      </c>
      <c r="C104" s="41"/>
      <c r="D104" s="41"/>
      <c r="E104" s="41"/>
      <c r="F104" s="200">
        <f>SUM(F99:F102)</f>
        <v>74111.570859399464</v>
      </c>
      <c r="G104" s="200">
        <f t="shared" ref="G104:T104" si="52">SUM(G99:G103)</f>
        <v>65997.072192145803</v>
      </c>
      <c r="H104" s="200">
        <f t="shared" si="52"/>
        <v>75751.034299008432</v>
      </c>
      <c r="I104" s="200">
        <f t="shared" si="52"/>
        <v>73085.881331832017</v>
      </c>
      <c r="J104" s="200">
        <f t="shared" si="52"/>
        <v>82035</v>
      </c>
      <c r="K104" s="200">
        <f t="shared" si="52"/>
        <v>82829.326253093925</v>
      </c>
      <c r="L104" s="200">
        <f t="shared" si="52"/>
        <v>88828</v>
      </c>
      <c r="M104" s="200">
        <f t="shared" si="52"/>
        <v>92211.7999895299</v>
      </c>
      <c r="N104" s="200">
        <f t="shared" si="52"/>
        <v>99146.488212752593</v>
      </c>
      <c r="O104" s="200">
        <f t="shared" si="52"/>
        <v>108289.20367903885</v>
      </c>
      <c r="P104" s="200">
        <f t="shared" si="52"/>
        <v>113649.52340035603</v>
      </c>
      <c r="Q104" s="200">
        <f t="shared" si="52"/>
        <v>123418.7529832047</v>
      </c>
      <c r="R104" s="200">
        <f t="shared" si="52"/>
        <v>134594.49114962851</v>
      </c>
      <c r="S104" s="200">
        <f t="shared" si="52"/>
        <v>128510</v>
      </c>
      <c r="T104" s="200">
        <f t="shared" si="52"/>
        <v>130891</v>
      </c>
      <c r="U104" s="711">
        <v>138312</v>
      </c>
      <c r="V104" s="200">
        <f t="shared" ref="V104" si="53">SUM(V99:V103)</f>
        <v>139748</v>
      </c>
    </row>
    <row r="105" spans="1:22" ht="12.75" thickTop="1">
      <c r="A105" s="41"/>
      <c r="B105" s="41"/>
      <c r="C105" s="41"/>
      <c r="D105" s="41"/>
      <c r="E105" s="41"/>
      <c r="F105" s="80"/>
      <c r="G105" s="201"/>
      <c r="H105" s="201"/>
      <c r="I105" s="201"/>
      <c r="J105" s="201"/>
      <c r="K105" s="201"/>
      <c r="L105" s="201">
        <f t="shared" ref="L105:V105" si="54">(L104-K104)/K104</f>
        <v>7.242209997672179E-2</v>
      </c>
      <c r="M105" s="201">
        <f t="shared" si="54"/>
        <v>3.809384416546472E-2</v>
      </c>
      <c r="N105" s="201">
        <f t="shared" si="54"/>
        <v>7.5203913425506114E-2</v>
      </c>
      <c r="O105" s="201">
        <f t="shared" si="54"/>
        <v>9.2214213847569129E-2</v>
      </c>
      <c r="P105" s="201">
        <f t="shared" si="54"/>
        <v>4.9500038223614332E-2</v>
      </c>
      <c r="Q105" s="201">
        <f t="shared" si="54"/>
        <v>8.595926573694776E-2</v>
      </c>
      <c r="R105" s="201">
        <f t="shared" si="54"/>
        <v>9.0551378103331207E-2</v>
      </c>
      <c r="S105" s="201">
        <f t="shared" si="54"/>
        <v>-4.5206093486132248E-2</v>
      </c>
      <c r="T105" s="201">
        <f t="shared" si="54"/>
        <v>1.8527741031826316E-2</v>
      </c>
      <c r="U105" s="712">
        <v>5.6696029520746268E-2</v>
      </c>
      <c r="V105" s="201">
        <f t="shared" si="54"/>
        <v>1.038232402105385E-2</v>
      </c>
    </row>
    <row r="106" spans="1:22" ht="5.25" customHeight="1">
      <c r="A106" s="41"/>
      <c r="B106" s="41"/>
      <c r="C106" s="41"/>
      <c r="D106" s="41"/>
      <c r="E106" s="41"/>
      <c r="F106" s="80"/>
      <c r="G106" s="80"/>
      <c r="H106" s="80"/>
      <c r="I106" s="80"/>
      <c r="J106" s="80"/>
      <c r="K106" s="80"/>
      <c r="L106" s="80"/>
      <c r="M106" s="80"/>
      <c r="N106" s="80"/>
      <c r="O106" s="80"/>
      <c r="P106" s="80"/>
      <c r="Q106" s="80"/>
      <c r="R106" s="80"/>
      <c r="S106" s="80"/>
      <c r="T106" s="80"/>
      <c r="U106" s="698"/>
      <c r="V106" s="80"/>
    </row>
    <row r="107" spans="1:22">
      <c r="A107" s="41"/>
      <c r="B107" s="41"/>
      <c r="C107" s="41"/>
      <c r="D107" s="60" t="s">
        <v>88</v>
      </c>
      <c r="E107" s="41"/>
      <c r="F107" s="80"/>
      <c r="G107" s="80"/>
      <c r="H107" s="80"/>
      <c r="I107" s="80"/>
      <c r="J107" s="80"/>
      <c r="K107" s="80"/>
      <c r="L107" s="80"/>
      <c r="M107" s="80"/>
      <c r="N107" s="80"/>
      <c r="O107" s="80"/>
      <c r="P107" s="80"/>
      <c r="Q107" s="80"/>
      <c r="R107" s="80"/>
      <c r="S107" s="80"/>
      <c r="T107" s="80"/>
      <c r="U107" s="698"/>
      <c r="V107" s="80"/>
    </row>
    <row r="108" spans="1:22">
      <c r="A108" s="41">
        <v>13</v>
      </c>
      <c r="B108" s="60" t="s">
        <v>249</v>
      </c>
      <c r="C108" s="41"/>
      <c r="D108" s="41"/>
      <c r="E108" s="114" t="s">
        <v>272</v>
      </c>
      <c r="F108" s="80">
        <f>F21</f>
        <v>14850</v>
      </c>
      <c r="G108" s="80">
        <f t="shared" ref="G108:R108" si="55">G21</f>
        <v>15202</v>
      </c>
      <c r="H108" s="80">
        <f t="shared" si="55"/>
        <v>20157</v>
      </c>
      <c r="I108" s="80">
        <f t="shared" si="55"/>
        <v>20523</v>
      </c>
      <c r="J108" s="80">
        <f t="shared" si="55"/>
        <v>22312</v>
      </c>
      <c r="K108" s="80">
        <f t="shared" si="55"/>
        <v>22629</v>
      </c>
      <c r="L108" s="80">
        <f t="shared" si="55"/>
        <v>24577</v>
      </c>
      <c r="M108" s="80">
        <f t="shared" si="55"/>
        <v>24877</v>
      </c>
      <c r="N108" s="80">
        <f t="shared" si="55"/>
        <v>23076</v>
      </c>
      <c r="O108" s="80">
        <f t="shared" si="55"/>
        <v>23969</v>
      </c>
      <c r="P108" s="80">
        <f t="shared" si="55"/>
        <v>25008</v>
      </c>
      <c r="Q108" s="80">
        <f t="shared" si="55"/>
        <v>25158</v>
      </c>
      <c r="R108" s="80">
        <f t="shared" si="55"/>
        <v>25680</v>
      </c>
      <c r="S108" s="80">
        <f t="shared" ref="S108:T108" si="56">S21</f>
        <v>23284</v>
      </c>
      <c r="T108" s="80">
        <f t="shared" si="56"/>
        <v>23715</v>
      </c>
      <c r="U108" s="698">
        <v>24947</v>
      </c>
      <c r="V108" s="80">
        <f t="shared" ref="V108" si="57">V21</f>
        <v>26677</v>
      </c>
    </row>
    <row r="109" spans="1:22">
      <c r="A109" s="41">
        <v>14</v>
      </c>
      <c r="B109" s="60" t="s">
        <v>251</v>
      </c>
      <c r="C109" s="41"/>
      <c r="D109" s="41"/>
      <c r="E109" s="114" t="s">
        <v>273</v>
      </c>
      <c r="F109" s="80">
        <f>F28</f>
        <v>9056</v>
      </c>
      <c r="G109" s="80">
        <f t="shared" ref="G109:R109" si="58">G28</f>
        <v>9178</v>
      </c>
      <c r="H109" s="80">
        <f t="shared" si="58"/>
        <v>9427</v>
      </c>
      <c r="I109" s="80">
        <f t="shared" si="58"/>
        <v>9752</v>
      </c>
      <c r="J109" s="80">
        <f t="shared" si="58"/>
        <v>10067</v>
      </c>
      <c r="K109" s="80">
        <f t="shared" si="58"/>
        <v>10399</v>
      </c>
      <c r="L109" s="80">
        <f t="shared" si="58"/>
        <v>10776</v>
      </c>
      <c r="M109" s="80">
        <f t="shared" si="58"/>
        <v>11333</v>
      </c>
      <c r="N109" s="80">
        <f t="shared" si="58"/>
        <v>15611</v>
      </c>
      <c r="O109" s="80">
        <f t="shared" si="58"/>
        <v>16809</v>
      </c>
      <c r="P109" s="80">
        <f t="shared" si="58"/>
        <v>17985</v>
      </c>
      <c r="Q109" s="80">
        <f t="shared" si="58"/>
        <v>19240</v>
      </c>
      <c r="R109" s="80">
        <f t="shared" si="58"/>
        <v>20749</v>
      </c>
      <c r="S109" s="80">
        <f t="shared" ref="S109:T109" si="59">S28</f>
        <v>22303</v>
      </c>
      <c r="T109" s="80">
        <f t="shared" si="59"/>
        <v>23794</v>
      </c>
      <c r="U109" s="698">
        <v>25379</v>
      </c>
      <c r="V109" s="80">
        <f t="shared" ref="V109" si="60">V28</f>
        <v>27819</v>
      </c>
    </row>
    <row r="110" spans="1:22">
      <c r="A110" s="41">
        <v>15</v>
      </c>
      <c r="B110" s="29" t="s">
        <v>255</v>
      </c>
      <c r="C110" s="41"/>
      <c r="D110" s="41"/>
      <c r="E110" s="114" t="s">
        <v>274</v>
      </c>
      <c r="F110" s="80">
        <f>F38</f>
        <v>3998</v>
      </c>
      <c r="G110" s="80">
        <f t="shared" ref="G110:R110" si="61">G38</f>
        <v>4414</v>
      </c>
      <c r="H110" s="80">
        <f t="shared" si="61"/>
        <v>6606</v>
      </c>
      <c r="I110" s="80">
        <f t="shared" si="61"/>
        <v>6659</v>
      </c>
      <c r="J110" s="80">
        <f t="shared" si="61"/>
        <v>6072</v>
      </c>
      <c r="K110" s="80">
        <f t="shared" si="61"/>
        <v>6537</v>
      </c>
      <c r="L110" s="80">
        <f t="shared" si="61"/>
        <v>6459</v>
      </c>
      <c r="M110" s="80">
        <f t="shared" si="61"/>
        <v>6739</v>
      </c>
      <c r="N110" s="80">
        <f t="shared" si="61"/>
        <v>7187</v>
      </c>
      <c r="O110" s="80">
        <f t="shared" si="61"/>
        <v>7688</v>
      </c>
      <c r="P110" s="80">
        <f t="shared" si="61"/>
        <v>9277</v>
      </c>
      <c r="Q110" s="80">
        <f t="shared" si="61"/>
        <v>10906</v>
      </c>
      <c r="R110" s="80">
        <f t="shared" si="61"/>
        <v>12517</v>
      </c>
      <c r="S110" s="80">
        <f t="shared" ref="S110:T110" si="62">S38</f>
        <v>14721</v>
      </c>
      <c r="T110" s="80">
        <f t="shared" si="62"/>
        <v>16947</v>
      </c>
      <c r="U110" s="698">
        <v>21503</v>
      </c>
      <c r="V110" s="80">
        <f t="shared" ref="V110" si="63">V38</f>
        <v>23877</v>
      </c>
    </row>
    <row r="111" spans="1:22" ht="12.75" thickBot="1">
      <c r="A111" s="41">
        <v>16</v>
      </c>
      <c r="B111" s="202" t="s">
        <v>257</v>
      </c>
      <c r="C111" s="41"/>
      <c r="D111" s="41"/>
      <c r="E111" s="41"/>
      <c r="F111" s="200">
        <f>SUM(F108:F110)</f>
        <v>27904</v>
      </c>
      <c r="G111" s="200">
        <f t="shared" ref="G111:R111" si="64">SUM(G108:G110)</f>
        <v>28794</v>
      </c>
      <c r="H111" s="200">
        <f t="shared" si="64"/>
        <v>36190</v>
      </c>
      <c r="I111" s="200">
        <f t="shared" si="64"/>
        <v>36934</v>
      </c>
      <c r="J111" s="200">
        <f t="shared" si="64"/>
        <v>38451</v>
      </c>
      <c r="K111" s="200">
        <f t="shared" si="64"/>
        <v>39565</v>
      </c>
      <c r="L111" s="200">
        <f t="shared" si="64"/>
        <v>41812</v>
      </c>
      <c r="M111" s="200">
        <f t="shared" si="64"/>
        <v>42949</v>
      </c>
      <c r="N111" s="200">
        <f t="shared" si="64"/>
        <v>45874</v>
      </c>
      <c r="O111" s="200">
        <f t="shared" si="64"/>
        <v>48466</v>
      </c>
      <c r="P111" s="200">
        <f t="shared" si="64"/>
        <v>52270</v>
      </c>
      <c r="Q111" s="200">
        <f t="shared" si="64"/>
        <v>55304</v>
      </c>
      <c r="R111" s="200">
        <f t="shared" si="64"/>
        <v>58946</v>
      </c>
      <c r="S111" s="200">
        <f t="shared" ref="S111:T111" si="65">SUM(S108:S110)</f>
        <v>60308</v>
      </c>
      <c r="T111" s="200">
        <f t="shared" si="65"/>
        <v>64456</v>
      </c>
      <c r="U111" s="711">
        <v>71829</v>
      </c>
      <c r="V111" s="200">
        <f t="shared" ref="V111" si="66">SUM(V108:V110)</f>
        <v>78373</v>
      </c>
    </row>
    <row r="112" spans="1:22" ht="12.75" thickTop="1">
      <c r="A112" s="41"/>
      <c r="B112" s="41"/>
      <c r="C112" s="41"/>
      <c r="D112" s="41"/>
      <c r="E112" s="41"/>
      <c r="F112" s="80"/>
      <c r="G112" s="201">
        <f>(G111-F111)/F111</f>
        <v>3.1895068807339451E-2</v>
      </c>
      <c r="H112" s="201">
        <f t="shared" ref="H112:V112" si="67">(H111-G111)/G111</f>
        <v>0.25685906786135998</v>
      </c>
      <c r="I112" s="201">
        <f t="shared" si="67"/>
        <v>2.0558165239016303E-2</v>
      </c>
      <c r="J112" s="201">
        <f t="shared" si="67"/>
        <v>4.1073265825526617E-2</v>
      </c>
      <c r="K112" s="201">
        <f t="shared" si="67"/>
        <v>2.8971938311097241E-2</v>
      </c>
      <c r="L112" s="201">
        <f t="shared" si="67"/>
        <v>5.6792619739668898E-2</v>
      </c>
      <c r="M112" s="201">
        <f t="shared" si="67"/>
        <v>2.7193150291782264E-2</v>
      </c>
      <c r="N112" s="201">
        <f t="shared" si="67"/>
        <v>6.8104030361591655E-2</v>
      </c>
      <c r="O112" s="201">
        <f t="shared" si="67"/>
        <v>5.6502594061995905E-2</v>
      </c>
      <c r="P112" s="201">
        <f t="shared" si="67"/>
        <v>7.8488012214748479E-2</v>
      </c>
      <c r="Q112" s="201">
        <f t="shared" si="67"/>
        <v>5.8044767553089724E-2</v>
      </c>
      <c r="R112" s="201">
        <f t="shared" si="67"/>
        <v>6.5854187762187183E-2</v>
      </c>
      <c r="S112" s="201">
        <f t="shared" si="67"/>
        <v>2.3105893529671226E-2</v>
      </c>
      <c r="T112" s="201">
        <f t="shared" si="67"/>
        <v>6.8780261325197323E-2</v>
      </c>
      <c r="U112" s="712">
        <v>0.11438810971825741</v>
      </c>
      <c r="V112" s="201">
        <f t="shared" si="67"/>
        <v>9.1105263890629132E-2</v>
      </c>
    </row>
    <row r="113" spans="1:22">
      <c r="A113" s="41"/>
      <c r="B113" s="41"/>
      <c r="C113" s="41"/>
      <c r="D113" s="41"/>
      <c r="E113" s="41"/>
      <c r="F113" s="80"/>
      <c r="G113" s="80"/>
      <c r="H113" s="80"/>
      <c r="I113" s="80"/>
      <c r="J113" s="80"/>
      <c r="K113" s="80"/>
      <c r="L113" s="80"/>
      <c r="M113" s="80"/>
      <c r="N113" s="80"/>
      <c r="O113" s="80"/>
      <c r="P113" s="80"/>
      <c r="Q113" s="80"/>
      <c r="R113" s="80"/>
      <c r="S113" s="80"/>
      <c r="T113" s="80"/>
      <c r="U113" s="698"/>
      <c r="V113" s="80"/>
    </row>
    <row r="114" spans="1:22">
      <c r="A114" s="41"/>
      <c r="B114" s="41"/>
      <c r="C114" s="41"/>
      <c r="D114" s="60" t="s">
        <v>288</v>
      </c>
      <c r="E114" s="41"/>
      <c r="F114" s="80"/>
      <c r="G114" s="80"/>
      <c r="H114" s="80"/>
      <c r="I114" s="80"/>
      <c r="J114" s="80"/>
      <c r="K114" s="80"/>
      <c r="L114" s="80"/>
      <c r="M114" s="80"/>
      <c r="N114" s="80"/>
      <c r="O114" s="80"/>
      <c r="P114" s="80"/>
      <c r="Q114" s="80"/>
      <c r="R114" s="80"/>
      <c r="S114" s="80"/>
      <c r="T114" s="80"/>
      <c r="U114" s="698"/>
      <c r="V114" s="80"/>
    </row>
    <row r="115" spans="1:22">
      <c r="A115" s="41">
        <v>17</v>
      </c>
      <c r="B115" s="60" t="s">
        <v>168</v>
      </c>
      <c r="C115" s="41"/>
      <c r="D115" s="41"/>
      <c r="E115" s="114" t="s">
        <v>275</v>
      </c>
      <c r="F115" s="80">
        <f>F22</f>
        <v>-17964</v>
      </c>
      <c r="G115" s="80">
        <f t="shared" ref="G115:R115" si="68">G22</f>
        <v>-6050</v>
      </c>
      <c r="H115" s="80">
        <f t="shared" si="68"/>
        <v>-6349</v>
      </c>
      <c r="I115" s="80">
        <f t="shared" si="68"/>
        <v>-5608</v>
      </c>
      <c r="J115" s="80">
        <f t="shared" si="68"/>
        <v>567</v>
      </c>
      <c r="K115" s="80">
        <f t="shared" si="68"/>
        <v>-8817</v>
      </c>
      <c r="L115" s="80">
        <f t="shared" si="68"/>
        <v>1168</v>
      </c>
      <c r="M115" s="80">
        <f t="shared" si="68"/>
        <v>-3082</v>
      </c>
      <c r="N115" s="80">
        <f t="shared" si="68"/>
        <v>-1076</v>
      </c>
      <c r="O115" s="80">
        <f t="shared" si="68"/>
        <v>-1703</v>
      </c>
      <c r="P115" s="80">
        <f t="shared" si="68"/>
        <v>-2879</v>
      </c>
      <c r="Q115" s="80">
        <f t="shared" si="68"/>
        <v>403</v>
      </c>
      <c r="R115" s="80">
        <f t="shared" si="68"/>
        <v>-7744</v>
      </c>
      <c r="S115" s="80">
        <f t="shared" ref="S115:T115" si="69">S22</f>
        <v>8629</v>
      </c>
      <c r="T115" s="80">
        <f t="shared" si="69"/>
        <v>8101</v>
      </c>
      <c r="U115" s="698">
        <v>5974</v>
      </c>
      <c r="V115" s="80">
        <f t="shared" ref="V115" si="70">V22</f>
        <v>4705</v>
      </c>
    </row>
    <row r="116" spans="1:22">
      <c r="A116" s="41">
        <v>18</v>
      </c>
      <c r="B116" s="41"/>
      <c r="C116" s="60" t="s">
        <v>291</v>
      </c>
      <c r="D116" s="41"/>
      <c r="E116" s="41"/>
      <c r="F116" s="80">
        <f>ResX!I24</f>
        <v>16644</v>
      </c>
      <c r="G116" s="80">
        <f>ResX!J24</f>
        <v>1416</v>
      </c>
      <c r="H116" s="80">
        <f>ResX!K24</f>
        <v>7512</v>
      </c>
      <c r="I116" s="80">
        <f>ResX!L24</f>
        <v>6339</v>
      </c>
      <c r="J116" s="80">
        <v>0</v>
      </c>
      <c r="K116" s="80">
        <f>ResX!N24</f>
        <v>9388</v>
      </c>
      <c r="L116" s="80">
        <v>0</v>
      </c>
      <c r="M116" s="80">
        <f>ResX!P24</f>
        <v>5582</v>
      </c>
      <c r="N116" s="80">
        <f>ResX!Q24</f>
        <v>3576</v>
      </c>
      <c r="O116" s="80">
        <f>ResX!R24</f>
        <v>4005</v>
      </c>
      <c r="P116" s="80">
        <f>ResX!S24</f>
        <v>6244</v>
      </c>
      <c r="Q116" s="80">
        <f>ResX!T24</f>
        <v>4610</v>
      </c>
      <c r="R116" s="80">
        <f>ResX!U24</f>
        <v>8327</v>
      </c>
      <c r="S116" s="80">
        <f>ResX!V24</f>
        <v>0</v>
      </c>
      <c r="T116" s="80">
        <f>ResX!W24</f>
        <v>0</v>
      </c>
      <c r="U116" s="698">
        <v>0</v>
      </c>
      <c r="V116" s="80">
        <f>ResX!Y24</f>
        <v>0</v>
      </c>
    </row>
    <row r="117" spans="1:22" ht="12.75" thickBot="1">
      <c r="A117" s="41">
        <v>19</v>
      </c>
      <c r="B117" s="202" t="s">
        <v>169</v>
      </c>
      <c r="C117" s="41"/>
      <c r="D117" s="41"/>
      <c r="E117" s="41"/>
      <c r="F117" s="200">
        <f>SUM(F115:F116)</f>
        <v>-1320</v>
      </c>
      <c r="G117" s="200">
        <f t="shared" ref="G117:R117" si="71">SUM(G115:G116)</f>
        <v>-4634</v>
      </c>
      <c r="H117" s="200">
        <f t="shared" si="71"/>
        <v>1163</v>
      </c>
      <c r="I117" s="200">
        <f t="shared" si="71"/>
        <v>731</v>
      </c>
      <c r="J117" s="200">
        <f t="shared" si="71"/>
        <v>567</v>
      </c>
      <c r="K117" s="200">
        <f t="shared" si="71"/>
        <v>571</v>
      </c>
      <c r="L117" s="200">
        <f t="shared" si="71"/>
        <v>1168</v>
      </c>
      <c r="M117" s="200">
        <f t="shared" si="71"/>
        <v>2500</v>
      </c>
      <c r="N117" s="200">
        <f t="shared" si="71"/>
        <v>2500</v>
      </c>
      <c r="O117" s="200">
        <f t="shared" si="71"/>
        <v>2302</v>
      </c>
      <c r="P117" s="200">
        <f t="shared" si="71"/>
        <v>3365</v>
      </c>
      <c r="Q117" s="200">
        <f t="shared" si="71"/>
        <v>5013</v>
      </c>
      <c r="R117" s="200">
        <f t="shared" si="71"/>
        <v>583</v>
      </c>
      <c r="S117" s="200">
        <f t="shared" ref="S117:T117" si="72">SUM(S115:S116)</f>
        <v>8629</v>
      </c>
      <c r="T117" s="200">
        <f t="shared" si="72"/>
        <v>8101</v>
      </c>
      <c r="U117" s="711">
        <v>5974</v>
      </c>
      <c r="V117" s="200">
        <f t="shared" ref="V117" si="73">SUM(V115:V116)</f>
        <v>4705</v>
      </c>
    </row>
    <row r="118" spans="1:22" ht="6" customHeight="1" thickTop="1">
      <c r="A118" s="41"/>
      <c r="B118" s="41"/>
      <c r="C118" s="41"/>
      <c r="D118" s="41"/>
      <c r="E118" s="41"/>
      <c r="F118" s="80"/>
      <c r="G118" s="201"/>
      <c r="H118" s="201"/>
      <c r="I118" s="201"/>
      <c r="J118" s="201"/>
      <c r="K118" s="201"/>
      <c r="L118" s="201"/>
      <c r="M118" s="201"/>
      <c r="N118" s="201"/>
      <c r="O118" s="201"/>
      <c r="P118" s="201"/>
      <c r="Q118" s="201"/>
      <c r="R118" s="201"/>
      <c r="S118" s="201"/>
      <c r="T118" s="201"/>
      <c r="U118" s="712"/>
      <c r="V118" s="201"/>
    </row>
    <row r="119" spans="1:22" ht="5.25" customHeight="1">
      <c r="A119" s="41"/>
      <c r="B119" s="41"/>
      <c r="C119" s="41"/>
      <c r="D119" s="41"/>
      <c r="E119" s="41"/>
      <c r="F119" s="80"/>
      <c r="G119" s="80"/>
      <c r="H119" s="80"/>
      <c r="I119" s="80"/>
      <c r="J119" s="80"/>
      <c r="K119" s="80"/>
      <c r="L119" s="80"/>
      <c r="M119" s="80"/>
      <c r="N119" s="80"/>
      <c r="O119" s="80"/>
      <c r="P119" s="80"/>
      <c r="Q119" s="80"/>
      <c r="R119" s="80"/>
      <c r="S119" s="80"/>
      <c r="T119" s="80"/>
      <c r="U119" s="698"/>
      <c r="V119" s="80"/>
    </row>
    <row r="120" spans="1:22">
      <c r="A120" s="41"/>
      <c r="B120" s="60"/>
      <c r="C120" s="41"/>
      <c r="D120" s="60" t="s">
        <v>306</v>
      </c>
      <c r="E120" s="41"/>
      <c r="F120" s="80"/>
      <c r="G120" s="80"/>
      <c r="H120" s="80"/>
      <c r="I120" s="80"/>
      <c r="J120" s="80"/>
      <c r="K120" s="80"/>
      <c r="L120" s="80"/>
      <c r="M120" s="80"/>
      <c r="N120" s="80"/>
      <c r="O120" s="80"/>
      <c r="P120" s="80"/>
      <c r="Q120" s="80"/>
      <c r="R120" s="80"/>
      <c r="S120" s="80"/>
      <c r="T120" s="80"/>
      <c r="U120" s="698"/>
      <c r="V120" s="80"/>
    </row>
    <row r="121" spans="1:22">
      <c r="A121" s="41">
        <v>20</v>
      </c>
      <c r="B121" s="60" t="s">
        <v>249</v>
      </c>
      <c r="C121" s="41"/>
      <c r="D121" s="41"/>
      <c r="E121" s="114" t="s">
        <v>276</v>
      </c>
      <c r="F121" s="80">
        <f>F23</f>
        <v>9346</v>
      </c>
      <c r="G121" s="80">
        <f t="shared" ref="G121:M121" si="74">G23</f>
        <v>5139</v>
      </c>
      <c r="H121" s="80">
        <f t="shared" si="74"/>
        <v>7164</v>
      </c>
      <c r="I121" s="80">
        <f t="shared" si="74"/>
        <v>6722</v>
      </c>
      <c r="J121" s="80">
        <f t="shared" si="74"/>
        <v>7283</v>
      </c>
      <c r="K121" s="80">
        <f t="shared" si="74"/>
        <v>9900</v>
      </c>
      <c r="L121" s="80">
        <f t="shared" si="74"/>
        <v>9115</v>
      </c>
      <c r="M121" s="80">
        <f t="shared" si="74"/>
        <v>8319</v>
      </c>
      <c r="N121" s="80">
        <f>N23</f>
        <v>8146</v>
      </c>
      <c r="O121" s="80">
        <f t="shared" ref="O121:R121" si="75">O23</f>
        <v>9014</v>
      </c>
      <c r="P121" s="80">
        <f t="shared" si="75"/>
        <v>9955</v>
      </c>
      <c r="Q121" s="80">
        <f t="shared" si="75"/>
        <v>10846</v>
      </c>
      <c r="R121" s="80">
        <f t="shared" si="75"/>
        <v>11456</v>
      </c>
      <c r="S121" s="80">
        <f t="shared" ref="S121" si="76">S23</f>
        <v>12913</v>
      </c>
      <c r="T121" s="80">
        <f>T23</f>
        <v>12828</v>
      </c>
      <c r="U121" s="698">
        <v>14133</v>
      </c>
      <c r="V121" s="80">
        <f>V23</f>
        <v>14654</v>
      </c>
    </row>
    <row r="122" spans="1:22">
      <c r="A122" s="41">
        <v>21</v>
      </c>
      <c r="B122" s="60" t="s">
        <v>251</v>
      </c>
      <c r="C122" s="41"/>
      <c r="D122" s="41"/>
      <c r="E122" s="114" t="s">
        <v>277</v>
      </c>
      <c r="F122" s="80">
        <f>F29</f>
        <v>11693</v>
      </c>
      <c r="G122" s="80">
        <f t="shared" ref="G122:M122" si="77">G29</f>
        <v>15462</v>
      </c>
      <c r="H122" s="80">
        <f t="shared" si="77"/>
        <v>16996</v>
      </c>
      <c r="I122" s="80">
        <f t="shared" si="77"/>
        <v>17286</v>
      </c>
      <c r="J122" s="80">
        <f t="shared" si="77"/>
        <v>17401</v>
      </c>
      <c r="K122" s="80">
        <f t="shared" si="77"/>
        <v>14988</v>
      </c>
      <c r="L122" s="80">
        <f t="shared" si="77"/>
        <v>16307</v>
      </c>
      <c r="M122" s="80">
        <f t="shared" si="77"/>
        <v>16156</v>
      </c>
      <c r="N122" s="80">
        <f>N29</f>
        <v>17416</v>
      </c>
      <c r="O122" s="80">
        <f t="shared" ref="O122:R122" si="78">O29</f>
        <v>18216</v>
      </c>
      <c r="P122" s="80">
        <f t="shared" si="78"/>
        <v>20029</v>
      </c>
      <c r="Q122" s="80">
        <f t="shared" si="78"/>
        <v>22459</v>
      </c>
      <c r="R122" s="80">
        <f t="shared" si="78"/>
        <v>22699</v>
      </c>
      <c r="S122" s="80">
        <f t="shared" ref="S122:T122" si="79">S29</f>
        <v>23809</v>
      </c>
      <c r="T122" s="80">
        <f t="shared" si="79"/>
        <v>25821</v>
      </c>
      <c r="U122" s="698">
        <v>27448</v>
      </c>
      <c r="V122" s="80">
        <f t="shared" ref="V122" si="80">V29</f>
        <v>27287</v>
      </c>
    </row>
    <row r="123" spans="1:22">
      <c r="A123" s="41">
        <v>22</v>
      </c>
      <c r="B123" s="29" t="s">
        <v>255</v>
      </c>
      <c r="C123" s="41"/>
      <c r="D123" s="41"/>
      <c r="E123" s="114" t="s">
        <v>278</v>
      </c>
      <c r="F123" s="80">
        <f>F39</f>
        <v>5</v>
      </c>
      <c r="G123" s="80">
        <f t="shared" ref="G123:M123" si="81">G39</f>
        <v>2</v>
      </c>
      <c r="H123" s="80">
        <f t="shared" si="81"/>
        <v>1</v>
      </c>
      <c r="I123" s="80">
        <f t="shared" si="81"/>
        <v>2</v>
      </c>
      <c r="J123" s="80">
        <f t="shared" si="81"/>
        <v>3</v>
      </c>
      <c r="K123" s="80">
        <f t="shared" si="81"/>
        <v>-4</v>
      </c>
      <c r="L123" s="80">
        <f t="shared" si="81"/>
        <v>0</v>
      </c>
      <c r="M123" s="80">
        <f t="shared" si="81"/>
        <v>-9</v>
      </c>
      <c r="N123" s="80">
        <f>N39</f>
        <v>-3</v>
      </c>
      <c r="O123" s="80">
        <f t="shared" ref="O123:R123" si="82">O39</f>
        <v>-3</v>
      </c>
      <c r="P123" s="80">
        <f t="shared" si="82"/>
        <v>2</v>
      </c>
      <c r="Q123" s="80">
        <f t="shared" si="82"/>
        <v>0</v>
      </c>
      <c r="R123" s="80">
        <f t="shared" si="82"/>
        <v>-4</v>
      </c>
      <c r="S123" s="80">
        <f t="shared" ref="S123:T123" si="83">S39</f>
        <v>0</v>
      </c>
      <c r="T123" s="80">
        <f t="shared" si="83"/>
        <v>0</v>
      </c>
      <c r="U123" s="698">
        <v>0</v>
      </c>
      <c r="V123" s="80">
        <f t="shared" ref="V123" si="84">V39</f>
        <v>0</v>
      </c>
    </row>
    <row r="124" spans="1:22">
      <c r="A124" s="41">
        <v>23</v>
      </c>
      <c r="B124" s="60" t="s">
        <v>258</v>
      </c>
      <c r="C124" s="41"/>
      <c r="D124" s="41"/>
      <c r="E124" s="41"/>
      <c r="F124" s="169">
        <f>SUM(F121:F123)</f>
        <v>21044</v>
      </c>
      <c r="G124" s="169">
        <f t="shared" ref="G124:M124" si="85">SUM(G121:G123)</f>
        <v>20603</v>
      </c>
      <c r="H124" s="169">
        <f t="shared" si="85"/>
        <v>24161</v>
      </c>
      <c r="I124" s="169">
        <f t="shared" si="85"/>
        <v>24010</v>
      </c>
      <c r="J124" s="169">
        <f t="shared" si="85"/>
        <v>24687</v>
      </c>
      <c r="K124" s="169">
        <f t="shared" si="85"/>
        <v>24884</v>
      </c>
      <c r="L124" s="169">
        <f t="shared" si="85"/>
        <v>25422</v>
      </c>
      <c r="M124" s="169">
        <f t="shared" si="85"/>
        <v>24466</v>
      </c>
      <c r="N124" s="169">
        <f>SUM(N121:N123)</f>
        <v>25559</v>
      </c>
      <c r="O124" s="169">
        <f t="shared" ref="O124" si="86">SUM(O121:O123)</f>
        <v>27227</v>
      </c>
      <c r="P124" s="169">
        <f t="shared" ref="P124" si="87">SUM(P121:P123)</f>
        <v>29986</v>
      </c>
      <c r="Q124" s="169">
        <f t="shared" ref="Q124" si="88">SUM(Q121:Q123)</f>
        <v>33305</v>
      </c>
      <c r="R124" s="169">
        <f t="shared" ref="R124:S124" si="89">SUM(R121:R123)</f>
        <v>34151</v>
      </c>
      <c r="S124" s="169">
        <f t="shared" si="89"/>
        <v>36722</v>
      </c>
      <c r="T124" s="169">
        <f t="shared" ref="T124:V124" si="90">SUM(T121:T123)</f>
        <v>38649</v>
      </c>
      <c r="U124" s="699">
        <v>41581</v>
      </c>
      <c r="V124" s="169">
        <f t="shared" si="90"/>
        <v>41941</v>
      </c>
    </row>
    <row r="125" spans="1:22">
      <c r="A125" s="41">
        <v>24</v>
      </c>
      <c r="B125" s="41"/>
      <c r="C125" s="60" t="s">
        <v>259</v>
      </c>
      <c r="D125" s="41"/>
      <c r="E125" s="41"/>
      <c r="F125" s="80">
        <f>DSM!I31</f>
        <v>-139.02531106267637</v>
      </c>
      <c r="G125" s="80">
        <f>DSM!J31</f>
        <v>-204.88365621028748</v>
      </c>
      <c r="H125" s="80">
        <f>DSM!K31</f>
        <v>-244.858985269843</v>
      </c>
      <c r="I125" s="80">
        <f>DSM!L31</f>
        <v>-247.52400720714672</v>
      </c>
      <c r="J125" s="80">
        <v>0</v>
      </c>
      <c r="K125" s="80">
        <f>DSM!N31</f>
        <v>-266.79687571981992</v>
      </c>
      <c r="L125" s="80">
        <v>0</v>
      </c>
      <c r="M125" s="80">
        <f>DSM!P31</f>
        <v>-269.17899068160403</v>
      </c>
      <c r="N125" s="80">
        <f>DSM!Q31</f>
        <v>-488.21244267615958</v>
      </c>
      <c r="O125" s="80">
        <f>DSM!R31</f>
        <v>-762.2767877709141</v>
      </c>
      <c r="P125" s="80">
        <f>DSM!S31</f>
        <v>-786.62281017694488</v>
      </c>
      <c r="Q125" s="80">
        <f>DSM!T31</f>
        <v>-811.61482986074759</v>
      </c>
      <c r="R125" s="80">
        <f>DSM!U31</f>
        <v>-682.57687362579838</v>
      </c>
      <c r="S125" s="80">
        <f>DSM!V31</f>
        <v>0</v>
      </c>
      <c r="T125" s="80">
        <f>DSM!W31</f>
        <v>0</v>
      </c>
      <c r="U125" s="698">
        <v>0</v>
      </c>
      <c r="V125" s="80">
        <f>DSM!Y31</f>
        <v>0</v>
      </c>
    </row>
    <row r="126" spans="1:22">
      <c r="A126" s="41">
        <v>25</v>
      </c>
      <c r="B126" s="41"/>
      <c r="C126" s="60" t="s">
        <v>260</v>
      </c>
      <c r="D126" s="41"/>
      <c r="E126" s="41"/>
      <c r="F126" s="80">
        <f>ResX!I31</f>
        <v>672.0700776436787</v>
      </c>
      <c r="G126" s="80">
        <f>ResX!J31</f>
        <v>57.176834291243019</v>
      </c>
      <c r="H126" s="80">
        <f>ResX!K31</f>
        <v>303.3279514094757</v>
      </c>
      <c r="I126" s="80">
        <f>ResX!L31</f>
        <v>255.96324334194176</v>
      </c>
      <c r="J126" s="80">
        <v>0</v>
      </c>
      <c r="K126" s="80">
        <f>ResX!N31</f>
        <v>379.03890273269815</v>
      </c>
      <c r="L126" s="80">
        <v>0</v>
      </c>
      <c r="M126" s="80">
        <f>ResX!P31</f>
        <v>225.37230028269292</v>
      </c>
      <c r="N126" s="80">
        <f>ResX!Q31</f>
        <v>144.3803915820333</v>
      </c>
      <c r="O126" s="80">
        <f>ResX!R31</f>
        <v>161.701193592294</v>
      </c>
      <c r="P126" s="80">
        <f>ResX!S31</f>
        <v>252.10043765050779</v>
      </c>
      <c r="Q126" s="80">
        <f>ResX!T31</f>
        <v>186.12796565804626</v>
      </c>
      <c r="R126" s="80">
        <f>ResX!U31</f>
        <v>336.20120825044501</v>
      </c>
      <c r="S126" s="80">
        <f>ResX!V31</f>
        <v>0</v>
      </c>
      <c r="T126" s="80">
        <f>ResX!W31</f>
        <v>0</v>
      </c>
      <c r="U126" s="698">
        <v>0</v>
      </c>
      <c r="V126" s="80">
        <f>ResX!Y31</f>
        <v>0</v>
      </c>
    </row>
    <row r="127" spans="1:22" ht="12.75" thickBot="1">
      <c r="A127" s="41">
        <v>26</v>
      </c>
      <c r="B127" s="202" t="s">
        <v>261</v>
      </c>
      <c r="C127" s="41"/>
      <c r="D127" s="41"/>
      <c r="E127" s="41"/>
      <c r="F127" s="200">
        <f>SUM(F124:F126)</f>
        <v>21577.044766581002</v>
      </c>
      <c r="G127" s="200">
        <f t="shared" ref="G127:R127" si="91">SUM(G124:G126)</f>
        <v>20455.293178080956</v>
      </c>
      <c r="H127" s="200">
        <f t="shared" si="91"/>
        <v>24219.468966139633</v>
      </c>
      <c r="I127" s="200">
        <f t="shared" si="91"/>
        <v>24018.439236134796</v>
      </c>
      <c r="J127" s="200">
        <f t="shared" si="91"/>
        <v>24687</v>
      </c>
      <c r="K127" s="200">
        <f t="shared" si="91"/>
        <v>24996.242027012875</v>
      </c>
      <c r="L127" s="200">
        <f t="shared" si="91"/>
        <v>25422</v>
      </c>
      <c r="M127" s="200">
        <f t="shared" si="91"/>
        <v>24422.193309601087</v>
      </c>
      <c r="N127" s="200">
        <f t="shared" si="91"/>
        <v>25215.167948905873</v>
      </c>
      <c r="O127" s="200">
        <f t="shared" si="91"/>
        <v>26626.424405821377</v>
      </c>
      <c r="P127" s="200">
        <f t="shared" si="91"/>
        <v>29451.477627473563</v>
      </c>
      <c r="Q127" s="200">
        <f t="shared" si="91"/>
        <v>32679.513135797297</v>
      </c>
      <c r="R127" s="200">
        <f t="shared" si="91"/>
        <v>33804.624334624648</v>
      </c>
      <c r="S127" s="200">
        <f t="shared" ref="S127:T127" si="92">SUM(S124:S126)</f>
        <v>36722</v>
      </c>
      <c r="T127" s="200">
        <f t="shared" si="92"/>
        <v>38649</v>
      </c>
      <c r="U127" s="711">
        <v>41581</v>
      </c>
      <c r="V127" s="200">
        <f t="shared" ref="V127" si="93">SUM(V124:V126)</f>
        <v>41941</v>
      </c>
    </row>
    <row r="128" spans="1:22" ht="12.75" thickTop="1">
      <c r="A128" s="41"/>
      <c r="B128" s="41"/>
      <c r="C128" s="41"/>
      <c r="D128" s="41"/>
      <c r="E128" s="41"/>
      <c r="F128" s="80"/>
      <c r="G128" s="201">
        <f>(G127-F127)/F127</f>
        <v>-5.19881939642374E-2</v>
      </c>
      <c r="H128" s="201">
        <f t="shared" ref="H128:V128" si="94">(H127-G127)/G127</f>
        <v>0.18401964495391404</v>
      </c>
      <c r="I128" s="201">
        <f t="shared" si="94"/>
        <v>-8.300335993571507E-3</v>
      </c>
      <c r="J128" s="201">
        <f t="shared" si="94"/>
        <v>2.7835312581817567E-2</v>
      </c>
      <c r="K128" s="201">
        <f t="shared" si="94"/>
        <v>1.2526513023570099E-2</v>
      </c>
      <c r="L128" s="201">
        <f t="shared" si="94"/>
        <v>1.7032879283494611E-2</v>
      </c>
      <c r="M128" s="201">
        <f t="shared" si="94"/>
        <v>-3.9328404153839702E-2</v>
      </c>
      <c r="N128" s="201">
        <f t="shared" si="94"/>
        <v>3.2469427673928221E-2</v>
      </c>
      <c r="O128" s="201">
        <f t="shared" si="94"/>
        <v>5.5968552728864154E-2</v>
      </c>
      <c r="P128" s="201">
        <f t="shared" si="94"/>
        <v>0.10609960911742022</v>
      </c>
      <c r="Q128" s="201">
        <f t="shared" si="94"/>
        <v>0.1096052140118256</v>
      </c>
      <c r="R128" s="201">
        <f t="shared" si="94"/>
        <v>3.4428640174412488E-2</v>
      </c>
      <c r="S128" s="201">
        <f t="shared" si="94"/>
        <v>8.6301082257175296E-2</v>
      </c>
      <c r="T128" s="201">
        <f t="shared" si="94"/>
        <v>5.2475355372801048E-2</v>
      </c>
      <c r="U128" s="712">
        <v>7.5862247406142461E-2</v>
      </c>
      <c r="V128" s="201">
        <f t="shared" si="94"/>
        <v>8.6578004376999113E-3</v>
      </c>
    </row>
    <row r="129" spans="1:22" ht="5.25" customHeight="1">
      <c r="A129" s="41"/>
      <c r="B129" s="60"/>
      <c r="C129" s="41"/>
      <c r="D129" s="41"/>
      <c r="E129" s="41"/>
      <c r="F129" s="80"/>
      <c r="G129" s="80"/>
      <c r="H129" s="80"/>
      <c r="I129" s="80"/>
      <c r="J129" s="80"/>
      <c r="K129" s="80"/>
      <c r="L129" s="80"/>
      <c r="M129" s="80"/>
      <c r="N129" s="80"/>
      <c r="O129" s="80"/>
      <c r="P129" s="80"/>
      <c r="Q129" s="80"/>
      <c r="R129" s="80"/>
      <c r="S129" s="80"/>
      <c r="T129" s="80"/>
      <c r="U129" s="698"/>
      <c r="V129" s="80"/>
    </row>
    <row r="130" spans="1:22" ht="12.75" thickBot="1">
      <c r="A130" s="41">
        <v>27</v>
      </c>
      <c r="B130" s="202" t="s">
        <v>262</v>
      </c>
      <c r="C130" s="41"/>
      <c r="D130" s="41"/>
      <c r="E130" s="114" t="s">
        <v>279</v>
      </c>
      <c r="F130" s="200">
        <f>F78</f>
        <v>649149</v>
      </c>
      <c r="G130" s="200">
        <f t="shared" ref="G130:R130" si="95">G78</f>
        <v>662278</v>
      </c>
      <c r="H130" s="200">
        <f t="shared" si="95"/>
        <v>739502</v>
      </c>
      <c r="I130" s="200">
        <f t="shared" si="95"/>
        <v>720602</v>
      </c>
      <c r="J130" s="200">
        <f t="shared" si="95"/>
        <v>757756</v>
      </c>
      <c r="K130" s="200">
        <f t="shared" si="95"/>
        <v>799091</v>
      </c>
      <c r="L130" s="200">
        <f t="shared" si="95"/>
        <v>855712</v>
      </c>
      <c r="M130" s="200">
        <f t="shared" si="95"/>
        <v>870835</v>
      </c>
      <c r="N130" s="200">
        <f t="shared" si="95"/>
        <v>917247</v>
      </c>
      <c r="O130" s="200">
        <f t="shared" si="95"/>
        <v>987243</v>
      </c>
      <c r="P130" s="200">
        <f t="shared" si="95"/>
        <v>1036064</v>
      </c>
      <c r="Q130" s="200">
        <f t="shared" si="95"/>
        <v>1087141</v>
      </c>
      <c r="R130" s="200">
        <f t="shared" si="95"/>
        <v>1131570</v>
      </c>
      <c r="S130" s="200">
        <f t="shared" ref="S130:T130" si="96">S78</f>
        <v>1195010</v>
      </c>
      <c r="T130" s="200">
        <f t="shared" si="96"/>
        <v>1214504</v>
      </c>
      <c r="U130" s="711">
        <v>1271626</v>
      </c>
      <c r="V130" s="200">
        <f t="shared" ref="V130" si="97">V78</f>
        <v>0</v>
      </c>
    </row>
    <row r="131" spans="1:22" ht="12.75" thickTop="1">
      <c r="A131" s="41"/>
      <c r="B131" s="41"/>
      <c r="C131" s="41"/>
      <c r="D131" s="41"/>
      <c r="E131" s="41"/>
      <c r="F131" s="80"/>
      <c r="G131" s="201">
        <f>(G130-F130)/F130</f>
        <v>2.0224940653070404E-2</v>
      </c>
      <c r="H131" s="201">
        <f t="shared" ref="H131:V131" si="98">(H130-G130)/G130</f>
        <v>0.11660360150873199</v>
      </c>
      <c r="I131" s="201">
        <f t="shared" si="98"/>
        <v>-2.5557740208951428E-2</v>
      </c>
      <c r="J131" s="201">
        <f t="shared" si="98"/>
        <v>5.1559668166338703E-2</v>
      </c>
      <c r="K131" s="201">
        <f t="shared" si="98"/>
        <v>5.4549221649185228E-2</v>
      </c>
      <c r="L131" s="201">
        <f t="shared" si="98"/>
        <v>7.0856760994680204E-2</v>
      </c>
      <c r="M131" s="201">
        <f t="shared" si="98"/>
        <v>1.7673002131558282E-2</v>
      </c>
      <c r="N131" s="201">
        <f t="shared" si="98"/>
        <v>5.3295974553158751E-2</v>
      </c>
      <c r="O131" s="201">
        <f t="shared" si="98"/>
        <v>7.6310960951630258E-2</v>
      </c>
      <c r="P131" s="201">
        <f t="shared" si="98"/>
        <v>4.9451857344139184E-2</v>
      </c>
      <c r="Q131" s="201">
        <f t="shared" si="98"/>
        <v>4.9299078049232482E-2</v>
      </c>
      <c r="R131" s="201">
        <f t="shared" si="98"/>
        <v>4.0867743926500798E-2</v>
      </c>
      <c r="S131" s="201">
        <f t="shared" si="98"/>
        <v>5.6063699108318529E-2</v>
      </c>
      <c r="T131" s="201">
        <f t="shared" si="98"/>
        <v>1.631283420222425E-2</v>
      </c>
      <c r="U131" s="712">
        <v>4.7033192150869818E-2</v>
      </c>
      <c r="V131" s="201">
        <f t="shared" si="98"/>
        <v>-1</v>
      </c>
    </row>
    <row r="132" spans="1:22" ht="4.5" customHeight="1">
      <c r="A132" s="41"/>
      <c r="B132" s="202"/>
      <c r="C132" s="41"/>
      <c r="D132" s="41"/>
      <c r="E132" s="114"/>
      <c r="F132" s="80"/>
      <c r="G132" s="80"/>
      <c r="H132" s="80"/>
      <c r="I132" s="80"/>
      <c r="J132" s="80"/>
      <c r="K132" s="80"/>
      <c r="L132" s="80"/>
      <c r="M132" s="80"/>
      <c r="N132" s="80"/>
      <c r="O132" s="80"/>
      <c r="P132" s="80"/>
      <c r="Q132" s="80"/>
      <c r="R132" s="80"/>
      <c r="S132" s="80"/>
      <c r="T132" s="80"/>
      <c r="U132" s="698"/>
      <c r="V132" s="80"/>
    </row>
    <row r="133" spans="1:22" ht="12.75" thickBot="1">
      <c r="A133" s="41">
        <v>28</v>
      </c>
      <c r="B133" s="202" t="s">
        <v>263</v>
      </c>
      <c r="C133" s="41"/>
      <c r="D133" s="41"/>
      <c r="E133" s="114" t="s">
        <v>280</v>
      </c>
      <c r="F133" s="200">
        <f>F82</f>
        <v>568492</v>
      </c>
      <c r="G133" s="200">
        <f t="shared" ref="G133:R133" si="99">G82</f>
        <v>597515</v>
      </c>
      <c r="H133" s="200">
        <f t="shared" si="99"/>
        <v>761858</v>
      </c>
      <c r="I133" s="200">
        <f t="shared" si="99"/>
        <v>742443</v>
      </c>
      <c r="J133" s="200">
        <f t="shared" si="99"/>
        <v>778011</v>
      </c>
      <c r="K133" s="200">
        <f t="shared" si="99"/>
        <v>819842</v>
      </c>
      <c r="L133" s="200">
        <f t="shared" si="99"/>
        <v>874511</v>
      </c>
      <c r="M133" s="200">
        <f t="shared" si="99"/>
        <v>891855</v>
      </c>
      <c r="N133" s="200">
        <f t="shared" si="99"/>
        <v>936840</v>
      </c>
      <c r="O133" s="200">
        <f t="shared" si="99"/>
        <v>1005019</v>
      </c>
      <c r="P133" s="200">
        <f t="shared" si="99"/>
        <v>1072028</v>
      </c>
      <c r="Q133" s="200">
        <f t="shared" si="99"/>
        <v>1137863</v>
      </c>
      <c r="R133" s="200">
        <f t="shared" si="99"/>
        <v>1158975</v>
      </c>
      <c r="S133" s="200">
        <f t="shared" ref="S133:T133" si="100">S82</f>
        <v>1226052</v>
      </c>
      <c r="T133" s="200">
        <f t="shared" si="100"/>
        <v>1273157</v>
      </c>
      <c r="U133" s="711">
        <v>1338806</v>
      </c>
      <c r="V133" s="200">
        <f t="shared" ref="V133" si="101">V82</f>
        <v>1442726</v>
      </c>
    </row>
    <row r="134" spans="1:22" ht="12.75" thickTop="1">
      <c r="A134" s="41"/>
      <c r="B134" s="41"/>
      <c r="C134" s="41"/>
      <c r="D134" s="41"/>
      <c r="E134" s="41"/>
      <c r="F134" s="80"/>
      <c r="G134" s="201">
        <f>(G133-F133)/F133</f>
        <v>5.1052609359498465E-2</v>
      </c>
      <c r="H134" s="201">
        <f t="shared" ref="H134:V134" si="102">(H133-G133)/G133</f>
        <v>0.27504414115126818</v>
      </c>
      <c r="I134" s="201">
        <f t="shared" si="102"/>
        <v>-2.5483751565252316E-2</v>
      </c>
      <c r="J134" s="201">
        <f t="shared" si="102"/>
        <v>4.7906707989704263E-2</v>
      </c>
      <c r="K134" s="201">
        <f t="shared" si="102"/>
        <v>5.3766591989059281E-2</v>
      </c>
      <c r="L134" s="201">
        <f t="shared" si="102"/>
        <v>6.6682360747558678E-2</v>
      </c>
      <c r="M134" s="201">
        <f t="shared" si="102"/>
        <v>1.9832797986531901E-2</v>
      </c>
      <c r="N134" s="201">
        <f t="shared" si="102"/>
        <v>5.0439813646837209E-2</v>
      </c>
      <c r="O134" s="201">
        <f t="shared" si="102"/>
        <v>7.2775500619102512E-2</v>
      </c>
      <c r="P134" s="201">
        <f t="shared" si="102"/>
        <v>6.6674361380232611E-2</v>
      </c>
      <c r="Q134" s="201">
        <f t="shared" si="102"/>
        <v>6.1411642233225254E-2</v>
      </c>
      <c r="R134" s="201">
        <f t="shared" si="102"/>
        <v>1.855407900599633E-2</v>
      </c>
      <c r="S134" s="201">
        <f t="shared" si="102"/>
        <v>5.7876140555231992E-2</v>
      </c>
      <c r="T134" s="201">
        <f t="shared" si="102"/>
        <v>3.8420067011839629E-2</v>
      </c>
      <c r="U134" s="712">
        <v>5.1563946944485246E-2</v>
      </c>
      <c r="V134" s="201">
        <f t="shared" si="102"/>
        <v>7.7621402951585219E-2</v>
      </c>
    </row>
    <row r="135" spans="1:22" ht="4.5" customHeight="1">
      <c r="A135" s="41"/>
      <c r="B135" s="41"/>
      <c r="C135" s="41"/>
      <c r="D135" s="41"/>
      <c r="E135" s="41"/>
      <c r="F135" s="80"/>
      <c r="G135" s="80"/>
      <c r="H135" s="80"/>
      <c r="I135" s="80"/>
      <c r="J135" s="80"/>
      <c r="K135" s="80"/>
      <c r="L135" s="80"/>
      <c r="M135" s="80"/>
      <c r="N135" s="80"/>
      <c r="O135" s="80"/>
      <c r="P135" s="80"/>
      <c r="Q135" s="80"/>
      <c r="R135" s="80"/>
      <c r="S135" s="80"/>
      <c r="T135" s="80"/>
      <c r="U135" s="698"/>
      <c r="V135" s="80"/>
    </row>
    <row r="136" spans="1:22">
      <c r="A136" s="41"/>
      <c r="B136" s="60" t="s">
        <v>264</v>
      </c>
      <c r="C136" s="41"/>
      <c r="D136" s="41"/>
      <c r="E136" s="41"/>
      <c r="F136" s="80"/>
      <c r="G136" s="80"/>
      <c r="H136" s="80"/>
      <c r="I136" s="80"/>
      <c r="J136" s="80"/>
      <c r="K136" s="80"/>
      <c r="L136" s="80"/>
      <c r="M136" s="80"/>
      <c r="N136" s="80"/>
      <c r="O136" s="80"/>
      <c r="P136" s="80"/>
      <c r="Q136" s="80"/>
      <c r="R136" s="80"/>
      <c r="S136" s="80"/>
      <c r="T136" s="80"/>
      <c r="U136" s="698"/>
      <c r="V136" s="80"/>
    </row>
    <row r="137" spans="1:22">
      <c r="A137" s="41">
        <v>29</v>
      </c>
      <c r="B137" s="60" t="s">
        <v>281</v>
      </c>
      <c r="C137" s="41"/>
      <c r="D137" s="41"/>
      <c r="E137" s="114" t="s">
        <v>282</v>
      </c>
      <c r="F137" s="80">
        <f>F14</f>
        <v>13062</v>
      </c>
      <c r="G137" s="80">
        <f t="shared" ref="G137:R137" si="103">G14</f>
        <v>14305</v>
      </c>
      <c r="H137" s="80">
        <f t="shared" si="103"/>
        <v>34274</v>
      </c>
      <c r="I137" s="80">
        <f t="shared" si="103"/>
        <v>57244</v>
      </c>
      <c r="J137" s="80">
        <f t="shared" si="103"/>
        <v>8587</v>
      </c>
      <c r="K137" s="80">
        <f t="shared" si="103"/>
        <v>10259</v>
      </c>
      <c r="L137" s="80">
        <f t="shared" si="103"/>
        <v>10178</v>
      </c>
      <c r="M137" s="80">
        <f t="shared" si="103"/>
        <v>10170</v>
      </c>
      <c r="N137" s="80">
        <f t="shared" si="103"/>
        <v>10927</v>
      </c>
      <c r="O137" s="80">
        <f t="shared" si="103"/>
        <v>9395</v>
      </c>
      <c r="P137" s="80">
        <f t="shared" si="103"/>
        <v>11786</v>
      </c>
      <c r="Q137" s="80">
        <f t="shared" si="103"/>
        <v>13666</v>
      </c>
      <c r="R137" s="80">
        <f t="shared" si="103"/>
        <v>13089</v>
      </c>
      <c r="S137" s="80">
        <f t="shared" ref="S137:T137" si="104">S14</f>
        <v>13408</v>
      </c>
      <c r="T137" s="80">
        <f t="shared" si="104"/>
        <v>17163</v>
      </c>
      <c r="U137" s="698">
        <v>16920</v>
      </c>
      <c r="V137" s="80">
        <f t="shared" ref="V137" si="105">V14</f>
        <v>17310</v>
      </c>
    </row>
    <row r="138" spans="1:22">
      <c r="A138" s="41">
        <v>30</v>
      </c>
      <c r="B138" s="60"/>
      <c r="C138" s="60" t="s">
        <v>428</v>
      </c>
      <c r="D138" s="41"/>
      <c r="E138" s="114"/>
      <c r="F138" s="80"/>
      <c r="G138" s="80"/>
      <c r="H138" s="80"/>
      <c r="I138" s="80"/>
      <c r="J138" s="80"/>
      <c r="K138" s="80"/>
      <c r="L138" s="80"/>
      <c r="M138" s="80"/>
      <c r="N138" s="80"/>
      <c r="O138" s="80"/>
      <c r="P138" s="80"/>
      <c r="Q138" s="80"/>
      <c r="R138" s="80"/>
      <c r="S138" s="80"/>
      <c r="T138" s="80"/>
      <c r="U138" s="698">
        <v>-3691</v>
      </c>
      <c r="V138" s="80"/>
    </row>
    <row r="139" spans="1:22">
      <c r="A139" s="41">
        <v>31</v>
      </c>
      <c r="B139" s="60"/>
      <c r="C139" s="60" t="s">
        <v>283</v>
      </c>
      <c r="D139" s="41"/>
      <c r="E139" s="41"/>
      <c r="F139" s="80">
        <f>-'Other Rev'!E16</f>
        <v>-7824</v>
      </c>
      <c r="G139" s="80">
        <f>-'Other Rev'!F19</f>
        <v>-2251</v>
      </c>
      <c r="H139" s="80">
        <f>-'Other Rev'!G19</f>
        <v>-25293</v>
      </c>
      <c r="I139" s="80">
        <f>-'Other Rev'!H19</f>
        <v>-47139</v>
      </c>
      <c r="J139" s="80">
        <f>-'Other Rev'!I19</f>
        <v>-285</v>
      </c>
      <c r="K139" s="80">
        <f>-'Other Rev'!J19</f>
        <v>-179.11379999999997</v>
      </c>
      <c r="L139" s="80">
        <f>-'Other Rev'!K19</f>
        <v>-198</v>
      </c>
      <c r="M139" s="80">
        <f>-'Other Rev'!L19</f>
        <v>-221</v>
      </c>
      <c r="N139" s="80">
        <f>-'Other Rev'!M19</f>
        <v>-1839</v>
      </c>
      <c r="O139" s="80">
        <f>-'Other Rev'!N19</f>
        <v>-448.37979999999999</v>
      </c>
      <c r="P139" s="80">
        <f>-'Other Rev'!O19</f>
        <v>-639.87119999999993</v>
      </c>
      <c r="Q139" s="80">
        <f>-'Other Rev'!P19</f>
        <v>-1751.694</v>
      </c>
      <c r="R139" s="80">
        <f>-'Other Rev'!Q19</f>
        <v>-1489.3194000000001</v>
      </c>
      <c r="S139" s="80">
        <f>-'Other Rev'!R19</f>
        <v>-282</v>
      </c>
      <c r="T139" s="80">
        <f>-'Other Rev'!S19</f>
        <v>-3062.3724999999999</v>
      </c>
      <c r="U139" s="698">
        <v>-267.11410000000001</v>
      </c>
      <c r="V139" s="80">
        <f>-'Other Rev'!U19</f>
        <v>0</v>
      </c>
    </row>
    <row r="140" spans="1:22">
      <c r="A140" s="41">
        <v>32</v>
      </c>
      <c r="B140" s="60"/>
      <c r="C140" s="60" t="s">
        <v>284</v>
      </c>
      <c r="D140" s="41"/>
      <c r="E140" s="41"/>
      <c r="F140" s="80">
        <f>-'Other Rev'!E19</f>
        <v>-3487.7256000000007</v>
      </c>
      <c r="G140" s="80">
        <f>-'Other Rev'!F16</f>
        <v>-9892</v>
      </c>
      <c r="H140" s="80">
        <f>-'Other Rev'!G16</f>
        <v>-7115</v>
      </c>
      <c r="I140" s="80">
        <f>-'Other Rev'!H16</f>
        <v>-7569</v>
      </c>
      <c r="J140" s="80">
        <f>-'Other Rev'!I16</f>
        <v>-5523</v>
      </c>
      <c r="K140" s="80">
        <f>-'Other Rev'!J16</f>
        <v>-6637</v>
      </c>
      <c r="L140" s="80">
        <f>-'Other Rev'!K16</f>
        <v>-7024</v>
      </c>
      <c r="M140" s="80">
        <f>-'Other Rev'!L16</f>
        <v>-6876</v>
      </c>
      <c r="N140" s="80">
        <f>-'Other Rev'!M16</f>
        <v>-6213</v>
      </c>
      <c r="O140" s="80">
        <f>-'Other Rev'!N16</f>
        <v>-6133</v>
      </c>
      <c r="P140" s="80">
        <f>-'Other Rev'!O16</f>
        <v>-8333</v>
      </c>
      <c r="Q140" s="80">
        <f>-'Other Rev'!P16</f>
        <v>-9102</v>
      </c>
      <c r="R140" s="80">
        <f>-'Other Rev'!Q16</f>
        <v>-8285</v>
      </c>
      <c r="S140" s="80">
        <f>-'Other Rev'!R16</f>
        <v>-9662</v>
      </c>
      <c r="T140" s="80">
        <f>-'Other Rev'!S16</f>
        <v>-10622</v>
      </c>
      <c r="U140" s="698">
        <v>-10511.5432</v>
      </c>
      <c r="V140" s="80">
        <f>-'Other Rev'!U16</f>
        <v>0</v>
      </c>
    </row>
    <row r="141" spans="1:22" ht="12.75" thickBot="1">
      <c r="A141" s="41">
        <v>33</v>
      </c>
      <c r="B141" s="202" t="s">
        <v>209</v>
      </c>
      <c r="C141" s="60"/>
      <c r="D141" s="41"/>
      <c r="E141" s="41"/>
      <c r="F141" s="200">
        <f>SUM(F137:F140)</f>
        <v>1750.2743999999993</v>
      </c>
      <c r="G141" s="200">
        <f t="shared" ref="G141:R141" si="106">SUM(G137:G140)</f>
        <v>2162</v>
      </c>
      <c r="H141" s="200">
        <f t="shared" si="106"/>
        <v>1866</v>
      </c>
      <c r="I141" s="200">
        <f t="shared" si="106"/>
        <v>2536</v>
      </c>
      <c r="J141" s="200">
        <f t="shared" si="106"/>
        <v>2779</v>
      </c>
      <c r="K141" s="200">
        <f t="shared" si="106"/>
        <v>3442.8862000000008</v>
      </c>
      <c r="L141" s="200">
        <f t="shared" si="106"/>
        <v>2956</v>
      </c>
      <c r="M141" s="200">
        <f t="shared" si="106"/>
        <v>3073</v>
      </c>
      <c r="N141" s="200">
        <f t="shared" si="106"/>
        <v>2875</v>
      </c>
      <c r="O141" s="200">
        <f t="shared" si="106"/>
        <v>2813.6201999999994</v>
      </c>
      <c r="P141" s="200">
        <f t="shared" si="106"/>
        <v>2813.1288000000004</v>
      </c>
      <c r="Q141" s="200">
        <f t="shared" si="106"/>
        <v>2812.3060000000005</v>
      </c>
      <c r="R141" s="200">
        <f t="shared" si="106"/>
        <v>3314.6805999999997</v>
      </c>
      <c r="S141" s="200">
        <f t="shared" ref="S141:T141" si="107">SUM(S137:S140)</f>
        <v>3464</v>
      </c>
      <c r="T141" s="200">
        <f t="shared" si="107"/>
        <v>3478.6275000000005</v>
      </c>
      <c r="U141" s="711">
        <v>2450.3426999999992</v>
      </c>
      <c r="V141" s="200">
        <f t="shared" ref="V141" si="108">SUM(V137:V140)</f>
        <v>17310</v>
      </c>
    </row>
    <row r="142" spans="1:22" ht="12.75" thickTop="1">
      <c r="A142" s="41"/>
      <c r="F142" s="50"/>
      <c r="G142" s="201">
        <f>(G141-F141)/F141</f>
        <v>0.23523488659835329</v>
      </c>
      <c r="H142" s="201">
        <f t="shared" ref="H142:V142" si="109">(H141-G141)/G141</f>
        <v>-0.13691026827012026</v>
      </c>
      <c r="I142" s="201">
        <f t="shared" si="109"/>
        <v>0.35905680600214362</v>
      </c>
      <c r="J142" s="201">
        <f t="shared" si="109"/>
        <v>9.5820189274447951E-2</v>
      </c>
      <c r="K142" s="201">
        <f t="shared" si="109"/>
        <v>0.23889391867578294</v>
      </c>
      <c r="L142" s="201">
        <f t="shared" si="109"/>
        <v>-0.14141803467102709</v>
      </c>
      <c r="M142" s="201">
        <f t="shared" si="109"/>
        <v>3.9580514208389712E-2</v>
      </c>
      <c r="N142" s="201">
        <f t="shared" si="109"/>
        <v>-6.4432150992515452E-2</v>
      </c>
      <c r="O142" s="201">
        <f t="shared" si="109"/>
        <v>-2.1349495652174127E-2</v>
      </c>
      <c r="P142" s="201">
        <f t="shared" si="109"/>
        <v>-1.7465043789455863E-4</v>
      </c>
      <c r="Q142" s="201">
        <f t="shared" si="109"/>
        <v>-2.9248571910390862E-4</v>
      </c>
      <c r="R142" s="201">
        <f t="shared" si="109"/>
        <v>0.17863440180407078</v>
      </c>
      <c r="S142" s="201">
        <f t="shared" si="109"/>
        <v>4.5047899939439209E-2</v>
      </c>
      <c r="T142" s="201">
        <f t="shared" si="109"/>
        <v>4.222719399538253E-3</v>
      </c>
      <c r="U142" s="712">
        <v>-0.29560072183641423</v>
      </c>
      <c r="V142" s="201">
        <f t="shared" si="109"/>
        <v>6.0643179829498974</v>
      </c>
    </row>
    <row r="143" spans="1:22" ht="4.5" hidden="1" customHeight="1">
      <c r="A143" s="41"/>
      <c r="F143" s="50"/>
      <c r="G143" s="201"/>
      <c r="H143" s="201"/>
      <c r="I143" s="201"/>
      <c r="J143" s="201"/>
      <c r="K143" s="201"/>
      <c r="L143" s="201"/>
      <c r="M143" s="201"/>
      <c r="N143" s="201"/>
      <c r="O143" s="201"/>
      <c r="P143" s="201"/>
      <c r="Q143" s="201"/>
      <c r="R143" s="201"/>
      <c r="S143" s="63"/>
      <c r="T143" s="63"/>
      <c r="U143" s="694"/>
    </row>
    <row r="144" spans="1:22" ht="4.9000000000000004" customHeight="1">
      <c r="A144" s="41"/>
      <c r="F144" s="50"/>
      <c r="G144" s="201"/>
      <c r="H144" s="201"/>
      <c r="I144" s="201"/>
      <c r="J144" s="201"/>
      <c r="K144" s="201"/>
      <c r="L144" s="201"/>
      <c r="M144" s="201"/>
      <c r="N144" s="201"/>
      <c r="O144" s="201"/>
      <c r="P144" s="201"/>
      <c r="Q144" s="201"/>
      <c r="R144" s="201"/>
      <c r="S144" s="63"/>
      <c r="T144" s="63"/>
      <c r="U144" s="694"/>
    </row>
    <row r="145" spans="1:21">
      <c r="A145" s="234" t="s">
        <v>78</v>
      </c>
      <c r="F145" s="50"/>
      <c r="G145" s="201"/>
      <c r="H145" s="201"/>
      <c r="I145" s="201"/>
      <c r="J145" s="201"/>
      <c r="K145" s="201"/>
      <c r="L145" s="201"/>
      <c r="M145" s="201"/>
      <c r="N145" s="201"/>
      <c r="O145" s="201"/>
      <c r="P145" s="201"/>
      <c r="Q145" s="201"/>
      <c r="R145" s="201"/>
      <c r="S145" s="63"/>
      <c r="T145" s="63"/>
      <c r="U145" s="63"/>
    </row>
    <row r="146" spans="1:21">
      <c r="A146" s="234" t="s">
        <v>293</v>
      </c>
      <c r="F146" s="50"/>
      <c r="G146" s="201"/>
      <c r="H146" s="201"/>
      <c r="I146" s="201"/>
      <c r="J146" s="201"/>
      <c r="K146" s="201"/>
      <c r="L146" s="201"/>
      <c r="M146" s="201"/>
      <c r="N146" s="201"/>
      <c r="O146" s="201"/>
      <c r="P146" s="201"/>
      <c r="Q146" s="201"/>
      <c r="R146" s="201"/>
      <c r="S146" s="63"/>
      <c r="T146" s="63"/>
      <c r="U146" s="63"/>
    </row>
    <row r="147" spans="1:21">
      <c r="A147" s="234" t="s">
        <v>292</v>
      </c>
      <c r="F147" s="50"/>
      <c r="G147" s="201"/>
      <c r="H147" s="201"/>
      <c r="I147" s="201"/>
      <c r="J147" s="201"/>
      <c r="K147" s="201"/>
      <c r="L147" s="201"/>
      <c r="M147" s="201"/>
      <c r="N147" s="201"/>
      <c r="O147" s="201"/>
      <c r="P147" s="201"/>
      <c r="Q147" s="201"/>
      <c r="R147" s="201"/>
      <c r="S147" s="63"/>
    </row>
    <row r="148" spans="1:21" ht="0.6" customHeight="1">
      <c r="A148" s="41"/>
      <c r="G148" s="30"/>
      <c r="H148" s="30"/>
      <c r="I148" s="30"/>
      <c r="J148" s="30"/>
      <c r="L148" s="30"/>
      <c r="M148" s="30"/>
      <c r="N148" s="30"/>
      <c r="O148" s="30"/>
      <c r="P148" s="30"/>
      <c r="Q148" s="30"/>
      <c r="R148" s="30"/>
    </row>
    <row r="149" spans="1:21" ht="15.75">
      <c r="A149" s="142" t="s">
        <v>2</v>
      </c>
      <c r="E149" s="779" t="s">
        <v>300</v>
      </c>
      <c r="F149" s="779"/>
      <c r="G149" s="779"/>
      <c r="H149" s="779"/>
      <c r="I149" s="779"/>
      <c r="J149" s="779"/>
      <c r="K149" s="779"/>
      <c r="L149" s="779"/>
      <c r="M149" s="779"/>
      <c r="N149" s="779"/>
      <c r="O149" s="779"/>
      <c r="P149" s="779"/>
      <c r="Q149" s="779"/>
      <c r="R149" s="779"/>
      <c r="T149" s="63"/>
      <c r="U149" s="63"/>
    </row>
    <row r="150" spans="1:21" ht="12.75">
      <c r="A150" s="144" t="s">
        <v>69</v>
      </c>
      <c r="B150" s="145" t="s">
        <v>196</v>
      </c>
      <c r="C150" s="145"/>
      <c r="D150" s="146"/>
      <c r="E150" s="147"/>
      <c r="F150" s="147"/>
      <c r="G150" s="236"/>
      <c r="H150" s="236" t="s">
        <v>197</v>
      </c>
      <c r="I150" s="236" t="s">
        <v>198</v>
      </c>
      <c r="J150" s="236" t="s">
        <v>199</v>
      </c>
      <c r="K150" s="236" t="s">
        <v>200</v>
      </c>
      <c r="L150" s="236" t="s">
        <v>201</v>
      </c>
      <c r="M150" s="236" t="s">
        <v>202</v>
      </c>
      <c r="N150" s="236" t="s">
        <v>203</v>
      </c>
      <c r="O150" s="236" t="s">
        <v>204</v>
      </c>
      <c r="P150" s="236" t="s">
        <v>205</v>
      </c>
      <c r="Q150" s="236" t="s">
        <v>206</v>
      </c>
      <c r="R150" s="236" t="s">
        <v>207</v>
      </c>
      <c r="S150" s="236" t="s">
        <v>310</v>
      </c>
      <c r="T150" s="318" t="s">
        <v>347</v>
      </c>
      <c r="U150" s="687" t="s">
        <v>416</v>
      </c>
    </row>
    <row r="151" spans="1:21" ht="12.75">
      <c r="A151" s="148"/>
      <c r="B151"/>
      <c r="C151"/>
      <c r="D151"/>
      <c r="E151"/>
      <c r="F151"/>
      <c r="G151" s="208"/>
      <c r="H151" s="208"/>
      <c r="I151" s="208"/>
      <c r="J151" s="208"/>
      <c r="K151" s="208"/>
      <c r="L151" s="208"/>
      <c r="M151" s="208"/>
      <c r="N151" s="208"/>
      <c r="O151" s="208"/>
      <c r="P151" s="143"/>
      <c r="Q151" s="143"/>
      <c r="R151" s="143"/>
      <c r="S151" s="143"/>
      <c r="T151" s="319"/>
      <c r="U151" s="319"/>
    </row>
    <row r="152" spans="1:21" ht="12.75">
      <c r="A152" s="148">
        <v>1</v>
      </c>
      <c r="B152" s="280" t="s">
        <v>247</v>
      </c>
      <c r="C152"/>
      <c r="D152"/>
      <c r="E152"/>
      <c r="F152"/>
      <c r="G152" s="209"/>
      <c r="H152" s="209">
        <f t="shared" ref="H152:Q152" si="110">(H104-G104)/G104</f>
        <v>0.1477938608922629</v>
      </c>
      <c r="I152" s="209">
        <f t="shared" si="110"/>
        <v>-3.5183057127066861E-2</v>
      </c>
      <c r="J152" s="209">
        <f t="shared" si="110"/>
        <v>0.12244661356050802</v>
      </c>
      <c r="K152" s="209">
        <f t="shared" si="110"/>
        <v>9.6827726347769195E-3</v>
      </c>
      <c r="L152" s="209">
        <f t="shared" si="110"/>
        <v>7.242209997672179E-2</v>
      </c>
      <c r="M152" s="209">
        <f t="shared" si="110"/>
        <v>3.809384416546472E-2</v>
      </c>
      <c r="N152" s="209">
        <f t="shared" si="110"/>
        <v>7.5203913425506114E-2</v>
      </c>
      <c r="O152" s="320">
        <f t="shared" si="110"/>
        <v>9.2214213847569129E-2</v>
      </c>
      <c r="P152" s="320">
        <f t="shared" si="110"/>
        <v>4.9500038223614332E-2</v>
      </c>
      <c r="Q152" s="209">
        <f t="shared" si="110"/>
        <v>8.595926573694776E-2</v>
      </c>
      <c r="R152" s="209">
        <f>(R104-Q104)/Q104</f>
        <v>9.0551378103331207E-2</v>
      </c>
      <c r="S152" s="209">
        <f>(S104-R104)/R104</f>
        <v>-4.5206093486132248E-2</v>
      </c>
      <c r="T152" s="320">
        <f>(T104-S104)/S104</f>
        <v>1.8527741031826316E-2</v>
      </c>
      <c r="U152" s="320">
        <v>5.6696029520746268E-2</v>
      </c>
    </row>
    <row r="153" spans="1:21" ht="12.75">
      <c r="A153" s="148"/>
      <c r="B153" s="273"/>
      <c r="C153"/>
      <c r="D153"/>
      <c r="E153"/>
      <c r="F153"/>
      <c r="G153" s="208"/>
      <c r="H153" s="208"/>
      <c r="I153" s="208"/>
      <c r="J153" s="208"/>
      <c r="K153" s="208"/>
      <c r="L153" s="208"/>
      <c r="M153" s="208"/>
      <c r="N153" s="208"/>
      <c r="O153" s="208"/>
      <c r="P153" s="208"/>
      <c r="Q153" s="208"/>
      <c r="R153" s="208"/>
      <c r="S153" s="208"/>
      <c r="T153" s="321"/>
      <c r="U153" s="321"/>
    </row>
    <row r="154" spans="1:21" ht="12.75">
      <c r="A154" s="148">
        <v>2</v>
      </c>
      <c r="B154" s="280" t="s">
        <v>257</v>
      </c>
      <c r="C154"/>
      <c r="D154"/>
      <c r="E154"/>
      <c r="F154"/>
      <c r="G154" s="209"/>
      <c r="H154" s="209">
        <f t="shared" ref="H154:R154" si="111">(H111-G111)/G111</f>
        <v>0.25685906786135998</v>
      </c>
      <c r="I154" s="209">
        <f t="shared" si="111"/>
        <v>2.0558165239016303E-2</v>
      </c>
      <c r="J154" s="209">
        <f t="shared" si="111"/>
        <v>4.1073265825526617E-2</v>
      </c>
      <c r="K154" s="209">
        <f t="shared" si="111"/>
        <v>2.8971938311097241E-2</v>
      </c>
      <c r="L154" s="209">
        <f t="shared" si="111"/>
        <v>5.6792619739668898E-2</v>
      </c>
      <c r="M154" s="209">
        <f t="shared" si="111"/>
        <v>2.7193150291782264E-2</v>
      </c>
      <c r="N154" s="209">
        <f t="shared" si="111"/>
        <v>6.8104030361591655E-2</v>
      </c>
      <c r="O154" s="209">
        <f t="shared" si="111"/>
        <v>5.6502594061995905E-2</v>
      </c>
      <c r="P154" s="209">
        <f t="shared" si="111"/>
        <v>7.8488012214748479E-2</v>
      </c>
      <c r="Q154" s="209">
        <f t="shared" si="111"/>
        <v>5.8044767553089724E-2</v>
      </c>
      <c r="R154" s="209">
        <f t="shared" si="111"/>
        <v>6.5854187762187183E-2</v>
      </c>
      <c r="S154" s="209">
        <f>(S111-R111)/R111</f>
        <v>2.3105893529671226E-2</v>
      </c>
      <c r="T154" s="320">
        <f>(T111-S111)/S111</f>
        <v>6.8780261325197323E-2</v>
      </c>
      <c r="U154" s="320">
        <v>0.11438810971825741</v>
      </c>
    </row>
    <row r="155" spans="1:21" ht="12.75">
      <c r="A155" s="148"/>
      <c r="B155" s="273"/>
      <c r="C155"/>
      <c r="D155"/>
      <c r="E155"/>
      <c r="F155"/>
      <c r="G155" s="208"/>
      <c r="H155" s="208"/>
      <c r="I155" s="208"/>
      <c r="J155" s="208"/>
      <c r="K155" s="208"/>
      <c r="L155" s="208"/>
      <c r="M155" s="208"/>
      <c r="N155" s="208"/>
      <c r="O155" s="208"/>
      <c r="P155" s="143"/>
      <c r="Q155" s="143"/>
      <c r="R155" s="143"/>
      <c r="S155" s="143"/>
      <c r="T155" s="319"/>
      <c r="U155" s="319"/>
    </row>
    <row r="156" spans="1:21" ht="12.75">
      <c r="A156" s="148">
        <v>3</v>
      </c>
      <c r="B156" s="152" t="s">
        <v>324</v>
      </c>
      <c r="C156"/>
      <c r="D156"/>
      <c r="E156"/>
      <c r="F156"/>
      <c r="G156" s="209"/>
      <c r="H156" s="209">
        <f t="shared" ref="H156:T156" si="112">(H127-G127)/G127</f>
        <v>0.18401964495391404</v>
      </c>
      <c r="I156" s="209">
        <f t="shared" si="112"/>
        <v>-8.300335993571507E-3</v>
      </c>
      <c r="J156" s="209">
        <f t="shared" si="112"/>
        <v>2.7835312581817567E-2</v>
      </c>
      <c r="K156" s="209">
        <f t="shared" si="112"/>
        <v>1.2526513023570099E-2</v>
      </c>
      <c r="L156" s="209">
        <f>(L127-K127)/K127</f>
        <v>1.7032879283494611E-2</v>
      </c>
      <c r="M156" s="209">
        <f t="shared" si="112"/>
        <v>-3.9328404153839702E-2</v>
      </c>
      <c r="N156" s="209">
        <f t="shared" si="112"/>
        <v>3.2469427673928221E-2</v>
      </c>
      <c r="O156" s="209">
        <f t="shared" si="112"/>
        <v>5.5968552728864154E-2</v>
      </c>
      <c r="P156" s="209">
        <f t="shared" si="112"/>
        <v>0.10609960911742022</v>
      </c>
      <c r="Q156" s="209">
        <f t="shared" si="112"/>
        <v>0.1096052140118256</v>
      </c>
      <c r="R156" s="209">
        <f t="shared" si="112"/>
        <v>3.4428640174412488E-2</v>
      </c>
      <c r="S156" s="209">
        <f t="shared" si="112"/>
        <v>8.6301082257175296E-2</v>
      </c>
      <c r="T156" s="320">
        <f t="shared" si="112"/>
        <v>5.2475355372801048E-2</v>
      </c>
      <c r="U156" s="320">
        <v>7.5862247406142461E-2</v>
      </c>
    </row>
    <row r="157" spans="1:21" ht="12.75">
      <c r="A157" s="148"/>
      <c r="B157" s="273"/>
      <c r="C157"/>
      <c r="D157"/>
      <c r="E157"/>
      <c r="F157"/>
      <c r="G157" s="208"/>
      <c r="H157" s="208"/>
      <c r="I157" s="208"/>
      <c r="J157" s="208"/>
      <c r="K157" s="208"/>
      <c r="L157" s="208"/>
      <c r="M157" s="208"/>
      <c r="N157" s="208"/>
      <c r="O157" s="208"/>
      <c r="P157" s="143"/>
      <c r="Q157" s="143"/>
      <c r="R157" s="143"/>
      <c r="S157" s="143"/>
      <c r="T157" s="319"/>
      <c r="U157" s="319"/>
    </row>
    <row r="158" spans="1:21" ht="12.75">
      <c r="A158" s="148">
        <v>4</v>
      </c>
      <c r="B158" s="208" t="s">
        <v>132</v>
      </c>
      <c r="C158"/>
      <c r="D158"/>
      <c r="E158"/>
      <c r="F158"/>
      <c r="G158" s="209"/>
      <c r="H158" s="209">
        <f t="shared" ref="H158:T158" si="113">(H130-G130)/G130</f>
        <v>0.11660360150873199</v>
      </c>
      <c r="I158" s="209">
        <f t="shared" si="113"/>
        <v>-2.5557740208951428E-2</v>
      </c>
      <c r="J158" s="209">
        <f t="shared" si="113"/>
        <v>5.1559668166338703E-2</v>
      </c>
      <c r="K158" s="209">
        <f t="shared" si="113"/>
        <v>5.4549221649185228E-2</v>
      </c>
      <c r="L158" s="209">
        <f t="shared" si="113"/>
        <v>7.0856760994680204E-2</v>
      </c>
      <c r="M158" s="209">
        <f t="shared" si="113"/>
        <v>1.7673002131558282E-2</v>
      </c>
      <c r="N158" s="209">
        <f t="shared" si="113"/>
        <v>5.3295974553158751E-2</v>
      </c>
      <c r="O158" s="209">
        <f t="shared" si="113"/>
        <v>7.6310960951630258E-2</v>
      </c>
      <c r="P158" s="209">
        <f t="shared" si="113"/>
        <v>4.9451857344139184E-2</v>
      </c>
      <c r="Q158" s="209">
        <f t="shared" si="113"/>
        <v>4.9299078049232482E-2</v>
      </c>
      <c r="R158" s="209">
        <f t="shared" si="113"/>
        <v>4.0867743926500798E-2</v>
      </c>
      <c r="S158" s="209">
        <f t="shared" si="113"/>
        <v>5.6063699108318529E-2</v>
      </c>
      <c r="T158" s="320">
        <f t="shared" si="113"/>
        <v>1.631283420222425E-2</v>
      </c>
      <c r="U158" s="320">
        <v>4.7033192150869818E-2</v>
      </c>
    </row>
    <row r="159" spans="1:21" ht="12.75">
      <c r="A159" s="148"/>
      <c r="B159" s="273"/>
      <c r="C159"/>
      <c r="D159"/>
      <c r="E159"/>
      <c r="F159"/>
      <c r="G159" s="208"/>
      <c r="H159" s="208"/>
      <c r="I159" s="208"/>
      <c r="J159" s="208"/>
      <c r="K159" s="208"/>
      <c r="L159" s="208"/>
      <c r="M159" s="208"/>
      <c r="N159" s="208"/>
      <c r="O159" s="208"/>
      <c r="P159" s="208"/>
      <c r="Q159" s="208"/>
      <c r="R159" s="208"/>
      <c r="S159" s="208"/>
      <c r="T159" s="321"/>
      <c r="U159" s="321"/>
    </row>
    <row r="160" spans="1:21" ht="12.75">
      <c r="A160" s="148">
        <v>5</v>
      </c>
      <c r="B160" s="208" t="s">
        <v>263</v>
      </c>
      <c r="C160"/>
      <c r="D160"/>
      <c r="E160"/>
      <c r="F160"/>
      <c r="G160" s="209"/>
      <c r="H160" s="209">
        <f t="shared" ref="H160:T160" si="114">(H133-G133)/G133</f>
        <v>0.27504414115126818</v>
      </c>
      <c r="I160" s="209">
        <f t="shared" si="114"/>
        <v>-2.5483751565252316E-2</v>
      </c>
      <c r="J160" s="209">
        <f t="shared" si="114"/>
        <v>4.7906707989704263E-2</v>
      </c>
      <c r="K160" s="209">
        <f t="shared" si="114"/>
        <v>5.3766591989059281E-2</v>
      </c>
      <c r="L160" s="209">
        <f t="shared" si="114"/>
        <v>6.6682360747558678E-2</v>
      </c>
      <c r="M160" s="209">
        <f t="shared" si="114"/>
        <v>1.9832797986531901E-2</v>
      </c>
      <c r="N160" s="209">
        <f t="shared" si="114"/>
        <v>5.0439813646837209E-2</v>
      </c>
      <c r="O160" s="209">
        <f t="shared" si="114"/>
        <v>7.2775500619102512E-2</v>
      </c>
      <c r="P160" s="209">
        <f t="shared" si="114"/>
        <v>6.6674361380232611E-2</v>
      </c>
      <c r="Q160" s="209">
        <f t="shared" si="114"/>
        <v>6.1411642233225254E-2</v>
      </c>
      <c r="R160" s="209">
        <f t="shared" si="114"/>
        <v>1.855407900599633E-2</v>
      </c>
      <c r="S160" s="209">
        <f t="shared" si="114"/>
        <v>5.7876140555231992E-2</v>
      </c>
      <c r="T160" s="320">
        <f t="shared" si="114"/>
        <v>3.8420067011839629E-2</v>
      </c>
      <c r="U160" s="320">
        <v>5.1563946944485246E-2</v>
      </c>
    </row>
    <row r="161" spans="1:21" ht="12.75">
      <c r="A161" s="148"/>
      <c r="B161" s="208"/>
      <c r="C161"/>
      <c r="D161"/>
      <c r="E161"/>
      <c r="F161"/>
      <c r="G161" s="209"/>
      <c r="H161" s="209"/>
      <c r="I161" s="209"/>
      <c r="J161" s="209"/>
      <c r="K161" s="209"/>
      <c r="L161" s="209"/>
      <c r="M161" s="209"/>
      <c r="N161" s="209"/>
      <c r="O161" s="209"/>
      <c r="P161" s="209"/>
      <c r="Q161" s="209"/>
      <c r="R161" s="209"/>
      <c r="S161" s="209"/>
      <c r="T161" s="320"/>
      <c r="U161" s="320"/>
    </row>
    <row r="162" spans="1:21" ht="12.75">
      <c r="A162" s="148">
        <v>6</v>
      </c>
      <c r="B162" s="208" t="s">
        <v>209</v>
      </c>
      <c r="C162"/>
      <c r="D162"/>
      <c r="E162"/>
      <c r="F162"/>
      <c r="G162" s="209"/>
      <c r="H162" s="209">
        <f t="shared" ref="H162:T162" si="115">(H141-G141)/G141</f>
        <v>-0.13691026827012026</v>
      </c>
      <c r="I162" s="209">
        <f t="shared" si="115"/>
        <v>0.35905680600214362</v>
      </c>
      <c r="J162" s="209">
        <f t="shared" si="115"/>
        <v>9.5820189274447951E-2</v>
      </c>
      <c r="K162" s="209">
        <f t="shared" si="115"/>
        <v>0.23889391867578294</v>
      </c>
      <c r="L162" s="209">
        <f t="shared" si="115"/>
        <v>-0.14141803467102709</v>
      </c>
      <c r="M162" s="209">
        <f t="shared" si="115"/>
        <v>3.9580514208389712E-2</v>
      </c>
      <c r="N162" s="209">
        <f t="shared" si="115"/>
        <v>-6.4432150992515452E-2</v>
      </c>
      <c r="O162" s="209">
        <f t="shared" si="115"/>
        <v>-2.1349495652174127E-2</v>
      </c>
      <c r="P162" s="209">
        <f t="shared" si="115"/>
        <v>-1.7465043789455863E-4</v>
      </c>
      <c r="Q162" s="209">
        <f t="shared" si="115"/>
        <v>-2.9248571910390862E-4</v>
      </c>
      <c r="R162" s="209">
        <f t="shared" si="115"/>
        <v>0.17863440180407078</v>
      </c>
      <c r="S162" s="209">
        <f t="shared" si="115"/>
        <v>4.5047899939439209E-2</v>
      </c>
      <c r="T162" s="320">
        <f t="shared" si="115"/>
        <v>4.222719399538253E-3</v>
      </c>
      <c r="U162" s="320">
        <v>-0.29560072183641423</v>
      </c>
    </row>
    <row r="163" spans="1:21" ht="12.75">
      <c r="A163" s="148"/>
      <c r="B163"/>
      <c r="C163"/>
      <c r="D163"/>
      <c r="E163"/>
      <c r="F163"/>
      <c r="G163"/>
      <c r="H163"/>
      <c r="I163"/>
      <c r="J163"/>
      <c r="K163"/>
      <c r="L163" s="204"/>
      <c r="M163"/>
      <c r="N163" s="204"/>
      <c r="O163"/>
      <c r="P163" s="204"/>
      <c r="Q163" s="143"/>
      <c r="R163" s="143"/>
      <c r="S163" s="29"/>
      <c r="T163" s="29"/>
      <c r="U163" s="29"/>
    </row>
    <row r="164" spans="1:21" ht="12.75">
      <c r="A164" s="148"/>
      <c r="B164" s="145" t="s">
        <v>411</v>
      </c>
      <c r="C164" s="145"/>
      <c r="D164" s="146"/>
      <c r="E164" s="147"/>
      <c r="F164" s="147"/>
      <c r="G164" s="236"/>
      <c r="H164" s="236" t="s">
        <v>348</v>
      </c>
      <c r="I164" s="236" t="s">
        <v>352</v>
      </c>
      <c r="J164" s="236" t="s">
        <v>349</v>
      </c>
      <c r="K164" s="236" t="s">
        <v>350</v>
      </c>
      <c r="L164" s="236" t="s">
        <v>351</v>
      </c>
      <c r="M164" s="236" t="s">
        <v>417</v>
      </c>
      <c r="N164" s="236" t="s">
        <v>418</v>
      </c>
      <c r="O164" s="236" t="s">
        <v>419</v>
      </c>
      <c r="P164" s="236" t="s">
        <v>420</v>
      </c>
      <c r="Q164" s="236" t="s">
        <v>421</v>
      </c>
      <c r="R164" s="236" t="s">
        <v>422</v>
      </c>
      <c r="S164" s="236" t="s">
        <v>423</v>
      </c>
      <c r="T164" s="318" t="s">
        <v>424</v>
      </c>
      <c r="U164" s="687" t="s">
        <v>416</v>
      </c>
    </row>
    <row r="165" spans="1:21" ht="13.5" thickBot="1">
      <c r="A165" s="148"/>
      <c r="B165"/>
      <c r="C165"/>
      <c r="D165"/>
      <c r="E165"/>
      <c r="F165"/>
      <c r="G165" s="210"/>
      <c r="H165" s="210"/>
      <c r="I165" s="210"/>
      <c r="J165" s="210"/>
      <c r="K165" s="210"/>
      <c r="L165" s="210"/>
      <c r="M165" s="210"/>
      <c r="N165" s="279"/>
      <c r="O165" s="210"/>
      <c r="P165" s="143"/>
      <c r="Q165" s="143"/>
      <c r="R165" s="143"/>
      <c r="S165" s="41"/>
      <c r="T165" s="41"/>
      <c r="U165" s="41"/>
    </row>
    <row r="166" spans="1:21" ht="12.75">
      <c r="A166" s="148">
        <v>7</v>
      </c>
      <c r="B166" s="280" t="s">
        <v>247</v>
      </c>
      <c r="C166"/>
      <c r="D166"/>
      <c r="E166"/>
      <c r="F166"/>
      <c r="G166" s="211"/>
      <c r="H166" s="211">
        <f>RATE(13,,-G104,$T104)</f>
        <v>5.4085351828145806E-2</v>
      </c>
      <c r="I166" s="211">
        <f>RATE(12,,-H104,$T104)</f>
        <v>4.6630616803142892E-2</v>
      </c>
      <c r="J166" s="211">
        <f>RATE(11,,-I104,$T104)</f>
        <v>5.4403736137317749E-2</v>
      </c>
      <c r="K166" s="211">
        <f>RATE(10,,-J104,$T104)</f>
        <v>4.7830559573585583E-2</v>
      </c>
      <c r="L166" s="211">
        <f>RATE(9,,-K104,$T104)</f>
        <v>5.2157192986189232E-2</v>
      </c>
      <c r="M166" s="211">
        <f>RATE(9,,-L104,$U104)</f>
        <v>5.0431593137940128E-2</v>
      </c>
      <c r="N166" s="372">
        <f>RATE(8,,-M104,$U104)</f>
        <v>5.1984086433779185E-2</v>
      </c>
      <c r="O166" s="278">
        <f>RATE(7,,-N104,$U104)</f>
        <v>4.8708158077241562E-2</v>
      </c>
      <c r="P166" s="278">
        <f>RATE(6,,-O104,$U104)</f>
        <v>4.1627531232427496E-2</v>
      </c>
      <c r="Q166" s="278">
        <f>RATE(5,,-P104,$U104)</f>
        <v>4.0060130444785021E-2</v>
      </c>
      <c r="R166" s="278">
        <f>RATE(4,,-Q104,$U104)</f>
        <v>2.8891730817766872E-2</v>
      </c>
      <c r="S166" s="278">
        <f>RATE(3,,-R104,$U104)</f>
        <v>9.1232030178049327E-3</v>
      </c>
      <c r="T166" s="278">
        <f>RATE(2,,-S104,$U104)</f>
        <v>3.7436369087312162E-2</v>
      </c>
      <c r="U166" s="278">
        <v>5.6696029520746385E-2</v>
      </c>
    </row>
    <row r="167" spans="1:21" ht="9" customHeight="1">
      <c r="A167" s="148"/>
      <c r="B167" s="280"/>
      <c r="C167"/>
      <c r="D167"/>
      <c r="E167"/>
      <c r="F167"/>
      <c r="G167" s="211"/>
      <c r="H167" s="211"/>
      <c r="I167" s="211"/>
      <c r="J167" s="211"/>
      <c r="K167" s="211"/>
      <c r="L167" s="211"/>
      <c r="M167" s="211"/>
      <c r="N167" s="258"/>
      <c r="O167" s="211"/>
      <c r="P167" s="211"/>
      <c r="Q167" s="211"/>
      <c r="R167" s="211"/>
      <c r="S167" s="211"/>
      <c r="T167" s="278"/>
      <c r="U167" s="278"/>
    </row>
    <row r="168" spans="1:21" ht="12.75">
      <c r="A168" s="142" t="s">
        <v>301</v>
      </c>
      <c r="B168" s="280"/>
      <c r="C168"/>
      <c r="D168"/>
      <c r="E168"/>
      <c r="F168"/>
      <c r="G168" s="211"/>
      <c r="H168" s="211"/>
      <c r="I168" s="211"/>
      <c r="J168" s="211"/>
      <c r="K168" s="211"/>
      <c r="L168" s="211"/>
      <c r="M168" s="211"/>
      <c r="N168" s="364"/>
      <c r="O168" s="211"/>
      <c r="P168" s="211"/>
      <c r="Q168" s="211"/>
      <c r="R168" s="211"/>
      <c r="S168" s="211"/>
      <c r="T168" s="278"/>
      <c r="U168" s="278"/>
    </row>
    <row r="169" spans="1:21" ht="8.25" customHeight="1">
      <c r="A169" s="142"/>
      <c r="B169" s="280"/>
      <c r="C169"/>
      <c r="D169"/>
      <c r="E169"/>
      <c r="F169"/>
      <c r="G169" s="211"/>
      <c r="H169" s="211"/>
      <c r="I169" s="211"/>
      <c r="J169" s="211"/>
      <c r="K169" s="211"/>
      <c r="L169" s="211"/>
      <c r="M169" s="211"/>
      <c r="N169" s="258"/>
      <c r="O169" s="211"/>
      <c r="P169" s="211"/>
      <c r="Q169" s="211"/>
      <c r="R169" s="211"/>
      <c r="S169" s="211"/>
      <c r="T169" s="278"/>
      <c r="U169" s="278"/>
    </row>
    <row r="170" spans="1:21" ht="12.75">
      <c r="A170" s="142">
        <v>8</v>
      </c>
      <c r="B170" s="280" t="s">
        <v>257</v>
      </c>
      <c r="C170"/>
      <c r="D170"/>
      <c r="E170"/>
      <c r="F170"/>
      <c r="G170" s="211"/>
      <c r="H170" s="211">
        <f>RATE(13,,-G111,$T111)</f>
        <v>6.394726835508166E-2</v>
      </c>
      <c r="I170" s="211">
        <f t="shared" ref="I170" si="116">RATE(12,,-H111,$T111)</f>
        <v>4.9275576140767163E-2</v>
      </c>
      <c r="J170" s="211">
        <f>RATE(11,,-I111,$T111)</f>
        <v>5.1925982638870098E-2</v>
      </c>
      <c r="K170" s="211">
        <f>RATE(10,,-J111,$T111)</f>
        <v>5.3017457362145651E-2</v>
      </c>
      <c r="L170" s="211">
        <f>RATE(9,,-K111,$T111)</f>
        <v>5.5723629797216304E-2</v>
      </c>
      <c r="M170" s="385">
        <f>RATE(8,,-L111,$U111)</f>
        <v>6.9978028680968543E-2</v>
      </c>
      <c r="N170" s="427">
        <f>RATE(7,,-M111,$U111)</f>
        <v>7.6233931959493614E-2</v>
      </c>
      <c r="O170" s="385">
        <f>RATE(6,,-N111,$U111)</f>
        <v>7.7594919087382308E-2</v>
      </c>
      <c r="P170" s="385">
        <f>RATE(5,,-O111,$U111)</f>
        <v>8.1863648661352664E-2</v>
      </c>
      <c r="Q170" s="385">
        <f>RATE(4,,-P111,$U111)</f>
        <v>8.2709207365082568E-2</v>
      </c>
      <c r="R170" s="385">
        <f>RATE(3,,-Q111,$U111)</f>
        <v>9.1057800905234534E-2</v>
      </c>
      <c r="S170" s="385">
        <f>RATE(2,,-R111,$U111)</f>
        <v>0.10388222491243539</v>
      </c>
      <c r="T170" s="385">
        <f>RATE(1,,-S111,$U111)</f>
        <v>0.19103601512237176</v>
      </c>
      <c r="U170" s="385">
        <v>0.11438810971825722</v>
      </c>
    </row>
    <row r="171" spans="1:21" ht="9.75" customHeight="1">
      <c r="A171" s="142"/>
      <c r="B171" s="280"/>
      <c r="C171"/>
      <c r="D171" s="2"/>
      <c r="E171"/>
      <c r="F171"/>
      <c r="G171" s="151"/>
      <c r="H171" s="151"/>
      <c r="I171" s="151"/>
      <c r="J171" s="151"/>
      <c r="K171" s="151"/>
      <c r="L171" s="151"/>
      <c r="M171" s="386"/>
      <c r="N171" s="427"/>
      <c r="O171" s="386"/>
      <c r="P171" s="386"/>
      <c r="Q171" s="386"/>
      <c r="R171" s="386"/>
      <c r="S171" s="386"/>
      <c r="T171" s="386"/>
      <c r="U171" s="386"/>
    </row>
    <row r="172" spans="1:21" ht="12.75">
      <c r="A172" s="142">
        <v>9</v>
      </c>
      <c r="B172" s="280" t="s">
        <v>324</v>
      </c>
      <c r="C172"/>
      <c r="D172"/>
      <c r="E172"/>
      <c r="F172"/>
      <c r="G172" s="211"/>
      <c r="H172" s="211">
        <f>RATE(13,,-G127,$T127)</f>
        <v>5.0162123078173367E-2</v>
      </c>
      <c r="I172" s="211">
        <f>RATE(12,,-H127,$T127)</f>
        <v>3.9715384987870278E-2</v>
      </c>
      <c r="J172" s="211">
        <f>RATE(11,,-I127,$T127)</f>
        <v>4.4194076809312872E-2</v>
      </c>
      <c r="K172" s="211">
        <f>RATE(10,,-J127,$T127)</f>
        <v>4.5844205275785872E-2</v>
      </c>
      <c r="L172" s="211">
        <f>RATE(9,,-K127,$T127)</f>
        <v>4.9613196349063395E-2</v>
      </c>
      <c r="M172" s="385">
        <f>RATE(8,,-L127,$U127)</f>
        <v>6.3434270556456299E-2</v>
      </c>
      <c r="N172" s="427">
        <f>RATE(7,,-M127,$U127)</f>
        <v>7.8985857094859446E-2</v>
      </c>
      <c r="O172" s="385">
        <f>RATE(6,,-N127,$U127)</f>
        <v>8.6939848379968085E-2</v>
      </c>
      <c r="P172" s="385">
        <f>RATE(5,,-O127,$U127)</f>
        <v>9.3242271668471335E-2</v>
      </c>
      <c r="Q172" s="385">
        <f>RATE(4,,-P127,$U127)</f>
        <v>9.0051357719047834E-2</v>
      </c>
      <c r="R172" s="385">
        <f>RATE(3,,-Q127,$U127)</f>
        <v>8.3610282156858923E-2</v>
      </c>
      <c r="S172" s="385">
        <f>RATE(2,,-R127,$U127)</f>
        <v>0.10907114888172825</v>
      </c>
      <c r="T172" s="385">
        <f>RATE(1,,-S127,$U127)</f>
        <v>0.13231850117096025</v>
      </c>
      <c r="U172" s="385">
        <v>7.5862247406142433E-2</v>
      </c>
    </row>
    <row r="173" spans="1:21" ht="9" customHeight="1">
      <c r="A173" s="142"/>
      <c r="B173" s="273"/>
      <c r="C173"/>
      <c r="D173" s="2"/>
      <c r="E173"/>
      <c r="F173"/>
      <c r="G173" s="151"/>
      <c r="H173" s="151"/>
      <c r="I173" s="151"/>
      <c r="J173" s="151"/>
      <c r="K173" s="151"/>
      <c r="L173" s="151"/>
      <c r="M173" s="386"/>
      <c r="N173" s="427"/>
      <c r="O173" s="386"/>
      <c r="P173" s="386"/>
      <c r="Q173" s="386"/>
      <c r="R173" s="386"/>
      <c r="S173" s="386"/>
      <c r="T173" s="386"/>
      <c r="U173" s="386"/>
    </row>
    <row r="174" spans="1:21" ht="12.75">
      <c r="A174" s="142">
        <v>10</v>
      </c>
      <c r="B174" s="208" t="s">
        <v>132</v>
      </c>
      <c r="C174"/>
      <c r="D174"/>
      <c r="E174" s="143"/>
      <c r="F174" s="143"/>
      <c r="G174" s="212"/>
      <c r="H174" s="212">
        <f>RATE(13,,-G130,$T130)</f>
        <v>4.7751654874845346E-2</v>
      </c>
      <c r="I174" s="212">
        <f>RATE(12,,-H130,$T130)</f>
        <v>4.2209353212042514E-2</v>
      </c>
      <c r="J174" s="212">
        <f>RATE(11,,-I130,$T130)</f>
        <v>4.8598924277941435E-2</v>
      </c>
      <c r="K174" s="212">
        <f>RATE(10,,-J130,$T130)</f>
        <v>4.830330876750677E-2</v>
      </c>
      <c r="L174" s="212">
        <f>RATE(9,,-K130,$T130)</f>
        <v>4.7611606013095532E-2</v>
      </c>
      <c r="M174" s="387">
        <f>RATE(8,,-L130,$U130)</f>
        <v>5.0761065158735519E-2</v>
      </c>
      <c r="N174" s="427">
        <f>RATE(7,,-M130,$U130)</f>
        <v>5.5574948572017446E-2</v>
      </c>
      <c r="O174" s="387">
        <f>RATE(6,,-N130,$U130)</f>
        <v>5.5955256682726731E-2</v>
      </c>
      <c r="P174" s="387">
        <f>RATE(5,,-O130,$U130)</f>
        <v>5.1930548030763267E-2</v>
      </c>
      <c r="Q174" s="387">
        <f>RATE(4,,-P130,$U130)</f>
        <v>5.2551134912318158E-2</v>
      </c>
      <c r="R174" s="387">
        <f>RATE(3,,-Q130,$U130)</f>
        <v>5.3637392101405418E-2</v>
      </c>
      <c r="S174" s="387">
        <f>RATE(2,,-R130,$U130)</f>
        <v>6.0080844682272205E-2</v>
      </c>
      <c r="T174" s="387">
        <f>RATE(1,,-S130,$U130)</f>
        <v>6.4113271018652621E-2</v>
      </c>
      <c r="U174" s="387">
        <v>4.7033192150869908E-2</v>
      </c>
    </row>
    <row r="175" spans="1:21" ht="8.25" customHeight="1">
      <c r="A175" s="142"/>
      <c r="B175" s="208"/>
      <c r="C175" s="272"/>
      <c r="D175" s="272"/>
      <c r="E175" s="143"/>
      <c r="F175" s="143"/>
      <c r="G175" s="212"/>
      <c r="H175" s="212"/>
      <c r="I175" s="212"/>
      <c r="J175" s="212"/>
      <c r="K175" s="212"/>
      <c r="L175" s="212"/>
      <c r="M175" s="387"/>
      <c r="N175" s="427"/>
      <c r="O175" s="387"/>
      <c r="P175" s="387"/>
      <c r="Q175" s="387"/>
      <c r="R175" s="387"/>
      <c r="S175" s="387"/>
      <c r="T175" s="387"/>
      <c r="U175" s="387"/>
    </row>
    <row r="176" spans="1:21" ht="12.75">
      <c r="A176" s="142">
        <v>11</v>
      </c>
      <c r="B176" s="208" t="s">
        <v>208</v>
      </c>
      <c r="C176"/>
      <c r="D176"/>
      <c r="E176"/>
      <c r="F176"/>
      <c r="G176" s="212"/>
      <c r="H176" s="212">
        <f>RATE(13,,-G133,$T133)</f>
        <v>5.9916811852193413E-2</v>
      </c>
      <c r="I176" s="212">
        <f>RATE(12,,-H133,$T133)</f>
        <v>4.3719972514857285E-2</v>
      </c>
      <c r="J176" s="212">
        <f>RATE(11,,-I133,$T133)</f>
        <v>5.0249835767023479E-2</v>
      </c>
      <c r="K176" s="212">
        <f>RATE(10,,-J133,$T133)</f>
        <v>5.0484436510544822E-2</v>
      </c>
      <c r="L176" s="212">
        <f>RATE(9,,-K133,$T133)</f>
        <v>5.01203841945803E-2</v>
      </c>
      <c r="M176" s="387">
        <f>RATE(8,,-L133,$U133)</f>
        <v>5.4675959383276379E-2</v>
      </c>
      <c r="N176" s="427">
        <f>RATE(7,,-M133,$U133)</f>
        <v>5.9749798478817402E-2</v>
      </c>
      <c r="O176" s="387">
        <f>RATE(6,,-N133,$U133)</f>
        <v>6.1309465125706696E-2</v>
      </c>
      <c r="P176" s="387">
        <f>RATE(5,,-O133,$U133)</f>
        <v>5.9031006294123459E-2</v>
      </c>
      <c r="Q176" s="387">
        <f>RATE(4,,-P133,$U133)</f>
        <v>5.7128740584982567E-2</v>
      </c>
      <c r="R176" s="387">
        <f>RATE(3,,-Q133,$U133)</f>
        <v>5.5704950581606731E-2</v>
      </c>
      <c r="S176" s="387">
        <f>RATE(2,,-R133,$U133)</f>
        <v>7.4785480972134694E-2</v>
      </c>
      <c r="T176" s="387">
        <f>RATE(1,,-S133,$U133)</f>
        <v>9.1965104253326935E-2</v>
      </c>
      <c r="U176" s="387">
        <v>5.1563946944485274E-2</v>
      </c>
    </row>
    <row r="177" spans="1:21" ht="12.75">
      <c r="A177" s="142"/>
      <c r="B177" s="152"/>
      <c r="C177" s="152"/>
      <c r="D177" s="2"/>
      <c r="E177" s="143"/>
      <c r="F177" s="143"/>
      <c r="G177" s="151"/>
      <c r="H177" s="151"/>
      <c r="I177" s="151"/>
      <c r="J177" s="151"/>
      <c r="K177" s="151"/>
      <c r="L177" s="151"/>
      <c r="M177" s="386"/>
      <c r="N177" s="427"/>
      <c r="O177" s="386"/>
      <c r="P177" s="386"/>
      <c r="Q177" s="386"/>
      <c r="R177" s="386"/>
      <c r="S177" s="386"/>
      <c r="T177" s="386"/>
      <c r="U177" s="386"/>
    </row>
    <row r="178" spans="1:21" ht="13.5" thickBot="1">
      <c r="A178" s="142">
        <v>12</v>
      </c>
      <c r="B178" s="208" t="s">
        <v>209</v>
      </c>
      <c r="C178"/>
      <c r="D178"/>
      <c r="E178" s="143"/>
      <c r="F178" s="143"/>
      <c r="G178" s="212"/>
      <c r="H178" s="212">
        <f>RATE(13,,-G141,$T141)</f>
        <v>3.7262395787796047E-2</v>
      </c>
      <c r="I178" s="212">
        <f>RATE(12,,-H141,$T141)</f>
        <v>5.3273984047451164E-2</v>
      </c>
      <c r="J178" s="212">
        <f>RATE(11,,-I141,$T141)</f>
        <v>2.914853821848196E-2</v>
      </c>
      <c r="K178" s="212">
        <f>RATE(10,,-J141,$T141)</f>
        <v>2.2708670528141389E-2</v>
      </c>
      <c r="L178" s="212">
        <f>RATE(9,,-K141,$T141)</f>
        <v>1.1481795651673353E-3</v>
      </c>
      <c r="M178" s="387">
        <f>RATE(8,,-L141,$U141)</f>
        <v>-2.3178297860610195E-2</v>
      </c>
      <c r="N178" s="428">
        <f>RATE(7,,-M141,$U141)</f>
        <v>-3.1829070527473843E-2</v>
      </c>
      <c r="O178" s="387">
        <f>RATE(6,,-N141,$U141)</f>
        <v>-2.6285815673454373E-2</v>
      </c>
      <c r="P178" s="387">
        <f>RATE(5,,-O141,$U141)</f>
        <v>-2.727008779076948E-2</v>
      </c>
      <c r="Q178" s="387">
        <f>RATE(4,,-P141,$U141)</f>
        <v>-3.3928427488390873E-2</v>
      </c>
      <c r="R178" s="387">
        <f>RATE(3,,-Q141,$U141)</f>
        <v>-4.4887010304503309E-2</v>
      </c>
      <c r="S178" s="387">
        <f>RATE(2,,-R141,$U141)</f>
        <v>-0.14020964127019808</v>
      </c>
      <c r="T178" s="387">
        <f>RATE(1,,-S141,$U141)</f>
        <v>-0.29262624133949217</v>
      </c>
      <c r="U178" s="387">
        <v>-0.29560072183641428</v>
      </c>
    </row>
    <row r="179" spans="1:21" ht="12.75" thickBot="1">
      <c r="A179" s="148"/>
      <c r="B179" s="152"/>
      <c r="C179" s="152"/>
      <c r="D179" s="152"/>
      <c r="E179" s="153"/>
      <c r="F179" s="153"/>
      <c r="G179" s="143"/>
      <c r="H179" s="143"/>
      <c r="I179" s="143"/>
      <c r="J179" s="143"/>
      <c r="K179" s="143"/>
      <c r="L179" s="143"/>
      <c r="M179" s="143"/>
      <c r="N179" s="204"/>
      <c r="O179" s="143"/>
      <c r="P179" s="143"/>
      <c r="Q179" s="143"/>
      <c r="R179" s="152"/>
      <c r="S179" s="29"/>
      <c r="T179" s="29"/>
      <c r="U179" s="29"/>
    </row>
    <row r="180" spans="1:21" ht="12.75">
      <c r="A180" s="148"/>
      <c r="B180" s="145" t="s">
        <v>409</v>
      </c>
      <c r="C180" s="145"/>
      <c r="D180" s="146"/>
      <c r="E180" s="147"/>
      <c r="F180" s="147"/>
      <c r="G180" s="236"/>
      <c r="H180" s="236" t="s">
        <v>348</v>
      </c>
      <c r="I180" s="236" t="s">
        <v>352</v>
      </c>
      <c r="J180" s="236" t="s">
        <v>349</v>
      </c>
      <c r="K180" s="236" t="s">
        <v>350</v>
      </c>
      <c r="L180" s="236" t="s">
        <v>351</v>
      </c>
      <c r="M180" s="236" t="s">
        <v>417</v>
      </c>
      <c r="N180" s="358" t="s">
        <v>418</v>
      </c>
      <c r="O180" s="236" t="s">
        <v>419</v>
      </c>
      <c r="P180" s="236" t="s">
        <v>420</v>
      </c>
      <c r="Q180" s="236" t="s">
        <v>421</v>
      </c>
      <c r="R180" s="236" t="s">
        <v>422</v>
      </c>
      <c r="S180" s="236" t="s">
        <v>423</v>
      </c>
      <c r="T180" s="318" t="s">
        <v>424</v>
      </c>
      <c r="U180" s="687" t="s">
        <v>347</v>
      </c>
    </row>
    <row r="181" spans="1:21" ht="6.75" customHeight="1">
      <c r="A181" s="148"/>
      <c r="B181" s="152"/>
      <c r="C181" s="152"/>
      <c r="D181" s="152"/>
      <c r="E181" s="153"/>
      <c r="F181" s="153"/>
      <c r="G181" s="213"/>
      <c r="H181" s="213"/>
      <c r="I181" s="213"/>
      <c r="J181" s="213"/>
      <c r="K181" s="213"/>
      <c r="L181" s="213"/>
      <c r="M181" s="213"/>
      <c r="N181" s="359"/>
      <c r="O181" s="213"/>
      <c r="P181" s="213"/>
      <c r="Q181" s="213"/>
      <c r="R181" s="152"/>
      <c r="S181" s="41"/>
      <c r="T181" s="41"/>
      <c r="U181" s="41"/>
    </row>
    <row r="182" spans="1:21">
      <c r="A182" s="148">
        <v>13</v>
      </c>
      <c r="B182" s="280" t="s">
        <v>247</v>
      </c>
      <c r="C182" s="152"/>
      <c r="D182" s="152"/>
      <c r="G182" s="153" t="s">
        <v>353</v>
      </c>
      <c r="H182" s="214">
        <f>2*H166</f>
        <v>0.10817070365629161</v>
      </c>
      <c r="I182" s="214">
        <f t="shared" ref="I182:T182" si="117">2*I166</f>
        <v>9.3261233606285784E-2</v>
      </c>
      <c r="J182" s="214">
        <f t="shared" si="117"/>
        <v>0.1088074722746355</v>
      </c>
      <c r="K182" s="214">
        <f t="shared" si="117"/>
        <v>9.5661119147171167E-2</v>
      </c>
      <c r="L182" s="214">
        <f t="shared" si="117"/>
        <v>0.10431438597237846</v>
      </c>
      <c r="M182" s="214">
        <f>2*M166</f>
        <v>0.10086318627588026</v>
      </c>
      <c r="N182" s="373">
        <f t="shared" si="117"/>
        <v>0.10396817286755837</v>
      </c>
      <c r="O182" s="214">
        <f t="shared" si="117"/>
        <v>9.7416316154483124E-2</v>
      </c>
      <c r="P182" s="214">
        <f t="shared" si="117"/>
        <v>8.3255062464854993E-2</v>
      </c>
      <c r="Q182" s="214">
        <f t="shared" si="117"/>
        <v>8.0120260889570041E-2</v>
      </c>
      <c r="R182" s="214">
        <f t="shared" si="117"/>
        <v>5.7783461635533745E-2</v>
      </c>
      <c r="S182" s="214">
        <f t="shared" si="117"/>
        <v>1.8246406035609865E-2</v>
      </c>
      <c r="T182" s="214">
        <f t="shared" si="117"/>
        <v>7.4872738174624323E-2</v>
      </c>
      <c r="U182" s="322">
        <v>0.11339205904149277</v>
      </c>
    </row>
    <row r="183" spans="1:21">
      <c r="A183" s="148"/>
      <c r="B183" s="280"/>
      <c r="C183" s="152"/>
      <c r="D183" s="152"/>
      <c r="G183" s="153"/>
      <c r="H183" s="214"/>
      <c r="I183" s="214"/>
      <c r="J183" s="214"/>
      <c r="K183" s="214"/>
      <c r="L183" s="214"/>
      <c r="M183" s="214"/>
      <c r="N183" s="360"/>
      <c r="O183" s="214"/>
      <c r="P183" s="214"/>
      <c r="Q183" s="214"/>
      <c r="R183" s="214"/>
      <c r="S183" s="214"/>
      <c r="T183" s="214"/>
      <c r="U183" s="322"/>
    </row>
    <row r="184" spans="1:21">
      <c r="A184" s="148" t="s">
        <v>302</v>
      </c>
      <c r="B184" s="280" t="s">
        <v>410</v>
      </c>
      <c r="C184" s="152"/>
      <c r="D184" s="152"/>
      <c r="G184" s="153" t="s">
        <v>353</v>
      </c>
      <c r="H184" s="214"/>
      <c r="I184" s="214"/>
      <c r="J184" s="214"/>
      <c r="K184" s="214"/>
      <c r="L184" s="214"/>
      <c r="M184" s="214"/>
      <c r="N184" s="360">
        <f>2*N168</f>
        <v>0</v>
      </c>
      <c r="O184" s="214"/>
      <c r="P184" s="214"/>
      <c r="Q184" s="214"/>
      <c r="R184" s="214"/>
      <c r="S184" s="214"/>
      <c r="T184" s="214"/>
      <c r="U184" s="322"/>
    </row>
    <row r="185" spans="1:21">
      <c r="A185" s="148"/>
      <c r="B185" s="149"/>
      <c r="C185" s="152"/>
      <c r="D185" s="152"/>
      <c r="G185" s="153"/>
      <c r="H185" s="214"/>
      <c r="I185" s="214"/>
      <c r="J185" s="214"/>
      <c r="K185" s="214"/>
      <c r="L185" s="214"/>
      <c r="M185" s="214"/>
      <c r="N185" s="258"/>
      <c r="O185" s="214"/>
      <c r="P185" s="214"/>
      <c r="Q185" s="214"/>
      <c r="R185" s="214"/>
      <c r="S185" s="34"/>
      <c r="T185" s="277"/>
      <c r="U185" s="277"/>
    </row>
    <row r="186" spans="1:21">
      <c r="A186" s="148">
        <v>14</v>
      </c>
      <c r="B186" s="280" t="s">
        <v>323</v>
      </c>
      <c r="C186" s="152"/>
      <c r="D186" s="152"/>
      <c r="G186" s="336" t="s">
        <v>353</v>
      </c>
      <c r="H186" s="214">
        <f>2*H170</f>
        <v>0.12789453671016332</v>
      </c>
      <c r="I186" s="214">
        <f t="shared" ref="I186:T186" si="118">2*I170</f>
        <v>9.8551152281534327E-2</v>
      </c>
      <c r="J186" s="214">
        <f t="shared" si="118"/>
        <v>0.1038519652777402</v>
      </c>
      <c r="K186" s="214">
        <f t="shared" si="118"/>
        <v>0.1060349147242913</v>
      </c>
      <c r="L186" s="214">
        <f t="shared" si="118"/>
        <v>0.11144725959443261</v>
      </c>
      <c r="M186" s="214">
        <f t="shared" si="118"/>
        <v>0.13995605736193709</v>
      </c>
      <c r="N186" s="360">
        <f t="shared" si="118"/>
        <v>0.15246786391898723</v>
      </c>
      <c r="O186" s="214">
        <f t="shared" si="118"/>
        <v>0.15518983817476462</v>
      </c>
      <c r="P186" s="214">
        <f t="shared" si="118"/>
        <v>0.16372729732270533</v>
      </c>
      <c r="Q186" s="214">
        <f t="shared" si="118"/>
        <v>0.16541841473016514</v>
      </c>
      <c r="R186" s="214">
        <f t="shared" si="118"/>
        <v>0.18211560181046907</v>
      </c>
      <c r="S186" s="214">
        <f t="shared" si="118"/>
        <v>0.20776444982487077</v>
      </c>
      <c r="T186" s="214">
        <f t="shared" si="118"/>
        <v>0.38207203024474351</v>
      </c>
      <c r="U186" s="322">
        <v>0.22877621943651444</v>
      </c>
    </row>
    <row r="187" spans="1:21">
      <c r="A187" s="148"/>
      <c r="B187" s="149"/>
      <c r="C187" s="152"/>
      <c r="D187" s="152"/>
      <c r="G187" s="153"/>
      <c r="H187" s="214"/>
      <c r="I187" s="214"/>
      <c r="J187" s="214"/>
      <c r="K187" s="214"/>
      <c r="L187" s="214"/>
      <c r="M187" s="214"/>
      <c r="N187" s="258"/>
      <c r="O187" s="214"/>
      <c r="P187" s="214"/>
      <c r="Q187" s="214"/>
      <c r="R187" s="214"/>
      <c r="S187" s="214"/>
      <c r="T187" s="322"/>
      <c r="U187" s="322"/>
    </row>
    <row r="188" spans="1:21">
      <c r="A188" s="142">
        <v>15</v>
      </c>
      <c r="B188" s="280" t="s">
        <v>324</v>
      </c>
      <c r="C188" s="152"/>
      <c r="D188" s="152"/>
      <c r="G188" s="336" t="s">
        <v>353</v>
      </c>
      <c r="H188" s="214">
        <f>2*H172</f>
        <v>0.10032424615634673</v>
      </c>
      <c r="I188" s="214">
        <f t="shared" ref="I188:T188" si="119">2*I172</f>
        <v>7.9430769975740556E-2</v>
      </c>
      <c r="J188" s="214">
        <f t="shared" si="119"/>
        <v>8.8388153618625745E-2</v>
      </c>
      <c r="K188" s="214">
        <f t="shared" si="119"/>
        <v>9.1688410551571745E-2</v>
      </c>
      <c r="L188" s="214">
        <f t="shared" si="119"/>
        <v>9.9226392698126789E-2</v>
      </c>
      <c r="M188" s="214">
        <f t="shared" si="119"/>
        <v>0.1268685411129126</v>
      </c>
      <c r="N188" s="360">
        <f t="shared" si="119"/>
        <v>0.15797171418971889</v>
      </c>
      <c r="O188" s="214">
        <f t="shared" si="119"/>
        <v>0.17387969675993617</v>
      </c>
      <c r="P188" s="214">
        <f t="shared" si="119"/>
        <v>0.18648454333694267</v>
      </c>
      <c r="Q188" s="214">
        <f t="shared" si="119"/>
        <v>0.18010271543809567</v>
      </c>
      <c r="R188" s="214">
        <f t="shared" si="119"/>
        <v>0.16722056431371785</v>
      </c>
      <c r="S188" s="214">
        <f t="shared" si="119"/>
        <v>0.21814229776345651</v>
      </c>
      <c r="T188" s="214">
        <f t="shared" si="119"/>
        <v>0.2646370023419205</v>
      </c>
      <c r="U188" s="322">
        <v>0.15172449481228487</v>
      </c>
    </row>
    <row r="189" spans="1:21" ht="12.75">
      <c r="A189" s="148"/>
      <c r="B189"/>
      <c r="C189" s="152"/>
      <c r="D189" s="152"/>
      <c r="G189" s="153"/>
      <c r="H189" s="213"/>
      <c r="I189" s="213"/>
      <c r="J189" s="213"/>
      <c r="K189" s="213"/>
      <c r="L189" s="213"/>
      <c r="M189" s="213"/>
      <c r="N189" s="259"/>
      <c r="O189" s="213"/>
      <c r="P189" s="213"/>
      <c r="Q189" s="213"/>
      <c r="R189" s="213"/>
      <c r="S189" s="213"/>
      <c r="T189" s="323"/>
      <c r="U189" s="323"/>
    </row>
    <row r="190" spans="1:21">
      <c r="A190" s="148">
        <v>16</v>
      </c>
      <c r="B190" s="208" t="s">
        <v>132</v>
      </c>
      <c r="C190" s="152"/>
      <c r="D190" s="152"/>
      <c r="G190" s="336" t="s">
        <v>353</v>
      </c>
      <c r="H190" s="214">
        <f>2*H174</f>
        <v>9.5503309749690693E-2</v>
      </c>
      <c r="I190" s="214">
        <f t="shared" ref="I190:T190" si="120">2*I174</f>
        <v>8.4418706424085027E-2</v>
      </c>
      <c r="J190" s="214">
        <f t="shared" si="120"/>
        <v>9.7197848555882871E-2</v>
      </c>
      <c r="K190" s="214">
        <f t="shared" si="120"/>
        <v>9.6606617535013539E-2</v>
      </c>
      <c r="L190" s="214">
        <f t="shared" si="120"/>
        <v>9.5223212026191065E-2</v>
      </c>
      <c r="M190" s="214">
        <f t="shared" si="120"/>
        <v>0.10152213031747104</v>
      </c>
      <c r="N190" s="360">
        <f t="shared" si="120"/>
        <v>0.11114989714403489</v>
      </c>
      <c r="O190" s="214">
        <f t="shared" si="120"/>
        <v>0.11191051336545346</v>
      </c>
      <c r="P190" s="214">
        <f t="shared" si="120"/>
        <v>0.10386109606152653</v>
      </c>
      <c r="Q190" s="214">
        <f t="shared" si="120"/>
        <v>0.10510226982463632</v>
      </c>
      <c r="R190" s="214">
        <f t="shared" si="120"/>
        <v>0.10727478420281084</v>
      </c>
      <c r="S190" s="214">
        <f t="shared" si="120"/>
        <v>0.12016168936454441</v>
      </c>
      <c r="T190" s="214">
        <f t="shared" si="120"/>
        <v>0.12822654203730524</v>
      </c>
      <c r="U190" s="322">
        <v>9.4066384301739817E-2</v>
      </c>
    </row>
    <row r="191" spans="1:21">
      <c r="A191" s="148"/>
      <c r="B191" s="150"/>
      <c r="C191" s="152"/>
      <c r="D191" s="152"/>
      <c r="G191" s="153"/>
      <c r="H191" s="214"/>
      <c r="I191" s="214"/>
      <c r="J191" s="214"/>
      <c r="K191" s="214"/>
      <c r="L191" s="214"/>
      <c r="M191" s="214"/>
      <c r="N191" s="258"/>
      <c r="O191" s="214"/>
      <c r="P191" s="214"/>
      <c r="Q191" s="214"/>
      <c r="R191" s="214"/>
      <c r="S191" s="214"/>
      <c r="T191" s="322"/>
      <c r="U191" s="322"/>
    </row>
    <row r="192" spans="1:21">
      <c r="A192" s="148">
        <v>17</v>
      </c>
      <c r="B192" s="208" t="s">
        <v>208</v>
      </c>
      <c r="G192" s="336" t="s">
        <v>353</v>
      </c>
      <c r="H192" s="214">
        <f>2*H176</f>
        <v>0.11983362370438683</v>
      </c>
      <c r="I192" s="214">
        <f t="shared" ref="I192:T194" si="121">2*I176</f>
        <v>8.7439945029714569E-2</v>
      </c>
      <c r="J192" s="214">
        <f t="shared" si="121"/>
        <v>0.10049967153404696</v>
      </c>
      <c r="K192" s="214">
        <f t="shared" si="121"/>
        <v>0.10096887302108964</v>
      </c>
      <c r="L192" s="214">
        <f t="shared" si="121"/>
        <v>0.1002407683891606</v>
      </c>
      <c r="M192" s="214">
        <f t="shared" si="121"/>
        <v>0.10935191876655276</v>
      </c>
      <c r="N192" s="360">
        <f t="shared" si="121"/>
        <v>0.1194995969576348</v>
      </c>
      <c r="O192" s="214">
        <f t="shared" si="121"/>
        <v>0.12261893025141339</v>
      </c>
      <c r="P192" s="214">
        <f t="shared" si="121"/>
        <v>0.11806201258824692</v>
      </c>
      <c r="Q192" s="214">
        <f t="shared" si="121"/>
        <v>0.11425748116996513</v>
      </c>
      <c r="R192" s="214">
        <f t="shared" si="121"/>
        <v>0.11140990116321346</v>
      </c>
      <c r="S192" s="214">
        <f t="shared" si="121"/>
        <v>0.14957096194426939</v>
      </c>
      <c r="T192" s="214">
        <f t="shared" si="121"/>
        <v>0.18393020850665387</v>
      </c>
      <c r="U192" s="322">
        <v>0.10312789388897055</v>
      </c>
    </row>
    <row r="193" spans="1:21" ht="12.75">
      <c r="A193" s="148"/>
      <c r="B193"/>
      <c r="G193" s="30"/>
      <c r="H193" s="29"/>
      <c r="I193" s="29"/>
      <c r="J193" s="29"/>
      <c r="K193" s="29"/>
      <c r="L193" s="29"/>
      <c r="M193" s="29"/>
      <c r="N193" s="259"/>
      <c r="O193" s="29"/>
      <c r="P193" s="29"/>
      <c r="Q193" s="29"/>
      <c r="S193" s="29"/>
      <c r="T193" s="29"/>
      <c r="U193" s="29"/>
    </row>
    <row r="194" spans="1:21">
      <c r="A194" s="142">
        <v>18</v>
      </c>
      <c r="B194" s="208" t="s">
        <v>209</v>
      </c>
      <c r="G194" s="336" t="s">
        <v>353</v>
      </c>
      <c r="H194" s="214">
        <f t="shared" ref="H194:L194" si="122">(1+H178)^2-1</f>
        <v>7.5913277715438321E-2</v>
      </c>
      <c r="I194" s="214">
        <f t="shared" si="122"/>
        <v>0.10938608547119055</v>
      </c>
      <c r="J194" s="214">
        <f t="shared" si="122"/>
        <v>5.914671371723812E-2</v>
      </c>
      <c r="K194" s="214">
        <f t="shared" si="122"/>
        <v>4.5933024773438413E-2</v>
      </c>
      <c r="L194" s="214">
        <f t="shared" si="122"/>
        <v>2.2976774466485494E-3</v>
      </c>
      <c r="M194" s="214">
        <f t="shared" si="121"/>
        <v>-4.6356595721220389E-2</v>
      </c>
      <c r="N194" s="388">
        <f t="shared" si="121"/>
        <v>-6.3658141054947687E-2</v>
      </c>
      <c r="O194" s="214">
        <f t="shared" si="121"/>
        <v>-5.2571631346908745E-2</v>
      </c>
      <c r="P194" s="214">
        <f t="shared" si="121"/>
        <v>-5.4540175581538959E-2</v>
      </c>
      <c r="Q194" s="214">
        <f t="shared" si="121"/>
        <v>-6.7856854976781747E-2</v>
      </c>
      <c r="R194" s="214">
        <f t="shared" si="121"/>
        <v>-8.9774020609006619E-2</v>
      </c>
      <c r="S194" s="214">
        <f t="shared" si="121"/>
        <v>-0.28041928254039616</v>
      </c>
      <c r="T194" s="214">
        <f t="shared" si="121"/>
        <v>-0.58525248267898433</v>
      </c>
      <c r="U194" s="322">
        <v>-0.59120144367282856</v>
      </c>
    </row>
    <row r="195" spans="1:21">
      <c r="G195" s="29"/>
      <c r="H195" s="29"/>
      <c r="I195" s="29"/>
      <c r="J195" s="29"/>
      <c r="K195" s="29"/>
      <c r="L195" s="29"/>
      <c r="M195" s="29"/>
      <c r="N195" s="29"/>
      <c r="O195" s="29"/>
      <c r="P195" s="29"/>
      <c r="Q195" s="29"/>
    </row>
    <row r="196" spans="1:21">
      <c r="G196" s="29"/>
      <c r="H196" s="29"/>
      <c r="I196" s="29"/>
      <c r="J196" s="29"/>
      <c r="K196" s="29"/>
      <c r="L196" s="29"/>
      <c r="M196" s="29"/>
      <c r="N196" s="29"/>
      <c r="O196" s="29"/>
      <c r="P196" s="29"/>
      <c r="Q196" s="29"/>
    </row>
    <row r="197" spans="1:21">
      <c r="G197" s="29"/>
      <c r="H197" s="29"/>
      <c r="I197" s="29"/>
      <c r="J197" s="29"/>
      <c r="K197" s="29"/>
      <c r="L197" s="29"/>
      <c r="M197" s="29"/>
      <c r="N197" s="29"/>
      <c r="O197" s="29"/>
      <c r="P197" s="29"/>
      <c r="Q197" s="29"/>
    </row>
    <row r="198" spans="1:21">
      <c r="G198" s="29"/>
      <c r="H198" s="29"/>
      <c r="I198" s="29"/>
      <c r="J198" s="29"/>
      <c r="K198" s="29"/>
      <c r="L198" s="29"/>
      <c r="M198" s="29"/>
      <c r="N198" s="29"/>
      <c r="O198" s="29"/>
      <c r="P198" s="29"/>
      <c r="Q198" s="29"/>
    </row>
    <row r="199" spans="1:21">
      <c r="G199" s="29"/>
      <c r="H199" s="29"/>
      <c r="I199" s="29"/>
      <c r="J199" s="29"/>
      <c r="K199" s="29"/>
      <c r="L199" s="29"/>
      <c r="M199" s="29"/>
      <c r="N199" s="29"/>
      <c r="O199" s="29"/>
      <c r="P199" s="29"/>
      <c r="Q199" s="29"/>
    </row>
    <row r="200" spans="1:21">
      <c r="G200" s="29"/>
      <c r="H200" s="29"/>
      <c r="I200" s="29"/>
      <c r="J200" s="29"/>
      <c r="K200" s="29"/>
      <c r="L200" s="29"/>
      <c r="M200" s="29"/>
      <c r="N200" s="29"/>
      <c r="O200" s="29"/>
      <c r="P200" s="29"/>
      <c r="Q200" s="29"/>
    </row>
    <row r="201" spans="1:21">
      <c r="G201" s="29"/>
      <c r="H201" s="29"/>
      <c r="I201" s="29"/>
      <c r="J201" s="29"/>
      <c r="K201" s="29"/>
      <c r="L201" s="29"/>
      <c r="M201" s="29"/>
      <c r="N201" s="29"/>
      <c r="O201" s="29"/>
      <c r="P201" s="29"/>
      <c r="Q201" s="29"/>
    </row>
    <row r="202" spans="1:21">
      <c r="G202" s="29"/>
      <c r="H202" s="29"/>
      <c r="I202" s="29"/>
      <c r="J202" s="29"/>
      <c r="K202" s="29"/>
      <c r="L202" s="29"/>
      <c r="M202" s="29"/>
      <c r="N202" s="29"/>
      <c r="O202" s="29"/>
      <c r="P202" s="29"/>
      <c r="Q202" s="29"/>
    </row>
    <row r="203" spans="1:21">
      <c r="G203" s="29"/>
      <c r="H203" s="29"/>
      <c r="I203" s="29"/>
      <c r="J203" s="29"/>
      <c r="K203" s="29"/>
      <c r="L203" s="29"/>
      <c r="M203" s="29"/>
      <c r="N203" s="29"/>
      <c r="O203" s="29"/>
      <c r="P203" s="29"/>
      <c r="Q203" s="29"/>
    </row>
    <row r="204" spans="1:21">
      <c r="G204" s="29"/>
      <c r="H204" s="29"/>
      <c r="I204" s="29"/>
      <c r="J204" s="29"/>
      <c r="K204" s="29"/>
      <c r="L204" s="29"/>
      <c r="M204" s="29"/>
      <c r="N204" s="29"/>
      <c r="O204" s="29"/>
      <c r="P204" s="29"/>
      <c r="Q204" s="29"/>
    </row>
    <row r="205" spans="1:21">
      <c r="G205" s="29"/>
      <c r="H205" s="29"/>
      <c r="I205" s="29"/>
      <c r="J205" s="29"/>
      <c r="K205" s="29"/>
      <c r="L205" s="29"/>
      <c r="M205" s="29"/>
      <c r="N205" s="29"/>
      <c r="O205" s="29"/>
      <c r="P205" s="29"/>
      <c r="Q205" s="29"/>
    </row>
    <row r="206" spans="1:21">
      <c r="G206" s="29"/>
      <c r="H206" s="29"/>
      <c r="I206" s="29"/>
      <c r="J206" s="29"/>
      <c r="K206" s="29"/>
      <c r="L206" s="29"/>
      <c r="M206" s="29"/>
      <c r="N206" s="29"/>
      <c r="O206" s="29"/>
      <c r="P206" s="29"/>
      <c r="Q206" s="29"/>
    </row>
    <row r="207" spans="1:21">
      <c r="G207" s="29"/>
      <c r="H207" s="29"/>
      <c r="I207" s="29"/>
      <c r="J207" s="29"/>
      <c r="K207" s="29"/>
      <c r="L207" s="29"/>
      <c r="M207" s="29"/>
      <c r="N207" s="29"/>
      <c r="O207" s="29"/>
      <c r="P207" s="29"/>
      <c r="Q207" s="29"/>
    </row>
    <row r="208" spans="1:21">
      <c r="G208" s="29"/>
      <c r="H208" s="29"/>
      <c r="I208" s="29"/>
      <c r="J208" s="29"/>
      <c r="K208" s="29"/>
      <c r="L208" s="29"/>
      <c r="M208" s="29"/>
      <c r="N208" s="29"/>
      <c r="O208" s="29"/>
      <c r="P208" s="29"/>
      <c r="Q208" s="29"/>
    </row>
    <row r="209" spans="7:17">
      <c r="G209" s="29"/>
      <c r="H209" s="29"/>
      <c r="I209" s="29"/>
      <c r="J209" s="29"/>
      <c r="K209" s="29"/>
      <c r="L209" s="29"/>
      <c r="M209" s="29"/>
      <c r="N209" s="29"/>
      <c r="O209" s="29"/>
      <c r="P209" s="29"/>
      <c r="Q209" s="29"/>
    </row>
    <row r="210" spans="7:17">
      <c r="G210" s="29"/>
      <c r="H210" s="29"/>
      <c r="I210" s="29"/>
      <c r="J210" s="29"/>
      <c r="K210" s="29"/>
      <c r="L210" s="29"/>
      <c r="M210" s="29"/>
      <c r="N210" s="29"/>
      <c r="O210" s="29"/>
      <c r="P210" s="29"/>
      <c r="Q210" s="29"/>
    </row>
    <row r="211" spans="7:17">
      <c r="G211" s="29"/>
      <c r="H211" s="29"/>
      <c r="I211" s="29"/>
      <c r="J211" s="29"/>
      <c r="K211" s="29"/>
      <c r="L211" s="29"/>
      <c r="M211" s="29"/>
      <c r="N211" s="29"/>
      <c r="O211" s="29"/>
      <c r="P211" s="29"/>
      <c r="Q211" s="29"/>
    </row>
    <row r="212" spans="7:17">
      <c r="G212" s="29"/>
      <c r="H212" s="29"/>
      <c r="I212" s="29"/>
      <c r="J212" s="29"/>
      <c r="K212" s="29"/>
      <c r="L212" s="29"/>
      <c r="M212" s="29"/>
      <c r="N212" s="29"/>
      <c r="O212" s="29"/>
      <c r="P212" s="29"/>
      <c r="Q212" s="29"/>
    </row>
    <row r="213" spans="7:17">
      <c r="G213" s="29"/>
      <c r="H213" s="29"/>
      <c r="I213" s="29"/>
      <c r="J213" s="29"/>
      <c r="K213" s="29"/>
      <c r="L213" s="29"/>
      <c r="M213" s="29"/>
      <c r="N213" s="29"/>
      <c r="O213" s="29"/>
      <c r="P213" s="29"/>
      <c r="Q213" s="29"/>
    </row>
    <row r="214" spans="7:17">
      <c r="G214" s="29"/>
      <c r="H214" s="29"/>
      <c r="I214" s="29"/>
      <c r="J214" s="29"/>
      <c r="K214" s="29"/>
      <c r="L214" s="29"/>
      <c r="M214" s="29"/>
      <c r="N214" s="29"/>
      <c r="O214" s="29"/>
      <c r="P214" s="29"/>
      <c r="Q214" s="29"/>
    </row>
    <row r="215" spans="7:17">
      <c r="G215" s="29"/>
      <c r="H215" s="29"/>
      <c r="I215" s="29"/>
      <c r="J215" s="29"/>
      <c r="K215" s="29"/>
      <c r="L215" s="29"/>
      <c r="M215" s="29"/>
      <c r="N215" s="29"/>
      <c r="O215" s="29"/>
      <c r="P215" s="29"/>
      <c r="Q215" s="29"/>
    </row>
    <row r="216" spans="7:17">
      <c r="G216" s="29"/>
      <c r="H216" s="29"/>
      <c r="I216" s="29"/>
      <c r="J216" s="29"/>
      <c r="K216" s="29"/>
      <c r="L216" s="29"/>
      <c r="M216" s="29"/>
      <c r="N216" s="29"/>
      <c r="O216" s="29"/>
      <c r="P216" s="29"/>
      <c r="Q216" s="29"/>
    </row>
    <row r="217" spans="7:17">
      <c r="G217" s="29"/>
      <c r="H217" s="29"/>
      <c r="I217" s="29"/>
      <c r="J217" s="29"/>
      <c r="K217" s="29"/>
      <c r="L217" s="29"/>
      <c r="M217" s="29"/>
      <c r="N217" s="29"/>
      <c r="O217" s="29"/>
      <c r="P217" s="29"/>
      <c r="Q217" s="29"/>
    </row>
    <row r="218" spans="7:17">
      <c r="G218" s="29"/>
      <c r="H218" s="29"/>
      <c r="I218" s="29"/>
      <c r="J218" s="29"/>
      <c r="K218" s="29"/>
      <c r="L218" s="29"/>
      <c r="M218" s="29"/>
      <c r="N218" s="29"/>
      <c r="O218" s="29"/>
      <c r="P218" s="29"/>
      <c r="Q218" s="29"/>
    </row>
    <row r="219" spans="7:17">
      <c r="G219" s="29"/>
      <c r="H219" s="29"/>
      <c r="I219" s="29"/>
      <c r="J219" s="29"/>
      <c r="K219" s="29"/>
      <c r="L219" s="29"/>
      <c r="M219" s="29"/>
      <c r="N219" s="29"/>
      <c r="O219" s="29"/>
      <c r="P219" s="29"/>
      <c r="Q219" s="29"/>
    </row>
    <row r="220" spans="7:17">
      <c r="G220" s="29"/>
      <c r="H220" s="29"/>
      <c r="I220" s="29"/>
      <c r="J220" s="29"/>
      <c r="K220" s="29"/>
      <c r="L220" s="29"/>
      <c r="M220" s="29"/>
      <c r="N220" s="29"/>
      <c r="O220" s="29"/>
      <c r="P220" s="29"/>
      <c r="Q220" s="29"/>
    </row>
    <row r="221" spans="7:17">
      <c r="G221" s="29"/>
      <c r="H221" s="29"/>
      <c r="I221" s="29"/>
      <c r="J221" s="29"/>
      <c r="K221" s="29"/>
      <c r="L221" s="29"/>
      <c r="M221" s="29"/>
      <c r="N221" s="29"/>
      <c r="O221" s="29"/>
      <c r="P221" s="29"/>
      <c r="Q221" s="29"/>
    </row>
    <row r="222" spans="7:17">
      <c r="G222" s="29"/>
      <c r="H222" s="29"/>
      <c r="I222" s="29"/>
      <c r="J222" s="29"/>
      <c r="K222" s="29"/>
      <c r="L222" s="29"/>
      <c r="M222" s="29"/>
      <c r="N222" s="29"/>
      <c r="O222" s="29"/>
      <c r="P222" s="29"/>
      <c r="Q222" s="29"/>
    </row>
    <row r="223" spans="7:17">
      <c r="G223" s="29"/>
      <c r="H223" s="29"/>
      <c r="I223" s="29"/>
      <c r="J223" s="29"/>
      <c r="K223" s="29"/>
      <c r="L223" s="29"/>
      <c r="M223" s="29"/>
      <c r="N223" s="29"/>
      <c r="O223" s="29"/>
      <c r="P223" s="29"/>
      <c r="Q223" s="29"/>
    </row>
    <row r="224" spans="7:17">
      <c r="G224" s="29"/>
      <c r="H224" s="29"/>
      <c r="I224" s="29"/>
      <c r="J224" s="29"/>
      <c r="K224" s="29"/>
      <c r="L224" s="29"/>
      <c r="M224" s="29"/>
      <c r="N224" s="29"/>
      <c r="O224" s="29"/>
      <c r="P224" s="29"/>
      <c r="Q224" s="29"/>
    </row>
    <row r="225" spans="7:17">
      <c r="G225" s="29"/>
      <c r="H225" s="29"/>
      <c r="I225" s="29"/>
      <c r="J225" s="29"/>
      <c r="K225" s="29"/>
      <c r="L225" s="29"/>
      <c r="M225" s="29"/>
      <c r="N225" s="29"/>
      <c r="O225" s="29"/>
      <c r="P225" s="29"/>
      <c r="Q225" s="29"/>
    </row>
    <row r="226" spans="7:17">
      <c r="G226" s="29"/>
      <c r="H226" s="29"/>
      <c r="I226" s="29"/>
      <c r="J226" s="29"/>
      <c r="K226" s="29"/>
      <c r="L226" s="29"/>
      <c r="M226" s="29"/>
      <c r="N226" s="29"/>
      <c r="O226" s="29"/>
      <c r="P226" s="29"/>
      <c r="Q226" s="29"/>
    </row>
    <row r="227" spans="7:17">
      <c r="G227" s="29"/>
      <c r="H227" s="29"/>
      <c r="I227" s="29"/>
      <c r="J227" s="29"/>
      <c r="K227" s="29"/>
      <c r="L227" s="29"/>
      <c r="M227" s="29"/>
      <c r="N227" s="29"/>
      <c r="O227" s="29"/>
      <c r="P227" s="29"/>
      <c r="Q227" s="29"/>
    </row>
    <row r="228" spans="7:17">
      <c r="G228" s="29"/>
      <c r="H228" s="29"/>
      <c r="I228" s="29"/>
      <c r="J228" s="29"/>
      <c r="K228" s="29"/>
      <c r="L228" s="29"/>
      <c r="M228" s="29"/>
      <c r="N228" s="29"/>
      <c r="O228" s="29"/>
      <c r="P228" s="29"/>
      <c r="Q228" s="29"/>
    </row>
    <row r="229" spans="7:17">
      <c r="G229" s="29"/>
      <c r="H229" s="29"/>
      <c r="I229" s="29"/>
      <c r="J229" s="29"/>
      <c r="K229" s="29"/>
      <c r="L229" s="29"/>
      <c r="M229" s="29"/>
      <c r="N229" s="29"/>
      <c r="O229" s="29"/>
      <c r="P229" s="29"/>
      <c r="Q229" s="29"/>
    </row>
    <row r="230" spans="7:17">
      <c r="G230" s="29"/>
      <c r="H230" s="29"/>
      <c r="I230" s="29"/>
      <c r="J230" s="29"/>
      <c r="K230" s="29"/>
      <c r="L230" s="29"/>
      <c r="M230" s="29"/>
      <c r="N230" s="29"/>
      <c r="O230" s="29"/>
      <c r="P230" s="29"/>
      <c r="Q230" s="29"/>
    </row>
    <row r="231" spans="7:17">
      <c r="G231" s="29"/>
      <c r="H231" s="29"/>
      <c r="I231" s="29"/>
      <c r="J231" s="29"/>
      <c r="K231" s="29"/>
      <c r="L231" s="29"/>
      <c r="M231" s="29"/>
      <c r="N231" s="29"/>
      <c r="O231" s="29"/>
      <c r="P231" s="29"/>
      <c r="Q231" s="29"/>
    </row>
    <row r="232" spans="7:17">
      <c r="G232" s="29"/>
      <c r="H232" s="29"/>
      <c r="I232" s="29"/>
      <c r="J232" s="29"/>
      <c r="K232" s="29"/>
      <c r="L232" s="29"/>
      <c r="M232" s="29"/>
      <c r="N232" s="29"/>
      <c r="O232" s="29"/>
      <c r="P232" s="29"/>
      <c r="Q232" s="29"/>
    </row>
    <row r="233" spans="7:17">
      <c r="G233" s="29"/>
      <c r="H233" s="29"/>
      <c r="I233" s="29"/>
      <c r="J233" s="29"/>
      <c r="K233" s="29"/>
      <c r="L233" s="29"/>
      <c r="M233" s="29"/>
      <c r="N233" s="29"/>
      <c r="O233" s="29"/>
      <c r="P233" s="29"/>
      <c r="Q233" s="29"/>
    </row>
    <row r="234" spans="7:17">
      <c r="G234" s="29"/>
      <c r="H234" s="29"/>
      <c r="I234" s="29"/>
      <c r="J234" s="29"/>
      <c r="K234" s="29"/>
      <c r="L234" s="29"/>
      <c r="M234" s="29"/>
      <c r="N234" s="29"/>
      <c r="O234" s="29"/>
      <c r="P234" s="29"/>
      <c r="Q234" s="29"/>
    </row>
    <row r="235" spans="7:17">
      <c r="G235" s="29"/>
      <c r="H235" s="29"/>
      <c r="I235" s="29"/>
      <c r="J235" s="29"/>
      <c r="K235" s="29"/>
      <c r="L235" s="29"/>
      <c r="M235" s="29"/>
      <c r="N235" s="29"/>
      <c r="O235" s="29"/>
      <c r="P235" s="29"/>
      <c r="Q235" s="29"/>
    </row>
    <row r="236" spans="7:17">
      <c r="G236" s="29"/>
      <c r="H236" s="29"/>
      <c r="I236" s="29"/>
      <c r="J236" s="29"/>
      <c r="K236" s="29"/>
      <c r="L236" s="29"/>
      <c r="M236" s="29"/>
      <c r="N236" s="29"/>
      <c r="O236" s="29"/>
      <c r="P236" s="29"/>
      <c r="Q236" s="29"/>
    </row>
    <row r="237" spans="7:17">
      <c r="G237" s="29"/>
      <c r="H237" s="29"/>
      <c r="I237" s="29"/>
      <c r="J237" s="29"/>
      <c r="K237" s="29"/>
      <c r="L237" s="29"/>
      <c r="M237" s="29"/>
      <c r="N237" s="29"/>
      <c r="O237" s="29"/>
      <c r="P237" s="29"/>
      <c r="Q237" s="29"/>
    </row>
    <row r="238" spans="7:17">
      <c r="G238" s="29"/>
      <c r="H238" s="29"/>
      <c r="I238" s="29"/>
      <c r="J238" s="29"/>
      <c r="K238" s="29"/>
      <c r="L238" s="29"/>
      <c r="M238" s="29"/>
      <c r="N238" s="29"/>
      <c r="O238" s="29"/>
      <c r="P238" s="29"/>
      <c r="Q238" s="29"/>
    </row>
    <row r="239" spans="7:17">
      <c r="G239" s="29"/>
      <c r="H239" s="29"/>
      <c r="I239" s="29"/>
      <c r="J239" s="29"/>
      <c r="K239" s="29"/>
      <c r="L239" s="29"/>
      <c r="M239" s="29"/>
      <c r="N239" s="29"/>
      <c r="O239" s="29"/>
      <c r="P239" s="29"/>
      <c r="Q239" s="29"/>
    </row>
    <row r="240" spans="7:17">
      <c r="G240" s="29"/>
      <c r="H240" s="29"/>
      <c r="I240" s="29"/>
      <c r="J240" s="29"/>
      <c r="K240" s="29"/>
      <c r="L240" s="29"/>
      <c r="M240" s="29"/>
      <c r="N240" s="29"/>
      <c r="O240" s="29"/>
      <c r="P240" s="29"/>
      <c r="Q240" s="29"/>
    </row>
    <row r="241" spans="7:17">
      <c r="G241" s="29"/>
      <c r="H241" s="29"/>
      <c r="I241" s="29"/>
      <c r="J241" s="29"/>
      <c r="K241" s="29"/>
      <c r="L241" s="29"/>
      <c r="M241" s="29"/>
      <c r="N241" s="29"/>
      <c r="O241" s="29"/>
      <c r="P241" s="29"/>
      <c r="Q241" s="29"/>
    </row>
    <row r="242" spans="7:17">
      <c r="G242" s="29"/>
      <c r="H242" s="29"/>
      <c r="I242" s="29"/>
      <c r="J242" s="29"/>
      <c r="K242" s="29"/>
      <c r="L242" s="29"/>
      <c r="M242" s="29"/>
      <c r="N242" s="29"/>
      <c r="O242" s="29"/>
      <c r="P242" s="29"/>
      <c r="Q242" s="29"/>
    </row>
    <row r="243" spans="7:17">
      <c r="G243" s="29"/>
      <c r="H243" s="29"/>
      <c r="I243" s="29"/>
      <c r="J243" s="29"/>
      <c r="K243" s="29"/>
      <c r="L243" s="29"/>
      <c r="M243" s="29"/>
      <c r="N243" s="29"/>
      <c r="O243" s="29"/>
      <c r="P243" s="29"/>
      <c r="Q243" s="29"/>
    </row>
    <row r="244" spans="7:17">
      <c r="G244" s="29"/>
      <c r="H244" s="29"/>
      <c r="I244" s="29"/>
      <c r="J244" s="29"/>
      <c r="K244" s="29"/>
      <c r="L244" s="29"/>
      <c r="M244" s="29"/>
      <c r="N244" s="29"/>
      <c r="O244" s="29"/>
      <c r="P244" s="29"/>
      <c r="Q244" s="29"/>
    </row>
    <row r="245" spans="7:17">
      <c r="G245" s="29"/>
      <c r="H245" s="29"/>
      <c r="I245" s="29"/>
      <c r="J245" s="29"/>
      <c r="K245" s="29"/>
      <c r="L245" s="29"/>
      <c r="M245" s="29"/>
      <c r="N245" s="29"/>
      <c r="O245" s="29"/>
      <c r="P245" s="29"/>
      <c r="Q245" s="29"/>
    </row>
    <row r="246" spans="7:17">
      <c r="G246" s="29"/>
      <c r="H246" s="29"/>
      <c r="I246" s="29"/>
      <c r="J246" s="29"/>
      <c r="K246" s="29"/>
      <c r="L246" s="29"/>
      <c r="M246" s="29"/>
      <c r="N246" s="29"/>
      <c r="O246" s="29"/>
      <c r="P246" s="29"/>
      <c r="Q246" s="29"/>
    </row>
    <row r="247" spans="7:17">
      <c r="G247" s="29"/>
      <c r="H247" s="29"/>
      <c r="I247" s="29"/>
      <c r="J247" s="29"/>
      <c r="K247" s="29"/>
      <c r="L247" s="29"/>
      <c r="M247" s="29"/>
      <c r="N247" s="29"/>
      <c r="O247" s="29"/>
      <c r="P247" s="29"/>
      <c r="Q247" s="29"/>
    </row>
    <row r="248" spans="7:17">
      <c r="G248" s="29"/>
      <c r="H248" s="29"/>
      <c r="I248" s="29"/>
      <c r="J248" s="29"/>
      <c r="K248" s="29"/>
      <c r="L248" s="29"/>
      <c r="M248" s="29"/>
      <c r="N248" s="29"/>
      <c r="O248" s="29"/>
      <c r="P248" s="29"/>
      <c r="Q248" s="29"/>
    </row>
    <row r="249" spans="7:17">
      <c r="G249" s="29"/>
      <c r="H249" s="29"/>
      <c r="I249" s="29"/>
      <c r="J249" s="29"/>
      <c r="K249" s="29"/>
      <c r="L249" s="29"/>
      <c r="M249" s="29"/>
      <c r="N249" s="29"/>
      <c r="O249" s="29"/>
      <c r="P249" s="29"/>
      <c r="Q249" s="29"/>
    </row>
    <row r="250" spans="7:17">
      <c r="G250" s="29"/>
      <c r="H250" s="29"/>
      <c r="I250" s="29"/>
      <c r="J250" s="29"/>
      <c r="K250" s="29"/>
      <c r="L250" s="29"/>
      <c r="M250" s="29"/>
      <c r="N250" s="29"/>
      <c r="O250" s="29"/>
      <c r="P250" s="29"/>
      <c r="Q250" s="29"/>
    </row>
    <row r="251" spans="7:17">
      <c r="G251" s="29"/>
      <c r="H251" s="29"/>
      <c r="I251" s="29"/>
      <c r="J251" s="29"/>
      <c r="K251" s="29"/>
      <c r="L251" s="29"/>
      <c r="M251" s="29"/>
      <c r="N251" s="29"/>
      <c r="O251" s="29"/>
      <c r="P251" s="29"/>
      <c r="Q251" s="29"/>
    </row>
    <row r="252" spans="7:17">
      <c r="G252" s="29"/>
      <c r="H252" s="29"/>
      <c r="I252" s="29"/>
      <c r="J252" s="29"/>
      <c r="K252" s="29"/>
      <c r="L252" s="29"/>
      <c r="M252" s="29"/>
      <c r="N252" s="29"/>
      <c r="O252" s="29"/>
      <c r="P252" s="29"/>
      <c r="Q252" s="29"/>
    </row>
    <row r="253" spans="7:17">
      <c r="G253" s="29"/>
      <c r="H253" s="29"/>
      <c r="I253" s="29"/>
      <c r="J253" s="29"/>
      <c r="K253" s="29"/>
      <c r="L253" s="29"/>
      <c r="M253" s="29"/>
      <c r="N253" s="29"/>
      <c r="O253" s="29"/>
      <c r="P253" s="29"/>
      <c r="Q253" s="29"/>
    </row>
    <row r="254" spans="7:17">
      <c r="G254" s="29"/>
      <c r="H254" s="29"/>
      <c r="I254" s="29"/>
      <c r="J254" s="29"/>
      <c r="K254" s="29"/>
      <c r="L254" s="29"/>
      <c r="M254" s="29"/>
      <c r="N254" s="29"/>
      <c r="O254" s="29"/>
      <c r="P254" s="29"/>
      <c r="Q254" s="29"/>
    </row>
    <row r="255" spans="7:17">
      <c r="G255" s="29"/>
      <c r="H255" s="29"/>
      <c r="I255" s="29"/>
      <c r="J255" s="29"/>
      <c r="K255" s="29"/>
      <c r="L255" s="29"/>
      <c r="M255" s="29"/>
      <c r="N255" s="29"/>
      <c r="O255" s="29"/>
      <c r="P255" s="29"/>
      <c r="Q255" s="29"/>
    </row>
    <row r="256" spans="7:17">
      <c r="G256" s="29"/>
      <c r="H256" s="29"/>
      <c r="I256" s="29"/>
      <c r="J256" s="29"/>
      <c r="K256" s="29"/>
      <c r="L256" s="29"/>
      <c r="M256" s="29"/>
      <c r="N256" s="29"/>
      <c r="O256" s="29"/>
      <c r="P256" s="29"/>
      <c r="Q256" s="29"/>
    </row>
    <row r="257" spans="7:17">
      <c r="G257" s="29"/>
      <c r="H257" s="29"/>
      <c r="I257" s="29"/>
      <c r="J257" s="29"/>
      <c r="K257" s="29"/>
      <c r="L257" s="29"/>
      <c r="M257" s="29"/>
      <c r="N257" s="29"/>
      <c r="O257" s="29"/>
      <c r="P257" s="29"/>
      <c r="Q257" s="29"/>
    </row>
    <row r="258" spans="7:17">
      <c r="G258" s="29"/>
      <c r="H258" s="29"/>
      <c r="I258" s="29"/>
      <c r="J258" s="29"/>
      <c r="K258" s="29"/>
      <c r="L258" s="29"/>
      <c r="M258" s="29"/>
      <c r="N258" s="29"/>
      <c r="O258" s="29"/>
      <c r="P258" s="29"/>
      <c r="Q258" s="29"/>
    </row>
    <row r="259" spans="7:17">
      <c r="G259" s="29"/>
      <c r="H259" s="29"/>
      <c r="I259" s="29"/>
      <c r="J259" s="29"/>
      <c r="K259" s="29"/>
      <c r="L259" s="29"/>
      <c r="M259" s="29"/>
      <c r="N259" s="29"/>
      <c r="O259" s="29"/>
      <c r="P259" s="29"/>
      <c r="Q259" s="29"/>
    </row>
    <row r="260" spans="7:17">
      <c r="G260" s="29"/>
      <c r="H260" s="29"/>
      <c r="I260" s="29"/>
      <c r="J260" s="29"/>
      <c r="K260" s="29"/>
      <c r="L260" s="29"/>
      <c r="M260" s="29"/>
      <c r="N260" s="29"/>
      <c r="O260" s="29"/>
      <c r="P260" s="29"/>
      <c r="Q260" s="29"/>
    </row>
    <row r="261" spans="7:17">
      <c r="G261" s="29"/>
      <c r="H261" s="29"/>
      <c r="I261" s="29"/>
      <c r="J261" s="29"/>
      <c r="K261" s="29"/>
      <c r="L261" s="29"/>
      <c r="M261" s="29"/>
      <c r="N261" s="29"/>
      <c r="O261" s="29"/>
      <c r="P261" s="29"/>
      <c r="Q261" s="29"/>
    </row>
    <row r="262" spans="7:17">
      <c r="G262" s="29"/>
      <c r="H262" s="29"/>
      <c r="I262" s="29"/>
      <c r="J262" s="29"/>
      <c r="K262" s="29"/>
      <c r="L262" s="29"/>
      <c r="M262" s="29"/>
      <c r="N262" s="29"/>
      <c r="O262" s="29"/>
      <c r="P262" s="29"/>
      <c r="Q262" s="29"/>
    </row>
    <row r="263" spans="7:17">
      <c r="G263" s="29"/>
      <c r="H263" s="29"/>
      <c r="I263" s="29"/>
      <c r="J263" s="29"/>
      <c r="K263" s="29"/>
      <c r="L263" s="29"/>
      <c r="M263" s="29"/>
      <c r="N263" s="29"/>
      <c r="O263" s="29"/>
      <c r="P263" s="29"/>
      <c r="Q263" s="29"/>
    </row>
    <row r="264" spans="7:17">
      <c r="G264" s="29"/>
      <c r="H264" s="29"/>
      <c r="I264" s="29"/>
      <c r="J264" s="29"/>
      <c r="K264" s="29"/>
      <c r="L264" s="29"/>
      <c r="M264" s="29"/>
      <c r="N264" s="29"/>
      <c r="O264" s="29"/>
      <c r="P264" s="29"/>
      <c r="Q264" s="29"/>
    </row>
    <row r="265" spans="7:17">
      <c r="G265" s="29"/>
      <c r="H265" s="29"/>
      <c r="I265" s="29"/>
      <c r="J265" s="29"/>
      <c r="K265" s="29"/>
      <c r="L265" s="29"/>
      <c r="M265" s="29"/>
      <c r="N265" s="29"/>
      <c r="O265" s="29"/>
      <c r="P265" s="29"/>
      <c r="Q265" s="29"/>
    </row>
    <row r="266" spans="7:17">
      <c r="G266" s="29"/>
      <c r="H266" s="29"/>
      <c r="I266" s="29"/>
      <c r="J266" s="29"/>
      <c r="K266" s="29"/>
      <c r="L266" s="29"/>
      <c r="M266" s="29"/>
      <c r="N266" s="29"/>
      <c r="O266" s="29"/>
      <c r="P266" s="29"/>
      <c r="Q266" s="29"/>
    </row>
    <row r="267" spans="7:17">
      <c r="G267" s="29"/>
      <c r="H267" s="29"/>
      <c r="I267" s="29"/>
      <c r="J267" s="29"/>
      <c r="K267" s="29"/>
      <c r="L267" s="29"/>
      <c r="M267" s="29"/>
      <c r="N267" s="29"/>
      <c r="O267" s="29"/>
      <c r="P267" s="29"/>
      <c r="Q267" s="29"/>
    </row>
    <row r="268" spans="7:17">
      <c r="G268" s="29"/>
      <c r="H268" s="29"/>
      <c r="I268" s="29"/>
      <c r="J268" s="29"/>
      <c r="K268" s="29"/>
      <c r="L268" s="29"/>
      <c r="M268" s="29"/>
      <c r="N268" s="29"/>
      <c r="O268" s="29"/>
      <c r="P268" s="29"/>
      <c r="Q268" s="29"/>
    </row>
    <row r="269" spans="7:17">
      <c r="G269" s="29"/>
      <c r="H269" s="29"/>
      <c r="I269" s="29"/>
      <c r="J269" s="29"/>
      <c r="K269" s="29"/>
      <c r="L269" s="29"/>
      <c r="M269" s="29"/>
      <c r="N269" s="29"/>
      <c r="O269" s="29"/>
      <c r="P269" s="29"/>
      <c r="Q269" s="29"/>
    </row>
    <row r="270" spans="7:17">
      <c r="G270" s="29"/>
      <c r="H270" s="29"/>
      <c r="I270" s="29"/>
      <c r="J270" s="29"/>
      <c r="K270" s="29"/>
      <c r="L270" s="29"/>
      <c r="M270" s="29"/>
      <c r="N270" s="29"/>
      <c r="O270" s="29"/>
      <c r="P270" s="29"/>
      <c r="Q270" s="29"/>
    </row>
    <row r="271" spans="7:17">
      <c r="G271" s="29"/>
      <c r="H271" s="29"/>
      <c r="I271" s="29"/>
      <c r="J271" s="29"/>
      <c r="K271" s="29"/>
      <c r="L271" s="29"/>
      <c r="M271" s="29"/>
      <c r="N271" s="29"/>
      <c r="O271" s="29"/>
      <c r="P271" s="29"/>
      <c r="Q271" s="29"/>
    </row>
    <row r="272" spans="7:17">
      <c r="G272" s="29"/>
      <c r="H272" s="29"/>
      <c r="I272" s="29"/>
      <c r="J272" s="29"/>
      <c r="K272" s="29"/>
      <c r="L272" s="29"/>
      <c r="M272" s="29"/>
      <c r="N272" s="29"/>
      <c r="O272" s="29"/>
      <c r="P272" s="29"/>
      <c r="Q272" s="29"/>
    </row>
    <row r="273" spans="7:17">
      <c r="G273" s="29"/>
      <c r="H273" s="29"/>
      <c r="I273" s="29"/>
      <c r="J273" s="29"/>
      <c r="K273" s="29"/>
      <c r="L273" s="29"/>
      <c r="M273" s="29"/>
      <c r="N273" s="29"/>
      <c r="O273" s="29"/>
      <c r="P273" s="29"/>
      <c r="Q273" s="29"/>
    </row>
    <row r="274" spans="7:17">
      <c r="G274" s="29"/>
      <c r="H274" s="29"/>
      <c r="I274" s="29"/>
      <c r="J274" s="29"/>
      <c r="K274" s="29"/>
      <c r="L274" s="29"/>
      <c r="M274" s="29"/>
      <c r="N274" s="29"/>
      <c r="O274" s="29"/>
      <c r="P274" s="29"/>
      <c r="Q274" s="29"/>
    </row>
    <row r="275" spans="7:17">
      <c r="G275" s="29"/>
      <c r="H275" s="29"/>
      <c r="I275" s="29"/>
      <c r="J275" s="29"/>
      <c r="K275" s="29"/>
      <c r="L275" s="29"/>
      <c r="M275" s="29"/>
      <c r="N275" s="29"/>
      <c r="O275" s="29"/>
      <c r="P275" s="29"/>
      <c r="Q275" s="29"/>
    </row>
    <row r="276" spans="7:17">
      <c r="G276" s="29"/>
      <c r="H276" s="29"/>
      <c r="I276" s="29"/>
      <c r="J276" s="29"/>
      <c r="K276" s="29"/>
      <c r="L276" s="29"/>
      <c r="M276" s="29"/>
      <c r="N276" s="29"/>
      <c r="O276" s="29"/>
      <c r="P276" s="29"/>
      <c r="Q276" s="29"/>
    </row>
    <row r="277" spans="7:17">
      <c r="G277" s="29"/>
      <c r="H277" s="29"/>
      <c r="I277" s="29"/>
      <c r="J277" s="29"/>
      <c r="K277" s="29"/>
      <c r="L277" s="29"/>
      <c r="M277" s="29"/>
      <c r="N277" s="29"/>
      <c r="O277" s="29"/>
      <c r="P277" s="29"/>
      <c r="Q277" s="29"/>
    </row>
    <row r="278" spans="7:17">
      <c r="G278" s="29"/>
      <c r="H278" s="29"/>
      <c r="I278" s="29"/>
      <c r="J278" s="29"/>
      <c r="K278" s="29"/>
      <c r="L278" s="29"/>
      <c r="M278" s="29"/>
      <c r="N278" s="29"/>
      <c r="O278" s="29"/>
      <c r="P278" s="29"/>
      <c r="Q278" s="29"/>
    </row>
    <row r="279" spans="7:17">
      <c r="G279" s="29"/>
      <c r="H279" s="29"/>
      <c r="I279" s="29"/>
      <c r="J279" s="29"/>
      <c r="K279" s="29"/>
      <c r="L279" s="29"/>
      <c r="M279" s="29"/>
      <c r="N279" s="29"/>
      <c r="O279" s="29"/>
      <c r="P279" s="29"/>
      <c r="Q279" s="29"/>
    </row>
    <row r="280" spans="7:17">
      <c r="G280" s="29"/>
      <c r="H280" s="29"/>
      <c r="I280" s="29"/>
      <c r="J280" s="29"/>
      <c r="K280" s="29"/>
      <c r="L280" s="29"/>
      <c r="M280" s="29"/>
      <c r="N280" s="29"/>
      <c r="O280" s="29"/>
      <c r="P280" s="29"/>
      <c r="Q280" s="29"/>
    </row>
    <row r="281" spans="7:17">
      <c r="G281" s="29"/>
      <c r="H281" s="29"/>
      <c r="I281" s="29"/>
      <c r="J281" s="29"/>
      <c r="K281" s="29"/>
      <c r="L281" s="29"/>
      <c r="M281" s="29"/>
      <c r="N281" s="29"/>
      <c r="O281" s="29"/>
      <c r="P281" s="29"/>
      <c r="Q281" s="29"/>
    </row>
    <row r="282" spans="7:17">
      <c r="G282" s="29"/>
      <c r="H282" s="29"/>
      <c r="I282" s="29"/>
      <c r="J282" s="29"/>
      <c r="K282" s="29"/>
      <c r="L282" s="29"/>
      <c r="M282" s="29"/>
      <c r="N282" s="29"/>
      <c r="O282" s="29"/>
      <c r="P282" s="29"/>
      <c r="Q282" s="29"/>
    </row>
    <row r="283" spans="7:17">
      <c r="G283" s="29"/>
      <c r="H283" s="29"/>
      <c r="I283" s="29"/>
      <c r="J283" s="29"/>
      <c r="K283" s="29"/>
      <c r="L283" s="29"/>
      <c r="M283" s="29"/>
      <c r="N283" s="29"/>
      <c r="O283" s="29"/>
      <c r="P283" s="29"/>
      <c r="Q283" s="29"/>
    </row>
    <row r="284" spans="7:17">
      <c r="G284" s="29"/>
      <c r="H284" s="29"/>
      <c r="I284" s="29"/>
      <c r="J284" s="29"/>
      <c r="K284" s="29"/>
      <c r="L284" s="29"/>
      <c r="M284" s="29"/>
      <c r="N284" s="29"/>
      <c r="O284" s="29"/>
      <c r="P284" s="29"/>
      <c r="Q284" s="29"/>
    </row>
    <row r="285" spans="7:17">
      <c r="G285" s="29"/>
      <c r="H285" s="29"/>
      <c r="I285" s="29"/>
      <c r="J285" s="29"/>
      <c r="K285" s="29"/>
      <c r="L285" s="29"/>
      <c r="M285" s="29"/>
      <c r="N285" s="29"/>
      <c r="O285" s="29"/>
      <c r="P285" s="29"/>
      <c r="Q285" s="29"/>
    </row>
    <row r="286" spans="7:17">
      <c r="G286" s="29"/>
      <c r="H286" s="29"/>
      <c r="I286" s="29"/>
      <c r="J286" s="29"/>
      <c r="K286" s="29"/>
      <c r="L286" s="29"/>
      <c r="M286" s="29"/>
      <c r="N286" s="29"/>
      <c r="O286" s="29"/>
      <c r="P286" s="29"/>
      <c r="Q286" s="29"/>
    </row>
    <row r="287" spans="7:17">
      <c r="G287" s="29"/>
      <c r="H287" s="29"/>
      <c r="I287" s="29"/>
      <c r="J287" s="29"/>
      <c r="K287" s="29"/>
      <c r="L287" s="29"/>
      <c r="M287" s="29"/>
      <c r="N287" s="29"/>
      <c r="O287" s="29"/>
      <c r="P287" s="29"/>
      <c r="Q287" s="29"/>
    </row>
    <row r="288" spans="7:17">
      <c r="G288" s="29"/>
      <c r="H288" s="29"/>
      <c r="I288" s="29"/>
      <c r="J288" s="29"/>
      <c r="K288" s="29"/>
      <c r="L288" s="29"/>
      <c r="M288" s="29"/>
      <c r="N288" s="29"/>
      <c r="O288" s="29"/>
      <c r="P288" s="29"/>
      <c r="Q288" s="29"/>
    </row>
    <row r="289" spans="7:17">
      <c r="G289" s="29"/>
      <c r="H289" s="29"/>
      <c r="I289" s="29"/>
      <c r="J289" s="29"/>
      <c r="K289" s="29"/>
      <c r="L289" s="29"/>
      <c r="M289" s="29"/>
      <c r="N289" s="29"/>
      <c r="O289" s="29"/>
      <c r="P289" s="29"/>
      <c r="Q289" s="29"/>
    </row>
    <row r="290" spans="7:17">
      <c r="G290" s="29"/>
      <c r="H290" s="29"/>
      <c r="I290" s="29"/>
      <c r="J290" s="29"/>
      <c r="K290" s="29"/>
      <c r="L290" s="29"/>
      <c r="M290" s="29"/>
      <c r="N290" s="29"/>
      <c r="O290" s="29"/>
      <c r="P290" s="29"/>
      <c r="Q290" s="29"/>
    </row>
    <row r="291" spans="7:17">
      <c r="G291" s="29"/>
      <c r="H291" s="29"/>
      <c r="I291" s="29"/>
      <c r="J291" s="29"/>
      <c r="K291" s="29"/>
      <c r="L291" s="29"/>
      <c r="M291" s="29"/>
      <c r="N291" s="29"/>
      <c r="O291" s="29"/>
      <c r="P291" s="29"/>
      <c r="Q291" s="29"/>
    </row>
    <row r="292" spans="7:17">
      <c r="G292" s="29"/>
      <c r="H292" s="29"/>
      <c r="I292" s="29"/>
      <c r="J292" s="29"/>
      <c r="K292" s="29"/>
      <c r="L292" s="29"/>
      <c r="M292" s="29"/>
      <c r="N292" s="29"/>
      <c r="O292" s="29"/>
      <c r="P292" s="29"/>
      <c r="Q292" s="29"/>
    </row>
    <row r="293" spans="7:17">
      <c r="G293" s="29"/>
      <c r="H293" s="29"/>
      <c r="I293" s="29"/>
      <c r="J293" s="29"/>
      <c r="K293" s="29"/>
      <c r="L293" s="29"/>
      <c r="M293" s="29"/>
      <c r="N293" s="29"/>
      <c r="O293" s="29"/>
      <c r="P293" s="29"/>
      <c r="Q293" s="29"/>
    </row>
    <row r="294" spans="7:17">
      <c r="G294" s="29"/>
      <c r="H294" s="29"/>
      <c r="I294" s="29"/>
      <c r="J294" s="29"/>
      <c r="K294" s="29"/>
      <c r="L294" s="29"/>
      <c r="M294" s="29"/>
      <c r="N294" s="29"/>
      <c r="O294" s="29"/>
      <c r="P294" s="29"/>
      <c r="Q294" s="29"/>
    </row>
    <row r="295" spans="7:17">
      <c r="G295" s="29"/>
      <c r="H295" s="29"/>
      <c r="I295" s="29"/>
      <c r="J295" s="29"/>
      <c r="K295" s="29"/>
      <c r="L295" s="29"/>
      <c r="M295" s="29"/>
      <c r="N295" s="29"/>
      <c r="O295" s="29"/>
      <c r="P295" s="29"/>
      <c r="Q295" s="29"/>
    </row>
    <row r="296" spans="7:17">
      <c r="G296" s="29"/>
      <c r="H296" s="29"/>
      <c r="I296" s="29"/>
      <c r="J296" s="29"/>
      <c r="K296" s="29"/>
      <c r="L296" s="29"/>
      <c r="M296" s="29"/>
      <c r="N296" s="29"/>
      <c r="O296" s="29"/>
      <c r="P296" s="29"/>
      <c r="Q296" s="29"/>
    </row>
    <row r="297" spans="7:17">
      <c r="G297" s="29"/>
      <c r="H297" s="29"/>
      <c r="I297" s="29"/>
      <c r="J297" s="29"/>
      <c r="K297" s="29"/>
      <c r="L297" s="29"/>
      <c r="M297" s="29"/>
      <c r="N297" s="29"/>
      <c r="O297" s="29"/>
      <c r="P297" s="29"/>
      <c r="Q297" s="29"/>
    </row>
    <row r="298" spans="7:17">
      <c r="G298" s="29"/>
      <c r="H298" s="29"/>
      <c r="I298" s="29"/>
      <c r="J298" s="29"/>
      <c r="K298" s="29"/>
      <c r="L298" s="29"/>
      <c r="M298" s="29"/>
      <c r="N298" s="29"/>
      <c r="O298" s="29"/>
      <c r="P298" s="29"/>
      <c r="Q298" s="29"/>
    </row>
    <row r="299" spans="7:17">
      <c r="G299" s="29"/>
      <c r="H299" s="29"/>
      <c r="I299" s="29"/>
      <c r="J299" s="29"/>
      <c r="K299" s="29"/>
      <c r="L299" s="29"/>
      <c r="M299" s="29"/>
      <c r="N299" s="29"/>
      <c r="O299" s="29"/>
      <c r="P299" s="29"/>
      <c r="Q299" s="29"/>
    </row>
    <row r="300" spans="7:17">
      <c r="G300" s="29"/>
      <c r="H300" s="29"/>
      <c r="I300" s="29"/>
      <c r="J300" s="29"/>
      <c r="K300" s="29"/>
      <c r="L300" s="29"/>
      <c r="M300" s="29"/>
      <c r="N300" s="29"/>
      <c r="O300" s="29"/>
      <c r="P300" s="29"/>
      <c r="Q300" s="29"/>
    </row>
    <row r="301" spans="7:17">
      <c r="G301" s="29"/>
      <c r="H301" s="29"/>
      <c r="I301" s="29"/>
      <c r="J301" s="29"/>
      <c r="K301" s="29"/>
      <c r="L301" s="29"/>
      <c r="M301" s="29"/>
      <c r="N301" s="29"/>
      <c r="O301" s="29"/>
      <c r="P301" s="29"/>
      <c r="Q301" s="29"/>
    </row>
    <row r="302" spans="7:17">
      <c r="G302" s="29"/>
      <c r="H302" s="29"/>
      <c r="I302" s="29"/>
      <c r="J302" s="29"/>
      <c r="K302" s="29"/>
      <c r="L302" s="29"/>
      <c r="M302" s="29"/>
      <c r="N302" s="29"/>
      <c r="O302" s="29"/>
      <c r="P302" s="29"/>
      <c r="Q302" s="29"/>
    </row>
    <row r="303" spans="7:17">
      <c r="G303" s="29"/>
      <c r="H303" s="29"/>
      <c r="I303" s="29"/>
      <c r="J303" s="29"/>
      <c r="K303" s="29"/>
      <c r="L303" s="29"/>
      <c r="M303" s="29"/>
      <c r="N303" s="29"/>
      <c r="O303" s="29"/>
      <c r="P303" s="29"/>
      <c r="Q303" s="29"/>
    </row>
    <row r="304" spans="7:17">
      <c r="G304" s="29"/>
      <c r="H304" s="29"/>
      <c r="I304" s="29"/>
      <c r="J304" s="29"/>
      <c r="K304" s="29"/>
      <c r="L304" s="29"/>
      <c r="M304" s="29"/>
      <c r="N304" s="29"/>
      <c r="O304" s="29"/>
      <c r="P304" s="29"/>
      <c r="Q304" s="29"/>
    </row>
    <row r="305" spans="7:17">
      <c r="G305" s="29"/>
      <c r="H305" s="29"/>
      <c r="I305" s="29"/>
      <c r="J305" s="29"/>
      <c r="K305" s="29"/>
      <c r="L305" s="29"/>
      <c r="M305" s="29"/>
      <c r="N305" s="29"/>
      <c r="O305" s="29"/>
      <c r="P305" s="29"/>
      <c r="Q305" s="29"/>
    </row>
    <row r="306" spans="7:17">
      <c r="G306" s="29"/>
      <c r="H306" s="29"/>
      <c r="I306" s="29"/>
      <c r="J306" s="29"/>
      <c r="K306" s="29"/>
      <c r="L306" s="29"/>
      <c r="M306" s="29"/>
      <c r="N306" s="29"/>
      <c r="O306" s="29"/>
      <c r="P306" s="29"/>
      <c r="Q306" s="29"/>
    </row>
    <row r="307" spans="7:17">
      <c r="G307" s="29"/>
      <c r="H307" s="29"/>
      <c r="I307" s="29"/>
      <c r="J307" s="29"/>
      <c r="K307" s="29"/>
      <c r="L307" s="29"/>
      <c r="M307" s="29"/>
      <c r="N307" s="29"/>
      <c r="O307" s="29"/>
      <c r="P307" s="29"/>
      <c r="Q307" s="29"/>
    </row>
    <row r="308" spans="7:17">
      <c r="G308" s="29"/>
      <c r="H308" s="29"/>
      <c r="I308" s="29"/>
      <c r="J308" s="29"/>
      <c r="K308" s="29"/>
      <c r="L308" s="29"/>
      <c r="M308" s="29"/>
      <c r="N308" s="29"/>
      <c r="O308" s="29"/>
      <c r="P308" s="29"/>
      <c r="Q308" s="29"/>
    </row>
    <row r="309" spans="7:17">
      <c r="G309" s="29"/>
      <c r="H309" s="29"/>
      <c r="I309" s="29"/>
      <c r="J309" s="29"/>
      <c r="K309" s="29"/>
      <c r="L309" s="29"/>
      <c r="M309" s="29"/>
      <c r="N309" s="29"/>
      <c r="O309" s="29"/>
      <c r="P309" s="29"/>
      <c r="Q309" s="29"/>
    </row>
    <row r="310" spans="7:17">
      <c r="G310" s="29"/>
      <c r="H310" s="29"/>
      <c r="I310" s="29"/>
      <c r="J310" s="29"/>
      <c r="K310" s="29"/>
      <c r="L310" s="29"/>
      <c r="M310" s="29"/>
      <c r="N310" s="29"/>
      <c r="O310" s="29"/>
      <c r="P310" s="29"/>
      <c r="Q310" s="29"/>
    </row>
    <row r="311" spans="7:17">
      <c r="G311" s="29"/>
      <c r="H311" s="29"/>
      <c r="I311" s="29"/>
      <c r="J311" s="29"/>
      <c r="K311" s="29"/>
      <c r="L311" s="29"/>
      <c r="M311" s="29"/>
      <c r="N311" s="29"/>
      <c r="O311" s="29"/>
      <c r="P311" s="29"/>
      <c r="Q311" s="29"/>
    </row>
    <row r="312" spans="7:17">
      <c r="G312" s="29"/>
      <c r="H312" s="29"/>
      <c r="I312" s="29"/>
      <c r="J312" s="29"/>
      <c r="K312" s="29"/>
      <c r="L312" s="29"/>
      <c r="M312" s="29"/>
      <c r="N312" s="29"/>
      <c r="O312" s="29"/>
      <c r="P312" s="29"/>
      <c r="Q312" s="29"/>
    </row>
    <row r="313" spans="7:17">
      <c r="G313" s="29"/>
      <c r="H313" s="29"/>
      <c r="I313" s="29"/>
      <c r="J313" s="29"/>
      <c r="K313" s="29"/>
      <c r="L313" s="29"/>
      <c r="M313" s="29"/>
      <c r="N313" s="29"/>
      <c r="O313" s="29"/>
      <c r="P313" s="29"/>
      <c r="Q313" s="29"/>
    </row>
    <row r="314" spans="7:17">
      <c r="G314" s="29"/>
      <c r="H314" s="29"/>
      <c r="I314" s="29"/>
      <c r="J314" s="29"/>
      <c r="K314" s="29"/>
      <c r="L314" s="29"/>
      <c r="M314" s="29"/>
      <c r="N314" s="29"/>
      <c r="O314" s="29"/>
      <c r="P314" s="29"/>
      <c r="Q314" s="29"/>
    </row>
    <row r="315" spans="7:17">
      <c r="G315" s="29"/>
      <c r="H315" s="29"/>
      <c r="I315" s="29"/>
      <c r="J315" s="29"/>
      <c r="K315" s="29"/>
      <c r="L315" s="29"/>
      <c r="M315" s="29"/>
      <c r="N315" s="29"/>
      <c r="O315" s="29"/>
      <c r="P315" s="29"/>
      <c r="Q315" s="29"/>
    </row>
    <row r="316" spans="7:17">
      <c r="G316" s="29"/>
      <c r="H316" s="29"/>
      <c r="I316" s="29"/>
      <c r="J316" s="29"/>
      <c r="K316" s="29"/>
      <c r="L316" s="29"/>
      <c r="M316" s="29"/>
      <c r="N316" s="29"/>
      <c r="O316" s="29"/>
      <c r="P316" s="29"/>
      <c r="Q316" s="29"/>
    </row>
    <row r="317" spans="7:17">
      <c r="G317" s="29"/>
      <c r="H317" s="29"/>
      <c r="I317" s="29"/>
      <c r="J317" s="29"/>
      <c r="K317" s="29"/>
      <c r="L317" s="29"/>
      <c r="M317" s="29"/>
      <c r="N317" s="29"/>
      <c r="O317" s="29"/>
      <c r="P317" s="29"/>
      <c r="Q317" s="29"/>
    </row>
    <row r="318" spans="7:17">
      <c r="G318" s="29"/>
      <c r="H318" s="29"/>
      <c r="I318" s="29"/>
      <c r="J318" s="29"/>
      <c r="K318" s="29"/>
      <c r="L318" s="29"/>
      <c r="M318" s="29"/>
      <c r="N318" s="29"/>
      <c r="O318" s="29"/>
      <c r="P318" s="29"/>
      <c r="Q318" s="29"/>
    </row>
    <row r="319" spans="7:17">
      <c r="G319" s="29"/>
      <c r="H319" s="29"/>
      <c r="I319" s="29"/>
      <c r="J319" s="29"/>
      <c r="K319" s="29"/>
      <c r="L319" s="29"/>
      <c r="M319" s="29"/>
      <c r="N319" s="29"/>
      <c r="O319" s="29"/>
      <c r="P319" s="29"/>
      <c r="Q319" s="29"/>
    </row>
    <row r="320" spans="7:17">
      <c r="G320" s="29"/>
      <c r="H320" s="29"/>
      <c r="I320" s="29"/>
      <c r="J320" s="29"/>
      <c r="K320" s="29"/>
      <c r="L320" s="29"/>
      <c r="M320" s="29"/>
      <c r="N320" s="29"/>
      <c r="O320" s="29"/>
      <c r="P320" s="29"/>
      <c r="Q320" s="29"/>
    </row>
    <row r="321" spans="7:17">
      <c r="G321" s="29"/>
      <c r="H321" s="29"/>
      <c r="I321" s="29"/>
      <c r="J321" s="29"/>
      <c r="K321" s="29"/>
      <c r="L321" s="29"/>
      <c r="M321" s="29"/>
      <c r="N321" s="29"/>
      <c r="O321" s="29"/>
      <c r="P321" s="29"/>
      <c r="Q321" s="29"/>
    </row>
    <row r="322" spans="7:17">
      <c r="G322" s="29"/>
      <c r="H322" s="29"/>
      <c r="I322" s="29"/>
      <c r="J322" s="29"/>
      <c r="K322" s="29"/>
      <c r="L322" s="29"/>
      <c r="M322" s="29"/>
      <c r="N322" s="29"/>
      <c r="O322" s="29"/>
      <c r="P322" s="29"/>
      <c r="Q322" s="29"/>
    </row>
    <row r="323" spans="7:17">
      <c r="G323" s="29"/>
      <c r="H323" s="29"/>
      <c r="I323" s="29"/>
      <c r="J323" s="29"/>
      <c r="K323" s="29"/>
      <c r="L323" s="29"/>
      <c r="M323" s="29"/>
      <c r="N323" s="29"/>
      <c r="O323" s="29"/>
      <c r="P323" s="29"/>
      <c r="Q323" s="29"/>
    </row>
    <row r="324" spans="7:17">
      <c r="G324" s="29"/>
      <c r="H324" s="29"/>
      <c r="I324" s="29"/>
      <c r="J324" s="29"/>
      <c r="K324" s="29"/>
      <c r="L324" s="29"/>
      <c r="M324" s="29"/>
      <c r="N324" s="29"/>
      <c r="O324" s="29"/>
      <c r="P324" s="29"/>
      <c r="Q324" s="29"/>
    </row>
    <row r="325" spans="7:17">
      <c r="G325" s="29"/>
      <c r="H325" s="29"/>
      <c r="I325" s="29"/>
      <c r="J325" s="29"/>
      <c r="K325" s="29"/>
      <c r="L325" s="29"/>
      <c r="M325" s="29"/>
      <c r="N325" s="29"/>
      <c r="O325" s="29"/>
      <c r="P325" s="29"/>
      <c r="Q325" s="29"/>
    </row>
    <row r="326" spans="7:17">
      <c r="G326" s="29"/>
      <c r="H326" s="29"/>
      <c r="I326" s="29"/>
      <c r="J326" s="29"/>
      <c r="K326" s="29"/>
      <c r="L326" s="29"/>
      <c r="M326" s="29"/>
      <c r="N326" s="29"/>
      <c r="O326" s="29"/>
      <c r="P326" s="29"/>
      <c r="Q326" s="29"/>
    </row>
    <row r="327" spans="7:17">
      <c r="G327" s="29"/>
      <c r="H327" s="29"/>
      <c r="I327" s="29"/>
      <c r="J327" s="29"/>
      <c r="K327" s="29"/>
      <c r="L327" s="29"/>
      <c r="M327" s="29"/>
      <c r="N327" s="29"/>
      <c r="O327" s="29"/>
      <c r="P327" s="29"/>
      <c r="Q327" s="29"/>
    </row>
    <row r="328" spans="7:17">
      <c r="G328" s="29"/>
      <c r="H328" s="29"/>
      <c r="I328" s="29"/>
      <c r="J328" s="29"/>
      <c r="K328" s="29"/>
      <c r="L328" s="29"/>
      <c r="M328" s="29"/>
      <c r="N328" s="29"/>
      <c r="O328" s="29"/>
      <c r="P328" s="29"/>
      <c r="Q328" s="29"/>
    </row>
    <row r="329" spans="7:17">
      <c r="G329" s="29"/>
      <c r="H329" s="29"/>
      <c r="I329" s="29"/>
      <c r="J329" s="29"/>
      <c r="K329" s="29"/>
      <c r="L329" s="29"/>
      <c r="M329" s="29"/>
      <c r="N329" s="29"/>
      <c r="O329" s="29"/>
      <c r="P329" s="29"/>
      <c r="Q329" s="29"/>
    </row>
    <row r="330" spans="7:17">
      <c r="G330" s="29"/>
      <c r="H330" s="29"/>
      <c r="I330" s="29"/>
      <c r="J330" s="29"/>
      <c r="K330" s="29"/>
      <c r="L330" s="29"/>
      <c r="M330" s="29"/>
      <c r="N330" s="29"/>
      <c r="O330" s="29"/>
      <c r="P330" s="29"/>
      <c r="Q330" s="29"/>
    </row>
    <row r="331" spans="7:17">
      <c r="G331" s="29"/>
      <c r="H331" s="29"/>
      <c r="I331" s="29"/>
      <c r="J331" s="29"/>
      <c r="K331" s="29"/>
      <c r="L331" s="29"/>
      <c r="M331" s="29"/>
      <c r="N331" s="29"/>
      <c r="O331" s="29"/>
      <c r="P331" s="29"/>
      <c r="Q331" s="29"/>
    </row>
    <row r="332" spans="7:17">
      <c r="G332" s="29"/>
      <c r="H332" s="29"/>
      <c r="I332" s="29"/>
      <c r="J332" s="29"/>
      <c r="K332" s="29"/>
      <c r="L332" s="29"/>
      <c r="M332" s="29"/>
      <c r="N332" s="29"/>
      <c r="O332" s="29"/>
      <c r="P332" s="29"/>
      <c r="Q332" s="29"/>
    </row>
    <row r="333" spans="7:17">
      <c r="G333" s="29"/>
      <c r="H333" s="29"/>
      <c r="I333" s="29"/>
      <c r="J333" s="29"/>
      <c r="K333" s="29"/>
      <c r="L333" s="29"/>
      <c r="M333" s="29"/>
      <c r="N333" s="29"/>
      <c r="O333" s="29"/>
      <c r="P333" s="29"/>
      <c r="Q333" s="29"/>
    </row>
    <row r="334" spans="7:17">
      <c r="G334" s="29"/>
      <c r="H334" s="29"/>
      <c r="I334" s="29"/>
      <c r="J334" s="29"/>
      <c r="K334" s="29"/>
      <c r="L334" s="29"/>
      <c r="M334" s="29"/>
      <c r="N334" s="29"/>
      <c r="O334" s="29"/>
      <c r="P334" s="29"/>
      <c r="Q334" s="29"/>
    </row>
    <row r="335" spans="7:17">
      <c r="G335" s="29"/>
      <c r="H335" s="29"/>
      <c r="I335" s="29"/>
      <c r="J335" s="29"/>
      <c r="K335" s="29"/>
      <c r="L335" s="29"/>
      <c r="M335" s="29"/>
      <c r="N335" s="29"/>
      <c r="O335" s="29"/>
      <c r="P335" s="29"/>
      <c r="Q335" s="29"/>
    </row>
    <row r="336" spans="7:17">
      <c r="G336" s="29"/>
      <c r="H336" s="29"/>
      <c r="I336" s="29"/>
      <c r="J336" s="29"/>
      <c r="K336" s="29"/>
      <c r="L336" s="29"/>
      <c r="M336" s="29"/>
      <c r="N336" s="29"/>
      <c r="O336" s="29"/>
      <c r="P336" s="29"/>
      <c r="Q336" s="29"/>
    </row>
    <row r="337" spans="7:17">
      <c r="G337" s="29"/>
      <c r="H337" s="29"/>
      <c r="I337" s="29"/>
      <c r="J337" s="29"/>
      <c r="K337" s="29"/>
      <c r="L337" s="29"/>
      <c r="M337" s="29"/>
      <c r="N337" s="29"/>
      <c r="O337" s="29"/>
      <c r="P337" s="29"/>
      <c r="Q337" s="29"/>
    </row>
    <row r="338" spans="7:17">
      <c r="G338" s="29"/>
      <c r="H338" s="29"/>
      <c r="I338" s="29"/>
      <c r="J338" s="29"/>
      <c r="K338" s="29"/>
      <c r="L338" s="29"/>
      <c r="M338" s="29"/>
      <c r="N338" s="29"/>
      <c r="O338" s="29"/>
      <c r="P338" s="29"/>
      <c r="Q338" s="29"/>
    </row>
    <row r="339" spans="7:17">
      <c r="G339" s="29"/>
      <c r="H339" s="29"/>
      <c r="I339" s="29"/>
      <c r="J339" s="29"/>
      <c r="K339" s="29"/>
      <c r="L339" s="29"/>
      <c r="M339" s="29"/>
      <c r="N339" s="29"/>
      <c r="O339" s="29"/>
      <c r="P339" s="29"/>
      <c r="Q339" s="29"/>
    </row>
    <row r="340" spans="7:17">
      <c r="G340" s="29"/>
      <c r="H340" s="29"/>
      <c r="I340" s="29"/>
      <c r="J340" s="29"/>
      <c r="K340" s="29"/>
      <c r="L340" s="29"/>
      <c r="M340" s="29"/>
      <c r="N340" s="29"/>
      <c r="O340" s="29"/>
      <c r="P340" s="29"/>
      <c r="Q340" s="29"/>
    </row>
    <row r="341" spans="7:17">
      <c r="G341" s="29"/>
      <c r="H341" s="29"/>
      <c r="I341" s="29"/>
      <c r="J341" s="29"/>
      <c r="K341" s="29"/>
      <c r="L341" s="29"/>
      <c r="M341" s="29"/>
      <c r="N341" s="29"/>
      <c r="O341" s="29"/>
      <c r="P341" s="29"/>
      <c r="Q341" s="29"/>
    </row>
    <row r="342" spans="7:17">
      <c r="G342" s="29"/>
      <c r="H342" s="29"/>
      <c r="I342" s="29"/>
      <c r="J342" s="29"/>
      <c r="K342" s="29"/>
      <c r="L342" s="29"/>
      <c r="M342" s="29"/>
      <c r="N342" s="29"/>
      <c r="O342" s="29"/>
      <c r="P342" s="29"/>
      <c r="Q342" s="29"/>
    </row>
    <row r="343" spans="7:17">
      <c r="G343" s="29"/>
      <c r="H343" s="29"/>
      <c r="I343" s="29"/>
      <c r="J343" s="29"/>
      <c r="K343" s="29"/>
      <c r="L343" s="29"/>
      <c r="M343" s="29"/>
      <c r="N343" s="29"/>
      <c r="O343" s="29"/>
      <c r="P343" s="29"/>
      <c r="Q343" s="29"/>
    </row>
    <row r="344" spans="7:17">
      <c r="G344" s="29"/>
      <c r="H344" s="29"/>
      <c r="I344" s="29"/>
      <c r="J344" s="29"/>
      <c r="K344" s="29"/>
      <c r="L344" s="29"/>
      <c r="M344" s="29"/>
      <c r="N344" s="29"/>
      <c r="O344" s="29"/>
      <c r="P344" s="29"/>
      <c r="Q344" s="29"/>
    </row>
    <row r="345" spans="7:17">
      <c r="G345" s="29"/>
      <c r="H345" s="29"/>
      <c r="I345" s="29"/>
      <c r="J345" s="29"/>
      <c r="K345" s="29"/>
      <c r="L345" s="29"/>
      <c r="M345" s="29"/>
      <c r="N345" s="29"/>
      <c r="O345" s="29"/>
      <c r="P345" s="29"/>
      <c r="Q345" s="29"/>
    </row>
    <row r="346" spans="7:17">
      <c r="G346" s="29"/>
      <c r="H346" s="29"/>
      <c r="I346" s="29"/>
      <c r="J346" s="29"/>
      <c r="K346" s="29"/>
      <c r="L346" s="29"/>
      <c r="M346" s="29"/>
      <c r="N346" s="29"/>
      <c r="O346" s="29"/>
      <c r="P346" s="29"/>
      <c r="Q346" s="29"/>
    </row>
    <row r="347" spans="7:17">
      <c r="G347" s="29"/>
      <c r="H347" s="29"/>
      <c r="I347" s="29"/>
      <c r="J347" s="29"/>
      <c r="K347" s="29"/>
      <c r="L347" s="29"/>
      <c r="M347" s="29"/>
      <c r="N347" s="29"/>
      <c r="O347" s="29"/>
      <c r="P347" s="29"/>
      <c r="Q347" s="29"/>
    </row>
    <row r="348" spans="7:17">
      <c r="G348" s="29"/>
      <c r="H348" s="29"/>
      <c r="I348" s="29"/>
      <c r="J348" s="29"/>
      <c r="K348" s="29"/>
      <c r="L348" s="29"/>
      <c r="M348" s="29"/>
      <c r="N348" s="29"/>
      <c r="O348" s="29"/>
      <c r="P348" s="29"/>
      <c r="Q348" s="29"/>
    </row>
    <row r="349" spans="7:17">
      <c r="G349" s="29"/>
      <c r="H349" s="29"/>
      <c r="I349" s="29"/>
      <c r="J349" s="29"/>
      <c r="K349" s="29"/>
      <c r="L349" s="29"/>
      <c r="M349" s="29"/>
      <c r="N349" s="29"/>
      <c r="O349" s="29"/>
      <c r="P349" s="29"/>
      <c r="Q349" s="29"/>
    </row>
    <row r="350" spans="7:17">
      <c r="G350" s="29"/>
      <c r="H350" s="29"/>
      <c r="I350" s="29"/>
      <c r="J350" s="29"/>
      <c r="K350" s="29"/>
      <c r="L350" s="29"/>
      <c r="M350" s="29"/>
      <c r="N350" s="29"/>
      <c r="O350" s="29"/>
      <c r="P350" s="29"/>
      <c r="Q350" s="29"/>
    </row>
    <row r="351" spans="7:17">
      <c r="G351" s="29"/>
      <c r="H351" s="29"/>
      <c r="I351" s="29"/>
      <c r="J351" s="29"/>
      <c r="K351" s="29"/>
      <c r="L351" s="29"/>
      <c r="M351" s="29"/>
      <c r="N351" s="29"/>
      <c r="O351" s="29"/>
      <c r="P351" s="29"/>
      <c r="Q351" s="29"/>
    </row>
    <row r="352" spans="7:17">
      <c r="G352" s="29"/>
      <c r="H352" s="29"/>
      <c r="I352" s="29"/>
      <c r="J352" s="29"/>
      <c r="K352" s="29"/>
      <c r="L352" s="29"/>
      <c r="M352" s="29"/>
      <c r="N352" s="29"/>
      <c r="O352" s="29"/>
      <c r="P352" s="29"/>
      <c r="Q352" s="29"/>
    </row>
    <row r="353" spans="7:17">
      <c r="G353" s="29"/>
      <c r="H353" s="29"/>
      <c r="I353" s="29"/>
      <c r="J353" s="29"/>
      <c r="K353" s="29"/>
      <c r="L353" s="29"/>
      <c r="M353" s="29"/>
      <c r="N353" s="29"/>
      <c r="O353" s="29"/>
      <c r="P353" s="29"/>
      <c r="Q353" s="29"/>
    </row>
    <row r="354" spans="7:17">
      <c r="G354" s="29"/>
      <c r="H354" s="29"/>
      <c r="I354" s="29"/>
      <c r="J354" s="29"/>
      <c r="K354" s="29"/>
      <c r="L354" s="29"/>
      <c r="M354" s="29"/>
      <c r="N354" s="29"/>
      <c r="O354" s="29"/>
      <c r="P354" s="29"/>
      <c r="Q354" s="29"/>
    </row>
    <row r="355" spans="7:17">
      <c r="G355" s="29"/>
      <c r="H355" s="29"/>
      <c r="I355" s="29"/>
      <c r="J355" s="29"/>
      <c r="K355" s="29"/>
      <c r="L355" s="29"/>
      <c r="M355" s="29"/>
      <c r="N355" s="29"/>
      <c r="O355" s="29"/>
      <c r="P355" s="29"/>
      <c r="Q355" s="29"/>
    </row>
    <row r="356" spans="7:17">
      <c r="G356" s="29"/>
      <c r="H356" s="29"/>
      <c r="I356" s="29"/>
      <c r="J356" s="29"/>
      <c r="K356" s="29"/>
      <c r="L356" s="29"/>
      <c r="M356" s="29"/>
      <c r="N356" s="29"/>
      <c r="O356" s="29"/>
      <c r="P356" s="29"/>
      <c r="Q356" s="29"/>
    </row>
    <row r="357" spans="7:17">
      <c r="G357" s="29"/>
      <c r="H357" s="29"/>
      <c r="I357" s="29"/>
      <c r="J357" s="29"/>
      <c r="K357" s="29"/>
      <c r="L357" s="29"/>
      <c r="M357" s="29"/>
      <c r="N357" s="29"/>
      <c r="O357" s="29"/>
      <c r="P357" s="29"/>
      <c r="Q357" s="29"/>
    </row>
    <row r="358" spans="7:17">
      <c r="G358" s="29"/>
      <c r="H358" s="29"/>
      <c r="I358" s="29"/>
      <c r="J358" s="29"/>
      <c r="K358" s="29"/>
      <c r="L358" s="29"/>
      <c r="M358" s="29"/>
      <c r="N358" s="29"/>
      <c r="O358" s="29"/>
      <c r="P358" s="29"/>
      <c r="Q358" s="29"/>
    </row>
    <row r="359" spans="7:17">
      <c r="G359" s="29"/>
      <c r="H359" s="29"/>
      <c r="I359" s="29"/>
      <c r="J359" s="29"/>
      <c r="K359" s="29"/>
      <c r="L359" s="29"/>
      <c r="M359" s="29"/>
      <c r="N359" s="29"/>
      <c r="O359" s="29"/>
      <c r="P359" s="29"/>
      <c r="Q359" s="29"/>
    </row>
    <row r="360" spans="7:17">
      <c r="G360" s="29"/>
      <c r="H360" s="29"/>
      <c r="I360" s="29"/>
      <c r="J360" s="29"/>
      <c r="K360" s="29"/>
      <c r="L360" s="29"/>
      <c r="M360" s="29"/>
      <c r="N360" s="29"/>
      <c r="O360" s="29"/>
      <c r="P360" s="29"/>
      <c r="Q360" s="29"/>
    </row>
    <row r="361" spans="7:17">
      <c r="G361" s="29"/>
      <c r="H361" s="29"/>
      <c r="I361" s="29"/>
      <c r="J361" s="29"/>
      <c r="K361" s="29"/>
      <c r="L361" s="29"/>
      <c r="M361" s="29"/>
      <c r="N361" s="29"/>
      <c r="O361" s="29"/>
      <c r="P361" s="29"/>
      <c r="Q361" s="29"/>
    </row>
    <row r="362" spans="7:17">
      <c r="G362" s="29"/>
      <c r="H362" s="29"/>
      <c r="I362" s="29"/>
      <c r="J362" s="29"/>
      <c r="K362" s="29"/>
      <c r="L362" s="29"/>
      <c r="M362" s="29"/>
      <c r="N362" s="29"/>
      <c r="O362" s="29"/>
      <c r="P362" s="29"/>
      <c r="Q362" s="29"/>
    </row>
    <row r="363" spans="7:17">
      <c r="G363" s="29"/>
      <c r="H363" s="29"/>
      <c r="I363" s="29"/>
      <c r="J363" s="29"/>
      <c r="K363" s="29"/>
      <c r="L363" s="29"/>
      <c r="M363" s="29"/>
      <c r="N363" s="29"/>
      <c r="O363" s="29"/>
      <c r="P363" s="29"/>
      <c r="Q363" s="29"/>
    </row>
    <row r="364" spans="7:17">
      <c r="G364" s="29"/>
      <c r="H364" s="29"/>
      <c r="I364" s="29"/>
      <c r="J364" s="29"/>
      <c r="K364" s="29"/>
      <c r="L364" s="29"/>
      <c r="M364" s="29"/>
      <c r="N364" s="29"/>
      <c r="O364" s="29"/>
      <c r="P364" s="29"/>
      <c r="Q364" s="29"/>
    </row>
    <row r="365" spans="7:17">
      <c r="G365" s="29"/>
      <c r="H365" s="29"/>
      <c r="I365" s="29"/>
      <c r="J365" s="29"/>
      <c r="K365" s="29"/>
      <c r="L365" s="29"/>
      <c r="M365" s="29"/>
      <c r="N365" s="29"/>
      <c r="O365" s="29"/>
      <c r="P365" s="29"/>
      <c r="Q365" s="29"/>
    </row>
    <row r="366" spans="7:17">
      <c r="G366" s="29"/>
      <c r="H366" s="29"/>
      <c r="I366" s="29"/>
      <c r="J366" s="29"/>
      <c r="K366" s="29"/>
      <c r="L366" s="29"/>
      <c r="M366" s="29"/>
      <c r="N366" s="29"/>
      <c r="O366" s="29"/>
      <c r="P366" s="29"/>
      <c r="Q366" s="29"/>
    </row>
    <row r="367" spans="7:17">
      <c r="G367" s="29"/>
      <c r="H367" s="29"/>
      <c r="I367" s="29"/>
      <c r="J367" s="29"/>
      <c r="K367" s="29"/>
      <c r="L367" s="29"/>
      <c r="M367" s="29"/>
      <c r="N367" s="29"/>
      <c r="O367" s="29"/>
      <c r="P367" s="29"/>
      <c r="Q367" s="29"/>
    </row>
    <row r="368" spans="7:17">
      <c r="G368" s="29"/>
      <c r="H368" s="29"/>
      <c r="I368" s="29"/>
      <c r="J368" s="29"/>
      <c r="K368" s="29"/>
      <c r="L368" s="29"/>
      <c r="M368" s="29"/>
      <c r="N368" s="29"/>
      <c r="O368" s="29"/>
      <c r="P368" s="29"/>
      <c r="Q368" s="29"/>
    </row>
    <row r="369" spans="7:17">
      <c r="G369" s="29"/>
      <c r="H369" s="29"/>
      <c r="I369" s="29"/>
      <c r="J369" s="29"/>
      <c r="K369" s="29"/>
      <c r="L369" s="29"/>
      <c r="M369" s="29"/>
      <c r="N369" s="29"/>
      <c r="O369" s="29"/>
      <c r="P369" s="29"/>
      <c r="Q369" s="29"/>
    </row>
    <row r="370" spans="7:17">
      <c r="G370" s="29"/>
      <c r="H370" s="29"/>
      <c r="I370" s="29"/>
      <c r="J370" s="29"/>
      <c r="K370" s="29"/>
      <c r="L370" s="29"/>
      <c r="M370" s="29"/>
      <c r="N370" s="29"/>
      <c r="O370" s="29"/>
      <c r="P370" s="29"/>
      <c r="Q370" s="29"/>
    </row>
    <row r="371" spans="7:17">
      <c r="G371" s="29"/>
      <c r="H371" s="29"/>
      <c r="I371" s="29"/>
      <c r="J371" s="29"/>
      <c r="K371" s="29"/>
      <c r="L371" s="29"/>
      <c r="M371" s="29"/>
      <c r="N371" s="29"/>
      <c r="O371" s="29"/>
      <c r="P371" s="29"/>
      <c r="Q371" s="29"/>
    </row>
    <row r="372" spans="7:17">
      <c r="G372" s="29"/>
      <c r="H372" s="29"/>
      <c r="I372" s="29"/>
      <c r="J372" s="29"/>
      <c r="K372" s="29"/>
      <c r="L372" s="29"/>
      <c r="M372" s="29"/>
      <c r="N372" s="29"/>
      <c r="O372" s="29"/>
      <c r="P372" s="29"/>
      <c r="Q372" s="29"/>
    </row>
    <row r="373" spans="7:17">
      <c r="G373" s="29"/>
      <c r="H373" s="29"/>
      <c r="I373" s="29"/>
      <c r="J373" s="29"/>
      <c r="K373" s="29"/>
      <c r="L373" s="29"/>
      <c r="M373" s="29"/>
      <c r="N373" s="29"/>
      <c r="O373" s="29"/>
      <c r="P373" s="29"/>
      <c r="Q373" s="29"/>
    </row>
    <row r="374" spans="7:17">
      <c r="G374" s="29"/>
      <c r="H374" s="29"/>
      <c r="I374" s="29"/>
      <c r="J374" s="29"/>
      <c r="K374" s="29"/>
      <c r="L374" s="29"/>
      <c r="M374" s="29"/>
      <c r="N374" s="29"/>
      <c r="O374" s="29"/>
      <c r="P374" s="29"/>
      <c r="Q374" s="29"/>
    </row>
    <row r="375" spans="7:17">
      <c r="G375" s="29"/>
      <c r="H375" s="29"/>
      <c r="I375" s="29"/>
      <c r="J375" s="29"/>
      <c r="K375" s="29"/>
      <c r="L375" s="29"/>
      <c r="M375" s="29"/>
      <c r="N375" s="29"/>
      <c r="O375" s="29"/>
      <c r="P375" s="29"/>
      <c r="Q375" s="29"/>
    </row>
    <row r="376" spans="7:17">
      <c r="G376" s="29"/>
      <c r="H376" s="29"/>
      <c r="I376" s="29"/>
      <c r="J376" s="29"/>
      <c r="K376" s="29"/>
      <c r="L376" s="29"/>
      <c r="M376" s="29"/>
      <c r="N376" s="29"/>
      <c r="O376" s="29"/>
      <c r="P376" s="29"/>
      <c r="Q376" s="29"/>
    </row>
    <row r="377" spans="7:17">
      <c r="G377" s="29"/>
      <c r="H377" s="29"/>
      <c r="I377" s="29"/>
      <c r="J377" s="29"/>
      <c r="K377" s="29"/>
      <c r="L377" s="29"/>
      <c r="M377" s="29"/>
      <c r="N377" s="29"/>
      <c r="O377" s="29"/>
      <c r="P377" s="29"/>
      <c r="Q377" s="29"/>
    </row>
    <row r="378" spans="7:17">
      <c r="G378" s="29"/>
      <c r="H378" s="29"/>
      <c r="I378" s="29"/>
      <c r="J378" s="29"/>
      <c r="K378" s="29"/>
      <c r="L378" s="29"/>
      <c r="M378" s="29"/>
      <c r="N378" s="29"/>
      <c r="O378" s="29"/>
      <c r="P378" s="29"/>
      <c r="Q378" s="29"/>
    </row>
    <row r="379" spans="7:17">
      <c r="G379" s="29"/>
      <c r="H379" s="29"/>
      <c r="I379" s="29"/>
      <c r="J379" s="29"/>
      <c r="K379" s="29"/>
      <c r="L379" s="29"/>
      <c r="M379" s="29"/>
      <c r="N379" s="29"/>
      <c r="O379" s="29"/>
      <c r="P379" s="29"/>
      <c r="Q379" s="29"/>
    </row>
    <row r="380" spans="7:17">
      <c r="G380" s="29"/>
      <c r="H380" s="29"/>
      <c r="I380" s="29"/>
      <c r="J380" s="29"/>
      <c r="K380" s="29"/>
      <c r="L380" s="29"/>
      <c r="M380" s="29"/>
      <c r="N380" s="29"/>
      <c r="O380" s="29"/>
      <c r="P380" s="29"/>
      <c r="Q380" s="29"/>
    </row>
    <row r="381" spans="7:17">
      <c r="G381" s="29"/>
      <c r="H381" s="29"/>
      <c r="I381" s="29"/>
      <c r="J381" s="29"/>
      <c r="K381" s="29"/>
      <c r="L381" s="29"/>
      <c r="M381" s="29"/>
      <c r="N381" s="29"/>
      <c r="O381" s="29"/>
      <c r="P381" s="29"/>
      <c r="Q381" s="29"/>
    </row>
    <row r="382" spans="7:17">
      <c r="G382" s="29"/>
      <c r="H382" s="29"/>
      <c r="I382" s="29"/>
      <c r="J382" s="29"/>
      <c r="K382" s="29"/>
      <c r="L382" s="29"/>
      <c r="M382" s="29"/>
      <c r="N382" s="29"/>
      <c r="O382" s="29"/>
      <c r="P382" s="29"/>
      <c r="Q382" s="29"/>
    </row>
    <row r="383" spans="7:17">
      <c r="G383" s="29"/>
      <c r="H383" s="29"/>
      <c r="I383" s="29"/>
      <c r="J383" s="29"/>
      <c r="K383" s="29"/>
      <c r="L383" s="29"/>
      <c r="M383" s="29"/>
      <c r="N383" s="29"/>
      <c r="O383" s="29"/>
      <c r="P383" s="29"/>
      <c r="Q383" s="29"/>
    </row>
    <row r="384" spans="7:17">
      <c r="G384" s="29"/>
      <c r="H384" s="29"/>
      <c r="I384" s="29"/>
      <c r="J384" s="29"/>
      <c r="K384" s="29"/>
      <c r="L384" s="29"/>
      <c r="M384" s="29"/>
      <c r="N384" s="29"/>
      <c r="O384" s="29"/>
      <c r="P384" s="29"/>
      <c r="Q384" s="29"/>
    </row>
    <row r="385" spans="7:17">
      <c r="G385" s="29"/>
      <c r="H385" s="29"/>
      <c r="I385" s="29"/>
      <c r="J385" s="29"/>
      <c r="K385" s="29"/>
      <c r="L385" s="29"/>
      <c r="M385" s="29"/>
      <c r="N385" s="29"/>
      <c r="O385" s="29"/>
      <c r="P385" s="29"/>
      <c r="Q385" s="29"/>
    </row>
    <row r="386" spans="7:17">
      <c r="G386" s="29"/>
      <c r="H386" s="29"/>
      <c r="I386" s="29"/>
      <c r="J386" s="29"/>
      <c r="K386" s="29"/>
      <c r="L386" s="29"/>
      <c r="M386" s="29"/>
      <c r="N386" s="29"/>
      <c r="O386" s="29"/>
      <c r="P386" s="29"/>
      <c r="Q386" s="29"/>
    </row>
    <row r="387" spans="7:17">
      <c r="G387" s="29"/>
      <c r="H387" s="29"/>
      <c r="I387" s="29"/>
      <c r="J387" s="29"/>
      <c r="K387" s="29"/>
      <c r="L387" s="29"/>
      <c r="M387" s="29"/>
      <c r="N387" s="29"/>
      <c r="O387" s="29"/>
      <c r="P387" s="29"/>
      <c r="Q387" s="29"/>
    </row>
    <row r="388" spans="7:17">
      <c r="G388" s="29"/>
      <c r="H388" s="29"/>
      <c r="I388" s="29"/>
      <c r="J388" s="29"/>
      <c r="K388" s="29"/>
      <c r="L388" s="29"/>
      <c r="M388" s="29"/>
      <c r="N388" s="29"/>
      <c r="O388" s="29"/>
      <c r="P388" s="29"/>
      <c r="Q388" s="29"/>
    </row>
    <row r="389" spans="7:17">
      <c r="G389" s="29"/>
      <c r="H389" s="29"/>
      <c r="I389" s="29"/>
      <c r="J389" s="29"/>
      <c r="K389" s="29"/>
      <c r="L389" s="29"/>
      <c r="M389" s="29"/>
      <c r="N389" s="29"/>
      <c r="O389" s="29"/>
      <c r="P389" s="29"/>
      <c r="Q389" s="29"/>
    </row>
    <row r="390" spans="7:17">
      <c r="G390" s="29"/>
      <c r="H390" s="29"/>
      <c r="I390" s="29"/>
      <c r="J390" s="29"/>
      <c r="K390" s="29"/>
      <c r="L390" s="29"/>
      <c r="M390" s="29"/>
      <c r="N390" s="29"/>
      <c r="O390" s="29"/>
      <c r="P390" s="29"/>
      <c r="Q390" s="29"/>
    </row>
    <row r="391" spans="7:17">
      <c r="G391" s="29"/>
      <c r="H391" s="29"/>
      <c r="I391" s="29"/>
      <c r="J391" s="29"/>
      <c r="K391" s="29"/>
      <c r="L391" s="29"/>
      <c r="M391" s="29"/>
      <c r="N391" s="29"/>
      <c r="O391" s="29"/>
      <c r="P391" s="29"/>
      <c r="Q391" s="29"/>
    </row>
    <row r="392" spans="7:17">
      <c r="G392" s="29"/>
      <c r="H392" s="29"/>
      <c r="I392" s="29"/>
      <c r="J392" s="29"/>
      <c r="K392" s="29"/>
      <c r="L392" s="29"/>
      <c r="M392" s="29"/>
      <c r="N392" s="29"/>
      <c r="O392" s="29"/>
      <c r="P392" s="29"/>
      <c r="Q392" s="29"/>
    </row>
    <row r="393" spans="7:17">
      <c r="G393" s="29"/>
      <c r="H393" s="29"/>
      <c r="I393" s="29"/>
      <c r="J393" s="29"/>
      <c r="K393" s="29"/>
      <c r="L393" s="29"/>
      <c r="M393" s="29"/>
      <c r="N393" s="29"/>
      <c r="O393" s="29"/>
      <c r="P393" s="29"/>
      <c r="Q393" s="29"/>
    </row>
    <row r="394" spans="7:17">
      <c r="G394" s="29"/>
      <c r="H394" s="29"/>
      <c r="I394" s="29"/>
      <c r="J394" s="29"/>
      <c r="K394" s="29"/>
      <c r="L394" s="29"/>
      <c r="M394" s="29"/>
      <c r="N394" s="29"/>
      <c r="O394" s="29"/>
      <c r="P394" s="29"/>
      <c r="Q394" s="29"/>
    </row>
    <row r="395" spans="7:17">
      <c r="G395" s="29"/>
      <c r="H395" s="29"/>
      <c r="I395" s="29"/>
      <c r="J395" s="29"/>
      <c r="K395" s="29"/>
      <c r="L395" s="29"/>
      <c r="M395" s="29"/>
      <c r="N395" s="29"/>
      <c r="O395" s="29"/>
      <c r="P395" s="29"/>
      <c r="Q395" s="29"/>
    </row>
    <row r="396" spans="7:17">
      <c r="G396" s="29"/>
      <c r="H396" s="29"/>
      <c r="I396" s="29"/>
      <c r="J396" s="29"/>
      <c r="K396" s="29"/>
      <c r="L396" s="29"/>
      <c r="M396" s="29"/>
      <c r="N396" s="29"/>
      <c r="O396" s="29"/>
      <c r="P396" s="29"/>
      <c r="Q396" s="29"/>
    </row>
    <row r="397" spans="7:17">
      <c r="G397" s="29"/>
      <c r="H397" s="29"/>
      <c r="I397" s="29"/>
      <c r="J397" s="29"/>
      <c r="K397" s="29"/>
      <c r="L397" s="29"/>
      <c r="M397" s="29"/>
      <c r="N397" s="29"/>
      <c r="O397" s="29"/>
      <c r="P397" s="29"/>
      <c r="Q397" s="29"/>
    </row>
    <row r="398" spans="7:17">
      <c r="G398" s="29"/>
      <c r="H398" s="29"/>
      <c r="I398" s="29"/>
      <c r="J398" s="29"/>
      <c r="K398" s="29"/>
      <c r="L398" s="29"/>
      <c r="M398" s="29"/>
      <c r="N398" s="29"/>
      <c r="O398" s="29"/>
      <c r="P398" s="29"/>
      <c r="Q398" s="29"/>
    </row>
    <row r="399" spans="7:17">
      <c r="G399" s="29"/>
      <c r="H399" s="29"/>
      <c r="I399" s="29"/>
      <c r="J399" s="29"/>
      <c r="K399" s="29"/>
      <c r="L399" s="29"/>
      <c r="M399" s="29"/>
      <c r="N399" s="29"/>
      <c r="O399" s="29"/>
      <c r="P399" s="29"/>
      <c r="Q399" s="29"/>
    </row>
    <row r="400" spans="7:17">
      <c r="G400" s="29"/>
      <c r="H400" s="29"/>
      <c r="I400" s="29"/>
      <c r="J400" s="29"/>
      <c r="K400" s="29"/>
      <c r="L400" s="29"/>
      <c r="M400" s="29"/>
      <c r="N400" s="29"/>
      <c r="O400" s="29"/>
      <c r="P400" s="29"/>
      <c r="Q400" s="29"/>
    </row>
    <row r="401" spans="7:17">
      <c r="G401" s="29"/>
      <c r="H401" s="29"/>
      <c r="I401" s="29"/>
      <c r="J401" s="29"/>
      <c r="K401" s="29"/>
      <c r="L401" s="29"/>
      <c r="M401" s="29"/>
      <c r="N401" s="29"/>
      <c r="O401" s="29"/>
      <c r="P401" s="29"/>
      <c r="Q401" s="29"/>
    </row>
    <row r="402" spans="7:17">
      <c r="G402" s="29"/>
      <c r="H402" s="29"/>
      <c r="I402" s="29"/>
      <c r="J402" s="29"/>
      <c r="K402" s="29"/>
      <c r="L402" s="29"/>
      <c r="M402" s="29"/>
      <c r="N402" s="29"/>
      <c r="O402" s="29"/>
      <c r="P402" s="29"/>
      <c r="Q402" s="29"/>
    </row>
    <row r="403" spans="7:17">
      <c r="G403" s="29"/>
      <c r="H403" s="29"/>
      <c r="I403" s="29"/>
      <c r="J403" s="29"/>
      <c r="K403" s="29"/>
      <c r="L403" s="29"/>
      <c r="M403" s="29"/>
      <c r="N403" s="29"/>
      <c r="O403" s="29"/>
      <c r="P403" s="29"/>
      <c r="Q403" s="29"/>
    </row>
    <row r="404" spans="7:17">
      <c r="G404" s="29"/>
      <c r="H404" s="29"/>
      <c r="I404" s="29"/>
      <c r="J404" s="29"/>
      <c r="K404" s="29"/>
      <c r="L404" s="29"/>
      <c r="M404" s="29"/>
      <c r="N404" s="29"/>
      <c r="O404" s="29"/>
      <c r="P404" s="29"/>
      <c r="Q404" s="29"/>
    </row>
    <row r="405" spans="7:17">
      <c r="G405" s="29"/>
      <c r="H405" s="29"/>
      <c r="I405" s="29"/>
      <c r="J405" s="29"/>
      <c r="K405" s="29"/>
      <c r="L405" s="29"/>
      <c r="M405" s="29"/>
      <c r="N405" s="29"/>
      <c r="O405" s="29"/>
      <c r="P405" s="29"/>
      <c r="Q405" s="29"/>
    </row>
    <row r="406" spans="7:17">
      <c r="G406" s="29"/>
      <c r="H406" s="29"/>
      <c r="I406" s="29"/>
      <c r="J406" s="29"/>
      <c r="K406" s="29"/>
      <c r="L406" s="29"/>
      <c r="M406" s="29"/>
      <c r="N406" s="29"/>
      <c r="O406" s="29"/>
      <c r="P406" s="29"/>
      <c r="Q406" s="29"/>
    </row>
    <row r="407" spans="7:17">
      <c r="G407" s="29"/>
      <c r="H407" s="29"/>
      <c r="I407" s="29"/>
      <c r="J407" s="29"/>
      <c r="K407" s="29"/>
      <c r="L407" s="29"/>
      <c r="M407" s="29"/>
      <c r="N407" s="29"/>
      <c r="O407" s="29"/>
      <c r="P407" s="29"/>
      <c r="Q407" s="29"/>
    </row>
    <row r="408" spans="7:17">
      <c r="G408" s="29"/>
      <c r="H408" s="29"/>
      <c r="I408" s="29"/>
      <c r="J408" s="29"/>
      <c r="K408" s="29"/>
      <c r="L408" s="29"/>
      <c r="M408" s="29"/>
      <c r="N408" s="29"/>
      <c r="O408" s="29"/>
      <c r="P408" s="29"/>
      <c r="Q408" s="29"/>
    </row>
    <row r="409" spans="7:17">
      <c r="G409" s="29"/>
      <c r="H409" s="29"/>
      <c r="I409" s="29"/>
      <c r="J409" s="29"/>
      <c r="K409" s="29"/>
      <c r="L409" s="29"/>
      <c r="M409" s="29"/>
      <c r="N409" s="29"/>
      <c r="O409" s="29"/>
      <c r="P409" s="29"/>
      <c r="Q409" s="29"/>
    </row>
    <row r="410" spans="7:17">
      <c r="G410" s="29"/>
      <c r="H410" s="29"/>
      <c r="I410" s="29"/>
      <c r="J410" s="29"/>
      <c r="K410" s="29"/>
      <c r="L410" s="29"/>
      <c r="M410" s="29"/>
      <c r="N410" s="29"/>
      <c r="O410" s="29"/>
      <c r="P410" s="29"/>
      <c r="Q410" s="29"/>
    </row>
    <row r="411" spans="7:17">
      <c r="G411" s="29"/>
      <c r="H411" s="29"/>
      <c r="I411" s="29"/>
      <c r="J411" s="29"/>
      <c r="K411" s="29"/>
      <c r="L411" s="29"/>
      <c r="M411" s="29"/>
      <c r="N411" s="29"/>
      <c r="O411" s="29"/>
      <c r="P411" s="29"/>
      <c r="Q411" s="29"/>
    </row>
    <row r="412" spans="7:17">
      <c r="G412" s="29"/>
      <c r="H412" s="29"/>
      <c r="I412" s="29"/>
      <c r="J412" s="29"/>
      <c r="K412" s="29"/>
      <c r="L412" s="29"/>
      <c r="M412" s="29"/>
      <c r="N412" s="29"/>
      <c r="O412" s="29"/>
      <c r="P412" s="29"/>
      <c r="Q412" s="29"/>
    </row>
    <row r="413" spans="7:17">
      <c r="G413" s="29"/>
      <c r="H413" s="29"/>
      <c r="I413" s="29"/>
      <c r="J413" s="29"/>
      <c r="K413" s="29"/>
      <c r="L413" s="29"/>
      <c r="M413" s="29"/>
      <c r="N413" s="29"/>
      <c r="O413" s="29"/>
      <c r="P413" s="29"/>
      <c r="Q413" s="29"/>
    </row>
    <row r="414" spans="7:17">
      <c r="G414" s="29"/>
      <c r="H414" s="29"/>
      <c r="I414" s="29"/>
      <c r="J414" s="29"/>
      <c r="K414" s="29"/>
      <c r="L414" s="29"/>
      <c r="M414" s="29"/>
      <c r="N414" s="29"/>
      <c r="O414" s="29"/>
      <c r="P414" s="29"/>
      <c r="Q414" s="29"/>
    </row>
    <row r="415" spans="7:17">
      <c r="G415" s="29"/>
      <c r="H415" s="29"/>
      <c r="I415" s="29"/>
      <c r="J415" s="29"/>
      <c r="K415" s="29"/>
      <c r="L415" s="29"/>
      <c r="M415" s="29"/>
      <c r="N415" s="29"/>
      <c r="O415" s="29"/>
      <c r="P415" s="29"/>
      <c r="Q415" s="29"/>
    </row>
    <row r="416" spans="7:17">
      <c r="G416" s="29"/>
      <c r="H416" s="29"/>
      <c r="I416" s="29"/>
      <c r="J416" s="29"/>
      <c r="K416" s="29"/>
      <c r="L416" s="29"/>
      <c r="M416" s="29"/>
      <c r="N416" s="29"/>
      <c r="O416" s="29"/>
      <c r="P416" s="29"/>
      <c r="Q416" s="29"/>
    </row>
    <row r="417" spans="7:17">
      <c r="G417" s="29"/>
      <c r="H417" s="29"/>
      <c r="I417" s="29"/>
      <c r="J417" s="29"/>
      <c r="K417" s="29"/>
      <c r="L417" s="29"/>
      <c r="M417" s="29"/>
      <c r="N417" s="29"/>
      <c r="O417" s="29"/>
      <c r="P417" s="29"/>
      <c r="Q417" s="29"/>
    </row>
    <row r="418" spans="7:17">
      <c r="G418" s="29"/>
      <c r="H418" s="29"/>
      <c r="I418" s="29"/>
      <c r="J418" s="29"/>
      <c r="K418" s="29"/>
      <c r="L418" s="29"/>
      <c r="M418" s="29"/>
      <c r="N418" s="29"/>
      <c r="O418" s="29"/>
      <c r="P418" s="29"/>
      <c r="Q418" s="29"/>
    </row>
    <row r="419" spans="7:17">
      <c r="G419" s="29"/>
      <c r="H419" s="29"/>
      <c r="I419" s="29"/>
      <c r="J419" s="29"/>
      <c r="K419" s="29"/>
      <c r="L419" s="29"/>
      <c r="M419" s="29"/>
      <c r="N419" s="29"/>
      <c r="O419" s="29"/>
      <c r="P419" s="29"/>
      <c r="Q419" s="29"/>
    </row>
    <row r="420" spans="7:17">
      <c r="G420" s="29"/>
      <c r="H420" s="29"/>
      <c r="I420" s="29"/>
      <c r="J420" s="29"/>
      <c r="K420" s="29"/>
      <c r="L420" s="29"/>
      <c r="M420" s="29"/>
      <c r="N420" s="29"/>
      <c r="O420" s="29"/>
      <c r="P420" s="29"/>
      <c r="Q420" s="29"/>
    </row>
    <row r="421" spans="7:17">
      <c r="G421" s="29"/>
      <c r="H421" s="29"/>
      <c r="I421" s="29"/>
      <c r="J421" s="29"/>
      <c r="K421" s="29"/>
      <c r="L421" s="29"/>
      <c r="M421" s="29"/>
      <c r="N421" s="29"/>
      <c r="O421" s="29"/>
      <c r="P421" s="29"/>
      <c r="Q421" s="29"/>
    </row>
    <row r="422" spans="7:17">
      <c r="G422" s="29"/>
      <c r="H422" s="29"/>
      <c r="I422" s="29"/>
      <c r="J422" s="29"/>
      <c r="K422" s="29"/>
      <c r="L422" s="29"/>
      <c r="M422" s="29"/>
      <c r="N422" s="29"/>
      <c r="O422" s="29"/>
      <c r="P422" s="29"/>
      <c r="Q422" s="29"/>
    </row>
    <row r="423" spans="7:17">
      <c r="G423" s="29"/>
      <c r="H423" s="29"/>
      <c r="I423" s="29"/>
      <c r="J423" s="29"/>
      <c r="K423" s="29"/>
      <c r="L423" s="29"/>
      <c r="M423" s="29"/>
      <c r="N423" s="29"/>
      <c r="O423" s="29"/>
      <c r="P423" s="29"/>
      <c r="Q423" s="29"/>
    </row>
    <row r="424" spans="7:17">
      <c r="G424" s="29"/>
      <c r="H424" s="29"/>
      <c r="I424" s="29"/>
      <c r="J424" s="29"/>
      <c r="K424" s="29"/>
      <c r="L424" s="29"/>
      <c r="M424" s="29"/>
      <c r="N424" s="29"/>
      <c r="O424" s="29"/>
      <c r="P424" s="29"/>
      <c r="Q424" s="29"/>
    </row>
    <row r="425" spans="7:17">
      <c r="G425" s="29"/>
      <c r="H425" s="29"/>
      <c r="I425" s="29"/>
      <c r="J425" s="29"/>
      <c r="K425" s="29"/>
      <c r="L425" s="29"/>
      <c r="M425" s="29"/>
      <c r="N425" s="29"/>
      <c r="O425" s="29"/>
      <c r="P425" s="29"/>
      <c r="Q425" s="29"/>
    </row>
    <row r="426" spans="7:17">
      <c r="G426" s="29"/>
      <c r="H426" s="29"/>
      <c r="I426" s="29"/>
      <c r="J426" s="29"/>
      <c r="K426" s="29"/>
      <c r="L426" s="29"/>
      <c r="M426" s="29"/>
      <c r="N426" s="29"/>
      <c r="O426" s="29"/>
      <c r="P426" s="29"/>
      <c r="Q426" s="29"/>
    </row>
    <row r="427" spans="7:17">
      <c r="G427" s="29"/>
      <c r="H427" s="29"/>
      <c r="I427" s="29"/>
      <c r="J427" s="29"/>
      <c r="K427" s="29"/>
      <c r="L427" s="29"/>
      <c r="M427" s="29"/>
      <c r="N427" s="29"/>
      <c r="O427" s="29"/>
      <c r="P427" s="29"/>
      <c r="Q427" s="29"/>
    </row>
    <row r="428" spans="7:17">
      <c r="G428" s="29"/>
      <c r="H428" s="29"/>
      <c r="I428" s="29"/>
      <c r="J428" s="29"/>
      <c r="K428" s="29"/>
      <c r="L428" s="29"/>
      <c r="M428" s="29"/>
      <c r="N428" s="29"/>
      <c r="O428" s="29"/>
      <c r="P428" s="29"/>
      <c r="Q428" s="29"/>
    </row>
    <row r="429" spans="7:17">
      <c r="G429" s="29"/>
      <c r="H429" s="29"/>
      <c r="I429" s="29"/>
      <c r="J429" s="29"/>
      <c r="K429" s="29"/>
      <c r="L429" s="29"/>
      <c r="M429" s="29"/>
      <c r="N429" s="29"/>
      <c r="O429" s="29"/>
      <c r="P429" s="29"/>
      <c r="Q429" s="29"/>
    </row>
    <row r="430" spans="7:17">
      <c r="G430" s="29"/>
      <c r="H430" s="29"/>
      <c r="I430" s="29"/>
      <c r="J430" s="29"/>
      <c r="K430" s="29"/>
      <c r="L430" s="29"/>
      <c r="M430" s="29"/>
      <c r="N430" s="29"/>
      <c r="O430" s="29"/>
      <c r="P430" s="29"/>
      <c r="Q430" s="29"/>
    </row>
    <row r="431" spans="7:17">
      <c r="G431" s="29"/>
      <c r="H431" s="29"/>
      <c r="I431" s="29"/>
      <c r="J431" s="29"/>
      <c r="K431" s="29"/>
      <c r="L431" s="29"/>
      <c r="M431" s="29"/>
      <c r="N431" s="29"/>
      <c r="O431" s="29"/>
      <c r="P431" s="29"/>
      <c r="Q431" s="29"/>
    </row>
    <row r="432" spans="7:17">
      <c r="G432" s="29"/>
      <c r="H432" s="29"/>
      <c r="I432" s="29"/>
      <c r="J432" s="29"/>
      <c r="K432" s="29"/>
      <c r="L432" s="29"/>
      <c r="M432" s="29"/>
      <c r="N432" s="29"/>
      <c r="O432" s="29"/>
      <c r="P432" s="29"/>
      <c r="Q432" s="29"/>
    </row>
    <row r="433" spans="7:17">
      <c r="G433" s="29"/>
      <c r="H433" s="29"/>
      <c r="I433" s="29"/>
      <c r="J433" s="29"/>
      <c r="K433" s="29"/>
      <c r="L433" s="29"/>
      <c r="M433" s="29"/>
      <c r="N433" s="29"/>
      <c r="O433" s="29"/>
      <c r="P433" s="29"/>
      <c r="Q433" s="29"/>
    </row>
    <row r="434" spans="7:17">
      <c r="G434" s="29"/>
      <c r="H434" s="29"/>
      <c r="I434" s="29"/>
      <c r="J434" s="29"/>
      <c r="K434" s="29"/>
      <c r="L434" s="29"/>
      <c r="M434" s="29"/>
      <c r="N434" s="29"/>
      <c r="O434" s="29"/>
      <c r="P434" s="29"/>
      <c r="Q434" s="29"/>
    </row>
    <row r="435" spans="7:17">
      <c r="G435" s="29"/>
      <c r="H435" s="29"/>
      <c r="I435" s="29"/>
      <c r="J435" s="29"/>
      <c r="K435" s="29"/>
      <c r="L435" s="29"/>
      <c r="M435" s="29"/>
      <c r="N435" s="29"/>
      <c r="O435" s="29"/>
      <c r="P435" s="29"/>
      <c r="Q435" s="29"/>
    </row>
    <row r="436" spans="7:17">
      <c r="G436" s="29"/>
      <c r="H436" s="29"/>
      <c r="I436" s="29"/>
      <c r="J436" s="29"/>
      <c r="K436" s="29"/>
      <c r="L436" s="29"/>
      <c r="M436" s="29"/>
      <c r="N436" s="29"/>
      <c r="O436" s="29"/>
      <c r="P436" s="29"/>
      <c r="Q436" s="29"/>
    </row>
    <row r="437" spans="7:17">
      <c r="G437" s="29"/>
      <c r="H437" s="29"/>
      <c r="I437" s="29"/>
      <c r="J437" s="29"/>
      <c r="K437" s="29"/>
      <c r="L437" s="29"/>
      <c r="M437" s="29"/>
      <c r="N437" s="29"/>
      <c r="O437" s="29"/>
      <c r="P437" s="29"/>
      <c r="Q437" s="29"/>
    </row>
    <row r="438" spans="7:17">
      <c r="G438" s="29"/>
      <c r="H438" s="29"/>
      <c r="I438" s="29"/>
      <c r="J438" s="29"/>
      <c r="K438" s="29"/>
      <c r="L438" s="29"/>
      <c r="M438" s="29"/>
      <c r="N438" s="29"/>
      <c r="O438" s="29"/>
      <c r="P438" s="29"/>
      <c r="Q438" s="29"/>
    </row>
    <row r="439" spans="7:17">
      <c r="G439" s="29"/>
      <c r="H439" s="29"/>
      <c r="I439" s="29"/>
      <c r="J439" s="29"/>
      <c r="K439" s="29"/>
      <c r="L439" s="29"/>
      <c r="M439" s="29"/>
      <c r="N439" s="29"/>
      <c r="O439" s="29"/>
      <c r="P439" s="29"/>
      <c r="Q439" s="29"/>
    </row>
    <row r="440" spans="7:17">
      <c r="G440" s="29"/>
      <c r="H440" s="29"/>
      <c r="I440" s="29"/>
      <c r="J440" s="29"/>
      <c r="K440" s="29"/>
      <c r="L440" s="29"/>
      <c r="M440" s="29"/>
      <c r="N440" s="29"/>
      <c r="O440" s="29"/>
      <c r="P440" s="29"/>
      <c r="Q440" s="29"/>
    </row>
    <row r="441" spans="7:17">
      <c r="G441" s="29"/>
      <c r="H441" s="29"/>
      <c r="I441" s="29"/>
      <c r="J441" s="29"/>
      <c r="K441" s="29"/>
      <c r="L441" s="29"/>
      <c r="M441" s="29"/>
      <c r="N441" s="29"/>
      <c r="O441" s="29"/>
      <c r="P441" s="29"/>
      <c r="Q441" s="29"/>
    </row>
    <row r="442" spans="7:17">
      <c r="G442" s="29"/>
      <c r="H442" s="29"/>
      <c r="I442" s="29"/>
      <c r="J442" s="29"/>
      <c r="K442" s="29"/>
      <c r="L442" s="29"/>
      <c r="M442" s="29"/>
      <c r="N442" s="29"/>
      <c r="O442" s="29"/>
      <c r="P442" s="29"/>
      <c r="Q442" s="29"/>
    </row>
    <row r="443" spans="7:17">
      <c r="G443" s="29"/>
      <c r="H443" s="29"/>
      <c r="I443" s="29"/>
      <c r="J443" s="29"/>
      <c r="K443" s="29"/>
      <c r="L443" s="29"/>
      <c r="M443" s="29"/>
      <c r="N443" s="29"/>
      <c r="O443" s="29"/>
      <c r="P443" s="29"/>
      <c r="Q443" s="29"/>
    </row>
    <row r="444" spans="7:17">
      <c r="G444" s="29"/>
      <c r="H444" s="29"/>
      <c r="I444" s="29"/>
      <c r="J444" s="29"/>
      <c r="K444" s="29"/>
      <c r="L444" s="29"/>
      <c r="M444" s="29"/>
      <c r="N444" s="29"/>
      <c r="O444" s="29"/>
      <c r="P444" s="29"/>
      <c r="Q444" s="29"/>
    </row>
    <row r="445" spans="7:17">
      <c r="G445" s="29"/>
      <c r="H445" s="29"/>
      <c r="I445" s="29"/>
      <c r="J445" s="29"/>
      <c r="K445" s="29"/>
      <c r="L445" s="29"/>
      <c r="M445" s="29"/>
      <c r="N445" s="29"/>
      <c r="O445" s="29"/>
      <c r="P445" s="29"/>
      <c r="Q445" s="29"/>
    </row>
    <row r="446" spans="7:17">
      <c r="G446" s="29"/>
      <c r="H446" s="29"/>
      <c r="I446" s="29"/>
      <c r="J446" s="29"/>
      <c r="K446" s="29"/>
      <c r="L446" s="29"/>
      <c r="M446" s="29"/>
      <c r="N446" s="29"/>
      <c r="O446" s="29"/>
      <c r="P446" s="29"/>
      <c r="Q446" s="29"/>
    </row>
    <row r="447" spans="7:17">
      <c r="G447" s="29"/>
      <c r="H447" s="29"/>
      <c r="I447" s="29"/>
      <c r="J447" s="29"/>
      <c r="K447" s="29"/>
      <c r="L447" s="29"/>
      <c r="M447" s="29"/>
      <c r="N447" s="29"/>
      <c r="O447" s="29"/>
      <c r="P447" s="29"/>
      <c r="Q447" s="29"/>
    </row>
    <row r="448" spans="7:17">
      <c r="G448" s="29"/>
      <c r="H448" s="29"/>
      <c r="I448" s="29"/>
      <c r="J448" s="29"/>
      <c r="K448" s="29"/>
      <c r="L448" s="29"/>
      <c r="M448" s="29"/>
      <c r="N448" s="29"/>
      <c r="O448" s="29"/>
      <c r="P448" s="29"/>
      <c r="Q448" s="29"/>
    </row>
    <row r="449" spans="7:17">
      <c r="G449" s="29"/>
      <c r="H449" s="29"/>
      <c r="I449" s="29"/>
      <c r="J449" s="29"/>
      <c r="K449" s="29"/>
      <c r="L449" s="29"/>
      <c r="M449" s="29"/>
      <c r="N449" s="29"/>
      <c r="O449" s="29"/>
      <c r="P449" s="29"/>
      <c r="Q449" s="29"/>
    </row>
    <row r="450" spans="7:17">
      <c r="G450" s="29"/>
      <c r="H450" s="29"/>
      <c r="I450" s="29"/>
      <c r="J450" s="29"/>
      <c r="K450" s="29"/>
      <c r="L450" s="29"/>
      <c r="M450" s="29"/>
      <c r="N450" s="29"/>
      <c r="O450" s="29"/>
      <c r="P450" s="29"/>
      <c r="Q450" s="29"/>
    </row>
    <row r="451" spans="7:17">
      <c r="G451" s="29"/>
      <c r="H451" s="29"/>
      <c r="I451" s="29"/>
      <c r="J451" s="29"/>
      <c r="K451" s="29"/>
      <c r="L451" s="29"/>
      <c r="M451" s="29"/>
      <c r="N451" s="29"/>
      <c r="O451" s="29"/>
      <c r="P451" s="29"/>
      <c r="Q451" s="29"/>
    </row>
    <row r="452" spans="7:17">
      <c r="G452" s="29"/>
      <c r="H452" s="29"/>
      <c r="I452" s="29"/>
      <c r="J452" s="29"/>
      <c r="K452" s="29"/>
      <c r="L452" s="29"/>
      <c r="M452" s="29"/>
      <c r="N452" s="29"/>
      <c r="O452" s="29"/>
      <c r="P452" s="29"/>
      <c r="Q452" s="29"/>
    </row>
    <row r="453" spans="7:17">
      <c r="G453" s="29"/>
      <c r="H453" s="29"/>
      <c r="I453" s="29"/>
      <c r="J453" s="29"/>
      <c r="K453" s="29"/>
      <c r="L453" s="29"/>
      <c r="M453" s="29"/>
      <c r="N453" s="29"/>
      <c r="O453" s="29"/>
      <c r="P453" s="29"/>
      <c r="Q453" s="29"/>
    </row>
    <row r="454" spans="7:17">
      <c r="G454" s="29"/>
      <c r="H454" s="29"/>
      <c r="I454" s="29"/>
      <c r="J454" s="29"/>
      <c r="K454" s="29"/>
      <c r="L454" s="29"/>
      <c r="M454" s="29"/>
      <c r="N454" s="29"/>
      <c r="O454" s="29"/>
      <c r="P454" s="29"/>
      <c r="Q454" s="29"/>
    </row>
    <row r="455" spans="7:17">
      <c r="G455" s="29"/>
      <c r="H455" s="29"/>
      <c r="I455" s="29"/>
      <c r="J455" s="29"/>
      <c r="K455" s="29"/>
      <c r="L455" s="29"/>
      <c r="M455" s="29"/>
      <c r="N455" s="29"/>
      <c r="O455" s="29"/>
      <c r="P455" s="29"/>
      <c r="Q455" s="29"/>
    </row>
    <row r="456" spans="7:17">
      <c r="G456" s="29"/>
      <c r="H456" s="29"/>
      <c r="I456" s="29"/>
      <c r="J456" s="29"/>
      <c r="K456" s="29"/>
      <c r="L456" s="29"/>
      <c r="M456" s="29"/>
      <c r="N456" s="29"/>
      <c r="O456" s="29"/>
      <c r="P456" s="29"/>
      <c r="Q456" s="29"/>
    </row>
    <row r="457" spans="7:17">
      <c r="G457" s="29"/>
      <c r="H457" s="29"/>
      <c r="I457" s="29"/>
      <c r="J457" s="29"/>
      <c r="K457" s="29"/>
      <c r="L457" s="29"/>
      <c r="M457" s="29"/>
      <c r="N457" s="29"/>
      <c r="O457" s="29"/>
      <c r="P457" s="29"/>
      <c r="Q457" s="29"/>
    </row>
    <row r="458" spans="7:17">
      <c r="G458" s="29"/>
      <c r="H458" s="29"/>
      <c r="I458" s="29"/>
      <c r="J458" s="29"/>
      <c r="K458" s="29"/>
      <c r="L458" s="29"/>
      <c r="M458" s="29"/>
      <c r="N458" s="29"/>
      <c r="O458" s="29"/>
      <c r="P458" s="29"/>
      <c r="Q458" s="29"/>
    </row>
    <row r="459" spans="7:17">
      <c r="G459" s="29"/>
      <c r="H459" s="29"/>
      <c r="I459" s="29"/>
      <c r="J459" s="29"/>
      <c r="K459" s="29"/>
      <c r="L459" s="29"/>
      <c r="M459" s="29"/>
      <c r="N459" s="29"/>
      <c r="O459" s="29"/>
      <c r="P459" s="29"/>
      <c r="Q459" s="29"/>
    </row>
    <row r="460" spans="7:17">
      <c r="G460" s="29"/>
      <c r="H460" s="29"/>
      <c r="I460" s="29"/>
      <c r="J460" s="29"/>
      <c r="K460" s="29"/>
      <c r="L460" s="29"/>
      <c r="M460" s="29"/>
      <c r="N460" s="29"/>
      <c r="O460" s="29"/>
      <c r="P460" s="29"/>
      <c r="Q460" s="29"/>
    </row>
    <row r="461" spans="7:17">
      <c r="G461" s="29"/>
      <c r="H461" s="29"/>
      <c r="I461" s="29"/>
      <c r="J461" s="29"/>
      <c r="K461" s="29"/>
      <c r="L461" s="29"/>
      <c r="M461" s="29"/>
      <c r="N461" s="29"/>
      <c r="O461" s="29"/>
      <c r="P461" s="29"/>
      <c r="Q461" s="29"/>
    </row>
    <row r="462" spans="7:17">
      <c r="G462" s="29"/>
      <c r="H462" s="29"/>
      <c r="I462" s="29"/>
      <c r="J462" s="29"/>
      <c r="K462" s="29"/>
      <c r="L462" s="29"/>
      <c r="M462" s="29"/>
      <c r="N462" s="29"/>
      <c r="O462" s="29"/>
      <c r="P462" s="29"/>
      <c r="Q462" s="29"/>
    </row>
    <row r="463" spans="7:17">
      <c r="G463" s="29"/>
      <c r="H463" s="29"/>
      <c r="I463" s="29"/>
      <c r="J463" s="29"/>
      <c r="K463" s="29"/>
      <c r="L463" s="29"/>
      <c r="M463" s="29"/>
      <c r="N463" s="29"/>
      <c r="O463" s="29"/>
      <c r="P463" s="29"/>
      <c r="Q463" s="29"/>
    </row>
    <row r="464" spans="7:17">
      <c r="G464" s="29"/>
      <c r="H464" s="29"/>
      <c r="I464" s="29"/>
      <c r="J464" s="29"/>
      <c r="K464" s="29"/>
      <c r="L464" s="29"/>
      <c r="M464" s="29"/>
      <c r="N464" s="29"/>
      <c r="O464" s="29"/>
      <c r="P464" s="29"/>
      <c r="Q464" s="29"/>
    </row>
    <row r="465" spans="7:17">
      <c r="G465" s="29"/>
      <c r="H465" s="29"/>
      <c r="I465" s="29"/>
      <c r="J465" s="29"/>
      <c r="K465" s="29"/>
      <c r="L465" s="29"/>
      <c r="M465" s="29"/>
      <c r="N465" s="29"/>
      <c r="O465" s="29"/>
      <c r="P465" s="29"/>
      <c r="Q465" s="29"/>
    </row>
    <row r="466" spans="7:17">
      <c r="G466" s="29"/>
      <c r="H466" s="29"/>
      <c r="I466" s="29"/>
      <c r="J466" s="29"/>
      <c r="K466" s="29"/>
      <c r="L466" s="29"/>
      <c r="M466" s="29"/>
      <c r="N466" s="29"/>
      <c r="O466" s="29"/>
      <c r="P466" s="29"/>
      <c r="Q466" s="29"/>
    </row>
    <row r="467" spans="7:17">
      <c r="G467" s="29"/>
      <c r="H467" s="29"/>
      <c r="I467" s="29"/>
      <c r="J467" s="29"/>
      <c r="K467" s="29"/>
      <c r="L467" s="29"/>
      <c r="M467" s="29"/>
      <c r="N467" s="29"/>
      <c r="O467" s="29"/>
      <c r="P467" s="29"/>
      <c r="Q467" s="29"/>
    </row>
    <row r="468" spans="7:17">
      <c r="G468" s="29"/>
      <c r="H468" s="29"/>
      <c r="I468" s="29"/>
      <c r="J468" s="29"/>
      <c r="K468" s="29"/>
      <c r="L468" s="29"/>
      <c r="M468" s="29"/>
      <c r="N468" s="29"/>
      <c r="O468" s="29"/>
      <c r="P468" s="29"/>
      <c r="Q468" s="29"/>
    </row>
    <row r="469" spans="7:17">
      <c r="G469" s="29"/>
      <c r="H469" s="29"/>
      <c r="I469" s="29"/>
      <c r="J469" s="29"/>
      <c r="K469" s="29"/>
      <c r="L469" s="29"/>
      <c r="M469" s="29"/>
      <c r="N469" s="29"/>
      <c r="O469" s="29"/>
      <c r="P469" s="29"/>
      <c r="Q469" s="29"/>
    </row>
    <row r="470" spans="7:17">
      <c r="G470" s="29"/>
      <c r="H470" s="29"/>
      <c r="I470" s="29"/>
      <c r="J470" s="29"/>
      <c r="K470" s="29"/>
      <c r="L470" s="29"/>
      <c r="M470" s="29"/>
      <c r="N470" s="29"/>
      <c r="O470" s="29"/>
      <c r="P470" s="29"/>
      <c r="Q470" s="29"/>
    </row>
    <row r="471" spans="7:17">
      <c r="G471" s="29"/>
      <c r="H471" s="29"/>
      <c r="I471" s="29"/>
      <c r="J471" s="29"/>
      <c r="K471" s="29"/>
      <c r="L471" s="29"/>
      <c r="M471" s="29"/>
      <c r="N471" s="29"/>
      <c r="O471" s="29"/>
      <c r="P471" s="29"/>
      <c r="Q471" s="29"/>
    </row>
    <row r="472" spans="7:17">
      <c r="G472" s="29"/>
      <c r="H472" s="29"/>
      <c r="I472" s="29"/>
      <c r="J472" s="29"/>
      <c r="K472" s="29"/>
      <c r="L472" s="29"/>
      <c r="M472" s="29"/>
      <c r="N472" s="29"/>
      <c r="O472" s="29"/>
      <c r="P472" s="29"/>
      <c r="Q472" s="29"/>
    </row>
    <row r="473" spans="7:17">
      <c r="G473" s="29"/>
      <c r="H473" s="29"/>
      <c r="I473" s="29"/>
      <c r="J473" s="29"/>
      <c r="K473" s="29"/>
      <c r="L473" s="29"/>
      <c r="M473" s="29"/>
      <c r="N473" s="29"/>
      <c r="O473" s="29"/>
      <c r="P473" s="29"/>
      <c r="Q473" s="29"/>
    </row>
    <row r="474" spans="7:17">
      <c r="G474" s="29"/>
      <c r="H474" s="29"/>
      <c r="I474" s="29"/>
      <c r="J474" s="29"/>
      <c r="K474" s="29"/>
      <c r="L474" s="29"/>
      <c r="M474" s="29"/>
      <c r="N474" s="29"/>
      <c r="O474" s="29"/>
      <c r="P474" s="29"/>
      <c r="Q474" s="29"/>
    </row>
    <row r="475" spans="7:17">
      <c r="G475" s="29"/>
      <c r="H475" s="29"/>
      <c r="I475" s="29"/>
      <c r="J475" s="29"/>
      <c r="K475" s="29"/>
      <c r="L475" s="29"/>
      <c r="M475" s="29"/>
      <c r="N475" s="29"/>
      <c r="O475" s="29"/>
      <c r="P475" s="29"/>
      <c r="Q475" s="29"/>
    </row>
    <row r="476" spans="7:17">
      <c r="G476" s="29"/>
      <c r="H476" s="29"/>
      <c r="I476" s="29"/>
      <c r="J476" s="29"/>
      <c r="K476" s="29"/>
      <c r="L476" s="29"/>
      <c r="M476" s="29"/>
      <c r="N476" s="29"/>
      <c r="O476" s="29"/>
      <c r="P476" s="29"/>
      <c r="Q476" s="29"/>
    </row>
    <row r="477" spans="7:17">
      <c r="G477" s="29"/>
      <c r="H477" s="29"/>
      <c r="I477" s="29"/>
      <c r="J477" s="29"/>
      <c r="K477" s="29"/>
      <c r="L477" s="29"/>
      <c r="M477" s="29"/>
      <c r="N477" s="29"/>
      <c r="O477" s="29"/>
      <c r="P477" s="29"/>
      <c r="Q477" s="29"/>
    </row>
    <row r="478" spans="7:17">
      <c r="G478" s="29"/>
      <c r="H478" s="29"/>
      <c r="I478" s="29"/>
      <c r="J478" s="29"/>
      <c r="K478" s="29"/>
      <c r="L478" s="29"/>
      <c r="M478" s="29"/>
      <c r="N478" s="29"/>
      <c r="O478" s="29"/>
      <c r="P478" s="29"/>
      <c r="Q478" s="29"/>
    </row>
    <row r="479" spans="7:17">
      <c r="G479" s="29"/>
      <c r="H479" s="29"/>
      <c r="I479" s="29"/>
      <c r="J479" s="29"/>
      <c r="K479" s="29"/>
      <c r="L479" s="29"/>
      <c r="M479" s="29"/>
      <c r="N479" s="29"/>
      <c r="O479" s="29"/>
      <c r="P479" s="29"/>
      <c r="Q479" s="29"/>
    </row>
    <row r="480" spans="7:17">
      <c r="G480" s="29"/>
      <c r="H480" s="29"/>
      <c r="I480" s="29"/>
      <c r="J480" s="29"/>
      <c r="K480" s="29"/>
      <c r="L480" s="29"/>
      <c r="M480" s="29"/>
      <c r="N480" s="29"/>
      <c r="O480" s="29"/>
      <c r="P480" s="29"/>
      <c r="Q480" s="29"/>
    </row>
    <row r="481" spans="7:17">
      <c r="G481" s="29"/>
      <c r="H481" s="29"/>
      <c r="I481" s="29"/>
      <c r="J481" s="29"/>
      <c r="K481" s="29"/>
      <c r="L481" s="29"/>
      <c r="M481" s="29"/>
      <c r="N481" s="29"/>
      <c r="O481" s="29"/>
      <c r="P481" s="29"/>
      <c r="Q481" s="29"/>
    </row>
    <row r="482" spans="7:17">
      <c r="G482" s="29"/>
      <c r="H482" s="29"/>
      <c r="I482" s="29"/>
      <c r="J482" s="29"/>
      <c r="K482" s="29"/>
      <c r="L482" s="29"/>
      <c r="M482" s="29"/>
      <c r="N482" s="29"/>
      <c r="O482" s="29"/>
      <c r="P482" s="29"/>
      <c r="Q482" s="29"/>
    </row>
    <row r="483" spans="7:17">
      <c r="G483" s="29"/>
      <c r="H483" s="29"/>
      <c r="I483" s="29"/>
      <c r="J483" s="29"/>
      <c r="K483" s="29"/>
      <c r="L483" s="29"/>
      <c r="M483" s="29"/>
      <c r="N483" s="29"/>
      <c r="O483" s="29"/>
      <c r="P483" s="29"/>
      <c r="Q483" s="29"/>
    </row>
    <row r="484" spans="7:17">
      <c r="G484" s="29"/>
      <c r="H484" s="29"/>
      <c r="I484" s="29"/>
      <c r="J484" s="29"/>
      <c r="K484" s="29"/>
      <c r="L484" s="29"/>
      <c r="M484" s="29"/>
      <c r="N484" s="29"/>
      <c r="O484" s="29"/>
      <c r="P484" s="29"/>
      <c r="Q484" s="29"/>
    </row>
    <row r="485" spans="7:17">
      <c r="G485" s="29"/>
      <c r="H485" s="29"/>
      <c r="I485" s="29"/>
      <c r="J485" s="29"/>
      <c r="K485" s="29"/>
      <c r="L485" s="29"/>
      <c r="M485" s="29"/>
      <c r="N485" s="29"/>
      <c r="O485" s="29"/>
      <c r="P485" s="29"/>
      <c r="Q485" s="29"/>
    </row>
    <row r="486" spans="7:17">
      <c r="G486" s="29"/>
      <c r="H486" s="29"/>
      <c r="I486" s="29"/>
      <c r="J486" s="29"/>
      <c r="K486" s="29"/>
      <c r="L486" s="29"/>
      <c r="M486" s="29"/>
      <c r="N486" s="29"/>
      <c r="O486" s="29"/>
      <c r="P486" s="29"/>
      <c r="Q486" s="29"/>
    </row>
    <row r="487" spans="7:17">
      <c r="G487" s="29"/>
      <c r="H487" s="29"/>
      <c r="I487" s="29"/>
      <c r="J487" s="29"/>
      <c r="K487" s="29"/>
      <c r="L487" s="29"/>
      <c r="M487" s="29"/>
      <c r="N487" s="29"/>
      <c r="O487" s="29"/>
      <c r="P487" s="29"/>
      <c r="Q487" s="29"/>
    </row>
    <row r="488" spans="7:17">
      <c r="G488" s="29"/>
      <c r="H488" s="29"/>
      <c r="I488" s="29"/>
      <c r="J488" s="29"/>
      <c r="K488" s="29"/>
      <c r="L488" s="29"/>
      <c r="M488" s="29"/>
      <c r="N488" s="29"/>
      <c r="O488" s="29"/>
      <c r="P488" s="29"/>
      <c r="Q488" s="29"/>
    </row>
    <row r="489" spans="7:17">
      <c r="G489" s="29"/>
      <c r="H489" s="29"/>
      <c r="I489" s="29"/>
      <c r="J489" s="29"/>
      <c r="K489" s="29"/>
      <c r="L489" s="29"/>
      <c r="M489" s="29"/>
      <c r="N489" s="29"/>
      <c r="O489" s="29"/>
      <c r="P489" s="29"/>
      <c r="Q489" s="29"/>
    </row>
    <row r="490" spans="7:17">
      <c r="G490" s="29"/>
      <c r="H490" s="29"/>
      <c r="I490" s="29"/>
      <c r="J490" s="29"/>
      <c r="K490" s="29"/>
      <c r="L490" s="29"/>
      <c r="M490" s="29"/>
      <c r="N490" s="29"/>
      <c r="O490" s="29"/>
      <c r="P490" s="29"/>
      <c r="Q490" s="29"/>
    </row>
    <row r="491" spans="7:17">
      <c r="G491" s="29"/>
      <c r="H491" s="29"/>
      <c r="I491" s="29"/>
      <c r="J491" s="29"/>
      <c r="K491" s="29"/>
      <c r="L491" s="29"/>
      <c r="M491" s="29"/>
      <c r="N491" s="29"/>
      <c r="O491" s="29"/>
      <c r="P491" s="29"/>
      <c r="Q491" s="29"/>
    </row>
    <row r="492" spans="7:17">
      <c r="G492" s="29"/>
      <c r="H492" s="29"/>
      <c r="I492" s="29"/>
      <c r="J492" s="29"/>
      <c r="K492" s="29"/>
      <c r="L492" s="29"/>
      <c r="M492" s="29"/>
      <c r="N492" s="29"/>
      <c r="O492" s="29"/>
      <c r="P492" s="29"/>
      <c r="Q492" s="29"/>
    </row>
    <row r="493" spans="7:17">
      <c r="G493" s="29"/>
      <c r="H493" s="29"/>
      <c r="I493" s="29"/>
      <c r="J493" s="29"/>
      <c r="K493" s="29"/>
      <c r="L493" s="29"/>
      <c r="M493" s="29"/>
      <c r="N493" s="29"/>
      <c r="O493" s="29"/>
      <c r="P493" s="29"/>
      <c r="Q493" s="29"/>
    </row>
    <row r="494" spans="7:17">
      <c r="G494" s="29"/>
      <c r="H494" s="29"/>
      <c r="I494" s="29"/>
      <c r="J494" s="29"/>
      <c r="K494" s="29"/>
      <c r="L494" s="29"/>
      <c r="M494" s="29"/>
      <c r="N494" s="29"/>
      <c r="O494" s="29"/>
      <c r="P494" s="29"/>
      <c r="Q494" s="29"/>
    </row>
    <row r="495" spans="7:17">
      <c r="G495" s="29"/>
      <c r="H495" s="29"/>
      <c r="I495" s="29"/>
      <c r="J495" s="29"/>
      <c r="K495" s="29"/>
      <c r="L495" s="29"/>
      <c r="M495" s="29"/>
      <c r="N495" s="29"/>
      <c r="O495" s="29"/>
      <c r="P495" s="29"/>
      <c r="Q495" s="29"/>
    </row>
    <row r="496" spans="7:17">
      <c r="G496" s="29"/>
      <c r="H496" s="29"/>
      <c r="I496" s="29"/>
      <c r="J496" s="29"/>
      <c r="K496" s="29"/>
      <c r="L496" s="29"/>
      <c r="M496" s="29"/>
      <c r="N496" s="29"/>
      <c r="O496" s="29"/>
      <c r="P496" s="29"/>
      <c r="Q496" s="29"/>
    </row>
    <row r="497" spans="7:17">
      <c r="G497" s="29"/>
      <c r="H497" s="29"/>
      <c r="I497" s="29"/>
      <c r="J497" s="29"/>
      <c r="K497" s="29"/>
      <c r="L497" s="29"/>
      <c r="M497" s="29"/>
      <c r="N497" s="29"/>
      <c r="O497" s="29"/>
      <c r="P497" s="29"/>
      <c r="Q497" s="29"/>
    </row>
    <row r="498" spans="7:17">
      <c r="G498" s="29"/>
      <c r="H498" s="29"/>
      <c r="I498" s="29"/>
      <c r="J498" s="29"/>
      <c r="K498" s="29"/>
      <c r="L498" s="29"/>
      <c r="M498" s="29"/>
      <c r="N498" s="29"/>
      <c r="O498" s="29"/>
      <c r="P498" s="29"/>
      <c r="Q498" s="29"/>
    </row>
    <row r="499" spans="7:17">
      <c r="G499" s="29"/>
      <c r="H499" s="29"/>
      <c r="I499" s="29"/>
      <c r="J499" s="29"/>
      <c r="K499" s="29"/>
      <c r="L499" s="29"/>
      <c r="M499" s="29"/>
      <c r="N499" s="29"/>
      <c r="O499" s="29"/>
      <c r="P499" s="29"/>
      <c r="Q499" s="29"/>
    </row>
    <row r="500" spans="7:17">
      <c r="G500" s="29"/>
      <c r="H500" s="29"/>
      <c r="I500" s="29"/>
      <c r="J500" s="29"/>
      <c r="K500" s="29"/>
      <c r="L500" s="29"/>
      <c r="M500" s="29"/>
      <c r="N500" s="29"/>
      <c r="O500" s="29"/>
      <c r="P500" s="29"/>
      <c r="Q500" s="29"/>
    </row>
    <row r="501" spans="7:17">
      <c r="G501" s="29"/>
      <c r="H501" s="29"/>
      <c r="I501" s="29"/>
      <c r="J501" s="29"/>
      <c r="K501" s="29"/>
      <c r="L501" s="29"/>
      <c r="M501" s="29"/>
      <c r="N501" s="29"/>
      <c r="O501" s="29"/>
      <c r="P501" s="29"/>
      <c r="Q501" s="29"/>
    </row>
    <row r="502" spans="7:17">
      <c r="G502" s="29"/>
      <c r="H502" s="29"/>
      <c r="I502" s="29"/>
      <c r="J502" s="29"/>
      <c r="K502" s="29"/>
      <c r="L502" s="29"/>
      <c r="M502" s="29"/>
      <c r="N502" s="29"/>
      <c r="O502" s="29"/>
      <c r="P502" s="29"/>
      <c r="Q502" s="29"/>
    </row>
    <row r="503" spans="7:17">
      <c r="G503" s="29"/>
      <c r="H503" s="29"/>
      <c r="I503" s="29"/>
      <c r="J503" s="29"/>
      <c r="K503" s="29"/>
      <c r="L503" s="29"/>
      <c r="M503" s="29"/>
      <c r="N503" s="29"/>
      <c r="O503" s="29"/>
      <c r="P503" s="29"/>
      <c r="Q503" s="29"/>
    </row>
    <row r="504" spans="7:17">
      <c r="G504" s="29"/>
      <c r="H504" s="29"/>
      <c r="I504" s="29"/>
      <c r="J504" s="29"/>
      <c r="K504" s="29"/>
      <c r="L504" s="29"/>
      <c r="M504" s="29"/>
      <c r="N504" s="29"/>
      <c r="O504" s="29"/>
      <c r="P504" s="29"/>
      <c r="Q504" s="29"/>
    </row>
    <row r="505" spans="7:17">
      <c r="G505" s="29"/>
      <c r="H505" s="29"/>
      <c r="I505" s="29"/>
      <c r="J505" s="29"/>
      <c r="K505" s="29"/>
      <c r="L505" s="29"/>
      <c r="M505" s="29"/>
      <c r="N505" s="29"/>
      <c r="O505" s="29"/>
      <c r="P505" s="29"/>
      <c r="Q505" s="29"/>
    </row>
    <row r="506" spans="7:17">
      <c r="G506" s="29"/>
      <c r="H506" s="29"/>
      <c r="I506" s="29"/>
      <c r="J506" s="29"/>
      <c r="K506" s="29"/>
      <c r="L506" s="29"/>
      <c r="M506" s="29"/>
      <c r="N506" s="29"/>
      <c r="O506" s="29"/>
      <c r="P506" s="29"/>
      <c r="Q506" s="29"/>
    </row>
    <row r="507" spans="7:17">
      <c r="G507" s="29"/>
      <c r="H507" s="29"/>
      <c r="I507" s="29"/>
      <c r="J507" s="29"/>
      <c r="K507" s="29"/>
      <c r="L507" s="29"/>
      <c r="M507" s="29"/>
      <c r="N507" s="29"/>
      <c r="O507" s="29"/>
      <c r="P507" s="29"/>
      <c r="Q507" s="29"/>
    </row>
    <row r="508" spans="7:17">
      <c r="G508" s="29"/>
      <c r="H508" s="29"/>
      <c r="I508" s="29"/>
      <c r="J508" s="29"/>
      <c r="K508" s="29"/>
      <c r="L508" s="29"/>
      <c r="M508" s="29"/>
      <c r="N508" s="29"/>
      <c r="O508" s="29"/>
      <c r="P508" s="29"/>
      <c r="Q508" s="29"/>
    </row>
    <row r="509" spans="7:17">
      <c r="G509" s="29"/>
      <c r="H509" s="29"/>
      <c r="I509" s="29"/>
      <c r="J509" s="29"/>
      <c r="K509" s="29"/>
      <c r="L509" s="29"/>
      <c r="M509" s="29"/>
      <c r="N509" s="29"/>
      <c r="O509" s="29"/>
      <c r="P509" s="29"/>
      <c r="Q509" s="29"/>
    </row>
    <row r="510" spans="7:17">
      <c r="G510" s="29"/>
      <c r="H510" s="29"/>
      <c r="I510" s="29"/>
      <c r="J510" s="29"/>
      <c r="K510" s="29"/>
      <c r="L510" s="29"/>
      <c r="M510" s="29"/>
      <c r="N510" s="29"/>
      <c r="O510" s="29"/>
      <c r="P510" s="29"/>
      <c r="Q510" s="29"/>
    </row>
    <row r="511" spans="7:17">
      <c r="G511" s="29"/>
      <c r="H511" s="29"/>
      <c r="I511" s="29"/>
      <c r="J511" s="29"/>
      <c r="K511" s="29"/>
      <c r="L511" s="29"/>
      <c r="M511" s="29"/>
      <c r="N511" s="29"/>
      <c r="O511" s="29"/>
      <c r="P511" s="29"/>
      <c r="Q511" s="29"/>
    </row>
    <row r="512" spans="7:17">
      <c r="G512" s="29"/>
      <c r="H512" s="29"/>
      <c r="I512" s="29"/>
      <c r="J512" s="29"/>
      <c r="K512" s="29"/>
      <c r="L512" s="29"/>
      <c r="M512" s="29"/>
      <c r="N512" s="29"/>
      <c r="O512" s="29"/>
      <c r="P512" s="29"/>
      <c r="Q512" s="29"/>
    </row>
    <row r="513" spans="7:17">
      <c r="G513" s="29"/>
      <c r="H513" s="29"/>
      <c r="I513" s="29"/>
      <c r="J513" s="29"/>
      <c r="K513" s="29"/>
      <c r="L513" s="29"/>
      <c r="M513" s="29"/>
      <c r="N513" s="29"/>
      <c r="O513" s="29"/>
      <c r="P513" s="29"/>
      <c r="Q513" s="29"/>
    </row>
    <row r="514" spans="7:17">
      <c r="G514" s="29"/>
      <c r="H514" s="29"/>
      <c r="I514" s="29"/>
      <c r="J514" s="29"/>
      <c r="K514" s="29"/>
      <c r="L514" s="29"/>
      <c r="M514" s="29"/>
      <c r="N514" s="29"/>
      <c r="O514" s="29"/>
      <c r="P514" s="29"/>
      <c r="Q514" s="29"/>
    </row>
    <row r="515" spans="7:17">
      <c r="G515" s="29"/>
      <c r="H515" s="29"/>
      <c r="I515" s="29"/>
      <c r="J515" s="29"/>
      <c r="K515" s="29"/>
      <c r="L515" s="29"/>
      <c r="M515" s="29"/>
      <c r="N515" s="29"/>
      <c r="O515" s="29"/>
      <c r="P515" s="29"/>
      <c r="Q515" s="29"/>
    </row>
    <row r="516" spans="7:17">
      <c r="G516" s="29"/>
      <c r="H516" s="29"/>
      <c r="I516" s="29"/>
      <c r="J516" s="29"/>
      <c r="K516" s="29"/>
      <c r="L516" s="29"/>
      <c r="M516" s="29"/>
      <c r="N516" s="29"/>
      <c r="O516" s="29"/>
      <c r="P516" s="29"/>
      <c r="Q516" s="29"/>
    </row>
    <row r="517" spans="7:17">
      <c r="G517" s="29"/>
      <c r="H517" s="29"/>
      <c r="I517" s="29"/>
      <c r="J517" s="29"/>
      <c r="K517" s="29"/>
      <c r="L517" s="29"/>
      <c r="M517" s="29"/>
      <c r="N517" s="29"/>
      <c r="O517" s="29"/>
      <c r="P517" s="29"/>
      <c r="Q517" s="29"/>
    </row>
    <row r="518" spans="7:17">
      <c r="G518" s="29"/>
      <c r="H518" s="29"/>
      <c r="I518" s="29"/>
      <c r="J518" s="29"/>
      <c r="K518" s="29"/>
      <c r="L518" s="29"/>
      <c r="M518" s="29"/>
      <c r="N518" s="29"/>
      <c r="O518" s="29"/>
      <c r="P518" s="29"/>
      <c r="Q518" s="29"/>
    </row>
    <row r="519" spans="7:17">
      <c r="G519" s="29"/>
      <c r="H519" s="29"/>
      <c r="I519" s="29"/>
      <c r="J519" s="29"/>
      <c r="K519" s="29"/>
      <c r="L519" s="29"/>
      <c r="M519" s="29"/>
      <c r="N519" s="29"/>
      <c r="O519" s="29"/>
      <c r="P519" s="29"/>
      <c r="Q519" s="29"/>
    </row>
    <row r="520" spans="7:17">
      <c r="G520" s="29"/>
      <c r="H520" s="29"/>
      <c r="I520" s="29"/>
      <c r="J520" s="29"/>
      <c r="K520" s="29"/>
      <c r="L520" s="29"/>
      <c r="M520" s="29"/>
      <c r="N520" s="29"/>
      <c r="O520" s="29"/>
      <c r="P520" s="29"/>
      <c r="Q520" s="29"/>
    </row>
    <row r="521" spans="7:17">
      <c r="G521" s="29"/>
      <c r="H521" s="29"/>
      <c r="I521" s="29"/>
      <c r="J521" s="29"/>
      <c r="K521" s="29"/>
      <c r="L521" s="29"/>
      <c r="M521" s="29"/>
      <c r="N521" s="29"/>
      <c r="O521" s="29"/>
      <c r="P521" s="29"/>
      <c r="Q521" s="29"/>
    </row>
    <row r="522" spans="7:17">
      <c r="G522" s="29"/>
      <c r="H522" s="29"/>
      <c r="I522" s="29"/>
      <c r="J522" s="29"/>
      <c r="K522" s="29"/>
      <c r="L522" s="29"/>
      <c r="M522" s="29"/>
      <c r="N522" s="29"/>
      <c r="O522" s="29"/>
      <c r="P522" s="29"/>
      <c r="Q522" s="29"/>
    </row>
    <row r="523" spans="7:17">
      <c r="G523" s="29"/>
      <c r="H523" s="29"/>
      <c r="I523" s="29"/>
      <c r="J523" s="29"/>
      <c r="K523" s="29"/>
      <c r="L523" s="29"/>
      <c r="M523" s="29"/>
      <c r="N523" s="29"/>
      <c r="O523" s="29"/>
      <c r="P523" s="29"/>
      <c r="Q523" s="29"/>
    </row>
    <row r="524" spans="7:17">
      <c r="G524" s="29"/>
      <c r="H524" s="29"/>
      <c r="I524" s="29"/>
      <c r="J524" s="29"/>
      <c r="K524" s="29"/>
      <c r="L524" s="29"/>
      <c r="M524" s="29"/>
      <c r="N524" s="29"/>
      <c r="O524" s="29"/>
      <c r="P524" s="29"/>
      <c r="Q524" s="29"/>
    </row>
    <row r="525" spans="7:17">
      <c r="G525" s="29"/>
      <c r="H525" s="29"/>
      <c r="I525" s="29"/>
      <c r="J525" s="29"/>
      <c r="K525" s="29"/>
      <c r="L525" s="29"/>
      <c r="M525" s="29"/>
      <c r="N525" s="29"/>
      <c r="O525" s="29"/>
      <c r="P525" s="29"/>
      <c r="Q525" s="29"/>
    </row>
    <row r="526" spans="7:17">
      <c r="G526" s="29"/>
      <c r="H526" s="29"/>
      <c r="I526" s="29"/>
      <c r="J526" s="29"/>
      <c r="K526" s="29"/>
      <c r="L526" s="29"/>
      <c r="M526" s="29"/>
      <c r="N526" s="29"/>
      <c r="O526" s="29"/>
      <c r="P526" s="29"/>
      <c r="Q526" s="29"/>
    </row>
    <row r="527" spans="7:17">
      <c r="G527" s="29"/>
      <c r="H527" s="29"/>
      <c r="I527" s="29"/>
      <c r="J527" s="29"/>
      <c r="K527" s="29"/>
      <c r="L527" s="29"/>
      <c r="M527" s="29"/>
      <c r="N527" s="29"/>
      <c r="O527" s="29"/>
      <c r="P527" s="29"/>
      <c r="Q527" s="29"/>
    </row>
    <row r="528" spans="7:17">
      <c r="G528" s="29"/>
      <c r="H528" s="29"/>
      <c r="I528" s="29"/>
      <c r="J528" s="29"/>
      <c r="K528" s="29"/>
      <c r="L528" s="29"/>
      <c r="M528" s="29"/>
      <c r="N528" s="29"/>
      <c r="O528" s="29"/>
      <c r="P528" s="29"/>
      <c r="Q528" s="29"/>
    </row>
    <row r="529" spans="7:17">
      <c r="G529" s="29"/>
      <c r="H529" s="29"/>
      <c r="I529" s="29"/>
      <c r="J529" s="29"/>
      <c r="K529" s="29"/>
      <c r="L529" s="29"/>
      <c r="M529" s="29"/>
      <c r="N529" s="29"/>
      <c r="O529" s="29"/>
      <c r="P529" s="29"/>
      <c r="Q529" s="29"/>
    </row>
    <row r="530" spans="7:17">
      <c r="G530" s="29"/>
      <c r="H530" s="29"/>
      <c r="I530" s="29"/>
      <c r="J530" s="29"/>
      <c r="K530" s="29"/>
      <c r="L530" s="29"/>
      <c r="M530" s="29"/>
      <c r="N530" s="29"/>
      <c r="O530" s="29"/>
      <c r="P530" s="29"/>
      <c r="Q530" s="29"/>
    </row>
    <row r="531" spans="7:17">
      <c r="G531" s="29"/>
      <c r="H531" s="29"/>
      <c r="I531" s="29"/>
      <c r="J531" s="29"/>
      <c r="K531" s="29"/>
      <c r="L531" s="29"/>
      <c r="M531" s="29"/>
      <c r="N531" s="29"/>
      <c r="O531" s="29"/>
      <c r="P531" s="29"/>
      <c r="Q531" s="29"/>
    </row>
    <row r="532" spans="7:17">
      <c r="G532" s="29"/>
      <c r="H532" s="29"/>
      <c r="I532" s="29"/>
      <c r="J532" s="29"/>
      <c r="K532" s="29"/>
      <c r="L532" s="29"/>
      <c r="M532" s="29"/>
      <c r="N532" s="29"/>
      <c r="O532" s="29"/>
      <c r="P532" s="29"/>
      <c r="Q532" s="29"/>
    </row>
    <row r="533" spans="7:17">
      <c r="G533" s="29"/>
      <c r="H533" s="29"/>
      <c r="I533" s="29"/>
      <c r="J533" s="29"/>
      <c r="K533" s="29"/>
      <c r="L533" s="29"/>
      <c r="M533" s="29"/>
      <c r="N533" s="29"/>
      <c r="O533" s="29"/>
      <c r="P533" s="29"/>
      <c r="Q533" s="29"/>
    </row>
    <row r="534" spans="7:17">
      <c r="G534" s="29"/>
      <c r="H534" s="29"/>
      <c r="I534" s="29"/>
      <c r="J534" s="29"/>
      <c r="K534" s="29"/>
      <c r="L534" s="29"/>
      <c r="M534" s="29"/>
      <c r="N534" s="29"/>
      <c r="O534" s="29"/>
      <c r="P534" s="29"/>
      <c r="Q534" s="29"/>
    </row>
    <row r="535" spans="7:17">
      <c r="G535" s="29"/>
      <c r="H535" s="29"/>
      <c r="I535" s="29"/>
      <c r="J535" s="29"/>
      <c r="K535" s="29"/>
      <c r="L535" s="29"/>
      <c r="M535" s="29"/>
      <c r="N535" s="29"/>
      <c r="O535" s="29"/>
      <c r="P535" s="29"/>
      <c r="Q535" s="29"/>
    </row>
    <row r="536" spans="7:17">
      <c r="G536" s="29"/>
      <c r="H536" s="29"/>
      <c r="I536" s="29"/>
      <c r="J536" s="29"/>
      <c r="K536" s="29"/>
      <c r="L536" s="29"/>
      <c r="M536" s="29"/>
      <c r="N536" s="29"/>
      <c r="O536" s="29"/>
      <c r="P536" s="29"/>
      <c r="Q536" s="29"/>
    </row>
    <row r="537" spans="7:17">
      <c r="G537" s="29"/>
      <c r="H537" s="29"/>
      <c r="I537" s="29"/>
      <c r="J537" s="29"/>
      <c r="K537" s="29"/>
      <c r="L537" s="29"/>
      <c r="M537" s="29"/>
      <c r="N537" s="29"/>
      <c r="O537" s="29"/>
      <c r="P537" s="29"/>
      <c r="Q537" s="29"/>
    </row>
    <row r="538" spans="7:17">
      <c r="G538" s="29"/>
      <c r="H538" s="29"/>
      <c r="I538" s="29"/>
      <c r="J538" s="29"/>
      <c r="K538" s="29"/>
      <c r="L538" s="29"/>
      <c r="M538" s="29"/>
      <c r="N538" s="29"/>
      <c r="O538" s="29"/>
      <c r="P538" s="29"/>
      <c r="Q538" s="29"/>
    </row>
    <row r="539" spans="7:17">
      <c r="G539" s="29"/>
      <c r="H539" s="29"/>
      <c r="I539" s="29"/>
      <c r="J539" s="29"/>
      <c r="K539" s="29"/>
      <c r="L539" s="29"/>
      <c r="M539" s="29"/>
      <c r="N539" s="29"/>
      <c r="O539" s="29"/>
      <c r="P539" s="29"/>
      <c r="Q539" s="29"/>
    </row>
    <row r="540" spans="7:17">
      <c r="G540" s="29"/>
      <c r="H540" s="29"/>
      <c r="I540" s="29"/>
      <c r="J540" s="29"/>
      <c r="K540" s="29"/>
      <c r="L540" s="29"/>
      <c r="M540" s="29"/>
      <c r="N540" s="29"/>
      <c r="O540" s="29"/>
      <c r="P540" s="29"/>
      <c r="Q540" s="29"/>
    </row>
    <row r="541" spans="7:17">
      <c r="G541" s="29"/>
      <c r="H541" s="29"/>
      <c r="I541" s="29"/>
      <c r="J541" s="29"/>
      <c r="K541" s="29"/>
      <c r="L541" s="29"/>
      <c r="M541" s="29"/>
      <c r="N541" s="29"/>
      <c r="O541" s="29"/>
      <c r="P541" s="29"/>
      <c r="Q541" s="29"/>
    </row>
    <row r="542" spans="7:17">
      <c r="G542" s="29"/>
      <c r="H542" s="29"/>
      <c r="I542" s="29"/>
      <c r="J542" s="29"/>
      <c r="K542" s="29"/>
      <c r="L542" s="29"/>
      <c r="M542" s="29"/>
      <c r="N542" s="29"/>
      <c r="O542" s="29"/>
      <c r="P542" s="29"/>
      <c r="Q542" s="29"/>
    </row>
    <row r="543" spans="7:17">
      <c r="G543" s="29"/>
      <c r="H543" s="29"/>
      <c r="I543" s="29"/>
      <c r="J543" s="29"/>
      <c r="K543" s="29"/>
      <c r="L543" s="29"/>
      <c r="M543" s="29"/>
      <c r="N543" s="29"/>
      <c r="O543" s="29"/>
      <c r="P543" s="29"/>
      <c r="Q543" s="29"/>
    </row>
    <row r="544" spans="7:17">
      <c r="G544" s="29"/>
      <c r="H544" s="29"/>
      <c r="I544" s="29"/>
      <c r="J544" s="29"/>
      <c r="K544" s="29"/>
      <c r="L544" s="29"/>
      <c r="M544" s="29"/>
      <c r="N544" s="29"/>
      <c r="O544" s="29"/>
      <c r="P544" s="29"/>
      <c r="Q544" s="29"/>
    </row>
    <row r="545" spans="7:17">
      <c r="G545" s="29"/>
      <c r="H545" s="29"/>
      <c r="I545" s="29"/>
      <c r="J545" s="29"/>
      <c r="K545" s="29"/>
      <c r="L545" s="29"/>
      <c r="M545" s="29"/>
      <c r="N545" s="29"/>
      <c r="O545" s="29"/>
      <c r="P545" s="29"/>
      <c r="Q545" s="29"/>
    </row>
    <row r="546" spans="7:17">
      <c r="G546" s="29"/>
      <c r="H546" s="29"/>
      <c r="I546" s="29"/>
      <c r="J546" s="29"/>
      <c r="K546" s="29"/>
      <c r="L546" s="29"/>
      <c r="M546" s="29"/>
      <c r="N546" s="29"/>
      <c r="O546" s="29"/>
      <c r="P546" s="29"/>
      <c r="Q546" s="29"/>
    </row>
    <row r="547" spans="7:17">
      <c r="G547" s="29"/>
      <c r="H547" s="29"/>
      <c r="I547" s="29"/>
      <c r="J547" s="29"/>
      <c r="K547" s="29"/>
      <c r="L547" s="29"/>
      <c r="M547" s="29"/>
      <c r="N547" s="29"/>
      <c r="O547" s="29"/>
      <c r="P547" s="29"/>
      <c r="Q547" s="29"/>
    </row>
    <row r="548" spans="7:17">
      <c r="G548" s="29"/>
      <c r="H548" s="29"/>
      <c r="I548" s="29"/>
      <c r="J548" s="29"/>
      <c r="K548" s="29"/>
      <c r="L548" s="29"/>
      <c r="M548" s="29"/>
      <c r="N548" s="29"/>
      <c r="O548" s="29"/>
      <c r="P548" s="29"/>
      <c r="Q548" s="29"/>
    </row>
    <row r="549" spans="7:17">
      <c r="G549" s="29"/>
      <c r="H549" s="29"/>
      <c r="I549" s="29"/>
      <c r="J549" s="29"/>
      <c r="K549" s="29"/>
      <c r="L549" s="29"/>
      <c r="M549" s="29"/>
      <c r="N549" s="29"/>
      <c r="O549" s="29"/>
      <c r="P549" s="29"/>
      <c r="Q549" s="29"/>
    </row>
    <row r="550" spans="7:17">
      <c r="G550" s="29"/>
      <c r="H550" s="29"/>
      <c r="I550" s="29"/>
      <c r="J550" s="29"/>
      <c r="K550" s="29"/>
      <c r="L550" s="29"/>
      <c r="M550" s="29"/>
      <c r="N550" s="29"/>
      <c r="O550" s="29"/>
      <c r="P550" s="29"/>
      <c r="Q550" s="29"/>
    </row>
    <row r="551" spans="7:17">
      <c r="G551" s="29"/>
      <c r="H551" s="29"/>
      <c r="I551" s="29"/>
      <c r="J551" s="29"/>
      <c r="K551" s="29"/>
      <c r="L551" s="29"/>
      <c r="M551" s="29"/>
      <c r="N551" s="29"/>
      <c r="O551" s="29"/>
      <c r="P551" s="29"/>
      <c r="Q551" s="29"/>
    </row>
    <row r="552" spans="7:17">
      <c r="G552" s="29"/>
      <c r="H552" s="29"/>
      <c r="I552" s="29"/>
      <c r="J552" s="29"/>
      <c r="K552" s="29"/>
      <c r="L552" s="29"/>
      <c r="M552" s="29"/>
      <c r="N552" s="29"/>
      <c r="O552" s="29"/>
      <c r="P552" s="29"/>
      <c r="Q552" s="29"/>
    </row>
    <row r="553" spans="7:17">
      <c r="G553" s="29"/>
      <c r="H553" s="29"/>
      <c r="I553" s="29"/>
      <c r="J553" s="29"/>
      <c r="K553" s="29"/>
      <c r="L553" s="29"/>
      <c r="M553" s="29"/>
      <c r="N553" s="29"/>
      <c r="O553" s="29"/>
      <c r="P553" s="29"/>
      <c r="Q553" s="29"/>
    </row>
    <row r="554" spans="7:17">
      <c r="G554" s="29"/>
      <c r="H554" s="29"/>
      <c r="I554" s="29"/>
      <c r="J554" s="29"/>
      <c r="K554" s="29"/>
      <c r="L554" s="29"/>
      <c r="M554" s="29"/>
      <c r="N554" s="29"/>
      <c r="O554" s="29"/>
      <c r="P554" s="29"/>
      <c r="Q554" s="29"/>
    </row>
    <row r="555" spans="7:17">
      <c r="G555" s="29"/>
      <c r="H555" s="29"/>
      <c r="I555" s="29"/>
      <c r="J555" s="29"/>
      <c r="K555" s="29"/>
      <c r="L555" s="29"/>
      <c r="M555" s="29"/>
      <c r="N555" s="29"/>
      <c r="O555" s="29"/>
      <c r="P555" s="29"/>
      <c r="Q555" s="29"/>
    </row>
    <row r="556" spans="7:17">
      <c r="G556" s="29"/>
      <c r="H556" s="29"/>
      <c r="I556" s="29"/>
      <c r="J556" s="29"/>
      <c r="K556" s="29"/>
      <c r="L556" s="29"/>
      <c r="M556" s="29"/>
      <c r="N556" s="29"/>
      <c r="O556" s="29"/>
      <c r="P556" s="29"/>
      <c r="Q556" s="29"/>
    </row>
    <row r="557" spans="7:17">
      <c r="G557" s="29"/>
      <c r="H557" s="29"/>
      <c r="I557" s="29"/>
      <c r="J557" s="29"/>
      <c r="K557" s="29"/>
      <c r="L557" s="29"/>
      <c r="M557" s="29"/>
      <c r="N557" s="29"/>
      <c r="O557" s="29"/>
      <c r="P557" s="29"/>
      <c r="Q557" s="29"/>
    </row>
    <row r="558" spans="7:17">
      <c r="G558" s="29"/>
      <c r="H558" s="29"/>
      <c r="I558" s="29"/>
      <c r="J558" s="29"/>
      <c r="K558" s="29"/>
      <c r="L558" s="29"/>
      <c r="M558" s="29"/>
      <c r="N558" s="29"/>
      <c r="O558" s="29"/>
      <c r="P558" s="29"/>
      <c r="Q558" s="29"/>
    </row>
    <row r="559" spans="7:17">
      <c r="G559" s="29"/>
      <c r="H559" s="29"/>
      <c r="I559" s="29"/>
      <c r="J559" s="29"/>
      <c r="K559" s="29"/>
      <c r="L559" s="29"/>
      <c r="M559" s="29"/>
      <c r="N559" s="29"/>
      <c r="O559" s="29"/>
      <c r="P559" s="29"/>
      <c r="Q559" s="29"/>
    </row>
    <row r="560" spans="7:17">
      <c r="G560" s="29"/>
      <c r="H560" s="29"/>
      <c r="I560" s="29"/>
      <c r="J560" s="29"/>
      <c r="K560" s="29"/>
      <c r="L560" s="29"/>
      <c r="M560" s="29"/>
      <c r="N560" s="29"/>
      <c r="O560" s="29"/>
      <c r="P560" s="29"/>
      <c r="Q560" s="29"/>
    </row>
    <row r="561" spans="7:17">
      <c r="G561" s="29"/>
      <c r="H561" s="29"/>
      <c r="I561" s="29"/>
      <c r="J561" s="29"/>
      <c r="K561" s="29"/>
      <c r="L561" s="29"/>
      <c r="M561" s="29"/>
      <c r="N561" s="29"/>
      <c r="O561" s="29"/>
      <c r="P561" s="29"/>
      <c r="Q561" s="29"/>
    </row>
    <row r="562" spans="7:17">
      <c r="G562" s="29"/>
      <c r="H562" s="29"/>
      <c r="I562" s="29"/>
      <c r="J562" s="29"/>
      <c r="K562" s="29"/>
      <c r="L562" s="29"/>
      <c r="M562" s="29"/>
      <c r="N562" s="29"/>
      <c r="O562" s="29"/>
      <c r="P562" s="29"/>
      <c r="Q562" s="29"/>
    </row>
    <row r="563" spans="7:17">
      <c r="G563" s="29"/>
      <c r="H563" s="29"/>
      <c r="I563" s="29"/>
      <c r="J563" s="29"/>
      <c r="K563" s="29"/>
      <c r="L563" s="29"/>
      <c r="M563" s="29"/>
      <c r="N563" s="29"/>
      <c r="O563" s="29"/>
      <c r="P563" s="29"/>
      <c r="Q563" s="29"/>
    </row>
    <row r="564" spans="7:17">
      <c r="G564" s="29"/>
      <c r="H564" s="29"/>
      <c r="I564" s="29"/>
      <c r="J564" s="29"/>
      <c r="K564" s="29"/>
      <c r="L564" s="29"/>
      <c r="M564" s="29"/>
      <c r="N564" s="29"/>
      <c r="O564" s="29"/>
      <c r="P564" s="29"/>
      <c r="Q564" s="29"/>
    </row>
    <row r="565" spans="7:17">
      <c r="G565" s="29"/>
      <c r="H565" s="29"/>
      <c r="I565" s="29"/>
      <c r="J565" s="29"/>
      <c r="K565" s="29"/>
      <c r="L565" s="29"/>
      <c r="M565" s="29"/>
      <c r="N565" s="29"/>
      <c r="O565" s="29"/>
      <c r="P565" s="29"/>
      <c r="Q565" s="29"/>
    </row>
    <row r="566" spans="7:17">
      <c r="G566" s="29"/>
      <c r="H566" s="29"/>
      <c r="I566" s="29"/>
      <c r="J566" s="29"/>
      <c r="K566" s="29"/>
      <c r="L566" s="29"/>
      <c r="M566" s="29"/>
      <c r="N566" s="29"/>
      <c r="O566" s="29"/>
      <c r="P566" s="29"/>
      <c r="Q566" s="29"/>
    </row>
    <row r="567" spans="7:17">
      <c r="G567" s="29"/>
      <c r="H567" s="29"/>
      <c r="I567" s="29"/>
      <c r="J567" s="29"/>
      <c r="K567" s="29"/>
      <c r="L567" s="29"/>
      <c r="M567" s="29"/>
      <c r="N567" s="29"/>
      <c r="O567" s="29"/>
      <c r="P567" s="29"/>
      <c r="Q567" s="29"/>
    </row>
    <row r="568" spans="7:17">
      <c r="G568" s="29"/>
      <c r="H568" s="29"/>
      <c r="I568" s="29"/>
      <c r="J568" s="29"/>
      <c r="K568" s="29"/>
      <c r="L568" s="29"/>
      <c r="M568" s="29"/>
      <c r="N568" s="29"/>
      <c r="O568" s="29"/>
      <c r="P568" s="29"/>
      <c r="Q568" s="29"/>
    </row>
    <row r="569" spans="7:17">
      <c r="G569" s="29"/>
      <c r="H569" s="29"/>
      <c r="I569" s="29"/>
      <c r="J569" s="29"/>
      <c r="K569" s="29"/>
      <c r="L569" s="29"/>
      <c r="M569" s="29"/>
      <c r="N569" s="29"/>
      <c r="O569" s="29"/>
      <c r="P569" s="29"/>
      <c r="Q569" s="29"/>
    </row>
    <row r="570" spans="7:17">
      <c r="G570" s="29"/>
      <c r="H570" s="29"/>
      <c r="I570" s="29"/>
      <c r="J570" s="29"/>
      <c r="K570" s="29"/>
      <c r="L570" s="29"/>
      <c r="M570" s="29"/>
      <c r="N570" s="29"/>
      <c r="O570" s="29"/>
      <c r="P570" s="29"/>
      <c r="Q570" s="29"/>
    </row>
    <row r="571" spans="7:17">
      <c r="G571" s="29"/>
      <c r="H571" s="29"/>
      <c r="I571" s="29"/>
      <c r="J571" s="29"/>
      <c r="K571" s="29"/>
      <c r="L571" s="29"/>
      <c r="M571" s="29"/>
      <c r="N571" s="29"/>
      <c r="O571" s="29"/>
      <c r="P571" s="29"/>
      <c r="Q571" s="29"/>
    </row>
    <row r="572" spans="7:17">
      <c r="G572" s="29"/>
      <c r="H572" s="29"/>
      <c r="I572" s="29"/>
      <c r="J572" s="29"/>
      <c r="K572" s="29"/>
      <c r="L572" s="29"/>
      <c r="M572" s="29"/>
      <c r="N572" s="29"/>
      <c r="O572" s="29"/>
      <c r="P572" s="29"/>
      <c r="Q572" s="29"/>
    </row>
    <row r="573" spans="7:17">
      <c r="G573" s="29"/>
      <c r="H573" s="29"/>
      <c r="I573" s="29"/>
      <c r="J573" s="29"/>
      <c r="K573" s="29"/>
      <c r="L573" s="29"/>
      <c r="M573" s="29"/>
      <c r="N573" s="29"/>
      <c r="O573" s="29"/>
      <c r="P573" s="29"/>
      <c r="Q573" s="29"/>
    </row>
    <row r="574" spans="7:17">
      <c r="G574" s="29"/>
      <c r="H574" s="29"/>
      <c r="I574" s="29"/>
      <c r="J574" s="29"/>
      <c r="K574" s="29"/>
      <c r="L574" s="29"/>
      <c r="M574" s="29"/>
      <c r="N574" s="29"/>
      <c r="O574" s="29"/>
      <c r="P574" s="29"/>
      <c r="Q574" s="29"/>
    </row>
    <row r="575" spans="7:17">
      <c r="G575" s="29"/>
      <c r="H575" s="29"/>
      <c r="I575" s="29"/>
      <c r="J575" s="29"/>
      <c r="K575" s="29"/>
      <c r="L575" s="29"/>
      <c r="M575" s="29"/>
      <c r="N575" s="29"/>
      <c r="O575" s="29"/>
      <c r="P575" s="29"/>
      <c r="Q575" s="29"/>
    </row>
    <row r="576" spans="7:17">
      <c r="G576" s="29"/>
      <c r="H576" s="29"/>
      <c r="I576" s="29"/>
      <c r="J576" s="29"/>
      <c r="K576" s="29"/>
      <c r="L576" s="29"/>
      <c r="M576" s="29"/>
      <c r="N576" s="29"/>
      <c r="O576" s="29"/>
      <c r="P576" s="29"/>
      <c r="Q576" s="29"/>
    </row>
    <row r="577" spans="7:17">
      <c r="G577" s="29"/>
      <c r="H577" s="29"/>
      <c r="I577" s="29"/>
      <c r="J577" s="29"/>
      <c r="K577" s="29"/>
      <c r="L577" s="29"/>
      <c r="M577" s="29"/>
      <c r="N577" s="29"/>
      <c r="O577" s="29"/>
      <c r="P577" s="29"/>
      <c r="Q577" s="29"/>
    </row>
    <row r="578" spans="7:17">
      <c r="G578" s="29"/>
      <c r="H578" s="29"/>
      <c r="I578" s="29"/>
      <c r="J578" s="29"/>
      <c r="K578" s="29"/>
      <c r="L578" s="29"/>
      <c r="M578" s="29"/>
      <c r="N578" s="29"/>
      <c r="O578" s="29"/>
      <c r="P578" s="29"/>
      <c r="Q578" s="29"/>
    </row>
    <row r="579" spans="7:17">
      <c r="G579" s="29"/>
      <c r="H579" s="29"/>
      <c r="I579" s="29"/>
      <c r="J579" s="29"/>
      <c r="K579" s="29"/>
      <c r="L579" s="29"/>
      <c r="M579" s="29"/>
      <c r="N579" s="29"/>
      <c r="O579" s="29"/>
      <c r="P579" s="29"/>
      <c r="Q579" s="29"/>
    </row>
    <row r="580" spans="7:17">
      <c r="G580" s="29"/>
      <c r="H580" s="29"/>
      <c r="I580" s="29"/>
      <c r="J580" s="29"/>
      <c r="K580" s="29"/>
      <c r="L580" s="29"/>
      <c r="M580" s="29"/>
      <c r="N580" s="29"/>
      <c r="O580" s="29"/>
      <c r="P580" s="29"/>
      <c r="Q580" s="29"/>
    </row>
    <row r="581" spans="7:17">
      <c r="G581" s="29"/>
      <c r="H581" s="29"/>
      <c r="I581" s="29"/>
      <c r="J581" s="29"/>
      <c r="K581" s="29"/>
      <c r="L581" s="29"/>
      <c r="M581" s="29"/>
      <c r="N581" s="29"/>
      <c r="O581" s="29"/>
      <c r="P581" s="29"/>
      <c r="Q581" s="29"/>
    </row>
    <row r="582" spans="7:17">
      <c r="G582" s="29"/>
      <c r="H582" s="29"/>
      <c r="I582" s="29"/>
      <c r="J582" s="29"/>
      <c r="K582" s="29"/>
      <c r="L582" s="29"/>
      <c r="M582" s="29"/>
      <c r="N582" s="29"/>
      <c r="O582" s="29"/>
      <c r="P582" s="29"/>
      <c r="Q582" s="29"/>
    </row>
    <row r="583" spans="7:17">
      <c r="G583" s="29"/>
      <c r="H583" s="29"/>
      <c r="I583" s="29"/>
      <c r="J583" s="29"/>
      <c r="K583" s="29"/>
      <c r="L583" s="29"/>
      <c r="M583" s="29"/>
      <c r="N583" s="29"/>
      <c r="O583" s="29"/>
      <c r="P583" s="29"/>
      <c r="Q583" s="29"/>
    </row>
    <row r="584" spans="7:17">
      <c r="G584" s="29"/>
      <c r="H584" s="29"/>
      <c r="I584" s="29"/>
      <c r="J584" s="29"/>
      <c r="K584" s="29"/>
      <c r="L584" s="29"/>
      <c r="M584" s="29"/>
      <c r="N584" s="29"/>
      <c r="O584" s="29"/>
      <c r="P584" s="29"/>
      <c r="Q584" s="29"/>
    </row>
    <row r="585" spans="7:17">
      <c r="G585" s="29"/>
      <c r="H585" s="29"/>
      <c r="I585" s="29"/>
      <c r="J585" s="29"/>
      <c r="K585" s="29"/>
      <c r="L585" s="29"/>
      <c r="M585" s="29"/>
      <c r="N585" s="29"/>
      <c r="O585" s="29"/>
      <c r="P585" s="29"/>
      <c r="Q585" s="29"/>
    </row>
    <row r="586" spans="7:17">
      <c r="G586" s="29"/>
      <c r="H586" s="29"/>
      <c r="I586" s="29"/>
      <c r="J586" s="29"/>
      <c r="K586" s="29"/>
      <c r="L586" s="29"/>
      <c r="M586" s="29"/>
      <c r="N586" s="29"/>
      <c r="O586" s="29"/>
      <c r="P586" s="29"/>
      <c r="Q586" s="29"/>
    </row>
    <row r="587" spans="7:17">
      <c r="G587" s="29"/>
      <c r="H587" s="29"/>
      <c r="I587" s="29"/>
      <c r="J587" s="29"/>
      <c r="K587" s="29"/>
      <c r="L587" s="29"/>
      <c r="M587" s="29"/>
      <c r="N587" s="29"/>
      <c r="O587" s="29"/>
      <c r="P587" s="29"/>
      <c r="Q587" s="29"/>
    </row>
    <row r="588" spans="7:17">
      <c r="G588" s="29"/>
      <c r="H588" s="29"/>
      <c r="I588" s="29"/>
      <c r="J588" s="29"/>
      <c r="K588" s="29"/>
      <c r="L588" s="29"/>
      <c r="M588" s="29"/>
      <c r="N588" s="29"/>
      <c r="O588" s="29"/>
      <c r="P588" s="29"/>
      <c r="Q588" s="29"/>
    </row>
    <row r="589" spans="7:17">
      <c r="G589" s="29"/>
      <c r="H589" s="29"/>
      <c r="I589" s="29"/>
      <c r="J589" s="29"/>
      <c r="K589" s="29"/>
      <c r="L589" s="29"/>
      <c r="M589" s="29"/>
      <c r="N589" s="29"/>
      <c r="O589" s="29"/>
      <c r="P589" s="29"/>
      <c r="Q589" s="29"/>
    </row>
    <row r="590" spans="7:17">
      <c r="G590" s="29"/>
      <c r="H590" s="29"/>
      <c r="I590" s="29"/>
      <c r="J590" s="29"/>
      <c r="K590" s="29"/>
      <c r="L590" s="29"/>
      <c r="M590" s="29"/>
      <c r="N590" s="29"/>
      <c r="O590" s="29"/>
      <c r="P590" s="29"/>
      <c r="Q590" s="29"/>
    </row>
    <row r="591" spans="7:17">
      <c r="G591" s="29"/>
      <c r="H591" s="29"/>
      <c r="I591" s="29"/>
      <c r="J591" s="29"/>
      <c r="K591" s="29"/>
      <c r="L591" s="29"/>
      <c r="M591" s="29"/>
      <c r="N591" s="29"/>
      <c r="O591" s="29"/>
      <c r="P591" s="29"/>
      <c r="Q591" s="29"/>
    </row>
    <row r="592" spans="7:17">
      <c r="G592" s="29"/>
      <c r="H592" s="29"/>
      <c r="I592" s="29"/>
      <c r="J592" s="29"/>
      <c r="K592" s="29"/>
      <c r="L592" s="29"/>
      <c r="M592" s="29"/>
      <c r="N592" s="29"/>
      <c r="O592" s="29"/>
      <c r="P592" s="29"/>
      <c r="Q592" s="29"/>
    </row>
    <row r="593" spans="7:17">
      <c r="G593" s="29"/>
      <c r="H593" s="29"/>
      <c r="I593" s="29"/>
      <c r="J593" s="29"/>
      <c r="K593" s="29"/>
      <c r="L593" s="29"/>
      <c r="M593" s="29"/>
      <c r="N593" s="29"/>
      <c r="O593" s="29"/>
      <c r="P593" s="29"/>
      <c r="Q593" s="29"/>
    </row>
    <row r="594" spans="7:17">
      <c r="G594" s="29"/>
      <c r="H594" s="29"/>
      <c r="I594" s="29"/>
      <c r="J594" s="29"/>
      <c r="K594" s="29"/>
      <c r="L594" s="29"/>
      <c r="M594" s="29"/>
      <c r="N594" s="29"/>
      <c r="O594" s="29"/>
      <c r="P594" s="29"/>
      <c r="Q594" s="29"/>
    </row>
    <row r="595" spans="7:17">
      <c r="G595" s="29"/>
      <c r="H595" s="29"/>
      <c r="I595" s="29"/>
      <c r="J595" s="29"/>
      <c r="K595" s="29"/>
      <c r="L595" s="29"/>
      <c r="M595" s="29"/>
      <c r="N595" s="29"/>
      <c r="O595" s="29"/>
      <c r="P595" s="29"/>
      <c r="Q595" s="29"/>
    </row>
    <row r="596" spans="7:17">
      <c r="G596" s="29"/>
      <c r="H596" s="29"/>
      <c r="I596" s="29"/>
      <c r="J596" s="29"/>
      <c r="K596" s="29"/>
      <c r="L596" s="29"/>
      <c r="M596" s="29"/>
      <c r="N596" s="29"/>
      <c r="O596" s="29"/>
      <c r="P596" s="29"/>
      <c r="Q596" s="29"/>
    </row>
    <row r="597" spans="7:17">
      <c r="G597" s="29"/>
      <c r="H597" s="29"/>
      <c r="I597" s="29"/>
      <c r="J597" s="29"/>
      <c r="K597" s="29"/>
      <c r="L597" s="29"/>
      <c r="M597" s="29"/>
      <c r="N597" s="29"/>
      <c r="O597" s="29"/>
      <c r="P597" s="29"/>
      <c r="Q597" s="29"/>
    </row>
    <row r="598" spans="7:17">
      <c r="G598" s="29"/>
      <c r="H598" s="29"/>
      <c r="I598" s="29"/>
      <c r="J598" s="29"/>
      <c r="K598" s="29"/>
      <c r="L598" s="29"/>
      <c r="M598" s="29"/>
      <c r="N598" s="29"/>
      <c r="O598" s="29"/>
      <c r="P598" s="29"/>
      <c r="Q598" s="29"/>
    </row>
    <row r="599" spans="7:17">
      <c r="G599" s="29"/>
      <c r="H599" s="29"/>
      <c r="I599" s="29"/>
      <c r="J599" s="29"/>
      <c r="K599" s="29"/>
      <c r="L599" s="29"/>
      <c r="M599" s="29"/>
      <c r="N599" s="29"/>
      <c r="O599" s="29"/>
      <c r="P599" s="29"/>
      <c r="Q599" s="29"/>
    </row>
    <row r="600" spans="7:17">
      <c r="G600" s="29"/>
      <c r="H600" s="29"/>
      <c r="I600" s="29"/>
      <c r="J600" s="29"/>
      <c r="K600" s="29"/>
      <c r="L600" s="29"/>
      <c r="M600" s="29"/>
      <c r="N600" s="29"/>
      <c r="O600" s="29"/>
      <c r="P600" s="29"/>
      <c r="Q600" s="29"/>
    </row>
    <row r="601" spans="7:17">
      <c r="G601" s="29"/>
      <c r="H601" s="29"/>
      <c r="I601" s="29"/>
      <c r="J601" s="29"/>
      <c r="K601" s="29"/>
      <c r="L601" s="29"/>
      <c r="M601" s="29"/>
      <c r="N601" s="29"/>
      <c r="O601" s="29"/>
      <c r="P601" s="29"/>
      <c r="Q601" s="29"/>
    </row>
    <row r="602" spans="7:17">
      <c r="G602" s="29"/>
      <c r="H602" s="29"/>
      <c r="I602" s="29"/>
      <c r="J602" s="29"/>
      <c r="K602" s="29"/>
      <c r="L602" s="29"/>
      <c r="M602" s="29"/>
      <c r="N602" s="29"/>
      <c r="O602" s="29"/>
      <c r="P602" s="29"/>
      <c r="Q602" s="29"/>
    </row>
    <row r="603" spans="7:17">
      <c r="G603" s="29"/>
      <c r="H603" s="29"/>
      <c r="I603" s="29"/>
      <c r="J603" s="29"/>
      <c r="K603" s="29"/>
      <c r="L603" s="29"/>
      <c r="M603" s="29"/>
      <c r="N603" s="29"/>
      <c r="O603" s="29"/>
      <c r="P603" s="29"/>
      <c r="Q603" s="29"/>
    </row>
    <row r="604" spans="7:17">
      <c r="G604" s="29"/>
      <c r="H604" s="29"/>
      <c r="I604" s="29"/>
      <c r="J604" s="29"/>
      <c r="K604" s="29"/>
      <c r="L604" s="29"/>
      <c r="M604" s="29"/>
      <c r="N604" s="29"/>
      <c r="O604" s="29"/>
      <c r="P604" s="29"/>
      <c r="Q604" s="29"/>
    </row>
    <row r="605" spans="7:17">
      <c r="G605" s="29"/>
      <c r="H605" s="29"/>
      <c r="I605" s="29"/>
      <c r="J605" s="29"/>
      <c r="K605" s="29"/>
      <c r="L605" s="29"/>
      <c r="M605" s="29"/>
      <c r="N605" s="29"/>
      <c r="O605" s="29"/>
      <c r="P605" s="29"/>
      <c r="Q605" s="29"/>
    </row>
    <row r="606" spans="7:17">
      <c r="G606" s="29"/>
      <c r="H606" s="29"/>
      <c r="I606" s="29"/>
      <c r="J606" s="29"/>
      <c r="K606" s="29"/>
      <c r="L606" s="29"/>
      <c r="M606" s="29"/>
      <c r="N606" s="29"/>
      <c r="O606" s="29"/>
      <c r="P606" s="29"/>
      <c r="Q606" s="29"/>
    </row>
    <row r="607" spans="7:17">
      <c r="G607" s="29"/>
      <c r="H607" s="29"/>
      <c r="I607" s="29"/>
      <c r="J607" s="29"/>
      <c r="K607" s="29"/>
      <c r="L607" s="29"/>
      <c r="M607" s="29"/>
      <c r="N607" s="29"/>
      <c r="O607" s="29"/>
      <c r="P607" s="29"/>
      <c r="Q607" s="29"/>
    </row>
    <row r="608" spans="7:17">
      <c r="G608" s="29"/>
      <c r="H608" s="29"/>
      <c r="I608" s="29"/>
      <c r="J608" s="29"/>
      <c r="K608" s="29"/>
      <c r="L608" s="29"/>
      <c r="M608" s="29"/>
      <c r="N608" s="29"/>
      <c r="O608" s="29"/>
      <c r="P608" s="29"/>
      <c r="Q608" s="29"/>
    </row>
    <row r="609" spans="7:17">
      <c r="G609" s="29"/>
      <c r="H609" s="29"/>
      <c r="I609" s="29"/>
      <c r="J609" s="29"/>
      <c r="K609" s="29"/>
      <c r="L609" s="29"/>
      <c r="M609" s="29"/>
      <c r="N609" s="29"/>
      <c r="O609" s="29"/>
      <c r="P609" s="29"/>
      <c r="Q609" s="29"/>
    </row>
    <row r="610" spans="7:17">
      <c r="G610" s="29"/>
      <c r="H610" s="29"/>
      <c r="I610" s="29"/>
      <c r="J610" s="29"/>
      <c r="K610" s="29"/>
      <c r="L610" s="29"/>
      <c r="M610" s="29"/>
      <c r="N610" s="29"/>
      <c r="O610" s="29"/>
      <c r="P610" s="29"/>
      <c r="Q610" s="29"/>
    </row>
    <row r="611" spans="7:17">
      <c r="G611" s="29"/>
      <c r="H611" s="29"/>
      <c r="I611" s="29"/>
      <c r="J611" s="29"/>
      <c r="K611" s="29"/>
      <c r="L611" s="29"/>
      <c r="M611" s="29"/>
      <c r="N611" s="29"/>
      <c r="O611" s="29"/>
      <c r="P611" s="29"/>
      <c r="Q611" s="29"/>
    </row>
    <row r="612" spans="7:17">
      <c r="G612" s="29"/>
      <c r="H612" s="29"/>
      <c r="I612" s="29"/>
      <c r="J612" s="29"/>
      <c r="K612" s="29"/>
      <c r="L612" s="29"/>
      <c r="M612" s="29"/>
      <c r="N612" s="29"/>
      <c r="O612" s="29"/>
      <c r="P612" s="29"/>
      <c r="Q612" s="29"/>
    </row>
    <row r="613" spans="7:17">
      <c r="G613" s="29"/>
      <c r="H613" s="29"/>
      <c r="I613" s="29"/>
      <c r="J613" s="29"/>
      <c r="K613" s="29"/>
      <c r="L613" s="29"/>
      <c r="M613" s="29"/>
      <c r="N613" s="29"/>
      <c r="O613" s="29"/>
      <c r="P613" s="29"/>
      <c r="Q613" s="29"/>
    </row>
    <row r="614" spans="7:17">
      <c r="G614" s="29"/>
      <c r="H614" s="29"/>
      <c r="I614" s="29"/>
      <c r="J614" s="29"/>
      <c r="K614" s="29"/>
      <c r="L614" s="29"/>
      <c r="M614" s="29"/>
      <c r="N614" s="29"/>
      <c r="O614" s="29"/>
      <c r="P614" s="29"/>
      <c r="Q614" s="29"/>
    </row>
    <row r="615" spans="7:17">
      <c r="G615" s="29"/>
      <c r="H615" s="29"/>
      <c r="I615" s="29"/>
      <c r="J615" s="29"/>
      <c r="K615" s="29"/>
      <c r="L615" s="29"/>
      <c r="M615" s="29"/>
      <c r="N615" s="29"/>
      <c r="O615" s="29"/>
      <c r="P615" s="29"/>
      <c r="Q615" s="29"/>
    </row>
    <row r="616" spans="7:17">
      <c r="G616" s="29"/>
      <c r="H616" s="29"/>
      <c r="I616" s="29"/>
      <c r="J616" s="29"/>
      <c r="K616" s="29"/>
      <c r="L616" s="29"/>
      <c r="M616" s="29"/>
      <c r="N616" s="29"/>
      <c r="O616" s="29"/>
      <c r="P616" s="29"/>
      <c r="Q616" s="29"/>
    </row>
    <row r="617" spans="7:17">
      <c r="G617" s="29"/>
      <c r="H617" s="29"/>
      <c r="I617" s="29"/>
      <c r="J617" s="29"/>
      <c r="K617" s="29"/>
      <c r="L617" s="29"/>
      <c r="M617" s="29"/>
      <c r="N617" s="29"/>
      <c r="O617" s="29"/>
      <c r="P617" s="29"/>
      <c r="Q617" s="29"/>
    </row>
    <row r="618" spans="7:17">
      <c r="G618" s="29"/>
      <c r="H618" s="29"/>
      <c r="I618" s="29"/>
      <c r="J618" s="29"/>
      <c r="K618" s="29"/>
      <c r="L618" s="29"/>
      <c r="M618" s="29"/>
      <c r="N618" s="29"/>
      <c r="O618" s="29"/>
      <c r="P618" s="29"/>
      <c r="Q618" s="29"/>
    </row>
    <row r="619" spans="7:17">
      <c r="G619" s="29"/>
      <c r="H619" s="29"/>
      <c r="I619" s="29"/>
      <c r="J619" s="29"/>
      <c r="K619" s="29"/>
      <c r="L619" s="29"/>
      <c r="M619" s="29"/>
      <c r="N619" s="29"/>
      <c r="O619" s="29"/>
      <c r="P619" s="29"/>
      <c r="Q619" s="29"/>
    </row>
    <row r="620" spans="7:17">
      <c r="G620" s="29"/>
      <c r="H620" s="29"/>
      <c r="I620" s="29"/>
      <c r="J620" s="29"/>
      <c r="K620" s="29"/>
      <c r="L620" s="29"/>
      <c r="M620" s="29"/>
      <c r="N620" s="29"/>
      <c r="O620" s="29"/>
      <c r="P620" s="29"/>
      <c r="Q620" s="29"/>
    </row>
    <row r="621" spans="7:17">
      <c r="G621" s="29"/>
      <c r="H621" s="29"/>
      <c r="I621" s="29"/>
      <c r="J621" s="29"/>
      <c r="K621" s="29"/>
      <c r="L621" s="29"/>
      <c r="M621" s="29"/>
      <c r="N621" s="29"/>
      <c r="O621" s="29"/>
      <c r="P621" s="29"/>
      <c r="Q621" s="29"/>
    </row>
    <row r="622" spans="7:17">
      <c r="G622" s="29"/>
      <c r="H622" s="29"/>
      <c r="I622" s="29"/>
      <c r="J622" s="29"/>
      <c r="K622" s="29"/>
      <c r="L622" s="29"/>
      <c r="M622" s="29"/>
      <c r="N622" s="29"/>
      <c r="O622" s="29"/>
      <c r="P622" s="29"/>
      <c r="Q622" s="29"/>
    </row>
    <row r="623" spans="7:17">
      <c r="G623" s="29"/>
      <c r="H623" s="29"/>
      <c r="I623" s="29"/>
      <c r="J623" s="29"/>
      <c r="K623" s="29"/>
      <c r="L623" s="29"/>
      <c r="M623" s="29"/>
      <c r="N623" s="29"/>
      <c r="O623" s="29"/>
      <c r="P623" s="29"/>
      <c r="Q623" s="29"/>
    </row>
    <row r="624" spans="7:17">
      <c r="G624" s="29"/>
      <c r="H624" s="29"/>
      <c r="I624" s="29"/>
      <c r="J624" s="29"/>
      <c r="K624" s="29"/>
      <c r="L624" s="29"/>
      <c r="M624" s="29"/>
      <c r="N624" s="29"/>
      <c r="O624" s="29"/>
      <c r="P624" s="29"/>
      <c r="Q624" s="29"/>
    </row>
    <row r="625" spans="7:17">
      <c r="G625" s="29"/>
      <c r="H625" s="29"/>
      <c r="I625" s="29"/>
      <c r="J625" s="29"/>
      <c r="K625" s="29"/>
      <c r="L625" s="29"/>
      <c r="M625" s="29"/>
      <c r="N625" s="29"/>
      <c r="O625" s="29"/>
      <c r="P625" s="29"/>
      <c r="Q625" s="29"/>
    </row>
    <row r="626" spans="7:17">
      <c r="G626" s="29"/>
      <c r="H626" s="29"/>
      <c r="I626" s="29"/>
      <c r="J626" s="29"/>
      <c r="K626" s="29"/>
      <c r="L626" s="29"/>
      <c r="M626" s="29"/>
      <c r="N626" s="29"/>
      <c r="O626" s="29"/>
      <c r="P626" s="29"/>
      <c r="Q626" s="29"/>
    </row>
    <row r="627" spans="7:17">
      <c r="G627" s="29"/>
      <c r="H627" s="29"/>
      <c r="I627" s="29"/>
      <c r="J627" s="29"/>
      <c r="K627" s="29"/>
      <c r="L627" s="29"/>
      <c r="M627" s="29"/>
      <c r="N627" s="29"/>
      <c r="O627" s="29"/>
      <c r="P627" s="29"/>
      <c r="Q627" s="29"/>
    </row>
    <row r="628" spans="7:17">
      <c r="G628" s="29"/>
      <c r="H628" s="29"/>
      <c r="I628" s="29"/>
      <c r="J628" s="29"/>
      <c r="K628" s="29"/>
      <c r="L628" s="29"/>
      <c r="M628" s="29"/>
      <c r="N628" s="29"/>
      <c r="O628" s="29"/>
      <c r="P628" s="29"/>
      <c r="Q628" s="29"/>
    </row>
    <row r="629" spans="7:17">
      <c r="G629" s="29"/>
      <c r="H629" s="29"/>
      <c r="I629" s="29"/>
      <c r="J629" s="29"/>
      <c r="K629" s="29"/>
      <c r="L629" s="29"/>
      <c r="M629" s="29"/>
      <c r="N629" s="29"/>
      <c r="O629" s="29"/>
      <c r="P629" s="29"/>
      <c r="Q629" s="29"/>
    </row>
    <row r="630" spans="7:17">
      <c r="G630" s="29"/>
      <c r="H630" s="29"/>
      <c r="I630" s="29"/>
      <c r="J630" s="29"/>
      <c r="K630" s="29"/>
      <c r="L630" s="29"/>
      <c r="M630" s="29"/>
      <c r="N630" s="29"/>
      <c r="O630" s="29"/>
      <c r="P630" s="29"/>
      <c r="Q630" s="29"/>
    </row>
    <row r="631" spans="7:17">
      <c r="G631" s="29"/>
      <c r="H631" s="29"/>
      <c r="I631" s="29"/>
      <c r="J631" s="29"/>
      <c r="K631" s="29"/>
      <c r="L631" s="29"/>
      <c r="M631" s="29"/>
      <c r="N631" s="29"/>
      <c r="O631" s="29"/>
      <c r="P631" s="29"/>
      <c r="Q631" s="29"/>
    </row>
    <row r="632" spans="7:17">
      <c r="G632" s="29"/>
      <c r="H632" s="29"/>
      <c r="I632" s="29"/>
      <c r="J632" s="29"/>
      <c r="K632" s="29"/>
      <c r="L632" s="29"/>
      <c r="M632" s="29"/>
      <c r="N632" s="29"/>
      <c r="O632" s="29"/>
      <c r="P632" s="29"/>
      <c r="Q632" s="29"/>
    </row>
    <row r="633" spans="7:17">
      <c r="G633" s="29"/>
      <c r="H633" s="29"/>
      <c r="I633" s="29"/>
      <c r="J633" s="29"/>
      <c r="K633" s="29"/>
      <c r="L633" s="29"/>
      <c r="M633" s="29"/>
      <c r="N633" s="29"/>
      <c r="O633" s="29"/>
      <c r="P633" s="29"/>
      <c r="Q633" s="29"/>
    </row>
    <row r="634" spans="7:17">
      <c r="G634" s="29"/>
      <c r="H634" s="29"/>
      <c r="I634" s="29"/>
      <c r="J634" s="29"/>
      <c r="K634" s="29"/>
      <c r="L634" s="29"/>
      <c r="M634" s="29"/>
      <c r="N634" s="29"/>
      <c r="O634" s="29"/>
      <c r="P634" s="29"/>
      <c r="Q634" s="29"/>
    </row>
    <row r="635" spans="7:17">
      <c r="G635" s="29"/>
      <c r="H635" s="29"/>
      <c r="I635" s="29"/>
      <c r="J635" s="29"/>
      <c r="K635" s="29"/>
      <c r="L635" s="29"/>
      <c r="M635" s="29"/>
      <c r="N635" s="29"/>
      <c r="O635" s="29"/>
      <c r="P635" s="29"/>
      <c r="Q635" s="29"/>
    </row>
    <row r="636" spans="7:17">
      <c r="G636" s="29"/>
      <c r="H636" s="29"/>
      <c r="I636" s="29"/>
      <c r="J636" s="29"/>
      <c r="K636" s="29"/>
      <c r="L636" s="29"/>
      <c r="M636" s="29"/>
      <c r="N636" s="29"/>
      <c r="O636" s="29"/>
      <c r="P636" s="29"/>
      <c r="Q636" s="29"/>
    </row>
    <row r="637" spans="7:17">
      <c r="G637" s="29"/>
      <c r="H637" s="29"/>
      <c r="I637" s="29"/>
      <c r="J637" s="29"/>
      <c r="K637" s="29"/>
      <c r="L637" s="29"/>
      <c r="M637" s="29"/>
      <c r="N637" s="29"/>
      <c r="O637" s="29"/>
      <c r="P637" s="29"/>
      <c r="Q637" s="29"/>
    </row>
    <row r="638" spans="7:17">
      <c r="G638" s="29"/>
      <c r="H638" s="29"/>
      <c r="I638" s="29"/>
      <c r="J638" s="29"/>
      <c r="K638" s="29"/>
      <c r="L638" s="29"/>
      <c r="M638" s="29"/>
      <c r="N638" s="29"/>
      <c r="O638" s="29"/>
      <c r="P638" s="29"/>
      <c r="Q638" s="29"/>
    </row>
    <row r="639" spans="7:17">
      <c r="G639" s="29"/>
      <c r="H639" s="29"/>
      <c r="I639" s="29"/>
      <c r="J639" s="29"/>
      <c r="K639" s="29"/>
      <c r="L639" s="29"/>
      <c r="M639" s="29"/>
      <c r="N639" s="29"/>
      <c r="O639" s="29"/>
      <c r="P639" s="29"/>
      <c r="Q639" s="29"/>
    </row>
    <row r="640" spans="7:17">
      <c r="G640" s="29"/>
      <c r="H640" s="29"/>
      <c r="I640" s="29"/>
      <c r="J640" s="29"/>
      <c r="K640" s="29"/>
      <c r="L640" s="29"/>
      <c r="M640" s="29"/>
      <c r="N640" s="29"/>
      <c r="O640" s="29"/>
      <c r="P640" s="29"/>
      <c r="Q640" s="29"/>
    </row>
    <row r="641" spans="7:17">
      <c r="G641" s="29"/>
      <c r="H641" s="29"/>
      <c r="I641" s="29"/>
      <c r="J641" s="29"/>
      <c r="K641" s="29"/>
      <c r="L641" s="29"/>
      <c r="M641" s="29"/>
      <c r="N641" s="29"/>
      <c r="O641" s="29"/>
      <c r="P641" s="29"/>
      <c r="Q641" s="29"/>
    </row>
    <row r="642" spans="7:17">
      <c r="G642" s="29"/>
      <c r="H642" s="29"/>
      <c r="I642" s="29"/>
      <c r="J642" s="29"/>
      <c r="K642" s="29"/>
      <c r="L642" s="29"/>
      <c r="M642" s="29"/>
      <c r="N642" s="29"/>
      <c r="O642" s="29"/>
      <c r="P642" s="29"/>
      <c r="Q642" s="29"/>
    </row>
    <row r="643" spans="7:17">
      <c r="G643" s="29"/>
      <c r="H643" s="29"/>
      <c r="I643" s="29"/>
      <c r="J643" s="29"/>
      <c r="K643" s="29"/>
      <c r="L643" s="29"/>
      <c r="M643" s="29"/>
      <c r="N643" s="29"/>
      <c r="O643" s="29"/>
      <c r="P643" s="29"/>
      <c r="Q643" s="29"/>
    </row>
    <row r="644" spans="7:17">
      <c r="G644" s="29"/>
      <c r="H644" s="29"/>
      <c r="I644" s="29"/>
      <c r="J644" s="29"/>
      <c r="K644" s="29"/>
      <c r="L644" s="29"/>
      <c r="M644" s="29"/>
      <c r="N644" s="29"/>
      <c r="O644" s="29"/>
      <c r="P644" s="29"/>
      <c r="Q644" s="29"/>
    </row>
    <row r="645" spans="7:17">
      <c r="G645" s="29"/>
      <c r="H645" s="29"/>
      <c r="I645" s="29"/>
      <c r="J645" s="29"/>
      <c r="K645" s="29"/>
      <c r="L645" s="29"/>
      <c r="M645" s="29"/>
      <c r="N645" s="29"/>
      <c r="O645" s="29"/>
      <c r="P645" s="29"/>
      <c r="Q645" s="29"/>
    </row>
    <row r="646" spans="7:17">
      <c r="G646" s="29"/>
      <c r="H646" s="29"/>
      <c r="I646" s="29"/>
      <c r="J646" s="29"/>
      <c r="K646" s="29"/>
      <c r="L646" s="29"/>
      <c r="M646" s="29"/>
      <c r="N646" s="29"/>
      <c r="O646" s="29"/>
      <c r="P646" s="29"/>
      <c r="Q646" s="29"/>
    </row>
    <row r="647" spans="7:17">
      <c r="G647" s="29"/>
      <c r="H647" s="29"/>
      <c r="I647" s="29"/>
      <c r="J647" s="29"/>
      <c r="K647" s="29"/>
      <c r="L647" s="29"/>
      <c r="M647" s="29"/>
      <c r="N647" s="29"/>
      <c r="O647" s="29"/>
      <c r="P647" s="29"/>
      <c r="Q647" s="29"/>
    </row>
    <row r="648" spans="7:17">
      <c r="G648" s="29"/>
      <c r="H648" s="29"/>
      <c r="I648" s="29"/>
      <c r="J648" s="29"/>
      <c r="K648" s="29"/>
      <c r="L648" s="29"/>
      <c r="M648" s="29"/>
      <c r="N648" s="29"/>
      <c r="O648" s="29"/>
      <c r="P648" s="29"/>
      <c r="Q648" s="29"/>
    </row>
    <row r="649" spans="7:17">
      <c r="G649" s="29"/>
      <c r="H649" s="29"/>
      <c r="I649" s="29"/>
      <c r="J649" s="29"/>
      <c r="K649" s="29"/>
      <c r="L649" s="29"/>
      <c r="M649" s="29"/>
      <c r="N649" s="29"/>
      <c r="O649" s="29"/>
      <c r="P649" s="29"/>
      <c r="Q649" s="29"/>
    </row>
    <row r="650" spans="7:17">
      <c r="G650" s="29"/>
      <c r="H650" s="29"/>
      <c r="I650" s="29"/>
      <c r="J650" s="29"/>
      <c r="K650" s="29"/>
      <c r="L650" s="29"/>
      <c r="M650" s="29"/>
      <c r="N650" s="29"/>
      <c r="O650" s="29"/>
      <c r="P650" s="29"/>
      <c r="Q650" s="29"/>
    </row>
    <row r="651" spans="7:17">
      <c r="G651" s="29"/>
      <c r="H651" s="29"/>
      <c r="I651" s="29"/>
      <c r="J651" s="29"/>
      <c r="K651" s="29"/>
      <c r="L651" s="29"/>
      <c r="M651" s="29"/>
      <c r="N651" s="29"/>
      <c r="O651" s="29"/>
      <c r="P651" s="29"/>
      <c r="Q651" s="29"/>
    </row>
    <row r="652" spans="7:17">
      <c r="G652" s="29"/>
      <c r="H652" s="29"/>
      <c r="I652" s="29"/>
      <c r="J652" s="29"/>
      <c r="K652" s="29"/>
      <c r="L652" s="29"/>
      <c r="M652" s="29"/>
      <c r="N652" s="29"/>
      <c r="O652" s="29"/>
      <c r="P652" s="29"/>
      <c r="Q652" s="29"/>
    </row>
    <row r="653" spans="7:17">
      <c r="G653" s="29"/>
      <c r="H653" s="29"/>
      <c r="I653" s="29"/>
      <c r="J653" s="29"/>
      <c r="K653" s="29"/>
      <c r="L653" s="29"/>
      <c r="M653" s="29"/>
      <c r="N653" s="29"/>
      <c r="O653" s="29"/>
      <c r="P653" s="29"/>
      <c r="Q653" s="29"/>
    </row>
    <row r="654" spans="7:17">
      <c r="G654" s="29"/>
      <c r="H654" s="29"/>
      <c r="I654" s="29"/>
      <c r="J654" s="29"/>
      <c r="K654" s="29"/>
      <c r="L654" s="29"/>
      <c r="M654" s="29"/>
      <c r="N654" s="29"/>
      <c r="O654" s="29"/>
      <c r="P654" s="29"/>
      <c r="Q654" s="29"/>
    </row>
    <row r="655" spans="7:17">
      <c r="G655" s="29"/>
      <c r="H655" s="29"/>
      <c r="I655" s="29"/>
      <c r="J655" s="29"/>
      <c r="K655" s="29"/>
      <c r="L655" s="29"/>
      <c r="M655" s="29"/>
      <c r="N655" s="29"/>
      <c r="O655" s="29"/>
      <c r="P655" s="29"/>
      <c r="Q655" s="29"/>
    </row>
    <row r="656" spans="7:17">
      <c r="G656" s="29"/>
      <c r="H656" s="29"/>
      <c r="I656" s="29"/>
      <c r="J656" s="29"/>
      <c r="K656" s="29"/>
      <c r="L656" s="29"/>
      <c r="M656" s="29"/>
      <c r="N656" s="29"/>
      <c r="O656" s="29"/>
      <c r="P656" s="29"/>
      <c r="Q656" s="29"/>
    </row>
    <row r="657" spans="7:17">
      <c r="G657" s="29"/>
      <c r="H657" s="29"/>
      <c r="I657" s="29"/>
      <c r="J657" s="29"/>
      <c r="K657" s="29"/>
      <c r="L657" s="29"/>
      <c r="M657" s="29"/>
      <c r="N657" s="29"/>
      <c r="O657" s="29"/>
      <c r="P657" s="29"/>
      <c r="Q657" s="29"/>
    </row>
    <row r="658" spans="7:17">
      <c r="G658" s="29"/>
      <c r="H658" s="29"/>
      <c r="I658" s="29"/>
      <c r="J658" s="29"/>
      <c r="K658" s="29"/>
      <c r="L658" s="29"/>
      <c r="M658" s="29"/>
      <c r="N658" s="29"/>
      <c r="O658" s="29"/>
      <c r="P658" s="29"/>
      <c r="Q658" s="29"/>
    </row>
    <row r="659" spans="7:17">
      <c r="G659" s="29"/>
      <c r="H659" s="29"/>
      <c r="I659" s="29"/>
      <c r="J659" s="29"/>
      <c r="K659" s="29"/>
      <c r="L659" s="29"/>
      <c r="M659" s="29"/>
      <c r="N659" s="29"/>
      <c r="O659" s="29"/>
      <c r="P659" s="29"/>
      <c r="Q659" s="29"/>
    </row>
    <row r="660" spans="7:17">
      <c r="G660" s="29"/>
      <c r="H660" s="29"/>
      <c r="I660" s="29"/>
      <c r="J660" s="29"/>
      <c r="K660" s="29"/>
      <c r="L660" s="29"/>
      <c r="M660" s="29"/>
      <c r="N660" s="29"/>
      <c r="O660" s="29"/>
      <c r="P660" s="29"/>
      <c r="Q660" s="29"/>
    </row>
    <row r="661" spans="7:17">
      <c r="G661" s="29"/>
      <c r="H661" s="29"/>
      <c r="I661" s="29"/>
      <c r="J661" s="29"/>
      <c r="K661" s="29"/>
      <c r="L661" s="29"/>
      <c r="M661" s="29"/>
      <c r="N661" s="29"/>
      <c r="O661" s="29"/>
      <c r="P661" s="29"/>
      <c r="Q661" s="29"/>
    </row>
    <row r="662" spans="7:17">
      <c r="G662" s="29"/>
      <c r="H662" s="29"/>
      <c r="I662" s="29"/>
      <c r="J662" s="29"/>
      <c r="K662" s="29"/>
      <c r="L662" s="29"/>
      <c r="M662" s="29"/>
      <c r="N662" s="29"/>
      <c r="O662" s="29"/>
      <c r="P662" s="29"/>
      <c r="Q662" s="29"/>
    </row>
    <row r="663" spans="7:17">
      <c r="G663" s="29"/>
      <c r="H663" s="29"/>
      <c r="I663" s="29"/>
      <c r="J663" s="29"/>
      <c r="K663" s="29"/>
      <c r="L663" s="29"/>
      <c r="M663" s="29"/>
      <c r="N663" s="29"/>
      <c r="O663" s="29"/>
      <c r="P663" s="29"/>
      <c r="Q663" s="29"/>
    </row>
    <row r="664" spans="7:17">
      <c r="G664" s="29"/>
      <c r="H664" s="29"/>
      <c r="I664" s="29"/>
      <c r="J664" s="29"/>
      <c r="K664" s="29"/>
      <c r="L664" s="29"/>
      <c r="M664" s="29"/>
      <c r="N664" s="29"/>
      <c r="O664" s="29"/>
      <c r="P664" s="29"/>
      <c r="Q664" s="29"/>
    </row>
    <row r="665" spans="7:17">
      <c r="G665" s="29"/>
      <c r="H665" s="29"/>
      <c r="I665" s="29"/>
      <c r="J665" s="29"/>
      <c r="K665" s="29"/>
      <c r="L665" s="29"/>
      <c r="M665" s="29"/>
      <c r="N665" s="29"/>
      <c r="O665" s="29"/>
      <c r="P665" s="29"/>
      <c r="Q665" s="29"/>
    </row>
    <row r="666" spans="7:17">
      <c r="G666" s="29"/>
      <c r="H666" s="29"/>
      <c r="I666" s="29"/>
      <c r="J666" s="29"/>
      <c r="K666" s="29"/>
      <c r="L666" s="29"/>
      <c r="M666" s="29"/>
      <c r="N666" s="29"/>
      <c r="O666" s="29"/>
      <c r="P666" s="29"/>
      <c r="Q666" s="29"/>
    </row>
    <row r="667" spans="7:17">
      <c r="G667" s="29"/>
      <c r="H667" s="29"/>
      <c r="I667" s="29"/>
      <c r="J667" s="29"/>
      <c r="K667" s="29"/>
      <c r="L667" s="29"/>
      <c r="M667" s="29"/>
      <c r="N667" s="29"/>
      <c r="O667" s="29"/>
      <c r="P667" s="29"/>
      <c r="Q667" s="29"/>
    </row>
    <row r="668" spans="7:17">
      <c r="G668" s="29"/>
      <c r="H668" s="29"/>
      <c r="I668" s="29"/>
      <c r="J668" s="29"/>
      <c r="K668" s="29"/>
      <c r="L668" s="29"/>
      <c r="M668" s="29"/>
      <c r="N668" s="29"/>
      <c r="O668" s="29"/>
      <c r="P668" s="29"/>
      <c r="Q668" s="29"/>
    </row>
    <row r="669" spans="7:17">
      <c r="G669" s="29"/>
      <c r="H669" s="29"/>
      <c r="I669" s="29"/>
      <c r="J669" s="29"/>
      <c r="K669" s="29"/>
      <c r="L669" s="29"/>
      <c r="M669" s="29"/>
      <c r="N669" s="29"/>
      <c r="O669" s="29"/>
      <c r="P669" s="29"/>
      <c r="Q669" s="29"/>
    </row>
    <row r="670" spans="7:17">
      <c r="G670" s="29"/>
      <c r="H670" s="29"/>
      <c r="I670" s="29"/>
      <c r="J670" s="29"/>
      <c r="K670" s="29"/>
      <c r="L670" s="29"/>
      <c r="M670" s="29"/>
      <c r="N670" s="29"/>
      <c r="O670" s="29"/>
      <c r="P670" s="29"/>
      <c r="Q670" s="29"/>
    </row>
    <row r="671" spans="7:17">
      <c r="G671" s="29"/>
      <c r="H671" s="29"/>
      <c r="I671" s="29"/>
      <c r="J671" s="29"/>
      <c r="K671" s="29"/>
      <c r="L671" s="29"/>
      <c r="M671" s="29"/>
      <c r="N671" s="29"/>
      <c r="O671" s="29"/>
      <c r="P671" s="29"/>
      <c r="Q671" s="29"/>
    </row>
    <row r="672" spans="7:17">
      <c r="G672" s="29"/>
      <c r="H672" s="29"/>
      <c r="I672" s="29"/>
      <c r="J672" s="29"/>
      <c r="K672" s="29"/>
      <c r="L672" s="29"/>
      <c r="M672" s="29"/>
      <c r="N672" s="29"/>
      <c r="O672" s="29"/>
      <c r="P672" s="29"/>
      <c r="Q672" s="29"/>
    </row>
    <row r="673" spans="7:17">
      <c r="G673" s="29"/>
      <c r="H673" s="29"/>
      <c r="I673" s="29"/>
      <c r="J673" s="29"/>
      <c r="K673" s="29"/>
      <c r="L673" s="29"/>
      <c r="M673" s="29"/>
      <c r="N673" s="29"/>
      <c r="O673" s="29"/>
      <c r="P673" s="29"/>
      <c r="Q673" s="29"/>
    </row>
    <row r="674" spans="7:17">
      <c r="G674" s="29"/>
      <c r="H674" s="29"/>
      <c r="I674" s="29"/>
      <c r="J674" s="29"/>
      <c r="K674" s="29"/>
      <c r="L674" s="29"/>
      <c r="M674" s="29"/>
      <c r="N674" s="29"/>
      <c r="O674" s="29"/>
      <c r="P674" s="29"/>
      <c r="Q674" s="29"/>
    </row>
    <row r="675" spans="7:17">
      <c r="G675" s="29"/>
      <c r="H675" s="29"/>
      <c r="I675" s="29"/>
      <c r="J675" s="29"/>
      <c r="K675" s="29"/>
      <c r="L675" s="29"/>
      <c r="M675" s="29"/>
      <c r="N675" s="29"/>
      <c r="O675" s="29"/>
      <c r="P675" s="29"/>
      <c r="Q675" s="29"/>
    </row>
    <row r="676" spans="7:17">
      <c r="G676" s="29"/>
      <c r="H676" s="29"/>
      <c r="I676" s="29"/>
      <c r="J676" s="29"/>
      <c r="K676" s="29"/>
      <c r="L676" s="29"/>
      <c r="M676" s="29"/>
      <c r="N676" s="29"/>
      <c r="O676" s="29"/>
      <c r="P676" s="29"/>
      <c r="Q676" s="29"/>
    </row>
    <row r="677" spans="7:17">
      <c r="G677" s="29"/>
      <c r="H677" s="29"/>
      <c r="I677" s="29"/>
      <c r="J677" s="29"/>
      <c r="K677" s="29"/>
      <c r="L677" s="29"/>
      <c r="M677" s="29"/>
      <c r="N677" s="29"/>
      <c r="O677" s="29"/>
      <c r="P677" s="29"/>
      <c r="Q677" s="29"/>
    </row>
    <row r="678" spans="7:17">
      <c r="G678" s="29"/>
      <c r="H678" s="29"/>
      <c r="I678" s="29"/>
      <c r="J678" s="29"/>
      <c r="K678" s="29"/>
      <c r="L678" s="29"/>
      <c r="M678" s="29"/>
      <c r="N678" s="29"/>
      <c r="O678" s="29"/>
      <c r="P678" s="29"/>
      <c r="Q678" s="29"/>
    </row>
    <row r="679" spans="7:17">
      <c r="G679" s="29"/>
      <c r="H679" s="29"/>
      <c r="I679" s="29"/>
      <c r="J679" s="29"/>
      <c r="K679" s="29"/>
      <c r="L679" s="29"/>
      <c r="M679" s="29"/>
      <c r="N679" s="29"/>
      <c r="O679" s="29"/>
      <c r="P679" s="29"/>
      <c r="Q679" s="29"/>
    </row>
    <row r="680" spans="7:17">
      <c r="G680" s="29"/>
      <c r="H680" s="29"/>
      <c r="I680" s="29"/>
      <c r="J680" s="29"/>
      <c r="K680" s="29"/>
      <c r="L680" s="29"/>
      <c r="M680" s="29"/>
      <c r="N680" s="29"/>
      <c r="O680" s="29"/>
      <c r="P680" s="29"/>
      <c r="Q680" s="29"/>
    </row>
    <row r="681" spans="7:17">
      <c r="G681" s="29"/>
      <c r="H681" s="29"/>
      <c r="I681" s="29"/>
      <c r="J681" s="29"/>
      <c r="K681" s="29"/>
      <c r="L681" s="29"/>
      <c r="M681" s="29"/>
      <c r="N681" s="29"/>
      <c r="O681" s="29"/>
      <c r="P681" s="29"/>
      <c r="Q681" s="29"/>
    </row>
    <row r="682" spans="7:17">
      <c r="G682" s="29"/>
      <c r="H682" s="29"/>
      <c r="I682" s="29"/>
      <c r="J682" s="29"/>
      <c r="K682" s="29"/>
      <c r="L682" s="29"/>
      <c r="M682" s="29"/>
      <c r="N682" s="29"/>
      <c r="O682" s="29"/>
      <c r="P682" s="29"/>
      <c r="Q682" s="29"/>
    </row>
    <row r="683" spans="7:17">
      <c r="G683" s="29"/>
      <c r="H683" s="29"/>
      <c r="I683" s="29"/>
      <c r="J683" s="29"/>
      <c r="K683" s="29"/>
      <c r="L683" s="29"/>
      <c r="M683" s="29"/>
      <c r="N683" s="29"/>
      <c r="O683" s="29"/>
      <c r="P683" s="29"/>
      <c r="Q683" s="29"/>
    </row>
    <row r="684" spans="7:17">
      <c r="G684" s="29"/>
      <c r="H684" s="29"/>
      <c r="I684" s="29"/>
      <c r="J684" s="29"/>
      <c r="K684" s="29"/>
      <c r="L684" s="29"/>
      <c r="M684" s="29"/>
      <c r="N684" s="29"/>
      <c r="O684" s="29"/>
      <c r="P684" s="29"/>
      <c r="Q684" s="29"/>
    </row>
    <row r="685" spans="7:17">
      <c r="G685" s="29"/>
      <c r="H685" s="29"/>
      <c r="I685" s="29"/>
      <c r="J685" s="29"/>
      <c r="K685" s="29"/>
      <c r="L685" s="29"/>
      <c r="M685" s="29"/>
      <c r="N685" s="29"/>
      <c r="O685" s="29"/>
      <c r="P685" s="29"/>
      <c r="Q685" s="29"/>
    </row>
    <row r="686" spans="7:17">
      <c r="G686" s="29"/>
      <c r="H686" s="29"/>
      <c r="I686" s="29"/>
      <c r="J686" s="29"/>
      <c r="K686" s="29"/>
      <c r="L686" s="29"/>
      <c r="M686" s="29"/>
      <c r="N686" s="29"/>
      <c r="O686" s="29"/>
      <c r="P686" s="29"/>
      <c r="Q686" s="29"/>
    </row>
    <row r="687" spans="7:17">
      <c r="G687" s="29"/>
      <c r="H687" s="29"/>
      <c r="I687" s="29"/>
      <c r="J687" s="29"/>
      <c r="K687" s="29"/>
      <c r="L687" s="29"/>
      <c r="M687" s="29"/>
      <c r="N687" s="29"/>
      <c r="O687" s="29"/>
      <c r="P687" s="29"/>
      <c r="Q687" s="29"/>
    </row>
    <row r="688" spans="7:17">
      <c r="G688" s="29"/>
      <c r="H688" s="29"/>
      <c r="I688" s="29"/>
      <c r="J688" s="29"/>
      <c r="K688" s="29"/>
      <c r="L688" s="29"/>
      <c r="M688" s="29"/>
      <c r="N688" s="29"/>
      <c r="O688" s="29"/>
      <c r="P688" s="29"/>
      <c r="Q688" s="29"/>
    </row>
    <row r="689" spans="7:17">
      <c r="G689" s="29"/>
      <c r="H689" s="29"/>
      <c r="I689" s="29"/>
      <c r="J689" s="29"/>
      <c r="K689" s="29"/>
      <c r="L689" s="29"/>
      <c r="M689" s="29"/>
      <c r="N689" s="29"/>
      <c r="O689" s="29"/>
      <c r="P689" s="29"/>
      <c r="Q689" s="29"/>
    </row>
    <row r="690" spans="7:17">
      <c r="G690" s="29"/>
      <c r="H690" s="29"/>
      <c r="I690" s="29"/>
      <c r="J690" s="29"/>
      <c r="K690" s="29"/>
      <c r="L690" s="29"/>
      <c r="M690" s="29"/>
      <c r="N690" s="29"/>
      <c r="O690" s="29"/>
      <c r="P690" s="29"/>
      <c r="Q690" s="29"/>
    </row>
    <row r="691" spans="7:17">
      <c r="G691" s="29"/>
      <c r="H691" s="29"/>
      <c r="I691" s="29"/>
      <c r="J691" s="29"/>
      <c r="K691" s="29"/>
      <c r="L691" s="29"/>
      <c r="M691" s="29"/>
      <c r="N691" s="29"/>
      <c r="O691" s="29"/>
      <c r="P691" s="29"/>
      <c r="Q691" s="29"/>
    </row>
    <row r="692" spans="7:17">
      <c r="G692" s="29"/>
      <c r="H692" s="29"/>
      <c r="I692" s="29"/>
      <c r="J692" s="29"/>
      <c r="K692" s="29"/>
      <c r="L692" s="29"/>
      <c r="M692" s="29"/>
      <c r="N692" s="29"/>
      <c r="O692" s="29"/>
      <c r="P692" s="29"/>
      <c r="Q692" s="29"/>
    </row>
    <row r="693" spans="7:17">
      <c r="G693" s="29"/>
      <c r="H693" s="29"/>
      <c r="I693" s="29"/>
      <c r="J693" s="29"/>
      <c r="K693" s="29"/>
      <c r="L693" s="29"/>
      <c r="M693" s="29"/>
      <c r="N693" s="29"/>
      <c r="O693" s="29"/>
      <c r="P693" s="29"/>
      <c r="Q693" s="29"/>
    </row>
    <row r="694" spans="7:17">
      <c r="G694" s="29"/>
      <c r="H694" s="29"/>
      <c r="I694" s="29"/>
      <c r="J694" s="29"/>
      <c r="K694" s="29"/>
      <c r="L694" s="29"/>
      <c r="M694" s="29"/>
      <c r="N694" s="29"/>
      <c r="O694" s="29"/>
      <c r="P694" s="29"/>
      <c r="Q694" s="29"/>
    </row>
    <row r="695" spans="7:17">
      <c r="G695" s="29"/>
      <c r="H695" s="29"/>
      <c r="I695" s="29"/>
      <c r="J695" s="29"/>
      <c r="K695" s="29"/>
      <c r="L695" s="29"/>
      <c r="M695" s="29"/>
      <c r="N695" s="29"/>
      <c r="O695" s="29"/>
      <c r="P695" s="29"/>
      <c r="Q695" s="29"/>
    </row>
    <row r="696" spans="7:17">
      <c r="G696" s="29"/>
      <c r="H696" s="29"/>
      <c r="I696" s="29"/>
      <c r="J696" s="29"/>
      <c r="K696" s="29"/>
      <c r="L696" s="29"/>
      <c r="M696" s="29"/>
      <c r="N696" s="29"/>
      <c r="O696" s="29"/>
      <c r="P696" s="29"/>
      <c r="Q696" s="29"/>
    </row>
    <row r="697" spans="7:17">
      <c r="G697" s="29"/>
      <c r="H697" s="29"/>
      <c r="I697" s="29"/>
      <c r="J697" s="29"/>
      <c r="K697" s="29"/>
      <c r="L697" s="29"/>
      <c r="M697" s="29"/>
      <c r="N697" s="29"/>
      <c r="O697" s="29"/>
      <c r="P697" s="29"/>
      <c r="Q697" s="29"/>
    </row>
    <row r="698" spans="7:17">
      <c r="G698" s="29"/>
      <c r="H698" s="29"/>
      <c r="I698" s="29"/>
      <c r="J698" s="29"/>
      <c r="K698" s="29"/>
      <c r="L698" s="29"/>
      <c r="M698" s="29"/>
      <c r="N698" s="29"/>
      <c r="O698" s="29"/>
      <c r="P698" s="29"/>
      <c r="Q698" s="29"/>
    </row>
    <row r="699" spans="7:17">
      <c r="G699" s="29"/>
      <c r="H699" s="29"/>
      <c r="I699" s="29"/>
      <c r="J699" s="29"/>
      <c r="K699" s="29"/>
      <c r="L699" s="29"/>
      <c r="M699" s="29"/>
      <c r="N699" s="29"/>
      <c r="O699" s="29"/>
      <c r="P699" s="29"/>
      <c r="Q699" s="29"/>
    </row>
    <row r="700" spans="7:17">
      <c r="G700" s="29"/>
      <c r="H700" s="29"/>
      <c r="I700" s="29"/>
      <c r="J700" s="29"/>
      <c r="K700" s="29"/>
      <c r="L700" s="29"/>
      <c r="M700" s="29"/>
      <c r="N700" s="29"/>
      <c r="O700" s="29"/>
      <c r="P700" s="29"/>
      <c r="Q700" s="29"/>
    </row>
    <row r="701" spans="7:17">
      <c r="G701" s="29"/>
      <c r="H701" s="29"/>
      <c r="I701" s="29"/>
      <c r="J701" s="29"/>
      <c r="K701" s="29"/>
      <c r="L701" s="29"/>
      <c r="M701" s="29"/>
      <c r="N701" s="29"/>
      <c r="O701" s="29"/>
      <c r="P701" s="29"/>
      <c r="Q701" s="29"/>
    </row>
    <row r="702" spans="7:17">
      <c r="G702" s="29"/>
      <c r="H702" s="29"/>
      <c r="I702" s="29"/>
      <c r="J702" s="29"/>
      <c r="K702" s="29"/>
      <c r="L702" s="29"/>
      <c r="M702" s="29"/>
      <c r="N702" s="29"/>
      <c r="O702" s="29"/>
      <c r="P702" s="29"/>
      <c r="Q702" s="29"/>
    </row>
    <row r="703" spans="7:17">
      <c r="G703" s="29"/>
      <c r="H703" s="29"/>
      <c r="I703" s="29"/>
      <c r="J703" s="29"/>
      <c r="K703" s="29"/>
      <c r="L703" s="29"/>
      <c r="M703" s="29"/>
      <c r="N703" s="29"/>
      <c r="O703" s="29"/>
      <c r="P703" s="29"/>
      <c r="Q703" s="29"/>
    </row>
    <row r="704" spans="7:17">
      <c r="G704" s="29"/>
      <c r="H704" s="29"/>
      <c r="I704" s="29"/>
      <c r="J704" s="29"/>
      <c r="K704" s="29"/>
      <c r="L704" s="29"/>
      <c r="M704" s="29"/>
      <c r="N704" s="29"/>
      <c r="O704" s="29"/>
      <c r="P704" s="29"/>
      <c r="Q704" s="29"/>
    </row>
    <row r="705" spans="7:17">
      <c r="G705" s="29"/>
      <c r="H705" s="29"/>
      <c r="I705" s="29"/>
      <c r="J705" s="29"/>
      <c r="K705" s="29"/>
      <c r="L705" s="29"/>
      <c r="M705" s="29"/>
      <c r="N705" s="29"/>
      <c r="O705" s="29"/>
      <c r="P705" s="29"/>
      <c r="Q705" s="29"/>
    </row>
    <row r="706" spans="7:17">
      <c r="G706" s="29"/>
      <c r="H706" s="29"/>
      <c r="I706" s="29"/>
      <c r="J706" s="29"/>
      <c r="K706" s="29"/>
      <c r="L706" s="29"/>
      <c r="M706" s="29"/>
      <c r="N706" s="29"/>
      <c r="O706" s="29"/>
      <c r="P706" s="29"/>
      <c r="Q706" s="29"/>
    </row>
    <row r="707" spans="7:17">
      <c r="G707" s="29"/>
      <c r="H707" s="29"/>
      <c r="I707" s="29"/>
      <c r="J707" s="29"/>
      <c r="K707" s="29"/>
      <c r="L707" s="29"/>
      <c r="M707" s="29"/>
      <c r="N707" s="29"/>
      <c r="O707" s="29"/>
      <c r="P707" s="29"/>
      <c r="Q707" s="29"/>
    </row>
    <row r="708" spans="7:17">
      <c r="G708" s="29"/>
      <c r="H708" s="29"/>
      <c r="I708" s="29"/>
      <c r="J708" s="29"/>
      <c r="K708" s="29"/>
      <c r="L708" s="29"/>
      <c r="M708" s="29"/>
      <c r="N708" s="29"/>
      <c r="O708" s="29"/>
      <c r="P708" s="29"/>
      <c r="Q708" s="29"/>
    </row>
    <row r="709" spans="7:17">
      <c r="G709" s="29"/>
      <c r="H709" s="29"/>
      <c r="I709" s="29"/>
      <c r="J709" s="29"/>
      <c r="K709" s="29"/>
      <c r="L709" s="29"/>
      <c r="M709" s="29"/>
      <c r="N709" s="29"/>
      <c r="O709" s="29"/>
      <c r="P709" s="29"/>
      <c r="Q709" s="29"/>
    </row>
    <row r="710" spans="7:17">
      <c r="G710" s="29"/>
      <c r="H710" s="29"/>
      <c r="I710" s="29"/>
      <c r="J710" s="29"/>
      <c r="K710" s="29"/>
      <c r="L710" s="29"/>
      <c r="M710" s="29"/>
      <c r="N710" s="29"/>
      <c r="O710" s="29"/>
      <c r="P710" s="29"/>
      <c r="Q710" s="29"/>
    </row>
    <row r="711" spans="7:17">
      <c r="G711" s="29"/>
      <c r="H711" s="29"/>
      <c r="I711" s="29"/>
      <c r="J711" s="29"/>
      <c r="K711" s="29"/>
      <c r="L711" s="29"/>
      <c r="M711" s="29"/>
      <c r="N711" s="29"/>
      <c r="O711" s="29"/>
      <c r="P711" s="29"/>
      <c r="Q711" s="29"/>
    </row>
    <row r="712" spans="7:17">
      <c r="G712" s="29"/>
      <c r="H712" s="29"/>
      <c r="I712" s="29"/>
      <c r="J712" s="29"/>
      <c r="K712" s="29"/>
      <c r="L712" s="29"/>
      <c r="M712" s="29"/>
      <c r="N712" s="29"/>
      <c r="O712" s="29"/>
      <c r="P712" s="29"/>
      <c r="Q712" s="29"/>
    </row>
    <row r="713" spans="7:17">
      <c r="G713" s="29"/>
      <c r="H713" s="29"/>
      <c r="I713" s="29"/>
      <c r="J713" s="29"/>
      <c r="K713" s="29"/>
      <c r="L713" s="29"/>
      <c r="M713" s="29"/>
      <c r="N713" s="29"/>
      <c r="O713" s="29"/>
      <c r="P713" s="29"/>
      <c r="Q713" s="29"/>
    </row>
    <row r="714" spans="7:17">
      <c r="G714" s="29"/>
      <c r="H714" s="29"/>
      <c r="I714" s="29"/>
      <c r="J714" s="29"/>
      <c r="K714" s="29"/>
      <c r="L714" s="29"/>
      <c r="M714" s="29"/>
      <c r="N714" s="29"/>
      <c r="O714" s="29"/>
      <c r="P714" s="29"/>
      <c r="Q714" s="29"/>
    </row>
    <row r="715" spans="7:17">
      <c r="G715" s="29"/>
      <c r="H715" s="29"/>
      <c r="I715" s="29"/>
      <c r="J715" s="29"/>
      <c r="K715" s="29"/>
      <c r="L715" s="29"/>
      <c r="M715" s="29"/>
      <c r="N715" s="29"/>
      <c r="O715" s="29"/>
      <c r="P715" s="29"/>
      <c r="Q715" s="29"/>
    </row>
    <row r="716" spans="7:17">
      <c r="G716" s="29"/>
      <c r="H716" s="29"/>
      <c r="I716" s="29"/>
      <c r="J716" s="29"/>
      <c r="K716" s="29"/>
      <c r="L716" s="29"/>
      <c r="M716" s="29"/>
      <c r="N716" s="29"/>
      <c r="O716" s="29"/>
      <c r="P716" s="29"/>
      <c r="Q716" s="29"/>
    </row>
    <row r="717" spans="7:17">
      <c r="G717" s="29"/>
      <c r="H717" s="29"/>
      <c r="I717" s="29"/>
      <c r="J717" s="29"/>
      <c r="K717" s="29"/>
      <c r="L717" s="29"/>
      <c r="M717" s="29"/>
      <c r="N717" s="29"/>
      <c r="O717" s="29"/>
      <c r="P717" s="29"/>
      <c r="Q717" s="29"/>
    </row>
    <row r="718" spans="7:17">
      <c r="G718" s="29"/>
      <c r="H718" s="29"/>
      <c r="I718" s="29"/>
      <c r="J718" s="29"/>
      <c r="K718" s="29"/>
      <c r="L718" s="29"/>
      <c r="M718" s="29"/>
      <c r="N718" s="29"/>
      <c r="O718" s="29"/>
      <c r="P718" s="29"/>
      <c r="Q718" s="29"/>
    </row>
    <row r="719" spans="7:17">
      <c r="G719" s="29"/>
      <c r="H719" s="29"/>
      <c r="I719" s="29"/>
      <c r="J719" s="29"/>
      <c r="K719" s="29"/>
      <c r="L719" s="29"/>
      <c r="M719" s="29"/>
      <c r="N719" s="29"/>
      <c r="O719" s="29"/>
      <c r="P719" s="29"/>
      <c r="Q719" s="29"/>
    </row>
    <row r="720" spans="7:17">
      <c r="G720" s="29"/>
      <c r="H720" s="29"/>
      <c r="I720" s="29"/>
      <c r="J720" s="29"/>
      <c r="K720" s="29"/>
      <c r="L720" s="29"/>
      <c r="M720" s="29"/>
      <c r="N720" s="29"/>
      <c r="O720" s="29"/>
      <c r="P720" s="29"/>
      <c r="Q720" s="29"/>
    </row>
    <row r="721" spans="7:17">
      <c r="G721" s="29"/>
      <c r="H721" s="29"/>
      <c r="I721" s="29"/>
      <c r="J721" s="29"/>
      <c r="K721" s="29"/>
      <c r="L721" s="29"/>
      <c r="M721" s="29"/>
      <c r="N721" s="29"/>
      <c r="O721" s="29"/>
      <c r="P721" s="29"/>
      <c r="Q721" s="29"/>
    </row>
    <row r="722" spans="7:17">
      <c r="G722" s="29"/>
      <c r="H722" s="29"/>
      <c r="I722" s="29"/>
      <c r="J722" s="29"/>
      <c r="K722" s="29"/>
      <c r="L722" s="29"/>
      <c r="M722" s="29"/>
      <c r="N722" s="29"/>
      <c r="O722" s="29"/>
      <c r="P722" s="29"/>
      <c r="Q722" s="29"/>
    </row>
    <row r="723" spans="7:17">
      <c r="G723" s="29"/>
      <c r="H723" s="29"/>
      <c r="I723" s="29"/>
      <c r="J723" s="29"/>
      <c r="K723" s="29"/>
      <c r="L723" s="29"/>
      <c r="M723" s="29"/>
      <c r="N723" s="29"/>
      <c r="O723" s="29"/>
      <c r="P723" s="29"/>
      <c r="Q723" s="29"/>
    </row>
    <row r="724" spans="7:17">
      <c r="G724" s="29"/>
      <c r="H724" s="29"/>
      <c r="I724" s="29"/>
      <c r="J724" s="29"/>
      <c r="K724" s="29"/>
      <c r="L724" s="29"/>
      <c r="M724" s="29"/>
      <c r="N724" s="29"/>
      <c r="O724" s="29"/>
      <c r="P724" s="29"/>
      <c r="Q724" s="29"/>
    </row>
    <row r="725" spans="7:17">
      <c r="G725" s="29"/>
      <c r="H725" s="29"/>
      <c r="I725" s="29"/>
      <c r="J725" s="29"/>
      <c r="K725" s="29"/>
      <c r="L725" s="29"/>
      <c r="M725" s="29"/>
      <c r="N725" s="29"/>
      <c r="O725" s="29"/>
      <c r="P725" s="29"/>
      <c r="Q725" s="29"/>
    </row>
    <row r="726" spans="7:17">
      <c r="G726" s="29"/>
      <c r="H726" s="29"/>
      <c r="I726" s="29"/>
      <c r="J726" s="29"/>
      <c r="K726" s="29"/>
      <c r="L726" s="29"/>
      <c r="M726" s="29"/>
      <c r="N726" s="29"/>
      <c r="O726" s="29"/>
      <c r="P726" s="29"/>
      <c r="Q726" s="29"/>
    </row>
    <row r="727" spans="7:17">
      <c r="G727" s="29"/>
      <c r="H727" s="29"/>
      <c r="I727" s="29"/>
      <c r="J727" s="29"/>
      <c r="K727" s="29"/>
      <c r="L727" s="29"/>
      <c r="M727" s="29"/>
      <c r="N727" s="29"/>
      <c r="O727" s="29"/>
      <c r="P727" s="29"/>
      <c r="Q727" s="29"/>
    </row>
    <row r="728" spans="7:17">
      <c r="G728" s="29"/>
      <c r="H728" s="29"/>
      <c r="I728" s="29"/>
      <c r="J728" s="29"/>
      <c r="K728" s="29"/>
      <c r="L728" s="29"/>
      <c r="M728" s="29"/>
      <c r="N728" s="29"/>
      <c r="O728" s="29"/>
      <c r="P728" s="29"/>
      <c r="Q728" s="29"/>
    </row>
    <row r="729" spans="7:17">
      <c r="G729" s="29"/>
      <c r="H729" s="29"/>
      <c r="I729" s="29"/>
      <c r="J729" s="29"/>
      <c r="K729" s="29"/>
      <c r="L729" s="29"/>
      <c r="M729" s="29"/>
      <c r="N729" s="29"/>
      <c r="O729" s="29"/>
      <c r="P729" s="29"/>
      <c r="Q729" s="29"/>
    </row>
    <row r="730" spans="7:17">
      <c r="G730" s="29"/>
      <c r="H730" s="29"/>
      <c r="I730" s="29"/>
      <c r="J730" s="29"/>
      <c r="K730" s="29"/>
      <c r="L730" s="29"/>
      <c r="M730" s="29"/>
      <c r="N730" s="29"/>
      <c r="O730" s="29"/>
      <c r="P730" s="29"/>
      <c r="Q730" s="29"/>
    </row>
    <row r="731" spans="7:17">
      <c r="G731" s="29"/>
      <c r="H731" s="29"/>
      <c r="I731" s="29"/>
      <c r="J731" s="29"/>
      <c r="K731" s="29"/>
      <c r="L731" s="29"/>
      <c r="M731" s="29"/>
      <c r="N731" s="29"/>
      <c r="O731" s="29"/>
      <c r="P731" s="29"/>
      <c r="Q731" s="29"/>
    </row>
    <row r="732" spans="7:17">
      <c r="G732" s="29"/>
      <c r="H732" s="29"/>
      <c r="I732" s="29"/>
      <c r="J732" s="29"/>
      <c r="K732" s="29"/>
      <c r="L732" s="29"/>
      <c r="M732" s="29"/>
      <c r="N732" s="29"/>
      <c r="O732" s="29"/>
      <c r="P732" s="29"/>
      <c r="Q732" s="29"/>
    </row>
    <row r="733" spans="7:17">
      <c r="G733" s="29"/>
      <c r="H733" s="29"/>
      <c r="I733" s="29"/>
      <c r="J733" s="29"/>
      <c r="K733" s="29"/>
      <c r="L733" s="29"/>
      <c r="M733" s="29"/>
      <c r="N733" s="29"/>
      <c r="O733" s="29"/>
      <c r="P733" s="29"/>
      <c r="Q733" s="29"/>
    </row>
    <row r="734" spans="7:17">
      <c r="G734" s="29"/>
      <c r="H734" s="29"/>
      <c r="I734" s="29"/>
      <c r="J734" s="29"/>
      <c r="K734" s="29"/>
      <c r="L734" s="29"/>
      <c r="M734" s="29"/>
      <c r="N734" s="29"/>
      <c r="O734" s="29"/>
      <c r="P734" s="29"/>
      <c r="Q734" s="29"/>
    </row>
    <row r="735" spans="7:17">
      <c r="G735" s="29"/>
      <c r="H735" s="29"/>
      <c r="I735" s="29"/>
      <c r="J735" s="29"/>
      <c r="K735" s="29"/>
      <c r="L735" s="29"/>
      <c r="M735" s="29"/>
      <c r="N735" s="29"/>
      <c r="O735" s="29"/>
      <c r="P735" s="29"/>
      <c r="Q735" s="29"/>
    </row>
    <row r="736" spans="7:17">
      <c r="G736" s="29"/>
      <c r="H736" s="29"/>
      <c r="I736" s="29"/>
      <c r="J736" s="29"/>
      <c r="K736" s="29"/>
      <c r="L736" s="29"/>
      <c r="M736" s="29"/>
      <c r="N736" s="29"/>
      <c r="O736" s="29"/>
      <c r="P736" s="29"/>
      <c r="Q736" s="29"/>
    </row>
    <row r="737" spans="7:17">
      <c r="G737" s="29"/>
      <c r="H737" s="29"/>
      <c r="I737" s="29"/>
      <c r="J737" s="29"/>
      <c r="K737" s="29"/>
      <c r="L737" s="29"/>
      <c r="M737" s="29"/>
      <c r="N737" s="29"/>
      <c r="O737" s="29"/>
      <c r="P737" s="29"/>
      <c r="Q737" s="29"/>
    </row>
    <row r="738" spans="7:17">
      <c r="G738" s="29"/>
      <c r="H738" s="29"/>
      <c r="I738" s="29"/>
      <c r="J738" s="29"/>
      <c r="K738" s="29"/>
      <c r="L738" s="29"/>
      <c r="M738" s="29"/>
      <c r="N738" s="29"/>
      <c r="O738" s="29"/>
      <c r="P738" s="29"/>
      <c r="Q738" s="29"/>
    </row>
    <row r="739" spans="7:17">
      <c r="G739" s="29"/>
      <c r="H739" s="29"/>
      <c r="I739" s="29"/>
      <c r="J739" s="29"/>
      <c r="K739" s="29"/>
      <c r="L739" s="29"/>
      <c r="M739" s="29"/>
      <c r="N739" s="29"/>
      <c r="O739" s="29"/>
      <c r="P739" s="29"/>
      <c r="Q739" s="29"/>
    </row>
    <row r="740" spans="7:17">
      <c r="G740" s="29"/>
      <c r="H740" s="29"/>
      <c r="I740" s="29"/>
      <c r="J740" s="29"/>
      <c r="K740" s="29"/>
      <c r="L740" s="29"/>
      <c r="M740" s="29"/>
      <c r="N740" s="29"/>
      <c r="O740" s="29"/>
      <c r="P740" s="29"/>
      <c r="Q740" s="29"/>
    </row>
    <row r="741" spans="7:17">
      <c r="G741" s="29"/>
      <c r="H741" s="29"/>
      <c r="I741" s="29"/>
      <c r="J741" s="29"/>
      <c r="K741" s="29"/>
      <c r="L741" s="29"/>
      <c r="M741" s="29"/>
      <c r="N741" s="29"/>
      <c r="O741" s="29"/>
      <c r="P741" s="29"/>
      <c r="Q741" s="29"/>
    </row>
    <row r="742" spans="7:17">
      <c r="G742" s="29"/>
      <c r="H742" s="29"/>
      <c r="I742" s="29"/>
      <c r="J742" s="29"/>
      <c r="K742" s="29"/>
      <c r="L742" s="29"/>
      <c r="M742" s="29"/>
      <c r="N742" s="29"/>
      <c r="O742" s="29"/>
      <c r="P742" s="29"/>
      <c r="Q742" s="29"/>
    </row>
    <row r="743" spans="7:17">
      <c r="G743" s="29"/>
      <c r="H743" s="29"/>
      <c r="I743" s="29"/>
      <c r="J743" s="29"/>
      <c r="K743" s="29"/>
      <c r="L743" s="29"/>
      <c r="M743" s="29"/>
      <c r="N743" s="29"/>
      <c r="O743" s="29"/>
      <c r="P743" s="29"/>
      <c r="Q743" s="29"/>
    </row>
    <row r="744" spans="7:17">
      <c r="G744" s="29"/>
      <c r="H744" s="29"/>
      <c r="I744" s="29"/>
      <c r="J744" s="29"/>
      <c r="K744" s="29"/>
      <c r="L744" s="29"/>
      <c r="M744" s="29"/>
      <c r="N744" s="29"/>
      <c r="O744" s="29"/>
      <c r="P744" s="29"/>
      <c r="Q744" s="29"/>
    </row>
    <row r="745" spans="7:17">
      <c r="G745" s="29"/>
      <c r="H745" s="29"/>
      <c r="I745" s="29"/>
      <c r="J745" s="29"/>
      <c r="K745" s="29"/>
      <c r="L745" s="29"/>
      <c r="M745" s="29"/>
      <c r="N745" s="29"/>
      <c r="O745" s="29"/>
      <c r="P745" s="29"/>
      <c r="Q745" s="29"/>
    </row>
    <row r="746" spans="7:17">
      <c r="G746" s="29"/>
      <c r="H746" s="29"/>
      <c r="I746" s="29"/>
      <c r="J746" s="29"/>
      <c r="K746" s="29"/>
      <c r="L746" s="29"/>
      <c r="M746" s="29"/>
      <c r="N746" s="29"/>
      <c r="O746" s="29"/>
      <c r="P746" s="29"/>
      <c r="Q746" s="29"/>
    </row>
    <row r="747" spans="7:17">
      <c r="G747" s="29"/>
      <c r="H747" s="29"/>
      <c r="I747" s="29"/>
      <c r="J747" s="29"/>
      <c r="K747" s="29"/>
      <c r="L747" s="29"/>
      <c r="M747" s="29"/>
      <c r="N747" s="29"/>
      <c r="O747" s="29"/>
      <c r="P747" s="29"/>
      <c r="Q747" s="29"/>
    </row>
    <row r="748" spans="7:17">
      <c r="G748" s="29"/>
      <c r="H748" s="29"/>
      <c r="I748" s="29"/>
      <c r="J748" s="29"/>
      <c r="K748" s="29"/>
      <c r="L748" s="29"/>
      <c r="M748" s="29"/>
      <c r="N748" s="29"/>
      <c r="O748" s="29"/>
      <c r="P748" s="29"/>
      <c r="Q748" s="29"/>
    </row>
    <row r="749" spans="7:17">
      <c r="G749" s="29"/>
      <c r="H749" s="29"/>
      <c r="I749" s="29"/>
      <c r="J749" s="29"/>
      <c r="K749" s="29"/>
      <c r="L749" s="29"/>
      <c r="M749" s="29"/>
      <c r="N749" s="29"/>
      <c r="O749" s="29"/>
      <c r="P749" s="29"/>
      <c r="Q749" s="29"/>
    </row>
    <row r="750" spans="7:17">
      <c r="G750" s="29"/>
      <c r="H750" s="29"/>
      <c r="I750" s="29"/>
      <c r="J750" s="29"/>
      <c r="K750" s="29"/>
      <c r="L750" s="29"/>
      <c r="M750" s="29"/>
      <c r="N750" s="29"/>
      <c r="O750" s="29"/>
      <c r="P750" s="29"/>
      <c r="Q750" s="29"/>
    </row>
    <row r="751" spans="7:17">
      <c r="G751" s="29"/>
      <c r="H751" s="29"/>
      <c r="I751" s="29"/>
      <c r="J751" s="29"/>
      <c r="K751" s="29"/>
      <c r="L751" s="29"/>
      <c r="M751" s="29"/>
      <c r="N751" s="29"/>
      <c r="O751" s="29"/>
      <c r="P751" s="29"/>
      <c r="Q751" s="29"/>
    </row>
    <row r="752" spans="7:17">
      <c r="G752" s="29"/>
      <c r="H752" s="29"/>
      <c r="I752" s="29"/>
      <c r="J752" s="29"/>
      <c r="K752" s="29"/>
      <c r="L752" s="29"/>
      <c r="M752" s="29"/>
      <c r="N752" s="29"/>
      <c r="O752" s="29"/>
      <c r="P752" s="29"/>
      <c r="Q752" s="29"/>
    </row>
    <row r="753" spans="7:17">
      <c r="G753" s="29"/>
      <c r="H753" s="29"/>
      <c r="I753" s="29"/>
      <c r="J753" s="29"/>
      <c r="K753" s="29"/>
      <c r="L753" s="29"/>
      <c r="M753" s="29"/>
      <c r="N753" s="29"/>
      <c r="O753" s="29"/>
      <c r="P753" s="29"/>
      <c r="Q753" s="29"/>
    </row>
    <row r="754" spans="7:17">
      <c r="G754" s="29"/>
      <c r="H754" s="29"/>
      <c r="I754" s="29"/>
      <c r="J754" s="29"/>
      <c r="K754" s="29"/>
      <c r="L754" s="29"/>
      <c r="M754" s="29"/>
      <c r="N754" s="29"/>
      <c r="O754" s="29"/>
      <c r="P754" s="29"/>
      <c r="Q754" s="29"/>
    </row>
    <row r="755" spans="7:17">
      <c r="G755" s="29"/>
      <c r="H755" s="29"/>
      <c r="I755" s="29"/>
      <c r="J755" s="29"/>
      <c r="K755" s="29"/>
      <c r="L755" s="29"/>
      <c r="M755" s="29"/>
      <c r="N755" s="29"/>
      <c r="O755" s="29"/>
      <c r="P755" s="29"/>
      <c r="Q755" s="29"/>
    </row>
    <row r="756" spans="7:17">
      <c r="G756" s="29"/>
      <c r="H756" s="29"/>
      <c r="I756" s="29"/>
      <c r="J756" s="29"/>
      <c r="K756" s="29"/>
      <c r="L756" s="29"/>
      <c r="M756" s="29"/>
      <c r="N756" s="29"/>
      <c r="O756" s="29"/>
      <c r="P756" s="29"/>
      <c r="Q756" s="29"/>
    </row>
    <row r="757" spans="7:17">
      <c r="G757" s="29"/>
      <c r="H757" s="29"/>
      <c r="I757" s="29"/>
      <c r="J757" s="29"/>
      <c r="K757" s="29"/>
      <c r="L757" s="29"/>
      <c r="M757" s="29"/>
      <c r="N757" s="29"/>
      <c r="O757" s="29"/>
      <c r="P757" s="29"/>
      <c r="Q757" s="29"/>
    </row>
    <row r="758" spans="7:17">
      <c r="G758" s="29"/>
      <c r="H758" s="29"/>
      <c r="I758" s="29"/>
      <c r="J758" s="29"/>
      <c r="K758" s="29"/>
      <c r="L758" s="29"/>
      <c r="M758" s="29"/>
      <c r="N758" s="29"/>
      <c r="O758" s="29"/>
      <c r="P758" s="29"/>
      <c r="Q758" s="29"/>
    </row>
    <row r="759" spans="7:17">
      <c r="G759" s="29"/>
      <c r="H759" s="29"/>
      <c r="I759" s="29"/>
      <c r="J759" s="29"/>
      <c r="K759" s="29"/>
      <c r="L759" s="29"/>
      <c r="M759" s="29"/>
      <c r="N759" s="29"/>
      <c r="O759" s="29"/>
      <c r="P759" s="29"/>
      <c r="Q759" s="29"/>
    </row>
    <row r="760" spans="7:17">
      <c r="G760" s="29"/>
      <c r="H760" s="29"/>
      <c r="I760" s="29"/>
      <c r="J760" s="29"/>
      <c r="K760" s="29"/>
      <c r="L760" s="29"/>
      <c r="M760" s="29"/>
      <c r="N760" s="29"/>
      <c r="O760" s="29"/>
      <c r="P760" s="29"/>
      <c r="Q760" s="29"/>
    </row>
    <row r="761" spans="7:17">
      <c r="G761" s="29"/>
      <c r="H761" s="29"/>
      <c r="I761" s="29"/>
      <c r="J761" s="29"/>
      <c r="K761" s="29"/>
      <c r="L761" s="29"/>
      <c r="M761" s="29"/>
      <c r="N761" s="29"/>
      <c r="O761" s="29"/>
      <c r="P761" s="29"/>
      <c r="Q761" s="29"/>
    </row>
    <row r="762" spans="7:17">
      <c r="G762" s="29"/>
      <c r="H762" s="29"/>
      <c r="I762" s="29"/>
      <c r="J762" s="29"/>
      <c r="K762" s="29"/>
      <c r="L762" s="29"/>
      <c r="M762" s="29"/>
      <c r="N762" s="29"/>
      <c r="O762" s="29"/>
      <c r="P762" s="29"/>
      <c r="Q762" s="29"/>
    </row>
    <row r="763" spans="7:17">
      <c r="G763" s="29"/>
      <c r="H763" s="29"/>
      <c r="I763" s="29"/>
      <c r="J763" s="29"/>
      <c r="K763" s="29"/>
      <c r="L763" s="29"/>
      <c r="M763" s="29"/>
      <c r="N763" s="29"/>
      <c r="O763" s="29"/>
      <c r="P763" s="29"/>
      <c r="Q763" s="29"/>
    </row>
    <row r="764" spans="7:17">
      <c r="G764" s="29"/>
      <c r="H764" s="29"/>
      <c r="I764" s="29"/>
      <c r="J764" s="29"/>
      <c r="K764" s="29"/>
      <c r="L764" s="29"/>
      <c r="M764" s="29"/>
      <c r="N764" s="29"/>
      <c r="O764" s="29"/>
      <c r="P764" s="29"/>
      <c r="Q764" s="29"/>
    </row>
    <row r="765" spans="7:17">
      <c r="G765" s="29"/>
      <c r="H765" s="29"/>
      <c r="I765" s="29"/>
      <c r="J765" s="29"/>
      <c r="K765" s="29"/>
      <c r="L765" s="29"/>
      <c r="M765" s="29"/>
      <c r="N765" s="29"/>
      <c r="O765" s="29"/>
      <c r="P765" s="29"/>
      <c r="Q765" s="29"/>
    </row>
    <row r="766" spans="7:17">
      <c r="G766" s="29"/>
      <c r="H766" s="29"/>
      <c r="I766" s="29"/>
      <c r="J766" s="29"/>
      <c r="K766" s="29"/>
      <c r="L766" s="29"/>
      <c r="M766" s="29"/>
      <c r="N766" s="29"/>
      <c r="O766" s="29"/>
      <c r="P766" s="29"/>
      <c r="Q766" s="29"/>
    </row>
    <row r="767" spans="7:17">
      <c r="G767" s="29"/>
      <c r="H767" s="29"/>
      <c r="I767" s="29"/>
      <c r="J767" s="29"/>
      <c r="K767" s="29"/>
      <c r="L767" s="29"/>
      <c r="M767" s="29"/>
      <c r="N767" s="29"/>
      <c r="O767" s="29"/>
      <c r="P767" s="29"/>
      <c r="Q767" s="29"/>
    </row>
    <row r="768" spans="7:17">
      <c r="G768" s="29"/>
      <c r="H768" s="29"/>
      <c r="I768" s="29"/>
      <c r="J768" s="29"/>
      <c r="K768" s="29"/>
      <c r="L768" s="29"/>
      <c r="M768" s="29"/>
      <c r="N768" s="29"/>
      <c r="O768" s="29"/>
      <c r="P768" s="29"/>
      <c r="Q768" s="29"/>
    </row>
    <row r="769" spans="7:17">
      <c r="G769" s="29"/>
      <c r="H769" s="29"/>
      <c r="I769" s="29"/>
      <c r="J769" s="29"/>
      <c r="K769" s="29"/>
      <c r="L769" s="29"/>
      <c r="M769" s="29"/>
      <c r="N769" s="29"/>
      <c r="O769" s="29"/>
      <c r="P769" s="29"/>
      <c r="Q769" s="29"/>
    </row>
    <row r="770" spans="7:17">
      <c r="G770" s="29"/>
      <c r="H770" s="29"/>
      <c r="I770" s="29"/>
      <c r="J770" s="29"/>
      <c r="K770" s="29"/>
      <c r="L770" s="29"/>
      <c r="M770" s="29"/>
      <c r="N770" s="29"/>
      <c r="O770" s="29"/>
      <c r="P770" s="29"/>
      <c r="Q770" s="29"/>
    </row>
    <row r="771" spans="7:17">
      <c r="G771" s="29"/>
      <c r="H771" s="29"/>
      <c r="I771" s="29"/>
      <c r="J771" s="29"/>
      <c r="K771" s="29"/>
      <c r="L771" s="29"/>
      <c r="M771" s="29"/>
      <c r="N771" s="29"/>
      <c r="O771" s="29"/>
      <c r="P771" s="29"/>
      <c r="Q771" s="29"/>
    </row>
    <row r="772" spans="7:17">
      <c r="G772" s="29"/>
      <c r="H772" s="29"/>
      <c r="I772" s="29"/>
      <c r="J772" s="29"/>
      <c r="K772" s="29"/>
      <c r="L772" s="29"/>
      <c r="M772" s="29"/>
      <c r="N772" s="29"/>
      <c r="O772" s="29"/>
      <c r="P772" s="29"/>
      <c r="Q772" s="29"/>
    </row>
    <row r="773" spans="7:17">
      <c r="G773" s="29"/>
      <c r="H773" s="29"/>
      <c r="I773" s="29"/>
      <c r="J773" s="29"/>
      <c r="K773" s="29"/>
      <c r="L773" s="29"/>
      <c r="M773" s="29"/>
      <c r="N773" s="29"/>
      <c r="O773" s="29"/>
      <c r="P773" s="29"/>
      <c r="Q773" s="29"/>
    </row>
    <row r="774" spans="7:17">
      <c r="G774" s="29"/>
      <c r="H774" s="29"/>
      <c r="I774" s="29"/>
      <c r="J774" s="29"/>
      <c r="K774" s="29"/>
      <c r="L774" s="29"/>
      <c r="M774" s="29"/>
      <c r="N774" s="29"/>
      <c r="O774" s="29"/>
      <c r="P774" s="29"/>
      <c r="Q774" s="29"/>
    </row>
    <row r="775" spans="7:17">
      <c r="G775" s="29"/>
      <c r="H775" s="29"/>
      <c r="I775" s="29"/>
      <c r="J775" s="29"/>
      <c r="K775" s="29"/>
      <c r="L775" s="29"/>
      <c r="M775" s="29"/>
      <c r="N775" s="29"/>
      <c r="O775" s="29"/>
      <c r="P775" s="29"/>
      <c r="Q775" s="29"/>
    </row>
    <row r="776" spans="7:17">
      <c r="G776" s="29"/>
      <c r="H776" s="29"/>
      <c r="I776" s="29"/>
      <c r="J776" s="29"/>
      <c r="K776" s="29"/>
      <c r="L776" s="29"/>
      <c r="M776" s="29"/>
      <c r="N776" s="29"/>
      <c r="O776" s="29"/>
      <c r="P776" s="29"/>
      <c r="Q776" s="29"/>
    </row>
    <row r="777" spans="7:17">
      <c r="G777" s="29"/>
      <c r="H777" s="29"/>
      <c r="I777" s="29"/>
      <c r="J777" s="29"/>
      <c r="K777" s="29"/>
      <c r="L777" s="29"/>
      <c r="M777" s="29"/>
      <c r="N777" s="29"/>
      <c r="O777" s="29"/>
      <c r="P777" s="29"/>
      <c r="Q777" s="29"/>
    </row>
    <row r="778" spans="7:17">
      <c r="G778" s="29"/>
      <c r="H778" s="29"/>
      <c r="I778" s="29"/>
      <c r="J778" s="29"/>
      <c r="K778" s="29"/>
      <c r="L778" s="29"/>
      <c r="M778" s="29"/>
      <c r="N778" s="29"/>
      <c r="O778" s="29"/>
      <c r="P778" s="29"/>
      <c r="Q778" s="29"/>
    </row>
    <row r="779" spans="7:17">
      <c r="G779" s="29"/>
      <c r="H779" s="29"/>
      <c r="I779" s="29"/>
      <c r="J779" s="29"/>
      <c r="K779" s="29"/>
      <c r="L779" s="29"/>
      <c r="M779" s="29"/>
      <c r="N779" s="29"/>
      <c r="O779" s="29"/>
      <c r="P779" s="29"/>
      <c r="Q779" s="29"/>
    </row>
    <row r="780" spans="7:17">
      <c r="G780" s="29"/>
      <c r="H780" s="29"/>
      <c r="I780" s="29"/>
      <c r="J780" s="29"/>
      <c r="K780" s="29"/>
      <c r="L780" s="29"/>
      <c r="M780" s="29"/>
      <c r="N780" s="29"/>
      <c r="O780" s="29"/>
      <c r="P780" s="29"/>
      <c r="Q780" s="29"/>
    </row>
    <row r="781" spans="7:17">
      <c r="G781" s="29"/>
      <c r="H781" s="29"/>
      <c r="I781" s="29"/>
      <c r="J781" s="29"/>
      <c r="K781" s="29"/>
      <c r="L781" s="29"/>
      <c r="M781" s="29"/>
      <c r="N781" s="29"/>
      <c r="O781" s="29"/>
      <c r="P781" s="29"/>
      <c r="Q781" s="29"/>
    </row>
    <row r="782" spans="7:17">
      <c r="G782" s="29"/>
      <c r="H782" s="29"/>
      <c r="I782" s="29"/>
      <c r="J782" s="29"/>
      <c r="K782" s="29"/>
      <c r="L782" s="29"/>
      <c r="M782" s="29"/>
      <c r="N782" s="29"/>
      <c r="O782" s="29"/>
      <c r="P782" s="29"/>
      <c r="Q782" s="29"/>
    </row>
    <row r="783" spans="7:17">
      <c r="G783" s="29"/>
      <c r="H783" s="29"/>
      <c r="I783" s="29"/>
      <c r="J783" s="29"/>
      <c r="K783" s="29"/>
      <c r="L783" s="29"/>
      <c r="M783" s="29"/>
      <c r="N783" s="29"/>
      <c r="O783" s="29"/>
      <c r="P783" s="29"/>
      <c r="Q783" s="29"/>
    </row>
    <row r="784" spans="7:17">
      <c r="G784" s="29"/>
      <c r="H784" s="29"/>
      <c r="I784" s="29"/>
      <c r="J784" s="29"/>
      <c r="K784" s="29"/>
      <c r="L784" s="29"/>
      <c r="M784" s="29"/>
      <c r="N784" s="29"/>
      <c r="O784" s="29"/>
      <c r="P784" s="29"/>
      <c r="Q784" s="29"/>
    </row>
    <row r="785" spans="7:17">
      <c r="G785" s="29"/>
      <c r="H785" s="29"/>
      <c r="I785" s="29"/>
      <c r="J785" s="29"/>
      <c r="K785" s="29"/>
      <c r="L785" s="29"/>
      <c r="M785" s="29"/>
      <c r="N785" s="29"/>
      <c r="O785" s="29"/>
      <c r="P785" s="29"/>
      <c r="Q785" s="29"/>
    </row>
    <row r="786" spans="7:17">
      <c r="G786" s="29"/>
      <c r="H786" s="29"/>
      <c r="I786" s="29"/>
      <c r="J786" s="29"/>
      <c r="K786" s="29"/>
      <c r="L786" s="29"/>
      <c r="M786" s="29"/>
      <c r="N786" s="29"/>
      <c r="O786" s="29"/>
      <c r="P786" s="29"/>
      <c r="Q786" s="29"/>
    </row>
    <row r="787" spans="7:17">
      <c r="G787" s="29"/>
      <c r="H787" s="29"/>
      <c r="I787" s="29"/>
      <c r="J787" s="29"/>
      <c r="K787" s="29"/>
      <c r="L787" s="29"/>
      <c r="M787" s="29"/>
      <c r="N787" s="29"/>
      <c r="O787" s="29"/>
      <c r="P787" s="29"/>
      <c r="Q787" s="29"/>
    </row>
    <row r="788" spans="7:17">
      <c r="G788" s="29"/>
      <c r="H788" s="29"/>
      <c r="I788" s="29"/>
      <c r="J788" s="29"/>
      <c r="K788" s="29"/>
      <c r="L788" s="29"/>
      <c r="M788" s="29"/>
      <c r="N788" s="29"/>
      <c r="O788" s="29"/>
      <c r="P788" s="29"/>
      <c r="Q788" s="29"/>
    </row>
    <row r="789" spans="7:17">
      <c r="G789" s="29"/>
      <c r="H789" s="29"/>
      <c r="I789" s="29"/>
      <c r="J789" s="29"/>
      <c r="K789" s="29"/>
      <c r="L789" s="29"/>
      <c r="M789" s="29"/>
      <c r="N789" s="29"/>
      <c r="O789" s="29"/>
      <c r="P789" s="29"/>
      <c r="Q789" s="29"/>
    </row>
    <row r="790" spans="7:17">
      <c r="G790" s="29"/>
      <c r="H790" s="29"/>
      <c r="I790" s="29"/>
      <c r="J790" s="29"/>
      <c r="K790" s="29"/>
      <c r="L790" s="29"/>
      <c r="M790" s="29"/>
      <c r="N790" s="29"/>
      <c r="O790" s="29"/>
      <c r="P790" s="29"/>
      <c r="Q790" s="29"/>
    </row>
    <row r="791" spans="7:17">
      <c r="G791" s="29"/>
      <c r="H791" s="29"/>
      <c r="I791" s="29"/>
      <c r="J791" s="29"/>
      <c r="K791" s="29"/>
      <c r="L791" s="29"/>
      <c r="M791" s="29"/>
      <c r="N791" s="29"/>
      <c r="O791" s="29"/>
      <c r="P791" s="29"/>
      <c r="Q791" s="29"/>
    </row>
    <row r="792" spans="7:17">
      <c r="G792" s="29"/>
      <c r="H792" s="29"/>
      <c r="I792" s="29"/>
      <c r="J792" s="29"/>
      <c r="K792" s="29"/>
      <c r="L792" s="29"/>
      <c r="M792" s="29"/>
      <c r="N792" s="29"/>
      <c r="O792" s="29"/>
      <c r="P792" s="29"/>
      <c r="Q792" s="29"/>
    </row>
    <row r="793" spans="7:17">
      <c r="G793" s="29"/>
      <c r="H793" s="29"/>
      <c r="I793" s="29"/>
      <c r="J793" s="29"/>
      <c r="K793" s="29"/>
      <c r="L793" s="29"/>
      <c r="M793" s="29"/>
      <c r="N793" s="29"/>
      <c r="O793" s="29"/>
      <c r="P793" s="29"/>
      <c r="Q793" s="29"/>
    </row>
    <row r="794" spans="7:17">
      <c r="G794" s="29"/>
      <c r="H794" s="29"/>
      <c r="I794" s="29"/>
      <c r="J794" s="29"/>
      <c r="K794" s="29"/>
      <c r="L794" s="29"/>
      <c r="M794" s="29"/>
      <c r="N794" s="29"/>
      <c r="O794" s="29"/>
      <c r="P794" s="29"/>
      <c r="Q794" s="29"/>
    </row>
    <row r="795" spans="7:17">
      <c r="G795" s="29"/>
      <c r="H795" s="29"/>
      <c r="I795" s="29"/>
      <c r="J795" s="29"/>
      <c r="K795" s="29"/>
      <c r="L795" s="29"/>
      <c r="M795" s="29"/>
      <c r="N795" s="29"/>
      <c r="O795" s="29"/>
      <c r="P795" s="29"/>
      <c r="Q795" s="29"/>
    </row>
    <row r="796" spans="7:17">
      <c r="G796" s="29"/>
      <c r="H796" s="29"/>
      <c r="I796" s="29"/>
      <c r="J796" s="29"/>
      <c r="K796" s="29"/>
      <c r="L796" s="29"/>
      <c r="M796" s="29"/>
      <c r="N796" s="29"/>
      <c r="O796" s="29"/>
      <c r="P796" s="29"/>
      <c r="Q796" s="29"/>
    </row>
    <row r="797" spans="7:17">
      <c r="G797" s="29"/>
      <c r="H797" s="29"/>
      <c r="I797" s="29"/>
      <c r="J797" s="29"/>
      <c r="K797" s="29"/>
      <c r="L797" s="29"/>
      <c r="M797" s="29"/>
      <c r="N797" s="29"/>
      <c r="O797" s="29"/>
      <c r="P797" s="29"/>
      <c r="Q797" s="29"/>
    </row>
    <row r="798" spans="7:17">
      <c r="G798" s="29"/>
      <c r="H798" s="29"/>
      <c r="I798" s="29"/>
      <c r="J798" s="29"/>
      <c r="K798" s="29"/>
      <c r="L798" s="29"/>
      <c r="M798" s="29"/>
      <c r="N798" s="29"/>
      <c r="O798" s="29"/>
      <c r="P798" s="29"/>
      <c r="Q798" s="29"/>
    </row>
    <row r="799" spans="7:17">
      <c r="G799" s="29"/>
      <c r="H799" s="29"/>
      <c r="I799" s="29"/>
      <c r="J799" s="29"/>
      <c r="K799" s="29"/>
      <c r="L799" s="29"/>
      <c r="M799" s="29"/>
      <c r="N799" s="29"/>
      <c r="O799" s="29"/>
      <c r="P799" s="29"/>
      <c r="Q799" s="29"/>
    </row>
    <row r="800" spans="7:17">
      <c r="G800" s="29"/>
      <c r="H800" s="29"/>
      <c r="I800" s="29"/>
      <c r="J800" s="29"/>
      <c r="K800" s="29"/>
      <c r="L800" s="29"/>
      <c r="M800" s="29"/>
      <c r="N800" s="29"/>
      <c r="O800" s="29"/>
      <c r="P800" s="29"/>
      <c r="Q800" s="29"/>
    </row>
    <row r="801" spans="7:17">
      <c r="G801" s="29"/>
      <c r="H801" s="29"/>
      <c r="I801" s="29"/>
      <c r="J801" s="29"/>
      <c r="K801" s="29"/>
      <c r="L801" s="29"/>
      <c r="M801" s="29"/>
      <c r="N801" s="29"/>
      <c r="O801" s="29"/>
      <c r="P801" s="29"/>
      <c r="Q801" s="29"/>
    </row>
    <row r="802" spans="7:17">
      <c r="G802" s="29"/>
      <c r="H802" s="29"/>
      <c r="I802" s="29"/>
      <c r="J802" s="29"/>
      <c r="K802" s="29"/>
      <c r="L802" s="29"/>
      <c r="M802" s="29"/>
      <c r="N802" s="29"/>
      <c r="O802" s="29"/>
      <c r="P802" s="29"/>
      <c r="Q802" s="29"/>
    </row>
    <row r="803" spans="7:17">
      <c r="G803" s="29"/>
      <c r="H803" s="29"/>
      <c r="I803" s="29"/>
      <c r="J803" s="29"/>
      <c r="K803" s="29"/>
      <c r="L803" s="29"/>
      <c r="M803" s="29"/>
      <c r="N803" s="29"/>
      <c r="O803" s="29"/>
      <c r="P803" s="29"/>
      <c r="Q803" s="29"/>
    </row>
    <row r="804" spans="7:17">
      <c r="G804" s="29"/>
      <c r="H804" s="29"/>
      <c r="I804" s="29"/>
      <c r="J804" s="29"/>
      <c r="K804" s="29"/>
      <c r="L804" s="29"/>
      <c r="M804" s="29"/>
      <c r="N804" s="29"/>
      <c r="O804" s="29"/>
      <c r="P804" s="29"/>
      <c r="Q804" s="29"/>
    </row>
    <row r="805" spans="7:17">
      <c r="G805" s="29"/>
      <c r="H805" s="29"/>
      <c r="I805" s="29"/>
      <c r="J805" s="29"/>
      <c r="K805" s="29"/>
      <c r="L805" s="29"/>
      <c r="M805" s="29"/>
      <c r="N805" s="29"/>
      <c r="O805" s="29"/>
      <c r="P805" s="29"/>
      <c r="Q805" s="29"/>
    </row>
    <row r="806" spans="7:17">
      <c r="G806" s="29"/>
      <c r="H806" s="29"/>
      <c r="I806" s="29"/>
      <c r="J806" s="29"/>
      <c r="K806" s="29"/>
      <c r="L806" s="29"/>
      <c r="M806" s="29"/>
      <c r="N806" s="29"/>
      <c r="O806" s="29"/>
      <c r="P806" s="29"/>
      <c r="Q806" s="29"/>
    </row>
    <row r="807" spans="7:17">
      <c r="G807" s="29"/>
      <c r="H807" s="29"/>
      <c r="I807" s="29"/>
      <c r="J807" s="29"/>
      <c r="K807" s="29"/>
      <c r="L807" s="29"/>
      <c r="M807" s="29"/>
      <c r="N807" s="29"/>
      <c r="O807" s="29"/>
      <c r="P807" s="29"/>
      <c r="Q807" s="29"/>
    </row>
    <row r="808" spans="7:17">
      <c r="G808" s="29"/>
      <c r="H808" s="29"/>
      <c r="I808" s="29"/>
      <c r="J808" s="29"/>
      <c r="K808" s="29"/>
      <c r="L808" s="29"/>
      <c r="M808" s="29"/>
      <c r="N808" s="29"/>
      <c r="O808" s="29"/>
      <c r="P808" s="29"/>
      <c r="Q808" s="29"/>
    </row>
    <row r="809" spans="7:17">
      <c r="G809" s="29"/>
      <c r="H809" s="29"/>
      <c r="I809" s="29"/>
      <c r="J809" s="29"/>
      <c r="K809" s="29"/>
      <c r="L809" s="29"/>
      <c r="M809" s="29"/>
      <c r="N809" s="29"/>
      <c r="O809" s="29"/>
      <c r="P809" s="29"/>
      <c r="Q809" s="29"/>
    </row>
    <row r="810" spans="7:17">
      <c r="G810" s="29"/>
      <c r="H810" s="29"/>
      <c r="I810" s="29"/>
      <c r="J810" s="29"/>
      <c r="K810" s="29"/>
      <c r="L810" s="29"/>
      <c r="M810" s="29"/>
      <c r="N810" s="29"/>
      <c r="O810" s="29"/>
      <c r="P810" s="29"/>
      <c r="Q810" s="29"/>
    </row>
    <row r="811" spans="7:17">
      <c r="G811" s="29"/>
      <c r="H811" s="29"/>
      <c r="I811" s="29"/>
      <c r="J811" s="29"/>
      <c r="K811" s="29"/>
      <c r="L811" s="29"/>
      <c r="M811" s="29"/>
      <c r="N811" s="29"/>
      <c r="O811" s="29"/>
      <c r="P811" s="29"/>
      <c r="Q811" s="29"/>
    </row>
    <row r="812" spans="7:17">
      <c r="G812" s="29"/>
      <c r="H812" s="29"/>
      <c r="I812" s="29"/>
      <c r="J812" s="29"/>
      <c r="K812" s="29"/>
      <c r="L812" s="29"/>
      <c r="M812" s="29"/>
      <c r="N812" s="29"/>
      <c r="O812" s="29"/>
      <c r="P812" s="29"/>
      <c r="Q812" s="29"/>
    </row>
    <row r="813" spans="7:17">
      <c r="G813" s="29"/>
      <c r="H813" s="29"/>
      <c r="I813" s="29"/>
      <c r="J813" s="29"/>
      <c r="K813" s="29"/>
      <c r="L813" s="29"/>
      <c r="M813" s="29"/>
      <c r="N813" s="29"/>
      <c r="O813" s="29"/>
      <c r="P813" s="29"/>
      <c r="Q813" s="29"/>
    </row>
    <row r="814" spans="7:17">
      <c r="G814" s="29"/>
      <c r="H814" s="29"/>
      <c r="I814" s="29"/>
      <c r="J814" s="29"/>
      <c r="K814" s="29"/>
      <c r="L814" s="29"/>
      <c r="M814" s="29"/>
      <c r="N814" s="29"/>
      <c r="O814" s="29"/>
      <c r="P814" s="29"/>
      <c r="Q814" s="29"/>
    </row>
    <row r="815" spans="7:17">
      <c r="G815" s="29"/>
      <c r="H815" s="29"/>
      <c r="I815" s="29"/>
      <c r="J815" s="29"/>
      <c r="K815" s="29"/>
      <c r="L815" s="29"/>
      <c r="M815" s="29"/>
      <c r="N815" s="29"/>
      <c r="O815" s="29"/>
      <c r="P815" s="29"/>
      <c r="Q815" s="29"/>
    </row>
    <row r="816" spans="7:17">
      <c r="G816" s="29"/>
      <c r="H816" s="29"/>
      <c r="I816" s="29"/>
      <c r="J816" s="29"/>
      <c r="K816" s="29"/>
      <c r="L816" s="29"/>
      <c r="M816" s="29"/>
      <c r="N816" s="29"/>
      <c r="O816" s="29"/>
      <c r="P816" s="29"/>
      <c r="Q816" s="29"/>
    </row>
    <row r="817" spans="7:17">
      <c r="G817" s="29"/>
      <c r="H817" s="29"/>
      <c r="I817" s="29"/>
      <c r="J817" s="29"/>
      <c r="K817" s="29"/>
      <c r="L817" s="29"/>
      <c r="M817" s="29"/>
      <c r="N817" s="29"/>
      <c r="O817" s="29"/>
      <c r="P817" s="29"/>
      <c r="Q817" s="29"/>
    </row>
    <row r="818" spans="7:17">
      <c r="G818" s="29"/>
      <c r="H818" s="29"/>
      <c r="I818" s="29"/>
      <c r="J818" s="29"/>
      <c r="K818" s="29"/>
      <c r="L818" s="29"/>
      <c r="M818" s="29"/>
      <c r="N818" s="29"/>
      <c r="O818" s="29"/>
      <c r="P818" s="29"/>
      <c r="Q818" s="29"/>
    </row>
    <row r="819" spans="7:17">
      <c r="G819" s="29"/>
      <c r="H819" s="29"/>
      <c r="I819" s="29"/>
      <c r="J819" s="29"/>
      <c r="K819" s="29"/>
      <c r="L819" s="29"/>
      <c r="M819" s="29"/>
      <c r="N819" s="29"/>
      <c r="O819" s="29"/>
      <c r="P819" s="29"/>
      <c r="Q819" s="29"/>
    </row>
    <row r="820" spans="7:17">
      <c r="G820" s="29"/>
      <c r="H820" s="29"/>
      <c r="I820" s="29"/>
      <c r="J820" s="29"/>
      <c r="K820" s="29"/>
      <c r="L820" s="29"/>
      <c r="M820" s="29"/>
      <c r="N820" s="29"/>
      <c r="O820" s="29"/>
      <c r="P820" s="29"/>
      <c r="Q820" s="29"/>
    </row>
    <row r="821" spans="7:17">
      <c r="G821" s="29"/>
      <c r="H821" s="29"/>
      <c r="I821" s="29"/>
      <c r="J821" s="29"/>
      <c r="K821" s="29"/>
      <c r="L821" s="29"/>
      <c r="M821" s="29"/>
      <c r="N821" s="29"/>
      <c r="O821" s="29"/>
      <c r="P821" s="29"/>
      <c r="Q821" s="29"/>
    </row>
    <row r="822" spans="7:17">
      <c r="G822" s="29"/>
      <c r="H822" s="29"/>
      <c r="I822" s="29"/>
      <c r="J822" s="29"/>
      <c r="K822" s="29"/>
      <c r="L822" s="29"/>
      <c r="M822" s="29"/>
      <c r="N822" s="29"/>
      <c r="O822" s="29"/>
      <c r="P822" s="29"/>
      <c r="Q822" s="29"/>
    </row>
    <row r="823" spans="7:17">
      <c r="G823" s="29"/>
      <c r="H823" s="29"/>
      <c r="I823" s="29"/>
      <c r="J823" s="29"/>
      <c r="K823" s="29"/>
      <c r="L823" s="29"/>
      <c r="M823" s="29"/>
      <c r="N823" s="29"/>
      <c r="O823" s="29"/>
      <c r="P823" s="29"/>
      <c r="Q823" s="29"/>
    </row>
    <row r="824" spans="7:17">
      <c r="G824" s="29"/>
      <c r="H824" s="29"/>
      <c r="I824" s="29"/>
      <c r="J824" s="29"/>
      <c r="K824" s="29"/>
      <c r="L824" s="29"/>
      <c r="M824" s="29"/>
      <c r="N824" s="29"/>
      <c r="O824" s="29"/>
      <c r="P824" s="29"/>
      <c r="Q824" s="29"/>
    </row>
    <row r="825" spans="7:17">
      <c r="G825" s="29"/>
      <c r="H825" s="29"/>
      <c r="I825" s="29"/>
      <c r="J825" s="29"/>
      <c r="K825" s="29"/>
      <c r="L825" s="29"/>
      <c r="M825" s="29"/>
      <c r="N825" s="29"/>
      <c r="O825" s="29"/>
      <c r="P825" s="29"/>
      <c r="Q825" s="29"/>
    </row>
    <row r="826" spans="7:17">
      <c r="G826" s="29"/>
      <c r="H826" s="29"/>
      <c r="I826" s="29"/>
      <c r="J826" s="29"/>
      <c r="K826" s="29"/>
      <c r="L826" s="29"/>
      <c r="M826" s="29"/>
      <c r="N826" s="29"/>
      <c r="O826" s="29"/>
      <c r="P826" s="29"/>
      <c r="Q826" s="29"/>
    </row>
    <row r="827" spans="7:17">
      <c r="G827" s="29"/>
      <c r="H827" s="29"/>
      <c r="I827" s="29"/>
      <c r="J827" s="29"/>
      <c r="K827" s="29"/>
      <c r="L827" s="29"/>
      <c r="M827" s="29"/>
      <c r="N827" s="29"/>
      <c r="O827" s="29"/>
      <c r="P827" s="29"/>
      <c r="Q827" s="29"/>
    </row>
    <row r="828" spans="7:17">
      <c r="G828" s="29"/>
      <c r="H828" s="29"/>
      <c r="I828" s="29"/>
      <c r="J828" s="29"/>
      <c r="K828" s="29"/>
      <c r="L828" s="29"/>
      <c r="M828" s="29"/>
      <c r="N828" s="29"/>
      <c r="O828" s="29"/>
      <c r="P828" s="29"/>
      <c r="Q828" s="29"/>
    </row>
    <row r="829" spans="7:17">
      <c r="G829" s="29"/>
      <c r="H829" s="29"/>
      <c r="I829" s="29"/>
      <c r="J829" s="29"/>
      <c r="K829" s="29"/>
      <c r="L829" s="29"/>
      <c r="M829" s="29"/>
      <c r="N829" s="29"/>
      <c r="O829" s="29"/>
      <c r="P829" s="29"/>
      <c r="Q829" s="29"/>
    </row>
    <row r="830" spans="7:17">
      <c r="G830" s="29"/>
      <c r="H830" s="29"/>
      <c r="I830" s="29"/>
      <c r="J830" s="29"/>
      <c r="K830" s="29"/>
      <c r="L830" s="29"/>
      <c r="M830" s="29"/>
      <c r="N830" s="29"/>
      <c r="O830" s="29"/>
      <c r="P830" s="29"/>
      <c r="Q830" s="29"/>
    </row>
    <row r="831" spans="7:17">
      <c r="G831" s="29"/>
      <c r="H831" s="29"/>
      <c r="I831" s="29"/>
      <c r="J831" s="29"/>
      <c r="K831" s="29"/>
      <c r="L831" s="29"/>
      <c r="M831" s="29"/>
      <c r="N831" s="29"/>
      <c r="O831" s="29"/>
      <c r="P831" s="29"/>
      <c r="Q831" s="29"/>
    </row>
    <row r="832" spans="7:17">
      <c r="G832" s="29"/>
      <c r="H832" s="29"/>
      <c r="I832" s="29"/>
      <c r="J832" s="29"/>
      <c r="K832" s="29"/>
      <c r="L832" s="29"/>
      <c r="M832" s="29"/>
      <c r="N832" s="29"/>
      <c r="O832" s="29"/>
      <c r="P832" s="29"/>
      <c r="Q832" s="29"/>
    </row>
    <row r="833" spans="7:17">
      <c r="G833" s="29"/>
      <c r="H833" s="29"/>
      <c r="I833" s="29"/>
      <c r="J833" s="29"/>
      <c r="K833" s="29"/>
      <c r="L833" s="29"/>
      <c r="M833" s="29"/>
      <c r="N833" s="29"/>
      <c r="O833" s="29"/>
      <c r="P833" s="29"/>
      <c r="Q833" s="29"/>
    </row>
    <row r="834" spans="7:17">
      <c r="G834" s="29"/>
      <c r="H834" s="29"/>
      <c r="I834" s="29"/>
      <c r="J834" s="29"/>
      <c r="K834" s="29"/>
      <c r="L834" s="29"/>
      <c r="M834" s="29"/>
      <c r="N834" s="29"/>
      <c r="O834" s="29"/>
      <c r="P834" s="29"/>
      <c r="Q834" s="29"/>
    </row>
    <row r="835" spans="7:17">
      <c r="G835" s="29"/>
      <c r="H835" s="29"/>
      <c r="I835" s="29"/>
      <c r="J835" s="29"/>
      <c r="K835" s="29"/>
      <c r="L835" s="29"/>
      <c r="M835" s="29"/>
      <c r="N835" s="29"/>
      <c r="O835" s="29"/>
      <c r="P835" s="29"/>
      <c r="Q835" s="29"/>
    </row>
    <row r="836" spans="7:17">
      <c r="G836" s="29"/>
      <c r="H836" s="29"/>
      <c r="I836" s="29"/>
      <c r="J836" s="29"/>
      <c r="K836" s="29"/>
      <c r="L836" s="29"/>
      <c r="M836" s="29"/>
      <c r="N836" s="29"/>
      <c r="O836" s="29"/>
      <c r="P836" s="29"/>
      <c r="Q836" s="29"/>
    </row>
    <row r="837" spans="7:17">
      <c r="G837" s="29"/>
      <c r="H837" s="29"/>
      <c r="I837" s="29"/>
      <c r="J837" s="29"/>
      <c r="K837" s="29"/>
      <c r="L837" s="29"/>
      <c r="M837" s="29"/>
      <c r="N837" s="29"/>
      <c r="O837" s="29"/>
      <c r="P837" s="29"/>
      <c r="Q837" s="29"/>
    </row>
    <row r="838" spans="7:17">
      <c r="G838" s="29"/>
      <c r="H838" s="29"/>
      <c r="I838" s="29"/>
      <c r="J838" s="29"/>
      <c r="K838" s="29"/>
      <c r="L838" s="29"/>
      <c r="M838" s="29"/>
      <c r="N838" s="29"/>
      <c r="O838" s="29"/>
      <c r="P838" s="29"/>
      <c r="Q838" s="29"/>
    </row>
    <row r="839" spans="7:17">
      <c r="G839" s="29"/>
      <c r="H839" s="29"/>
      <c r="I839" s="29"/>
      <c r="J839" s="29"/>
      <c r="K839" s="29"/>
      <c r="L839" s="29"/>
      <c r="M839" s="29"/>
      <c r="N839" s="29"/>
      <c r="O839" s="29"/>
      <c r="P839" s="29"/>
      <c r="Q839" s="29"/>
    </row>
    <row r="840" spans="7:17">
      <c r="G840" s="29"/>
      <c r="H840" s="29"/>
      <c r="I840" s="29"/>
      <c r="J840" s="29"/>
      <c r="K840" s="29"/>
      <c r="L840" s="29"/>
      <c r="M840" s="29"/>
      <c r="N840" s="29"/>
      <c r="O840" s="29"/>
      <c r="P840" s="29"/>
      <c r="Q840" s="29"/>
    </row>
    <row r="841" spans="7:17">
      <c r="G841" s="29"/>
      <c r="H841" s="29"/>
      <c r="I841" s="29"/>
      <c r="J841" s="29"/>
      <c r="K841" s="29"/>
      <c r="L841" s="29"/>
      <c r="M841" s="29"/>
      <c r="N841" s="29"/>
      <c r="O841" s="29"/>
      <c r="P841" s="29"/>
      <c r="Q841" s="29"/>
    </row>
    <row r="842" spans="7:17">
      <c r="G842" s="29"/>
      <c r="H842" s="29"/>
      <c r="I842" s="29"/>
      <c r="J842" s="29"/>
      <c r="K842" s="29"/>
      <c r="L842" s="29"/>
      <c r="M842" s="29"/>
      <c r="N842" s="29"/>
      <c r="O842" s="29"/>
      <c r="P842" s="29"/>
      <c r="Q842" s="29"/>
    </row>
    <row r="843" spans="7:17">
      <c r="G843" s="29"/>
      <c r="H843" s="29"/>
      <c r="I843" s="29"/>
      <c r="J843" s="29"/>
      <c r="K843" s="29"/>
      <c r="L843" s="29"/>
      <c r="M843" s="29"/>
      <c r="N843" s="29"/>
      <c r="O843" s="29"/>
      <c r="P843" s="29"/>
      <c r="Q843" s="29"/>
    </row>
    <row r="844" spans="7:17">
      <c r="G844" s="29"/>
      <c r="H844" s="29"/>
      <c r="I844" s="29"/>
      <c r="J844" s="29"/>
      <c r="K844" s="29"/>
      <c r="L844" s="29"/>
      <c r="M844" s="29"/>
      <c r="N844" s="29"/>
      <c r="O844" s="29"/>
      <c r="P844" s="29"/>
      <c r="Q844" s="29"/>
    </row>
    <row r="845" spans="7:17">
      <c r="G845" s="29"/>
      <c r="H845" s="29"/>
      <c r="I845" s="29"/>
      <c r="J845" s="29"/>
      <c r="K845" s="29"/>
      <c r="L845" s="29"/>
      <c r="M845" s="29"/>
      <c r="N845" s="29"/>
      <c r="O845" s="29"/>
      <c r="P845" s="29"/>
      <c r="Q845" s="29"/>
    </row>
    <row r="846" spans="7:17">
      <c r="G846" s="29"/>
      <c r="H846" s="29"/>
      <c r="I846" s="29"/>
      <c r="J846" s="29"/>
      <c r="K846" s="29"/>
      <c r="L846" s="29"/>
      <c r="M846" s="29"/>
      <c r="N846" s="29"/>
      <c r="O846" s="29"/>
      <c r="P846" s="29"/>
      <c r="Q846" s="29"/>
    </row>
    <row r="847" spans="7:17">
      <c r="G847" s="29"/>
      <c r="H847" s="29"/>
      <c r="I847" s="29"/>
      <c r="J847" s="29"/>
      <c r="K847" s="29"/>
      <c r="L847" s="29"/>
      <c r="M847" s="29"/>
      <c r="N847" s="29"/>
      <c r="O847" s="29"/>
      <c r="P847" s="29"/>
      <c r="Q847" s="29"/>
    </row>
    <row r="848" spans="7:17">
      <c r="G848" s="29"/>
      <c r="H848" s="29"/>
      <c r="I848" s="29"/>
      <c r="J848" s="29"/>
      <c r="K848" s="29"/>
      <c r="L848" s="29"/>
      <c r="M848" s="29"/>
      <c r="N848" s="29"/>
      <c r="O848" s="29"/>
      <c r="P848" s="29"/>
      <c r="Q848" s="29"/>
    </row>
    <row r="849" spans="7:17">
      <c r="G849" s="29"/>
      <c r="H849" s="29"/>
      <c r="I849" s="29"/>
      <c r="J849" s="29"/>
      <c r="K849" s="29"/>
      <c r="L849" s="29"/>
      <c r="M849" s="29"/>
      <c r="N849" s="29"/>
      <c r="O849" s="29"/>
      <c r="P849" s="29"/>
      <c r="Q849" s="29"/>
    </row>
    <row r="850" spans="7:17">
      <c r="G850" s="29"/>
      <c r="H850" s="29"/>
      <c r="I850" s="29"/>
      <c r="J850" s="29"/>
      <c r="K850" s="29"/>
      <c r="L850" s="29"/>
      <c r="M850" s="29"/>
      <c r="N850" s="29"/>
      <c r="O850" s="29"/>
      <c r="P850" s="29"/>
      <c r="Q850" s="29"/>
    </row>
    <row r="851" spans="7:17">
      <c r="G851" s="29"/>
      <c r="H851" s="29"/>
      <c r="I851" s="29"/>
      <c r="J851" s="29"/>
      <c r="K851" s="29"/>
      <c r="L851" s="29"/>
      <c r="M851" s="29"/>
      <c r="N851" s="29"/>
      <c r="O851" s="29"/>
      <c r="P851" s="29"/>
      <c r="Q851" s="29"/>
    </row>
    <row r="852" spans="7:17">
      <c r="G852" s="29"/>
      <c r="H852" s="29"/>
      <c r="I852" s="29"/>
      <c r="J852" s="29"/>
      <c r="K852" s="29"/>
      <c r="L852" s="29"/>
      <c r="M852" s="29"/>
      <c r="N852" s="29"/>
      <c r="O852" s="29"/>
      <c r="P852" s="29"/>
      <c r="Q852" s="29"/>
    </row>
    <row r="853" spans="7:17">
      <c r="G853" s="29"/>
      <c r="H853" s="29"/>
      <c r="I853" s="29"/>
      <c r="J853" s="29"/>
      <c r="K853" s="29"/>
      <c r="L853" s="29"/>
      <c r="M853" s="29"/>
      <c r="N853" s="29"/>
      <c r="O853" s="29"/>
      <c r="P853" s="29"/>
      <c r="Q853" s="29"/>
    </row>
    <row r="854" spans="7:17">
      <c r="G854" s="29"/>
      <c r="H854" s="29"/>
      <c r="I854" s="29"/>
      <c r="J854" s="29"/>
      <c r="K854" s="29"/>
      <c r="L854" s="29"/>
      <c r="M854" s="29"/>
      <c r="N854" s="29"/>
      <c r="O854" s="29"/>
      <c r="P854" s="29"/>
      <c r="Q854" s="29"/>
    </row>
    <row r="855" spans="7:17">
      <c r="G855" s="29"/>
      <c r="H855" s="29"/>
      <c r="I855" s="29"/>
      <c r="J855" s="29"/>
      <c r="K855" s="29"/>
      <c r="L855" s="29"/>
      <c r="M855" s="29"/>
      <c r="N855" s="29"/>
      <c r="O855" s="29"/>
      <c r="P855" s="29"/>
      <c r="Q855" s="29"/>
    </row>
    <row r="856" spans="7:17">
      <c r="G856" s="29"/>
      <c r="H856" s="29"/>
      <c r="I856" s="29"/>
      <c r="J856" s="29"/>
      <c r="K856" s="29"/>
      <c r="L856" s="29"/>
      <c r="M856" s="29"/>
      <c r="N856" s="29"/>
      <c r="O856" s="29"/>
      <c r="P856" s="29"/>
      <c r="Q856" s="29"/>
    </row>
    <row r="857" spans="7:17">
      <c r="G857" s="29"/>
      <c r="H857" s="29"/>
      <c r="I857" s="29"/>
      <c r="J857" s="29"/>
      <c r="K857" s="29"/>
      <c r="L857" s="29"/>
      <c r="M857" s="29"/>
      <c r="N857" s="29"/>
      <c r="O857" s="29"/>
      <c r="P857" s="29"/>
      <c r="Q857" s="29"/>
    </row>
    <row r="858" spans="7:17">
      <c r="G858" s="29"/>
      <c r="H858" s="29"/>
      <c r="I858" s="29"/>
      <c r="J858" s="29"/>
      <c r="K858" s="29"/>
      <c r="L858" s="29"/>
      <c r="M858" s="29"/>
      <c r="N858" s="29"/>
      <c r="O858" s="29"/>
      <c r="P858" s="29"/>
      <c r="Q858" s="29"/>
    </row>
    <row r="859" spans="7:17">
      <c r="G859" s="29"/>
      <c r="H859" s="29"/>
      <c r="I859" s="29"/>
      <c r="J859" s="29"/>
      <c r="K859" s="29"/>
      <c r="L859" s="29"/>
      <c r="M859" s="29"/>
      <c r="N859" s="29"/>
      <c r="O859" s="29"/>
      <c r="P859" s="29"/>
      <c r="Q859" s="29"/>
    </row>
    <row r="860" spans="7:17">
      <c r="G860" s="29"/>
      <c r="H860" s="29"/>
      <c r="I860" s="29"/>
      <c r="J860" s="29"/>
      <c r="K860" s="29"/>
      <c r="L860" s="29"/>
      <c r="M860" s="29"/>
      <c r="N860" s="29"/>
      <c r="O860" s="29"/>
      <c r="P860" s="29"/>
      <c r="Q860" s="29"/>
    </row>
    <row r="861" spans="7:17">
      <c r="G861" s="29"/>
      <c r="H861" s="29"/>
      <c r="I861" s="29"/>
      <c r="J861" s="29"/>
      <c r="K861" s="29"/>
      <c r="L861" s="29"/>
      <c r="M861" s="29"/>
      <c r="N861" s="29"/>
      <c r="O861" s="29"/>
      <c r="P861" s="29"/>
      <c r="Q861" s="29"/>
    </row>
    <row r="862" spans="7:17">
      <c r="G862" s="29"/>
      <c r="H862" s="29"/>
      <c r="I862" s="29"/>
      <c r="J862" s="29"/>
      <c r="K862" s="29"/>
      <c r="L862" s="29"/>
      <c r="M862" s="29"/>
      <c r="N862" s="29"/>
      <c r="O862" s="29"/>
      <c r="P862" s="29"/>
      <c r="Q862" s="29"/>
    </row>
    <row r="863" spans="7:17">
      <c r="G863" s="29"/>
      <c r="H863" s="29"/>
      <c r="I863" s="29"/>
      <c r="J863" s="29"/>
      <c r="K863" s="29"/>
      <c r="L863" s="29"/>
      <c r="M863" s="29"/>
      <c r="N863" s="29"/>
      <c r="O863" s="29"/>
      <c r="P863" s="29"/>
      <c r="Q863" s="29"/>
    </row>
    <row r="864" spans="7:17">
      <c r="G864" s="29"/>
      <c r="H864" s="29"/>
      <c r="I864" s="29"/>
      <c r="J864" s="29"/>
      <c r="K864" s="29"/>
      <c r="L864" s="29"/>
      <c r="M864" s="29"/>
      <c r="N864" s="29"/>
      <c r="O864" s="29"/>
      <c r="P864" s="29"/>
      <c r="Q864" s="29"/>
    </row>
    <row r="865" spans="7:17">
      <c r="G865" s="29"/>
      <c r="H865" s="29"/>
      <c r="I865" s="29"/>
      <c r="J865" s="29"/>
      <c r="K865" s="29"/>
      <c r="L865" s="29"/>
      <c r="M865" s="29"/>
      <c r="N865" s="29"/>
      <c r="O865" s="29"/>
      <c r="P865" s="29"/>
      <c r="Q865" s="29"/>
    </row>
    <row r="866" spans="7:17">
      <c r="G866" s="29"/>
      <c r="H866" s="29"/>
      <c r="I866" s="29"/>
      <c r="J866" s="29"/>
      <c r="K866" s="29"/>
      <c r="L866" s="29"/>
      <c r="M866" s="29"/>
      <c r="N866" s="29"/>
      <c r="O866" s="29"/>
      <c r="P866" s="29"/>
      <c r="Q866" s="29"/>
    </row>
    <row r="867" spans="7:17">
      <c r="G867" s="29"/>
      <c r="H867" s="29"/>
      <c r="I867" s="29"/>
      <c r="J867" s="29"/>
      <c r="K867" s="29"/>
      <c r="L867" s="29"/>
      <c r="M867" s="29"/>
      <c r="N867" s="29"/>
      <c r="O867" s="29"/>
      <c r="P867" s="29"/>
      <c r="Q867" s="29"/>
    </row>
    <row r="868" spans="7:17">
      <c r="G868" s="29"/>
      <c r="H868" s="29"/>
      <c r="I868" s="29"/>
      <c r="J868" s="29"/>
      <c r="K868" s="29"/>
      <c r="L868" s="29"/>
      <c r="M868" s="29"/>
      <c r="N868" s="29"/>
      <c r="O868" s="29"/>
      <c r="P868" s="29"/>
      <c r="Q868" s="29"/>
    </row>
    <row r="869" spans="7:17">
      <c r="G869" s="29"/>
      <c r="H869" s="29"/>
      <c r="I869" s="29"/>
      <c r="J869" s="29"/>
      <c r="K869" s="29"/>
      <c r="L869" s="29"/>
      <c r="M869" s="29"/>
      <c r="N869" s="29"/>
      <c r="O869" s="29"/>
      <c r="P869" s="29"/>
      <c r="Q869" s="29"/>
    </row>
    <row r="870" spans="7:17">
      <c r="G870" s="29"/>
      <c r="H870" s="29"/>
      <c r="I870" s="29"/>
      <c r="J870" s="29"/>
      <c r="K870" s="29"/>
      <c r="L870" s="29"/>
      <c r="M870" s="29"/>
      <c r="N870" s="29"/>
      <c r="O870" s="29"/>
      <c r="P870" s="29"/>
      <c r="Q870" s="29"/>
    </row>
    <row r="871" spans="7:17">
      <c r="G871" s="29"/>
      <c r="H871" s="29"/>
      <c r="I871" s="29"/>
      <c r="J871" s="29"/>
      <c r="K871" s="29"/>
      <c r="L871" s="29"/>
      <c r="M871" s="29"/>
      <c r="N871" s="29"/>
      <c r="O871" s="29"/>
      <c r="P871" s="29"/>
      <c r="Q871" s="29"/>
    </row>
    <row r="872" spans="7:17">
      <c r="G872" s="29"/>
      <c r="H872" s="29"/>
      <c r="I872" s="29"/>
      <c r="J872" s="29"/>
      <c r="K872" s="29"/>
      <c r="L872" s="29"/>
      <c r="M872" s="29"/>
      <c r="N872" s="29"/>
      <c r="O872" s="29"/>
      <c r="P872" s="29"/>
      <c r="Q872" s="29"/>
    </row>
    <row r="873" spans="7:17">
      <c r="G873" s="29"/>
      <c r="H873" s="29"/>
      <c r="I873" s="29"/>
      <c r="J873" s="29"/>
      <c r="K873" s="29"/>
      <c r="L873" s="29"/>
      <c r="M873" s="29"/>
      <c r="N873" s="29"/>
      <c r="O873" s="29"/>
      <c r="P873" s="29"/>
      <c r="Q873" s="29"/>
    </row>
    <row r="874" spans="7:17">
      <c r="G874" s="29"/>
      <c r="H874" s="29"/>
      <c r="I874" s="29"/>
      <c r="J874" s="29"/>
      <c r="K874" s="29"/>
      <c r="L874" s="29"/>
      <c r="M874" s="29"/>
      <c r="N874" s="29"/>
      <c r="O874" s="29"/>
      <c r="P874" s="29"/>
      <c r="Q874" s="29"/>
    </row>
    <row r="875" spans="7:17">
      <c r="G875" s="29"/>
      <c r="H875" s="29"/>
      <c r="I875" s="29"/>
      <c r="J875" s="29"/>
      <c r="K875" s="29"/>
      <c r="L875" s="29"/>
      <c r="M875" s="29"/>
      <c r="N875" s="29"/>
      <c r="O875" s="29"/>
      <c r="P875" s="29"/>
      <c r="Q875" s="29"/>
    </row>
    <row r="876" spans="7:17">
      <c r="G876" s="29"/>
      <c r="H876" s="29"/>
      <c r="I876" s="29"/>
      <c r="J876" s="29"/>
      <c r="K876" s="29"/>
      <c r="L876" s="29"/>
      <c r="M876" s="29"/>
      <c r="N876" s="29"/>
      <c r="O876" s="29"/>
      <c r="P876" s="29"/>
      <c r="Q876" s="29"/>
    </row>
    <row r="877" spans="7:17">
      <c r="G877" s="29"/>
      <c r="H877" s="29"/>
      <c r="I877" s="29"/>
      <c r="J877" s="29"/>
      <c r="K877" s="29"/>
      <c r="L877" s="29"/>
      <c r="M877" s="29"/>
      <c r="N877" s="29"/>
      <c r="O877" s="29"/>
      <c r="P877" s="29"/>
      <c r="Q877" s="29"/>
    </row>
    <row r="878" spans="7:17">
      <c r="G878" s="29"/>
      <c r="H878" s="29"/>
      <c r="I878" s="29"/>
      <c r="J878" s="29"/>
      <c r="K878" s="29"/>
      <c r="L878" s="29"/>
      <c r="M878" s="29"/>
      <c r="N878" s="29"/>
      <c r="O878" s="29"/>
      <c r="P878" s="29"/>
      <c r="Q878" s="29"/>
    </row>
    <row r="879" spans="7:17">
      <c r="G879" s="29"/>
      <c r="H879" s="29"/>
      <c r="I879" s="29"/>
      <c r="J879" s="29"/>
      <c r="K879" s="29"/>
      <c r="L879" s="29"/>
      <c r="M879" s="29"/>
      <c r="N879" s="29"/>
      <c r="O879" s="29"/>
      <c r="P879" s="29"/>
      <c r="Q879" s="29"/>
    </row>
    <row r="880" spans="7:17">
      <c r="G880" s="29"/>
      <c r="H880" s="29"/>
      <c r="I880" s="29"/>
      <c r="J880" s="29"/>
      <c r="K880" s="29"/>
      <c r="L880" s="29"/>
      <c r="M880" s="29"/>
      <c r="N880" s="29"/>
      <c r="O880" s="29"/>
      <c r="P880" s="29"/>
      <c r="Q880" s="29"/>
    </row>
    <row r="881" spans="7:17">
      <c r="G881" s="29"/>
      <c r="H881" s="29"/>
      <c r="I881" s="29"/>
      <c r="J881" s="29"/>
      <c r="K881" s="29"/>
      <c r="L881" s="29"/>
      <c r="M881" s="29"/>
      <c r="N881" s="29"/>
      <c r="O881" s="29"/>
      <c r="P881" s="29"/>
      <c r="Q881" s="29"/>
    </row>
    <row r="882" spans="7:17">
      <c r="G882" s="29"/>
      <c r="H882" s="29"/>
      <c r="I882" s="29"/>
      <c r="J882" s="29"/>
      <c r="K882" s="29"/>
      <c r="L882" s="29"/>
      <c r="M882" s="29"/>
      <c r="N882" s="29"/>
      <c r="O882" s="29"/>
      <c r="P882" s="29"/>
      <c r="Q882" s="29"/>
    </row>
    <row r="883" spans="7:17">
      <c r="G883" s="29"/>
      <c r="H883" s="29"/>
      <c r="I883" s="29"/>
      <c r="J883" s="29"/>
      <c r="K883" s="29"/>
      <c r="L883" s="29"/>
      <c r="M883" s="29"/>
      <c r="N883" s="29"/>
      <c r="O883" s="29"/>
      <c r="P883" s="29"/>
      <c r="Q883" s="29"/>
    </row>
    <row r="884" spans="7:17">
      <c r="G884" s="29"/>
      <c r="H884" s="29"/>
      <c r="I884" s="29"/>
      <c r="J884" s="29"/>
      <c r="K884" s="29"/>
      <c r="L884" s="29"/>
      <c r="M884" s="29"/>
      <c r="N884" s="29"/>
      <c r="O884" s="29"/>
      <c r="P884" s="29"/>
      <c r="Q884" s="29"/>
    </row>
    <row r="885" spans="7:17">
      <c r="G885" s="29"/>
      <c r="H885" s="29"/>
      <c r="I885" s="29"/>
      <c r="J885" s="29"/>
      <c r="K885" s="29"/>
      <c r="L885" s="29"/>
      <c r="M885" s="29"/>
      <c r="N885" s="29"/>
      <c r="O885" s="29"/>
      <c r="P885" s="29"/>
      <c r="Q885" s="29"/>
    </row>
    <row r="886" spans="7:17">
      <c r="G886" s="29"/>
      <c r="H886" s="29"/>
      <c r="I886" s="29"/>
      <c r="J886" s="29"/>
      <c r="K886" s="29"/>
      <c r="L886" s="29"/>
      <c r="M886" s="29"/>
      <c r="N886" s="29"/>
      <c r="O886" s="29"/>
      <c r="P886" s="29"/>
      <c r="Q886" s="29"/>
    </row>
    <row r="887" spans="7:17">
      <c r="G887" s="29"/>
      <c r="H887" s="29"/>
      <c r="I887" s="29"/>
      <c r="J887" s="29"/>
      <c r="K887" s="29"/>
      <c r="L887" s="29"/>
      <c r="M887" s="29"/>
      <c r="N887" s="29"/>
      <c r="O887" s="29"/>
      <c r="P887" s="29"/>
      <c r="Q887" s="29"/>
    </row>
    <row r="888" spans="7:17">
      <c r="G888" s="29"/>
      <c r="H888" s="29"/>
      <c r="I888" s="29"/>
      <c r="J888" s="29"/>
      <c r="K888" s="29"/>
      <c r="L888" s="29"/>
      <c r="M888" s="29"/>
      <c r="N888" s="29"/>
      <c r="O888" s="29"/>
      <c r="P888" s="29"/>
      <c r="Q888" s="29"/>
    </row>
    <row r="889" spans="7:17">
      <c r="G889" s="29"/>
      <c r="H889" s="29"/>
      <c r="I889" s="29"/>
      <c r="J889" s="29"/>
      <c r="K889" s="29"/>
      <c r="L889" s="29"/>
      <c r="M889" s="29"/>
      <c r="N889" s="29"/>
      <c r="O889" s="29"/>
      <c r="P889" s="29"/>
      <c r="Q889" s="29"/>
    </row>
    <row r="890" spans="7:17">
      <c r="G890" s="29"/>
      <c r="H890" s="29"/>
      <c r="I890" s="29"/>
      <c r="J890" s="29"/>
      <c r="K890" s="29"/>
      <c r="L890" s="29"/>
      <c r="M890" s="29"/>
      <c r="N890" s="29"/>
      <c r="O890" s="29"/>
      <c r="P890" s="29"/>
      <c r="Q890" s="29"/>
    </row>
    <row r="891" spans="7:17">
      <c r="G891" s="29"/>
      <c r="H891" s="29"/>
      <c r="I891" s="29"/>
      <c r="J891" s="29"/>
      <c r="K891" s="29"/>
      <c r="L891" s="29"/>
      <c r="M891" s="29"/>
      <c r="N891" s="29"/>
      <c r="O891" s="29"/>
      <c r="P891" s="29"/>
      <c r="Q891" s="29"/>
    </row>
    <row r="892" spans="7:17">
      <c r="G892" s="29"/>
      <c r="H892" s="29"/>
      <c r="I892" s="29"/>
      <c r="J892" s="29"/>
      <c r="K892" s="29"/>
      <c r="L892" s="29"/>
      <c r="M892" s="29"/>
      <c r="N892" s="29"/>
      <c r="O892" s="29"/>
      <c r="P892" s="29"/>
      <c r="Q892" s="29"/>
    </row>
    <row r="893" spans="7:17">
      <c r="G893" s="29"/>
      <c r="H893" s="29"/>
      <c r="I893" s="29"/>
      <c r="J893" s="29"/>
      <c r="K893" s="29"/>
      <c r="L893" s="29"/>
      <c r="M893" s="29"/>
      <c r="N893" s="29"/>
      <c r="O893" s="29"/>
      <c r="P893" s="29"/>
      <c r="Q893" s="29"/>
    </row>
    <row r="894" spans="7:17">
      <c r="G894" s="29"/>
      <c r="H894" s="29"/>
      <c r="I894" s="29"/>
      <c r="J894" s="29"/>
      <c r="K894" s="29"/>
      <c r="L894" s="29"/>
      <c r="M894" s="29"/>
      <c r="N894" s="29"/>
      <c r="O894" s="29"/>
      <c r="P894" s="29"/>
      <c r="Q894" s="29"/>
    </row>
    <row r="895" spans="7:17">
      <c r="G895" s="29"/>
      <c r="H895" s="29"/>
      <c r="I895" s="29"/>
      <c r="J895" s="29"/>
      <c r="K895" s="29"/>
      <c r="L895" s="29"/>
      <c r="M895" s="29"/>
      <c r="N895" s="29"/>
      <c r="O895" s="29"/>
      <c r="P895" s="29"/>
      <c r="Q895" s="29"/>
    </row>
    <row r="896" spans="7:17">
      <c r="G896" s="29"/>
      <c r="H896" s="29"/>
      <c r="I896" s="29"/>
      <c r="J896" s="29"/>
      <c r="K896" s="29"/>
      <c r="L896" s="29"/>
      <c r="M896" s="29"/>
      <c r="N896" s="29"/>
      <c r="O896" s="29"/>
      <c r="P896" s="29"/>
      <c r="Q896" s="29"/>
    </row>
    <row r="897" spans="7:17">
      <c r="G897" s="29"/>
      <c r="H897" s="29"/>
      <c r="I897" s="29"/>
      <c r="J897" s="29"/>
      <c r="K897" s="29"/>
      <c r="L897" s="29"/>
      <c r="M897" s="29"/>
      <c r="N897" s="29"/>
      <c r="O897" s="29"/>
      <c r="P897" s="29"/>
      <c r="Q897" s="29"/>
    </row>
    <row r="898" spans="7:17">
      <c r="G898" s="29"/>
      <c r="H898" s="29"/>
      <c r="I898" s="29"/>
      <c r="J898" s="29"/>
      <c r="K898" s="29"/>
      <c r="L898" s="29"/>
      <c r="M898" s="29"/>
      <c r="N898" s="29"/>
      <c r="O898" s="29"/>
      <c r="P898" s="29"/>
      <c r="Q898" s="29"/>
    </row>
    <row r="899" spans="7:17">
      <c r="G899" s="29"/>
      <c r="H899" s="29"/>
      <c r="I899" s="29"/>
      <c r="J899" s="29"/>
      <c r="K899" s="29"/>
      <c r="L899" s="29"/>
      <c r="M899" s="29"/>
      <c r="N899" s="29"/>
      <c r="O899" s="29"/>
      <c r="P899" s="29"/>
      <c r="Q899" s="29"/>
    </row>
    <row r="900" spans="7:17">
      <c r="G900" s="29"/>
      <c r="H900" s="29"/>
      <c r="I900" s="29"/>
      <c r="J900" s="29"/>
      <c r="K900" s="29"/>
      <c r="L900" s="29"/>
      <c r="M900" s="29"/>
      <c r="N900" s="29"/>
      <c r="O900" s="29"/>
      <c r="P900" s="29"/>
      <c r="Q900" s="29"/>
    </row>
    <row r="901" spans="7:17">
      <c r="G901" s="29"/>
      <c r="H901" s="29"/>
      <c r="I901" s="29"/>
      <c r="J901" s="29"/>
      <c r="K901" s="29"/>
      <c r="L901" s="29"/>
      <c r="M901" s="29"/>
      <c r="N901" s="29"/>
      <c r="O901" s="29"/>
      <c r="P901" s="29"/>
      <c r="Q901" s="29"/>
    </row>
    <row r="902" spans="7:17">
      <c r="G902" s="29"/>
      <c r="H902" s="29"/>
      <c r="I902" s="29"/>
      <c r="J902" s="29"/>
      <c r="K902" s="29"/>
      <c r="L902" s="29"/>
      <c r="M902" s="29"/>
      <c r="N902" s="29"/>
      <c r="O902" s="29"/>
      <c r="P902" s="29"/>
      <c r="Q902" s="29"/>
    </row>
    <row r="903" spans="7:17">
      <c r="G903" s="29"/>
      <c r="H903" s="29"/>
      <c r="I903" s="29"/>
      <c r="J903" s="29"/>
      <c r="K903" s="29"/>
      <c r="L903" s="29"/>
      <c r="M903" s="29"/>
      <c r="N903" s="29"/>
      <c r="O903" s="29"/>
      <c r="P903" s="29"/>
      <c r="Q903" s="29"/>
    </row>
    <row r="904" spans="7:17">
      <c r="G904" s="29"/>
      <c r="H904" s="29"/>
      <c r="I904" s="29"/>
      <c r="J904" s="29"/>
      <c r="K904" s="29"/>
      <c r="L904" s="29"/>
      <c r="M904" s="29"/>
      <c r="N904" s="29"/>
      <c r="O904" s="29"/>
      <c r="P904" s="29"/>
      <c r="Q904" s="29"/>
    </row>
    <row r="905" spans="7:17">
      <c r="G905" s="29"/>
      <c r="H905" s="29"/>
      <c r="I905" s="29"/>
      <c r="J905" s="29"/>
      <c r="K905" s="29"/>
      <c r="L905" s="29"/>
      <c r="M905" s="29"/>
      <c r="N905" s="29"/>
      <c r="O905" s="29"/>
      <c r="P905" s="29"/>
      <c r="Q905" s="29"/>
    </row>
    <row r="906" spans="7:17">
      <c r="G906" s="29"/>
      <c r="H906" s="29"/>
      <c r="I906" s="29"/>
      <c r="J906" s="29"/>
      <c r="K906" s="29"/>
      <c r="L906" s="29"/>
      <c r="M906" s="29"/>
      <c r="N906" s="29"/>
      <c r="O906" s="29"/>
      <c r="P906" s="29"/>
      <c r="Q906" s="29"/>
    </row>
    <row r="907" spans="7:17">
      <c r="G907" s="29"/>
      <c r="H907" s="29"/>
      <c r="I907" s="29"/>
      <c r="J907" s="29"/>
      <c r="K907" s="29"/>
      <c r="L907" s="29"/>
      <c r="M907" s="29"/>
      <c r="N907" s="29"/>
      <c r="O907" s="29"/>
      <c r="P907" s="29"/>
      <c r="Q907" s="29"/>
    </row>
    <row r="908" spans="7:17">
      <c r="G908" s="29"/>
      <c r="H908" s="29"/>
      <c r="I908" s="29"/>
      <c r="J908" s="29"/>
      <c r="K908" s="29"/>
      <c r="L908" s="29"/>
      <c r="M908" s="29"/>
      <c r="N908" s="29"/>
      <c r="O908" s="29"/>
      <c r="P908" s="29"/>
      <c r="Q908" s="29"/>
    </row>
    <row r="909" spans="7:17">
      <c r="G909" s="29"/>
      <c r="H909" s="29"/>
      <c r="I909" s="29"/>
      <c r="J909" s="29"/>
      <c r="K909" s="29"/>
      <c r="L909" s="29"/>
      <c r="M909" s="29"/>
      <c r="N909" s="29"/>
      <c r="O909" s="29"/>
      <c r="P909" s="29"/>
      <c r="Q909" s="29"/>
    </row>
    <row r="910" spans="7:17">
      <c r="G910" s="29"/>
      <c r="H910" s="29"/>
      <c r="I910" s="29"/>
      <c r="J910" s="29"/>
      <c r="K910" s="29"/>
      <c r="L910" s="29"/>
      <c r="M910" s="29"/>
      <c r="N910" s="29"/>
      <c r="O910" s="29"/>
      <c r="P910" s="29"/>
      <c r="Q910" s="29"/>
    </row>
    <row r="911" spans="7:17">
      <c r="G911" s="29"/>
      <c r="H911" s="29"/>
      <c r="I911" s="29"/>
      <c r="J911" s="29"/>
      <c r="K911" s="29"/>
      <c r="L911" s="29"/>
      <c r="M911" s="29"/>
      <c r="N911" s="29"/>
      <c r="O911" s="29"/>
      <c r="P911" s="29"/>
      <c r="Q911" s="29"/>
    </row>
    <row r="912" spans="7:17">
      <c r="G912" s="29"/>
      <c r="H912" s="29"/>
      <c r="I912" s="29"/>
      <c r="J912" s="29"/>
      <c r="K912" s="29"/>
      <c r="L912" s="29"/>
      <c r="M912" s="29"/>
      <c r="N912" s="29"/>
      <c r="O912" s="29"/>
      <c r="P912" s="29"/>
      <c r="Q912" s="29"/>
    </row>
    <row r="913" spans="7:17">
      <c r="G913" s="29"/>
      <c r="H913" s="29"/>
      <c r="I913" s="29"/>
      <c r="J913" s="29"/>
      <c r="K913" s="29"/>
      <c r="L913" s="29"/>
      <c r="M913" s="29"/>
      <c r="N913" s="29"/>
      <c r="O913" s="29"/>
      <c r="P913" s="29"/>
      <c r="Q913" s="29"/>
    </row>
    <row r="914" spans="7:17">
      <c r="G914" s="29"/>
      <c r="H914" s="29"/>
      <c r="I914" s="29"/>
      <c r="J914" s="29"/>
      <c r="K914" s="29"/>
      <c r="L914" s="29"/>
      <c r="M914" s="29"/>
      <c r="N914" s="29"/>
      <c r="O914" s="29"/>
      <c r="P914" s="29"/>
      <c r="Q914" s="29"/>
    </row>
    <row r="915" spans="7:17">
      <c r="G915" s="29"/>
      <c r="H915" s="29"/>
      <c r="I915" s="29"/>
      <c r="J915" s="29"/>
      <c r="K915" s="29"/>
      <c r="L915" s="29"/>
      <c r="M915" s="29"/>
      <c r="N915" s="29"/>
      <c r="O915" s="29"/>
      <c r="P915" s="29"/>
      <c r="Q915" s="29"/>
    </row>
    <row r="916" spans="7:17">
      <c r="G916" s="29"/>
      <c r="H916" s="29"/>
      <c r="I916" s="29"/>
      <c r="J916" s="29"/>
      <c r="K916" s="29"/>
      <c r="L916" s="29"/>
      <c r="M916" s="29"/>
      <c r="N916" s="29"/>
      <c r="O916" s="29"/>
      <c r="P916" s="29"/>
      <c r="Q916" s="29"/>
    </row>
    <row r="917" spans="7:17">
      <c r="G917" s="29"/>
      <c r="H917" s="29"/>
      <c r="I917" s="29"/>
      <c r="J917" s="29"/>
      <c r="K917" s="29"/>
      <c r="L917" s="29"/>
      <c r="M917" s="29"/>
      <c r="N917" s="29"/>
      <c r="O917" s="29"/>
      <c r="P917" s="29"/>
      <c r="Q917" s="29"/>
    </row>
    <row r="918" spans="7:17">
      <c r="G918" s="29"/>
      <c r="H918" s="29"/>
      <c r="I918" s="29"/>
      <c r="J918" s="29"/>
      <c r="K918" s="29"/>
      <c r="L918" s="29"/>
      <c r="M918" s="29"/>
      <c r="N918" s="29"/>
      <c r="O918" s="29"/>
      <c r="P918" s="29"/>
      <c r="Q918" s="29"/>
    </row>
    <row r="919" spans="7:17">
      <c r="G919" s="29"/>
      <c r="H919" s="29"/>
      <c r="I919" s="29"/>
      <c r="J919" s="29"/>
      <c r="K919" s="29"/>
      <c r="L919" s="29"/>
      <c r="M919" s="29"/>
      <c r="N919" s="29"/>
      <c r="O919" s="29"/>
      <c r="P919" s="29"/>
      <c r="Q919" s="29"/>
    </row>
    <row r="920" spans="7:17">
      <c r="G920" s="29"/>
      <c r="H920" s="29"/>
      <c r="I920" s="29"/>
      <c r="J920" s="29"/>
      <c r="K920" s="29"/>
      <c r="L920" s="29"/>
      <c r="M920" s="29"/>
      <c r="N920" s="29"/>
      <c r="O920" s="29"/>
      <c r="P920" s="29"/>
      <c r="Q920" s="29"/>
    </row>
    <row r="921" spans="7:17">
      <c r="G921" s="29"/>
      <c r="H921" s="29"/>
      <c r="I921" s="29"/>
      <c r="J921" s="29"/>
      <c r="K921" s="29"/>
      <c r="L921" s="29"/>
      <c r="M921" s="29"/>
      <c r="N921" s="29"/>
      <c r="O921" s="29"/>
      <c r="P921" s="29"/>
      <c r="Q921" s="29"/>
    </row>
    <row r="922" spans="7:17">
      <c r="G922" s="29"/>
      <c r="H922" s="29"/>
      <c r="I922" s="29"/>
      <c r="J922" s="29"/>
      <c r="K922" s="29"/>
      <c r="L922" s="29"/>
      <c r="M922" s="29"/>
      <c r="N922" s="29"/>
      <c r="O922" s="29"/>
      <c r="P922" s="29"/>
      <c r="Q922" s="29"/>
    </row>
    <row r="923" spans="7:17">
      <c r="G923" s="29"/>
      <c r="H923" s="29"/>
      <c r="I923" s="29"/>
      <c r="J923" s="29"/>
      <c r="K923" s="29"/>
      <c r="L923" s="29"/>
      <c r="M923" s="29"/>
      <c r="N923" s="29"/>
      <c r="O923" s="29"/>
      <c r="P923" s="29"/>
      <c r="Q923" s="29"/>
    </row>
    <row r="924" spans="7:17">
      <c r="G924" s="29"/>
      <c r="H924" s="29"/>
      <c r="I924" s="29"/>
      <c r="J924" s="29"/>
      <c r="K924" s="29"/>
      <c r="L924" s="29"/>
      <c r="M924" s="29"/>
      <c r="N924" s="29"/>
      <c r="O924" s="29"/>
      <c r="P924" s="29"/>
      <c r="Q924" s="29"/>
    </row>
    <row r="925" spans="7:17">
      <c r="G925" s="29"/>
      <c r="H925" s="29"/>
      <c r="I925" s="29"/>
      <c r="J925" s="29"/>
      <c r="K925" s="29"/>
      <c r="L925" s="29"/>
      <c r="M925" s="29"/>
      <c r="N925" s="29"/>
      <c r="O925" s="29"/>
      <c r="P925" s="29"/>
      <c r="Q925" s="29"/>
    </row>
    <row r="926" spans="7:17">
      <c r="G926" s="29"/>
      <c r="H926" s="29"/>
      <c r="I926" s="29"/>
      <c r="J926" s="29"/>
      <c r="K926" s="29"/>
      <c r="L926" s="29"/>
      <c r="M926" s="29"/>
      <c r="N926" s="29"/>
      <c r="O926" s="29"/>
      <c r="P926" s="29"/>
      <c r="Q926" s="29"/>
    </row>
    <row r="927" spans="7:17">
      <c r="G927" s="29"/>
      <c r="H927" s="29"/>
      <c r="I927" s="29"/>
      <c r="J927" s="29"/>
      <c r="K927" s="29"/>
      <c r="L927" s="29"/>
      <c r="M927" s="29"/>
      <c r="N927" s="29"/>
      <c r="O927" s="29"/>
      <c r="P927" s="29"/>
      <c r="Q927" s="29"/>
    </row>
    <row r="928" spans="7:17">
      <c r="G928" s="29"/>
      <c r="H928" s="29"/>
      <c r="I928" s="29"/>
      <c r="J928" s="29"/>
      <c r="K928" s="29"/>
      <c r="L928" s="29"/>
      <c r="M928" s="29"/>
      <c r="N928" s="29"/>
      <c r="O928" s="29"/>
      <c r="P928" s="29"/>
      <c r="Q928" s="29"/>
    </row>
    <row r="929" spans="7:17">
      <c r="G929" s="29"/>
      <c r="H929" s="29"/>
      <c r="I929" s="29"/>
      <c r="J929" s="29"/>
      <c r="K929" s="29"/>
      <c r="L929" s="29"/>
      <c r="M929" s="29"/>
      <c r="N929" s="29"/>
      <c r="O929" s="29"/>
      <c r="P929" s="29"/>
      <c r="Q929" s="29"/>
    </row>
    <row r="930" spans="7:17">
      <c r="G930" s="29"/>
      <c r="H930" s="29"/>
      <c r="I930" s="29"/>
      <c r="J930" s="29"/>
      <c r="K930" s="29"/>
      <c r="L930" s="29"/>
      <c r="M930" s="29"/>
      <c r="N930" s="29"/>
      <c r="O930" s="29"/>
      <c r="P930" s="29"/>
      <c r="Q930" s="29"/>
    </row>
    <row r="931" spans="7:17">
      <c r="G931" s="29"/>
      <c r="H931" s="29"/>
      <c r="I931" s="29"/>
      <c r="J931" s="29"/>
      <c r="K931" s="29"/>
      <c r="L931" s="29"/>
      <c r="M931" s="29"/>
      <c r="N931" s="29"/>
      <c r="O931" s="29"/>
      <c r="P931" s="29"/>
      <c r="Q931" s="29"/>
    </row>
    <row r="932" spans="7:17">
      <c r="G932" s="29"/>
      <c r="H932" s="29"/>
      <c r="I932" s="29"/>
      <c r="J932" s="29"/>
      <c r="K932" s="29"/>
      <c r="L932" s="29"/>
      <c r="M932" s="29"/>
      <c r="N932" s="29"/>
      <c r="O932" s="29"/>
      <c r="P932" s="29"/>
      <c r="Q932" s="29"/>
    </row>
    <row r="933" spans="7:17">
      <c r="G933" s="29"/>
      <c r="H933" s="29"/>
      <c r="I933" s="29"/>
      <c r="J933" s="29"/>
      <c r="K933" s="29"/>
      <c r="L933" s="29"/>
      <c r="M933" s="29"/>
      <c r="N933" s="29"/>
      <c r="O933" s="29"/>
      <c r="P933" s="29"/>
      <c r="Q933" s="29"/>
    </row>
    <row r="934" spans="7:17">
      <c r="G934" s="29"/>
      <c r="H934" s="29"/>
      <c r="I934" s="29"/>
      <c r="J934" s="29"/>
      <c r="K934" s="29"/>
      <c r="L934" s="29"/>
      <c r="M934" s="29"/>
      <c r="N934" s="29"/>
      <c r="O934" s="29"/>
      <c r="P934" s="29"/>
      <c r="Q934" s="29"/>
    </row>
    <row r="935" spans="7:17">
      <c r="G935" s="29"/>
      <c r="H935" s="29"/>
      <c r="I935" s="29"/>
      <c r="J935" s="29"/>
      <c r="K935" s="29"/>
      <c r="L935" s="29"/>
      <c r="M935" s="29"/>
      <c r="N935" s="29"/>
      <c r="O935" s="29"/>
      <c r="P935" s="29"/>
      <c r="Q935" s="29"/>
    </row>
    <row r="936" spans="7:17">
      <c r="G936" s="29"/>
      <c r="H936" s="29"/>
      <c r="I936" s="29"/>
      <c r="J936" s="29"/>
      <c r="K936" s="29"/>
      <c r="L936" s="29"/>
      <c r="M936" s="29"/>
      <c r="N936" s="29"/>
      <c r="O936" s="29"/>
      <c r="P936" s="29"/>
      <c r="Q936" s="29"/>
    </row>
    <row r="937" spans="7:17">
      <c r="G937" s="29"/>
      <c r="H937" s="29"/>
      <c r="I937" s="29"/>
      <c r="J937" s="29"/>
      <c r="K937" s="29"/>
      <c r="L937" s="29"/>
      <c r="M937" s="29"/>
      <c r="N937" s="29"/>
      <c r="O937" s="29"/>
      <c r="P937" s="29"/>
      <c r="Q937" s="29"/>
    </row>
    <row r="938" spans="7:17">
      <c r="G938" s="29"/>
      <c r="H938" s="29"/>
      <c r="I938" s="29"/>
      <c r="J938" s="29"/>
      <c r="K938" s="29"/>
      <c r="L938" s="29"/>
      <c r="M938" s="29"/>
      <c r="N938" s="29"/>
      <c r="O938" s="29"/>
      <c r="P938" s="29"/>
      <c r="Q938" s="29"/>
    </row>
    <row r="939" spans="7:17">
      <c r="G939" s="29"/>
      <c r="H939" s="29"/>
      <c r="I939" s="29"/>
      <c r="J939" s="29"/>
      <c r="K939" s="29"/>
      <c r="L939" s="29"/>
      <c r="M939" s="29"/>
      <c r="N939" s="29"/>
      <c r="O939" s="29"/>
      <c r="P939" s="29"/>
      <c r="Q939" s="29"/>
    </row>
    <row r="940" spans="7:17">
      <c r="G940" s="29"/>
      <c r="H940" s="29"/>
      <c r="I940" s="29"/>
      <c r="J940" s="29"/>
      <c r="K940" s="29"/>
      <c r="L940" s="29"/>
      <c r="M940" s="29"/>
      <c r="N940" s="29"/>
      <c r="O940" s="29"/>
      <c r="P940" s="29"/>
      <c r="Q940" s="29"/>
    </row>
    <row r="941" spans="7:17">
      <c r="G941" s="29"/>
      <c r="H941" s="29"/>
      <c r="I941" s="29"/>
      <c r="J941" s="29"/>
      <c r="K941" s="29"/>
      <c r="L941" s="29"/>
      <c r="M941" s="29"/>
      <c r="N941" s="29"/>
      <c r="O941" s="29"/>
      <c r="P941" s="29"/>
      <c r="Q941" s="29"/>
    </row>
    <row r="942" spans="7:17">
      <c r="G942" s="29"/>
      <c r="H942" s="29"/>
      <c r="I942" s="29"/>
      <c r="J942" s="29"/>
      <c r="K942" s="29"/>
      <c r="L942" s="29"/>
      <c r="M942" s="29"/>
      <c r="N942" s="29"/>
      <c r="O942" s="29"/>
      <c r="P942" s="29"/>
      <c r="Q942" s="29"/>
    </row>
    <row r="943" spans="7:17">
      <c r="G943" s="29"/>
      <c r="H943" s="29"/>
      <c r="I943" s="29"/>
      <c r="J943" s="29"/>
      <c r="K943" s="29"/>
      <c r="L943" s="29"/>
      <c r="M943" s="29"/>
      <c r="N943" s="29"/>
      <c r="O943" s="29"/>
      <c r="P943" s="29"/>
      <c r="Q943" s="29"/>
    </row>
    <row r="944" spans="7:17">
      <c r="G944" s="29"/>
      <c r="H944" s="29"/>
      <c r="I944" s="29"/>
      <c r="J944" s="29"/>
      <c r="K944" s="29"/>
      <c r="L944" s="29"/>
      <c r="M944" s="29"/>
      <c r="N944" s="29"/>
      <c r="O944" s="29"/>
      <c r="P944" s="29"/>
      <c r="Q944" s="29"/>
    </row>
    <row r="945" spans="7:17">
      <c r="G945" s="29"/>
      <c r="H945" s="29"/>
      <c r="I945" s="29"/>
      <c r="J945" s="29"/>
      <c r="K945" s="29"/>
      <c r="L945" s="29"/>
      <c r="M945" s="29"/>
      <c r="N945" s="29"/>
      <c r="O945" s="29"/>
      <c r="P945" s="29"/>
      <c r="Q945" s="29"/>
    </row>
    <row r="946" spans="7:17">
      <c r="G946" s="29"/>
      <c r="H946" s="29"/>
      <c r="I946" s="29"/>
      <c r="J946" s="29"/>
      <c r="K946" s="29"/>
      <c r="L946" s="29"/>
      <c r="M946" s="29"/>
      <c r="N946" s="29"/>
      <c r="O946" s="29"/>
      <c r="P946" s="29"/>
      <c r="Q946" s="29"/>
    </row>
    <row r="947" spans="7:17">
      <c r="G947" s="29"/>
      <c r="H947" s="29"/>
      <c r="I947" s="29"/>
      <c r="J947" s="29"/>
      <c r="K947" s="29"/>
      <c r="L947" s="29"/>
      <c r="M947" s="29"/>
      <c r="N947" s="29"/>
      <c r="O947" s="29"/>
      <c r="P947" s="29"/>
      <c r="Q947" s="29"/>
    </row>
    <row r="948" spans="7:17">
      <c r="G948" s="29"/>
      <c r="H948" s="29"/>
      <c r="I948" s="29"/>
      <c r="J948" s="29"/>
      <c r="K948" s="29"/>
      <c r="L948" s="29"/>
      <c r="M948" s="29"/>
      <c r="N948" s="29"/>
      <c r="O948" s="29"/>
      <c r="P948" s="29"/>
      <c r="Q948" s="29"/>
    </row>
    <row r="949" spans="7:17">
      <c r="G949" s="29"/>
      <c r="H949" s="29"/>
      <c r="I949" s="29"/>
      <c r="J949" s="29"/>
      <c r="K949" s="29"/>
      <c r="L949" s="29"/>
      <c r="M949" s="29"/>
      <c r="N949" s="29"/>
      <c r="O949" s="29"/>
      <c r="P949" s="29"/>
      <c r="Q949" s="29"/>
    </row>
    <row r="950" spans="7:17">
      <c r="G950" s="29"/>
      <c r="H950" s="29"/>
      <c r="I950" s="29"/>
      <c r="J950" s="29"/>
      <c r="K950" s="29"/>
      <c r="L950" s="29"/>
      <c r="M950" s="29"/>
      <c r="N950" s="29"/>
      <c r="O950" s="29"/>
      <c r="P950" s="29"/>
      <c r="Q950" s="29"/>
    </row>
    <row r="951" spans="7:17">
      <c r="G951" s="29"/>
      <c r="H951" s="29"/>
      <c r="I951" s="29"/>
      <c r="J951" s="29"/>
      <c r="K951" s="29"/>
      <c r="L951" s="29"/>
      <c r="M951" s="29"/>
      <c r="N951" s="29"/>
      <c r="O951" s="29"/>
      <c r="P951" s="29"/>
      <c r="Q951" s="29"/>
    </row>
    <row r="952" spans="7:17">
      <c r="G952" s="29"/>
      <c r="H952" s="29"/>
      <c r="I952" s="29"/>
      <c r="J952" s="29"/>
      <c r="K952" s="29"/>
      <c r="L952" s="29"/>
      <c r="M952" s="29"/>
      <c r="N952" s="29"/>
      <c r="O952" s="29"/>
      <c r="P952" s="29"/>
      <c r="Q952" s="29"/>
    </row>
    <row r="953" spans="7:17">
      <c r="G953" s="29"/>
      <c r="H953" s="29"/>
      <c r="I953" s="29"/>
      <c r="J953" s="29"/>
      <c r="K953" s="29"/>
      <c r="L953" s="29"/>
      <c r="M953" s="29"/>
      <c r="N953" s="29"/>
      <c r="O953" s="29"/>
      <c r="P953" s="29"/>
      <c r="Q953" s="29"/>
    </row>
    <row r="954" spans="7:17">
      <c r="G954" s="29"/>
      <c r="H954" s="29"/>
      <c r="I954" s="29"/>
      <c r="J954" s="29"/>
      <c r="K954" s="29"/>
      <c r="L954" s="29"/>
      <c r="M954" s="29"/>
      <c r="N954" s="29"/>
      <c r="O954" s="29"/>
      <c r="P954" s="29"/>
      <c r="Q954" s="29"/>
    </row>
    <row r="955" spans="7:17">
      <c r="G955" s="29"/>
      <c r="H955" s="29"/>
      <c r="I955" s="29"/>
      <c r="J955" s="29"/>
      <c r="K955" s="29"/>
      <c r="L955" s="29"/>
      <c r="M955" s="29"/>
      <c r="N955" s="29"/>
      <c r="O955" s="29"/>
      <c r="P955" s="29"/>
      <c r="Q955" s="29"/>
    </row>
    <row r="956" spans="7:17">
      <c r="G956" s="29"/>
      <c r="H956" s="29"/>
      <c r="I956" s="29"/>
      <c r="J956" s="29"/>
      <c r="K956" s="29"/>
      <c r="L956" s="29"/>
      <c r="M956" s="29"/>
      <c r="N956" s="29"/>
      <c r="O956" s="29"/>
      <c r="P956" s="29"/>
      <c r="Q956" s="29"/>
    </row>
    <row r="957" spans="7:17">
      <c r="G957" s="29"/>
      <c r="H957" s="29"/>
      <c r="I957" s="29"/>
      <c r="J957" s="29"/>
      <c r="K957" s="29"/>
      <c r="L957" s="29"/>
      <c r="M957" s="29"/>
      <c r="N957" s="29"/>
      <c r="O957" s="29"/>
      <c r="P957" s="29"/>
      <c r="Q957" s="29"/>
    </row>
    <row r="958" spans="7:17">
      <c r="G958" s="29"/>
      <c r="H958" s="29"/>
      <c r="I958" s="29"/>
      <c r="J958" s="29"/>
      <c r="K958" s="29"/>
      <c r="L958" s="29"/>
      <c r="M958" s="29"/>
      <c r="N958" s="29"/>
      <c r="O958" s="29"/>
      <c r="P958" s="29"/>
      <c r="Q958" s="29"/>
    </row>
    <row r="959" spans="7:17">
      <c r="G959" s="29"/>
      <c r="H959" s="29"/>
      <c r="I959" s="29"/>
      <c r="J959" s="29"/>
      <c r="K959" s="29"/>
      <c r="L959" s="29"/>
      <c r="M959" s="29"/>
      <c r="N959" s="29"/>
      <c r="O959" s="29"/>
      <c r="P959" s="29"/>
      <c r="Q959" s="29"/>
    </row>
    <row r="960" spans="7:17">
      <c r="G960" s="29"/>
      <c r="H960" s="29"/>
      <c r="I960" s="29"/>
      <c r="J960" s="29"/>
      <c r="K960" s="29"/>
      <c r="L960" s="29"/>
      <c r="M960" s="29"/>
      <c r="N960" s="29"/>
      <c r="O960" s="29"/>
      <c r="P960" s="29"/>
      <c r="Q960" s="29"/>
    </row>
    <row r="961" spans="7:17">
      <c r="G961" s="29"/>
      <c r="H961" s="29"/>
      <c r="I961" s="29"/>
      <c r="J961" s="29"/>
      <c r="K961" s="29"/>
      <c r="L961" s="29"/>
      <c r="M961" s="29"/>
      <c r="N961" s="29"/>
      <c r="O961" s="29"/>
      <c r="P961" s="29"/>
      <c r="Q961" s="29"/>
    </row>
    <row r="962" spans="7:17">
      <c r="G962" s="29"/>
      <c r="H962" s="29"/>
      <c r="I962" s="29"/>
      <c r="J962" s="29"/>
      <c r="K962" s="29"/>
      <c r="L962" s="29"/>
      <c r="M962" s="29"/>
      <c r="N962" s="29"/>
      <c r="O962" s="29"/>
      <c r="P962" s="29"/>
      <c r="Q962" s="29"/>
    </row>
    <row r="963" spans="7:17">
      <c r="G963" s="29"/>
      <c r="H963" s="29"/>
      <c r="I963" s="29"/>
      <c r="J963" s="29"/>
      <c r="K963" s="29"/>
      <c r="L963" s="29"/>
      <c r="M963" s="29"/>
      <c r="N963" s="29"/>
      <c r="O963" s="29"/>
      <c r="P963" s="29"/>
      <c r="Q963" s="29"/>
    </row>
    <row r="964" spans="7:17">
      <c r="G964" s="29"/>
      <c r="H964" s="29"/>
      <c r="I964" s="29"/>
      <c r="J964" s="29"/>
      <c r="K964" s="29"/>
      <c r="L964" s="29"/>
      <c r="M964" s="29"/>
      <c r="N964" s="29"/>
      <c r="O964" s="29"/>
      <c r="P964" s="29"/>
      <c r="Q964" s="29"/>
    </row>
    <row r="965" spans="7:17">
      <c r="G965" s="29"/>
      <c r="H965" s="29"/>
      <c r="I965" s="29"/>
      <c r="J965" s="29"/>
      <c r="K965" s="29"/>
      <c r="L965" s="29"/>
      <c r="M965" s="29"/>
      <c r="N965" s="29"/>
      <c r="O965" s="29"/>
      <c r="P965" s="29"/>
      <c r="Q965" s="29"/>
    </row>
    <row r="966" spans="7:17">
      <c r="G966" s="29"/>
      <c r="H966" s="29"/>
      <c r="I966" s="29"/>
      <c r="J966" s="29"/>
      <c r="K966" s="29"/>
      <c r="L966" s="29"/>
      <c r="M966" s="29"/>
      <c r="N966" s="29"/>
      <c r="O966" s="29"/>
      <c r="P966" s="29"/>
      <c r="Q966" s="29"/>
    </row>
    <row r="967" spans="7:17">
      <c r="G967" s="29"/>
      <c r="H967" s="29"/>
      <c r="I967" s="29"/>
      <c r="J967" s="29"/>
      <c r="K967" s="29"/>
      <c r="L967" s="29"/>
      <c r="M967" s="29"/>
      <c r="N967" s="29"/>
      <c r="O967" s="29"/>
      <c r="P967" s="29"/>
      <c r="Q967" s="29"/>
    </row>
    <row r="968" spans="7:17">
      <c r="G968" s="29"/>
      <c r="H968" s="29"/>
      <c r="I968" s="29"/>
      <c r="J968" s="29"/>
      <c r="K968" s="29"/>
      <c r="L968" s="29"/>
      <c r="M968" s="29"/>
      <c r="N968" s="29"/>
      <c r="O968" s="29"/>
      <c r="P968" s="29"/>
      <c r="Q968" s="29"/>
    </row>
    <row r="969" spans="7:17">
      <c r="G969" s="29"/>
      <c r="H969" s="29"/>
      <c r="I969" s="29"/>
      <c r="J969" s="29"/>
      <c r="K969" s="29"/>
      <c r="L969" s="29"/>
      <c r="M969" s="29"/>
      <c r="N969" s="29"/>
      <c r="O969" s="29"/>
      <c r="P969" s="29"/>
      <c r="Q969" s="29"/>
    </row>
    <row r="970" spans="7:17">
      <c r="G970" s="29"/>
      <c r="H970" s="29"/>
      <c r="I970" s="29"/>
      <c r="J970" s="29"/>
      <c r="K970" s="29"/>
      <c r="L970" s="29"/>
      <c r="M970" s="29"/>
      <c r="N970" s="29"/>
      <c r="O970" s="29"/>
      <c r="P970" s="29"/>
      <c r="Q970" s="29"/>
    </row>
    <row r="971" spans="7:17">
      <c r="G971" s="29"/>
      <c r="H971" s="29"/>
      <c r="I971" s="29"/>
      <c r="J971" s="29"/>
      <c r="K971" s="29"/>
      <c r="L971" s="29"/>
      <c r="M971" s="29"/>
      <c r="N971" s="29"/>
      <c r="O971" s="29"/>
      <c r="P971" s="29"/>
      <c r="Q971" s="29"/>
    </row>
    <row r="972" spans="7:17">
      <c r="G972" s="29"/>
      <c r="H972" s="29"/>
      <c r="I972" s="29"/>
      <c r="J972" s="29"/>
      <c r="K972" s="29"/>
      <c r="L972" s="29"/>
      <c r="M972" s="29"/>
      <c r="N972" s="29"/>
      <c r="O972" s="29"/>
      <c r="P972" s="29"/>
      <c r="Q972" s="29"/>
    </row>
    <row r="973" spans="7:17">
      <c r="G973" s="29"/>
      <c r="H973" s="29"/>
      <c r="I973" s="29"/>
      <c r="J973" s="29"/>
      <c r="K973" s="29"/>
      <c r="L973" s="29"/>
      <c r="M973" s="29"/>
      <c r="N973" s="29"/>
      <c r="O973" s="29"/>
      <c r="P973" s="29"/>
      <c r="Q973" s="29"/>
    </row>
    <row r="974" spans="7:17">
      <c r="G974" s="29"/>
      <c r="H974" s="29"/>
      <c r="I974" s="29"/>
      <c r="J974" s="29"/>
      <c r="K974" s="29"/>
      <c r="L974" s="29"/>
      <c r="M974" s="29"/>
      <c r="N974" s="29"/>
      <c r="O974" s="29"/>
      <c r="P974" s="29"/>
      <c r="Q974" s="29"/>
    </row>
    <row r="975" spans="7:17">
      <c r="G975" s="29"/>
      <c r="H975" s="29"/>
      <c r="I975" s="29"/>
      <c r="J975" s="29"/>
      <c r="K975" s="29"/>
      <c r="L975" s="29"/>
      <c r="M975" s="29"/>
      <c r="N975" s="29"/>
      <c r="O975" s="29"/>
      <c r="P975" s="29"/>
      <c r="Q975" s="29"/>
    </row>
    <row r="976" spans="7:17">
      <c r="G976" s="29"/>
      <c r="H976" s="29"/>
      <c r="I976" s="29"/>
      <c r="J976" s="29"/>
      <c r="K976" s="29"/>
      <c r="L976" s="29"/>
      <c r="M976" s="29"/>
      <c r="N976" s="29"/>
      <c r="O976" s="29"/>
      <c r="P976" s="29"/>
      <c r="Q976" s="29"/>
    </row>
    <row r="977" spans="7:17">
      <c r="G977" s="29"/>
      <c r="H977" s="29"/>
      <c r="I977" s="29"/>
      <c r="J977" s="29"/>
      <c r="K977" s="29"/>
      <c r="L977" s="29"/>
      <c r="M977" s="29"/>
      <c r="N977" s="29"/>
      <c r="O977" s="29"/>
      <c r="P977" s="29"/>
      <c r="Q977" s="29"/>
    </row>
    <row r="978" spans="7:17">
      <c r="G978" s="29"/>
      <c r="H978" s="29"/>
      <c r="I978" s="29"/>
      <c r="J978" s="29"/>
      <c r="K978" s="29"/>
      <c r="L978" s="29"/>
      <c r="M978" s="29"/>
      <c r="N978" s="29"/>
      <c r="O978" s="29"/>
      <c r="P978" s="29"/>
      <c r="Q978" s="29"/>
    </row>
    <row r="979" spans="7:17">
      <c r="G979" s="29"/>
      <c r="H979" s="29"/>
      <c r="I979" s="29"/>
      <c r="J979" s="29"/>
      <c r="K979" s="29"/>
      <c r="L979" s="29"/>
      <c r="M979" s="29"/>
      <c r="N979" s="29"/>
      <c r="O979" s="29"/>
      <c r="P979" s="29"/>
      <c r="Q979" s="29"/>
    </row>
    <row r="980" spans="7:17">
      <c r="G980" s="29"/>
      <c r="H980" s="29"/>
      <c r="I980" s="29"/>
      <c r="J980" s="29"/>
      <c r="K980" s="29"/>
      <c r="L980" s="29"/>
      <c r="M980" s="29"/>
      <c r="N980" s="29"/>
      <c r="O980" s="29"/>
      <c r="P980" s="29"/>
      <c r="Q980" s="29"/>
    </row>
    <row r="981" spans="7:17">
      <c r="G981" s="29"/>
      <c r="H981" s="29"/>
      <c r="I981" s="29"/>
      <c r="J981" s="29"/>
      <c r="K981" s="29"/>
      <c r="L981" s="29"/>
      <c r="M981" s="29"/>
      <c r="N981" s="29"/>
      <c r="O981" s="29"/>
      <c r="P981" s="29"/>
      <c r="Q981" s="29"/>
    </row>
    <row r="982" spans="7:17">
      <c r="G982" s="29"/>
      <c r="H982" s="29"/>
      <c r="I982" s="29"/>
      <c r="J982" s="29"/>
      <c r="K982" s="29"/>
      <c r="L982" s="29"/>
      <c r="M982" s="29"/>
      <c r="N982" s="29"/>
      <c r="O982" s="29"/>
      <c r="P982" s="29"/>
      <c r="Q982" s="29"/>
    </row>
    <row r="983" spans="7:17">
      <c r="G983" s="29"/>
      <c r="H983" s="29"/>
      <c r="I983" s="29"/>
      <c r="J983" s="29"/>
      <c r="K983" s="29"/>
      <c r="L983" s="29"/>
      <c r="M983" s="29"/>
      <c r="N983" s="29"/>
      <c r="O983" s="29"/>
      <c r="P983" s="29"/>
      <c r="Q983" s="29"/>
    </row>
    <row r="984" spans="7:17">
      <c r="G984" s="29"/>
      <c r="H984" s="29"/>
      <c r="I984" s="29"/>
      <c r="J984" s="29"/>
      <c r="K984" s="29"/>
      <c r="L984" s="29"/>
      <c r="M984" s="29"/>
      <c r="N984" s="29"/>
      <c r="O984" s="29"/>
      <c r="P984" s="29"/>
      <c r="Q984" s="29"/>
    </row>
    <row r="985" spans="7:17">
      <c r="G985" s="29"/>
      <c r="H985" s="29"/>
      <c r="I985" s="29"/>
      <c r="J985" s="29"/>
      <c r="K985" s="29"/>
      <c r="L985" s="29"/>
      <c r="M985" s="29"/>
      <c r="N985" s="29"/>
      <c r="O985" s="29"/>
      <c r="P985" s="29"/>
      <c r="Q985" s="29"/>
    </row>
    <row r="986" spans="7:17">
      <c r="G986" s="29"/>
      <c r="H986" s="29"/>
      <c r="I986" s="29"/>
      <c r="J986" s="29"/>
      <c r="K986" s="29"/>
      <c r="L986" s="29"/>
      <c r="M986" s="29"/>
      <c r="N986" s="29"/>
      <c r="O986" s="29"/>
      <c r="P986" s="29"/>
      <c r="Q986" s="29"/>
    </row>
    <row r="987" spans="7:17">
      <c r="G987" s="29"/>
      <c r="H987" s="29"/>
      <c r="I987" s="29"/>
      <c r="J987" s="29"/>
      <c r="K987" s="29"/>
      <c r="L987" s="29"/>
      <c r="M987" s="29"/>
      <c r="N987" s="29"/>
      <c r="O987" s="29"/>
      <c r="P987" s="29"/>
      <c r="Q987" s="29"/>
    </row>
    <row r="988" spans="7:17">
      <c r="G988" s="29"/>
      <c r="H988" s="29"/>
      <c r="I988" s="29"/>
      <c r="J988" s="29"/>
      <c r="K988" s="29"/>
      <c r="L988" s="29"/>
      <c r="M988" s="29"/>
      <c r="N988" s="29"/>
      <c r="O988" s="29"/>
      <c r="P988" s="29"/>
      <c r="Q988" s="29"/>
    </row>
    <row r="989" spans="7:17">
      <c r="G989" s="29"/>
      <c r="H989" s="29"/>
      <c r="I989" s="29"/>
      <c r="J989" s="29"/>
      <c r="K989" s="29"/>
      <c r="L989" s="29"/>
      <c r="M989" s="29"/>
      <c r="N989" s="29"/>
      <c r="O989" s="29"/>
      <c r="P989" s="29"/>
      <c r="Q989" s="29"/>
    </row>
    <row r="990" spans="7:17">
      <c r="G990" s="29"/>
      <c r="H990" s="29"/>
      <c r="I990" s="29"/>
      <c r="J990" s="29"/>
      <c r="K990" s="29"/>
      <c r="L990" s="29"/>
      <c r="M990" s="29"/>
      <c r="N990" s="29"/>
      <c r="O990" s="29"/>
      <c r="P990" s="29"/>
      <c r="Q990" s="29"/>
    </row>
    <row r="991" spans="7:17">
      <c r="G991" s="29"/>
      <c r="H991" s="29"/>
      <c r="I991" s="29"/>
      <c r="J991" s="29"/>
      <c r="K991" s="29"/>
      <c r="L991" s="29"/>
      <c r="M991" s="29"/>
      <c r="N991" s="29"/>
      <c r="O991" s="29"/>
      <c r="P991" s="29"/>
      <c r="Q991" s="29"/>
    </row>
    <row r="992" spans="7:17">
      <c r="G992" s="29"/>
      <c r="H992" s="29"/>
      <c r="I992" s="29"/>
      <c r="J992" s="29"/>
      <c r="K992" s="29"/>
      <c r="L992" s="29"/>
      <c r="M992" s="29"/>
      <c r="N992" s="29"/>
      <c r="O992" s="29"/>
      <c r="P992" s="29"/>
      <c r="Q992" s="29"/>
    </row>
    <row r="993" spans="7:17">
      <c r="G993" s="29"/>
      <c r="H993" s="29"/>
      <c r="I993" s="29"/>
      <c r="J993" s="29"/>
      <c r="K993" s="29"/>
      <c r="L993" s="29"/>
      <c r="M993" s="29"/>
      <c r="N993" s="29"/>
      <c r="O993" s="29"/>
      <c r="P993" s="29"/>
      <c r="Q993" s="29"/>
    </row>
    <row r="994" spans="7:17">
      <c r="G994" s="29"/>
      <c r="H994" s="29"/>
      <c r="I994" s="29"/>
      <c r="J994" s="29"/>
      <c r="K994" s="29"/>
      <c r="L994" s="29"/>
      <c r="M994" s="29"/>
      <c r="N994" s="29"/>
      <c r="O994" s="29"/>
      <c r="P994" s="29"/>
      <c r="Q994" s="29"/>
    </row>
    <row r="995" spans="7:17">
      <c r="G995" s="29"/>
      <c r="H995" s="29"/>
      <c r="I995" s="29"/>
      <c r="J995" s="29"/>
      <c r="K995" s="29"/>
      <c r="L995" s="29"/>
      <c r="M995" s="29"/>
      <c r="N995" s="29"/>
      <c r="O995" s="29"/>
      <c r="P995" s="29"/>
      <c r="Q995" s="29"/>
    </row>
    <row r="996" spans="7:17">
      <c r="G996" s="29"/>
      <c r="H996" s="29"/>
      <c r="I996" s="29"/>
      <c r="J996" s="29"/>
      <c r="K996" s="29"/>
      <c r="L996" s="29"/>
      <c r="M996" s="29"/>
      <c r="N996" s="29"/>
      <c r="O996" s="29"/>
      <c r="P996" s="29"/>
      <c r="Q996" s="29"/>
    </row>
    <row r="997" spans="7:17">
      <c r="G997" s="29"/>
      <c r="H997" s="29"/>
      <c r="I997" s="29"/>
      <c r="J997" s="29"/>
      <c r="K997" s="29"/>
      <c r="L997" s="29"/>
      <c r="M997" s="29"/>
      <c r="N997" s="29"/>
      <c r="O997" s="29"/>
      <c r="P997" s="29"/>
      <c r="Q997" s="29"/>
    </row>
    <row r="998" spans="7:17">
      <c r="G998" s="29"/>
      <c r="H998" s="29"/>
      <c r="I998" s="29"/>
      <c r="J998" s="29"/>
      <c r="K998" s="29"/>
      <c r="L998" s="29"/>
      <c r="M998" s="29"/>
      <c r="N998" s="29"/>
      <c r="O998" s="29"/>
      <c r="P998" s="29"/>
      <c r="Q998" s="29"/>
    </row>
    <row r="999" spans="7:17">
      <c r="G999" s="29"/>
      <c r="H999" s="29"/>
      <c r="I999" s="29"/>
      <c r="J999" s="29"/>
      <c r="K999" s="29"/>
      <c r="L999" s="29"/>
      <c r="M999" s="29"/>
      <c r="N999" s="29"/>
      <c r="O999" s="29"/>
      <c r="P999" s="29"/>
      <c r="Q999" s="29"/>
    </row>
    <row r="1000" spans="7:17">
      <c r="G1000" s="29"/>
      <c r="H1000" s="29"/>
      <c r="I1000" s="29"/>
      <c r="J1000" s="29"/>
      <c r="K1000" s="29"/>
      <c r="L1000" s="29"/>
      <c r="M1000" s="29"/>
      <c r="N1000" s="29"/>
      <c r="O1000" s="29"/>
      <c r="P1000" s="29"/>
      <c r="Q1000" s="29"/>
    </row>
    <row r="1001" spans="7:17">
      <c r="G1001" s="29"/>
      <c r="H1001" s="29"/>
      <c r="I1001" s="29"/>
      <c r="J1001" s="29"/>
      <c r="K1001" s="29"/>
      <c r="L1001" s="29"/>
      <c r="M1001" s="29"/>
      <c r="N1001" s="29"/>
      <c r="O1001" s="29"/>
      <c r="P1001" s="29"/>
      <c r="Q1001" s="29"/>
    </row>
    <row r="1002" spans="7:17">
      <c r="G1002" s="29"/>
      <c r="H1002" s="29"/>
      <c r="I1002" s="29"/>
      <c r="J1002" s="29"/>
      <c r="K1002" s="29"/>
      <c r="L1002" s="29"/>
      <c r="M1002" s="29"/>
      <c r="N1002" s="29"/>
      <c r="O1002" s="29"/>
      <c r="P1002" s="29"/>
      <c r="Q1002" s="29"/>
    </row>
    <row r="1003" spans="7:17">
      <c r="G1003" s="29"/>
      <c r="H1003" s="29"/>
      <c r="I1003" s="29"/>
      <c r="J1003" s="29"/>
      <c r="K1003" s="29"/>
      <c r="L1003" s="29"/>
      <c r="M1003" s="29"/>
      <c r="N1003" s="29"/>
      <c r="O1003" s="29"/>
      <c r="P1003" s="29"/>
      <c r="Q1003" s="29"/>
    </row>
    <row r="1004" spans="7:17">
      <c r="G1004" s="29"/>
      <c r="H1004" s="29"/>
      <c r="I1004" s="29"/>
      <c r="J1004" s="29"/>
      <c r="K1004" s="29"/>
      <c r="L1004" s="29"/>
      <c r="M1004" s="29"/>
      <c r="N1004" s="29"/>
      <c r="O1004" s="29"/>
      <c r="P1004" s="29"/>
      <c r="Q1004" s="29"/>
    </row>
    <row r="1005" spans="7:17">
      <c r="G1005" s="29"/>
      <c r="H1005" s="29"/>
      <c r="I1005" s="29"/>
      <c r="J1005" s="29"/>
      <c r="K1005" s="29"/>
      <c r="L1005" s="29"/>
      <c r="M1005" s="29"/>
      <c r="N1005" s="29"/>
      <c r="O1005" s="29"/>
      <c r="P1005" s="29"/>
      <c r="Q1005" s="29"/>
    </row>
    <row r="1006" spans="7:17">
      <c r="G1006" s="29"/>
      <c r="H1006" s="29"/>
      <c r="I1006" s="29"/>
      <c r="J1006" s="29"/>
      <c r="K1006" s="29"/>
      <c r="L1006" s="29"/>
      <c r="M1006" s="29"/>
      <c r="N1006" s="29"/>
      <c r="O1006" s="29"/>
      <c r="P1006" s="29"/>
      <c r="Q1006" s="29"/>
    </row>
    <row r="1007" spans="7:17">
      <c r="G1007" s="29"/>
      <c r="H1007" s="29"/>
      <c r="I1007" s="29"/>
      <c r="J1007" s="29"/>
      <c r="K1007" s="29"/>
      <c r="L1007" s="29"/>
      <c r="M1007" s="29"/>
      <c r="N1007" s="29"/>
      <c r="O1007" s="29"/>
      <c r="P1007" s="29"/>
      <c r="Q1007" s="29"/>
    </row>
    <row r="1008" spans="7:17">
      <c r="G1008" s="29"/>
      <c r="H1008" s="29"/>
      <c r="I1008" s="29"/>
      <c r="J1008" s="29"/>
      <c r="K1008" s="29"/>
      <c r="L1008" s="29"/>
      <c r="M1008" s="29"/>
      <c r="N1008" s="29"/>
      <c r="O1008" s="29"/>
      <c r="P1008" s="29"/>
      <c r="Q1008" s="29"/>
    </row>
    <row r="1009" spans="7:17">
      <c r="G1009" s="29"/>
      <c r="H1009" s="29"/>
      <c r="I1009" s="29"/>
      <c r="J1009" s="29"/>
      <c r="K1009" s="29"/>
      <c r="L1009" s="29"/>
      <c r="M1009" s="29"/>
      <c r="N1009" s="29"/>
      <c r="O1009" s="29"/>
      <c r="P1009" s="29"/>
      <c r="Q1009" s="29"/>
    </row>
    <row r="1010" spans="7:17">
      <c r="G1010" s="29"/>
      <c r="H1010" s="29"/>
      <c r="I1010" s="29"/>
      <c r="J1010" s="29"/>
      <c r="K1010" s="29"/>
      <c r="L1010" s="29"/>
      <c r="M1010" s="29"/>
      <c r="N1010" s="29"/>
      <c r="O1010" s="29"/>
      <c r="P1010" s="29"/>
      <c r="Q1010" s="29"/>
    </row>
    <row r="1011" spans="7:17">
      <c r="G1011" s="29"/>
      <c r="H1011" s="29"/>
      <c r="I1011" s="29"/>
      <c r="J1011" s="29"/>
      <c r="K1011" s="29"/>
      <c r="L1011" s="29"/>
      <c r="M1011" s="29"/>
      <c r="N1011" s="29"/>
      <c r="O1011" s="29"/>
      <c r="P1011" s="29"/>
      <c r="Q1011" s="29"/>
    </row>
    <row r="1012" spans="7:17">
      <c r="G1012" s="29"/>
      <c r="H1012" s="29"/>
      <c r="I1012" s="29"/>
      <c r="J1012" s="29"/>
      <c r="K1012" s="29"/>
      <c r="L1012" s="29"/>
      <c r="M1012" s="29"/>
      <c r="N1012" s="29"/>
      <c r="O1012" s="29"/>
      <c r="P1012" s="29"/>
      <c r="Q1012" s="29"/>
    </row>
    <row r="1013" spans="7:17">
      <c r="G1013" s="29"/>
      <c r="H1013" s="29"/>
      <c r="I1013" s="29"/>
      <c r="J1013" s="29"/>
      <c r="K1013" s="29"/>
      <c r="L1013" s="29"/>
      <c r="M1013" s="29"/>
      <c r="N1013" s="29"/>
      <c r="O1013" s="29"/>
      <c r="P1013" s="29"/>
      <c r="Q1013" s="29"/>
    </row>
    <row r="1014" spans="7:17">
      <c r="G1014" s="29"/>
      <c r="H1014" s="29"/>
      <c r="I1014" s="29"/>
      <c r="J1014" s="29"/>
      <c r="K1014" s="29"/>
      <c r="L1014" s="29"/>
      <c r="M1014" s="29"/>
      <c r="N1014" s="29"/>
      <c r="O1014" s="29"/>
      <c r="P1014" s="29"/>
      <c r="Q1014" s="29"/>
    </row>
    <row r="1015" spans="7:17">
      <c r="G1015" s="29"/>
      <c r="H1015" s="29"/>
      <c r="I1015" s="29"/>
      <c r="J1015" s="29"/>
      <c r="K1015" s="29"/>
      <c r="L1015" s="29"/>
      <c r="M1015" s="29"/>
      <c r="N1015" s="29"/>
      <c r="O1015" s="29"/>
      <c r="P1015" s="29"/>
      <c r="Q1015" s="29"/>
    </row>
    <row r="1016" spans="7:17">
      <c r="G1016" s="29"/>
      <c r="H1016" s="29"/>
      <c r="I1016" s="29"/>
      <c r="J1016" s="29"/>
      <c r="K1016" s="29"/>
      <c r="L1016" s="29"/>
      <c r="M1016" s="29"/>
      <c r="N1016" s="29"/>
      <c r="O1016" s="29"/>
      <c r="P1016" s="29"/>
      <c r="Q1016" s="29"/>
    </row>
    <row r="1017" spans="7:17">
      <c r="G1017" s="29"/>
      <c r="H1017" s="29"/>
      <c r="I1017" s="29"/>
      <c r="J1017" s="29"/>
      <c r="K1017" s="29"/>
      <c r="L1017" s="29"/>
      <c r="M1017" s="29"/>
      <c r="N1017" s="29"/>
      <c r="O1017" s="29"/>
      <c r="P1017" s="29"/>
      <c r="Q1017" s="29"/>
    </row>
    <row r="1018" spans="7:17">
      <c r="G1018" s="29"/>
      <c r="H1018" s="29"/>
      <c r="I1018" s="29"/>
      <c r="J1018" s="29"/>
      <c r="K1018" s="29"/>
      <c r="L1018" s="29"/>
      <c r="M1018" s="29"/>
      <c r="N1018" s="29"/>
      <c r="O1018" s="29"/>
      <c r="P1018" s="29"/>
      <c r="Q1018" s="29"/>
    </row>
    <row r="1019" spans="7:17">
      <c r="G1019" s="29"/>
      <c r="H1019" s="29"/>
      <c r="I1019" s="29"/>
      <c r="J1019" s="29"/>
      <c r="K1019" s="29"/>
      <c r="L1019" s="29"/>
      <c r="M1019" s="29"/>
      <c r="N1019" s="29"/>
      <c r="O1019" s="29"/>
      <c r="P1019" s="29"/>
      <c r="Q1019" s="29"/>
    </row>
    <row r="1020" spans="7:17">
      <c r="G1020" s="29"/>
      <c r="H1020" s="29"/>
      <c r="I1020" s="29"/>
      <c r="J1020" s="29"/>
      <c r="K1020" s="29"/>
      <c r="L1020" s="29"/>
      <c r="M1020" s="29"/>
      <c r="N1020" s="29"/>
      <c r="O1020" s="29"/>
      <c r="P1020" s="29"/>
      <c r="Q1020" s="29"/>
    </row>
    <row r="1021" spans="7:17">
      <c r="G1021" s="29"/>
      <c r="H1021" s="29"/>
      <c r="I1021" s="29"/>
      <c r="J1021" s="29"/>
      <c r="K1021" s="29"/>
      <c r="L1021" s="29"/>
      <c r="M1021" s="29"/>
      <c r="N1021" s="29"/>
      <c r="O1021" s="29"/>
      <c r="P1021" s="29"/>
      <c r="Q1021" s="29"/>
    </row>
    <row r="1022" spans="7:17">
      <c r="G1022" s="29"/>
      <c r="H1022" s="29"/>
      <c r="I1022" s="29"/>
      <c r="J1022" s="29"/>
      <c r="K1022" s="29"/>
      <c r="L1022" s="29"/>
      <c r="M1022" s="29"/>
      <c r="N1022" s="29"/>
      <c r="O1022" s="29"/>
      <c r="P1022" s="29"/>
      <c r="Q1022" s="29"/>
    </row>
    <row r="1023" spans="7:17">
      <c r="G1023" s="29"/>
      <c r="H1023" s="29"/>
      <c r="I1023" s="29"/>
      <c r="J1023" s="29"/>
      <c r="K1023" s="29"/>
      <c r="L1023" s="29"/>
      <c r="M1023" s="29"/>
      <c r="N1023" s="29"/>
      <c r="O1023" s="29"/>
      <c r="P1023" s="29"/>
      <c r="Q1023" s="29"/>
    </row>
    <row r="1024" spans="7:17">
      <c r="G1024" s="29"/>
      <c r="H1024" s="29"/>
      <c r="I1024" s="29"/>
      <c r="J1024" s="29"/>
      <c r="K1024" s="29"/>
      <c r="L1024" s="29"/>
      <c r="M1024" s="29"/>
      <c r="N1024" s="29"/>
      <c r="O1024" s="29"/>
      <c r="P1024" s="29"/>
      <c r="Q1024" s="29"/>
    </row>
    <row r="1025" spans="7:17">
      <c r="G1025" s="29"/>
      <c r="H1025" s="29"/>
      <c r="I1025" s="29"/>
      <c r="J1025" s="29"/>
      <c r="K1025" s="29"/>
      <c r="L1025" s="29"/>
      <c r="M1025" s="29"/>
      <c r="N1025" s="29"/>
      <c r="O1025" s="29"/>
      <c r="P1025" s="29"/>
      <c r="Q1025" s="29"/>
    </row>
    <row r="1026" spans="7:17">
      <c r="G1026" s="29"/>
      <c r="H1026" s="29"/>
      <c r="I1026" s="29"/>
      <c r="J1026" s="29"/>
      <c r="K1026" s="29"/>
      <c r="L1026" s="29"/>
      <c r="M1026" s="29"/>
      <c r="N1026" s="29"/>
      <c r="O1026" s="29"/>
      <c r="P1026" s="29"/>
      <c r="Q1026" s="29"/>
    </row>
    <row r="1027" spans="7:17">
      <c r="G1027" s="29"/>
      <c r="H1027" s="29"/>
      <c r="I1027" s="29"/>
      <c r="J1027" s="29"/>
      <c r="K1027" s="29"/>
      <c r="L1027" s="29"/>
      <c r="M1027" s="29"/>
      <c r="N1027" s="29"/>
      <c r="O1027" s="29"/>
      <c r="P1027" s="29"/>
      <c r="Q1027" s="29"/>
    </row>
    <row r="1028" spans="7:17">
      <c r="G1028" s="29"/>
      <c r="H1028" s="29"/>
      <c r="I1028" s="29"/>
      <c r="J1028" s="29"/>
      <c r="K1028" s="29"/>
      <c r="L1028" s="29"/>
      <c r="M1028" s="29"/>
      <c r="N1028" s="29"/>
      <c r="O1028" s="29"/>
      <c r="P1028" s="29"/>
      <c r="Q1028" s="29"/>
    </row>
    <row r="1029" spans="7:17">
      <c r="G1029" s="29"/>
      <c r="H1029" s="29"/>
      <c r="I1029" s="29"/>
      <c r="J1029" s="29"/>
      <c r="K1029" s="29"/>
      <c r="L1029" s="29"/>
      <c r="M1029" s="29"/>
      <c r="N1029" s="29"/>
      <c r="O1029" s="29"/>
      <c r="P1029" s="29"/>
      <c r="Q1029" s="29"/>
    </row>
    <row r="1030" spans="7:17">
      <c r="G1030" s="29"/>
      <c r="H1030" s="29"/>
      <c r="I1030" s="29"/>
      <c r="J1030" s="29"/>
      <c r="K1030" s="29"/>
      <c r="L1030" s="29"/>
      <c r="M1030" s="29"/>
      <c r="N1030" s="29"/>
      <c r="O1030" s="29"/>
      <c r="P1030" s="29"/>
      <c r="Q1030" s="29"/>
    </row>
    <row r="1031" spans="7:17">
      <c r="G1031" s="29"/>
      <c r="H1031" s="29"/>
      <c r="I1031" s="29"/>
      <c r="J1031" s="29"/>
      <c r="K1031" s="29"/>
      <c r="L1031" s="29"/>
      <c r="M1031" s="29"/>
      <c r="N1031" s="29"/>
      <c r="O1031" s="29"/>
      <c r="P1031" s="29"/>
      <c r="Q1031" s="29"/>
    </row>
    <row r="1032" spans="7:17">
      <c r="G1032" s="29"/>
      <c r="H1032" s="29"/>
      <c r="I1032" s="29"/>
      <c r="J1032" s="29"/>
      <c r="K1032" s="29"/>
      <c r="L1032" s="29"/>
      <c r="M1032" s="29"/>
      <c r="N1032" s="29"/>
      <c r="O1032" s="29"/>
      <c r="P1032" s="29"/>
      <c r="Q1032" s="29"/>
    </row>
    <row r="1033" spans="7:17">
      <c r="G1033" s="29"/>
      <c r="H1033" s="29"/>
      <c r="I1033" s="29"/>
      <c r="J1033" s="29"/>
      <c r="K1033" s="29"/>
      <c r="L1033" s="29"/>
      <c r="M1033" s="29"/>
      <c r="N1033" s="29"/>
      <c r="O1033" s="29"/>
      <c r="P1033" s="29"/>
      <c r="Q1033" s="29"/>
    </row>
    <row r="1034" spans="7:17">
      <c r="G1034" s="29"/>
      <c r="H1034" s="29"/>
      <c r="I1034" s="29"/>
      <c r="J1034" s="29"/>
      <c r="K1034" s="29"/>
      <c r="L1034" s="29"/>
      <c r="M1034" s="29"/>
      <c r="N1034" s="29"/>
      <c r="O1034" s="29"/>
      <c r="P1034" s="29"/>
      <c r="Q1034" s="29"/>
    </row>
    <row r="1035" spans="7:17">
      <c r="G1035" s="29"/>
      <c r="H1035" s="29"/>
      <c r="I1035" s="29"/>
      <c r="J1035" s="29"/>
      <c r="K1035" s="29"/>
      <c r="L1035" s="29"/>
      <c r="M1035" s="29"/>
      <c r="N1035" s="29"/>
      <c r="O1035" s="29"/>
      <c r="P1035" s="29"/>
      <c r="Q1035" s="29"/>
    </row>
    <row r="1036" spans="7:17">
      <c r="G1036" s="29"/>
      <c r="H1036" s="29"/>
      <c r="I1036" s="29"/>
      <c r="J1036" s="29"/>
      <c r="K1036" s="29"/>
      <c r="L1036" s="29"/>
      <c r="M1036" s="29"/>
      <c r="N1036" s="29"/>
      <c r="O1036" s="29"/>
      <c r="P1036" s="29"/>
      <c r="Q1036" s="29"/>
    </row>
    <row r="1037" spans="7:17">
      <c r="G1037" s="29"/>
      <c r="H1037" s="29"/>
      <c r="I1037" s="29"/>
      <c r="J1037" s="29"/>
      <c r="K1037" s="29"/>
      <c r="L1037" s="29"/>
      <c r="M1037" s="29"/>
      <c r="N1037" s="29"/>
      <c r="O1037" s="29"/>
      <c r="P1037" s="29"/>
      <c r="Q1037" s="29"/>
    </row>
    <row r="1038" spans="7:17">
      <c r="G1038" s="29"/>
      <c r="H1038" s="29"/>
      <c r="I1038" s="29"/>
      <c r="J1038" s="29"/>
      <c r="K1038" s="29"/>
      <c r="L1038" s="29"/>
      <c r="M1038" s="29"/>
      <c r="N1038" s="29"/>
      <c r="O1038" s="29"/>
      <c r="P1038" s="29"/>
      <c r="Q1038" s="29"/>
    </row>
    <row r="1039" spans="7:17">
      <c r="G1039" s="29"/>
      <c r="H1039" s="29"/>
      <c r="I1039" s="29"/>
      <c r="J1039" s="29"/>
      <c r="K1039" s="29"/>
      <c r="L1039" s="29"/>
      <c r="M1039" s="29"/>
      <c r="N1039" s="29"/>
      <c r="O1039" s="29"/>
      <c r="P1039" s="29"/>
      <c r="Q1039" s="29"/>
    </row>
    <row r="1040" spans="7:17">
      <c r="G1040" s="29"/>
      <c r="H1040" s="29"/>
      <c r="I1040" s="29"/>
      <c r="J1040" s="29"/>
      <c r="K1040" s="29"/>
      <c r="L1040" s="29"/>
      <c r="M1040" s="29"/>
      <c r="N1040" s="29"/>
      <c r="O1040" s="29"/>
      <c r="P1040" s="29"/>
      <c r="Q1040" s="29"/>
    </row>
    <row r="1041" spans="7:17">
      <c r="G1041" s="29"/>
      <c r="H1041" s="29"/>
      <c r="I1041" s="29"/>
      <c r="J1041" s="29"/>
      <c r="K1041" s="29"/>
      <c r="L1041" s="29"/>
      <c r="M1041" s="29"/>
      <c r="N1041" s="29"/>
      <c r="O1041" s="29"/>
      <c r="P1041" s="29"/>
      <c r="Q1041" s="29"/>
    </row>
    <row r="1042" spans="7:17">
      <c r="G1042" s="29"/>
      <c r="H1042" s="29"/>
      <c r="I1042" s="29"/>
      <c r="J1042" s="29"/>
      <c r="K1042" s="29"/>
      <c r="L1042" s="29"/>
      <c r="M1042" s="29"/>
      <c r="N1042" s="29"/>
      <c r="O1042" s="29"/>
      <c r="P1042" s="29"/>
      <c r="Q1042" s="29"/>
    </row>
    <row r="1043" spans="7:17">
      <c r="G1043" s="29"/>
      <c r="H1043" s="29"/>
      <c r="I1043" s="29"/>
      <c r="J1043" s="29"/>
      <c r="K1043" s="29"/>
      <c r="L1043" s="29"/>
      <c r="M1043" s="29"/>
      <c r="N1043" s="29"/>
      <c r="O1043" s="29"/>
      <c r="P1043" s="29"/>
      <c r="Q1043" s="29"/>
    </row>
    <row r="1044" spans="7:17">
      <c r="G1044" s="29"/>
      <c r="H1044" s="29"/>
      <c r="I1044" s="29"/>
      <c r="J1044" s="29"/>
      <c r="K1044" s="29"/>
      <c r="L1044" s="29"/>
      <c r="M1044" s="29"/>
      <c r="N1044" s="29"/>
      <c r="O1044" s="29"/>
      <c r="P1044" s="29"/>
      <c r="Q1044" s="29"/>
    </row>
    <row r="1045" spans="7:17">
      <c r="G1045" s="29"/>
      <c r="H1045" s="29"/>
      <c r="I1045" s="29"/>
      <c r="J1045" s="29"/>
      <c r="K1045" s="29"/>
      <c r="L1045" s="29"/>
      <c r="M1045" s="29"/>
      <c r="N1045" s="29"/>
      <c r="O1045" s="29"/>
      <c r="P1045" s="29"/>
      <c r="Q1045" s="29"/>
    </row>
    <row r="1046" spans="7:17">
      <c r="G1046" s="29"/>
      <c r="H1046" s="29"/>
      <c r="I1046" s="29"/>
      <c r="J1046" s="29"/>
      <c r="K1046" s="29"/>
      <c r="L1046" s="29"/>
      <c r="M1046" s="29"/>
      <c r="N1046" s="29"/>
      <c r="O1046" s="29"/>
      <c r="P1046" s="29"/>
      <c r="Q1046" s="29"/>
    </row>
    <row r="1047" spans="7:17">
      <c r="G1047" s="29"/>
      <c r="H1047" s="29"/>
      <c r="I1047" s="29"/>
      <c r="J1047" s="29"/>
      <c r="K1047" s="29"/>
      <c r="L1047" s="29"/>
      <c r="M1047" s="29"/>
      <c r="N1047" s="29"/>
      <c r="O1047" s="29"/>
      <c r="P1047" s="29"/>
      <c r="Q1047" s="29"/>
    </row>
    <row r="1048" spans="7:17">
      <c r="G1048" s="29"/>
      <c r="H1048" s="29"/>
      <c r="I1048" s="29"/>
      <c r="J1048" s="29"/>
      <c r="K1048" s="29"/>
      <c r="L1048" s="29"/>
      <c r="M1048" s="29"/>
      <c r="N1048" s="29"/>
      <c r="O1048" s="29"/>
      <c r="P1048" s="29"/>
      <c r="Q1048" s="29"/>
    </row>
    <row r="1049" spans="7:17">
      <c r="G1049" s="29"/>
      <c r="H1049" s="29"/>
      <c r="I1049" s="29"/>
      <c r="J1049" s="29"/>
      <c r="K1049" s="29"/>
      <c r="L1049" s="29"/>
      <c r="M1049" s="29"/>
      <c r="N1049" s="29"/>
      <c r="O1049" s="29"/>
      <c r="P1049" s="29"/>
      <c r="Q1049" s="29"/>
    </row>
    <row r="1050" spans="7:17">
      <c r="G1050" s="29"/>
      <c r="H1050" s="29"/>
      <c r="I1050" s="29"/>
      <c r="J1050" s="29"/>
      <c r="K1050" s="29"/>
      <c r="L1050" s="29"/>
      <c r="M1050" s="29"/>
      <c r="N1050" s="29"/>
      <c r="O1050" s="29"/>
      <c r="P1050" s="29"/>
      <c r="Q1050" s="29"/>
    </row>
    <row r="1051" spans="7:17">
      <c r="G1051" s="29"/>
      <c r="H1051" s="29"/>
      <c r="I1051" s="29"/>
      <c r="J1051" s="29"/>
      <c r="K1051" s="29"/>
      <c r="L1051" s="29"/>
      <c r="M1051" s="29"/>
      <c r="N1051" s="29"/>
      <c r="O1051" s="29"/>
      <c r="P1051" s="29"/>
      <c r="Q1051" s="29"/>
    </row>
    <row r="1052" spans="7:17">
      <c r="G1052" s="29"/>
      <c r="H1052" s="29"/>
      <c r="I1052" s="29"/>
      <c r="J1052" s="29"/>
      <c r="K1052" s="29"/>
      <c r="L1052" s="29"/>
      <c r="M1052" s="29"/>
      <c r="N1052" s="29"/>
      <c r="O1052" s="29"/>
      <c r="P1052" s="29"/>
      <c r="Q1052" s="29"/>
    </row>
    <row r="1053" spans="7:17">
      <c r="G1053" s="29"/>
      <c r="H1053" s="29"/>
      <c r="I1053" s="29"/>
      <c r="J1053" s="29"/>
      <c r="K1053" s="29"/>
      <c r="L1053" s="29"/>
      <c r="M1053" s="29"/>
      <c r="N1053" s="29"/>
      <c r="O1053" s="29"/>
      <c r="P1053" s="29"/>
      <c r="Q1053" s="29"/>
    </row>
    <row r="1054" spans="7:17">
      <c r="G1054" s="29"/>
      <c r="H1054" s="29"/>
      <c r="I1054" s="29"/>
      <c r="J1054" s="29"/>
      <c r="K1054" s="29"/>
      <c r="L1054" s="29"/>
      <c r="M1054" s="29"/>
      <c r="N1054" s="29"/>
      <c r="O1054" s="29"/>
      <c r="P1054" s="29"/>
      <c r="Q1054" s="29"/>
    </row>
    <row r="1055" spans="7:17">
      <c r="G1055" s="29"/>
      <c r="H1055" s="29"/>
      <c r="I1055" s="29"/>
      <c r="J1055" s="29"/>
      <c r="K1055" s="29"/>
      <c r="L1055" s="29"/>
      <c r="M1055" s="29"/>
      <c r="N1055" s="29"/>
      <c r="O1055" s="29"/>
      <c r="P1055" s="29"/>
      <c r="Q1055" s="29"/>
    </row>
    <row r="1056" spans="7:17">
      <c r="G1056" s="29"/>
      <c r="H1056" s="29"/>
      <c r="I1056" s="29"/>
      <c r="J1056" s="29"/>
      <c r="K1056" s="29"/>
      <c r="L1056" s="29"/>
      <c r="M1056" s="29"/>
      <c r="N1056" s="29"/>
      <c r="O1056" s="29"/>
      <c r="P1056" s="29"/>
      <c r="Q1056" s="29"/>
    </row>
    <row r="1057" spans="7:17">
      <c r="G1057" s="29"/>
      <c r="H1057" s="29"/>
      <c r="I1057" s="29"/>
      <c r="J1057" s="29"/>
      <c r="K1057" s="29"/>
      <c r="L1057" s="29"/>
      <c r="M1057" s="29"/>
      <c r="N1057" s="29"/>
      <c r="O1057" s="29"/>
      <c r="P1057" s="29"/>
      <c r="Q1057" s="29"/>
    </row>
    <row r="1058" spans="7:17">
      <c r="G1058" s="29"/>
      <c r="H1058" s="29"/>
      <c r="I1058" s="29"/>
      <c r="J1058" s="29"/>
      <c r="K1058" s="29"/>
      <c r="L1058" s="29"/>
      <c r="M1058" s="29"/>
      <c r="N1058" s="29"/>
      <c r="O1058" s="29"/>
      <c r="P1058" s="29"/>
      <c r="Q1058" s="29"/>
    </row>
    <row r="1059" spans="7:17">
      <c r="G1059" s="29"/>
      <c r="H1059" s="29"/>
      <c r="I1059" s="29"/>
      <c r="J1059" s="29"/>
      <c r="K1059" s="29"/>
      <c r="L1059" s="29"/>
      <c r="M1059" s="29"/>
      <c r="N1059" s="29"/>
      <c r="O1059" s="29"/>
      <c r="P1059" s="29"/>
      <c r="Q1059" s="29"/>
    </row>
    <row r="1060" spans="7:17">
      <c r="G1060" s="29"/>
      <c r="H1060" s="29"/>
      <c r="I1060" s="29"/>
      <c r="J1060" s="29"/>
      <c r="K1060" s="29"/>
      <c r="L1060" s="29"/>
      <c r="M1060" s="29"/>
      <c r="N1060" s="29"/>
      <c r="O1060" s="29"/>
      <c r="P1060" s="29"/>
      <c r="Q1060" s="29"/>
    </row>
    <row r="1061" spans="7:17">
      <c r="G1061" s="29"/>
      <c r="H1061" s="29"/>
      <c r="I1061" s="29"/>
      <c r="J1061" s="29"/>
      <c r="K1061" s="29"/>
      <c r="L1061" s="29"/>
      <c r="M1061" s="29"/>
      <c r="N1061" s="29"/>
      <c r="O1061" s="29"/>
      <c r="P1061" s="29"/>
      <c r="Q1061" s="29"/>
    </row>
    <row r="1062" spans="7:17">
      <c r="G1062" s="29"/>
      <c r="H1062" s="29"/>
      <c r="I1062" s="29"/>
      <c r="J1062" s="29"/>
      <c r="K1062" s="29"/>
      <c r="L1062" s="29"/>
      <c r="M1062" s="29"/>
      <c r="N1062" s="29"/>
      <c r="O1062" s="29"/>
      <c r="P1062" s="29"/>
      <c r="Q1062" s="29"/>
    </row>
    <row r="1063" spans="7:17">
      <c r="G1063" s="29"/>
      <c r="H1063" s="29"/>
      <c r="I1063" s="29"/>
      <c r="J1063" s="29"/>
      <c r="K1063" s="29"/>
      <c r="L1063" s="29"/>
      <c r="M1063" s="29"/>
      <c r="N1063" s="29"/>
      <c r="O1063" s="29"/>
      <c r="P1063" s="29"/>
      <c r="Q1063" s="29"/>
    </row>
    <row r="1064" spans="7:17">
      <c r="G1064" s="29"/>
      <c r="H1064" s="29"/>
      <c r="I1064" s="29"/>
      <c r="J1064" s="29"/>
      <c r="K1064" s="29"/>
      <c r="L1064" s="29"/>
      <c r="M1064" s="29"/>
      <c r="N1064" s="29"/>
      <c r="O1064" s="29"/>
      <c r="P1064" s="29"/>
      <c r="Q1064" s="29"/>
    </row>
    <row r="1065" spans="7:17">
      <c r="G1065" s="29"/>
      <c r="H1065" s="29"/>
      <c r="I1065" s="29"/>
      <c r="J1065" s="29"/>
      <c r="K1065" s="29"/>
      <c r="L1065" s="29"/>
      <c r="M1065" s="29"/>
      <c r="N1065" s="29"/>
      <c r="O1065" s="29"/>
      <c r="P1065" s="29"/>
      <c r="Q1065" s="29"/>
    </row>
    <row r="1066" spans="7:17">
      <c r="G1066" s="29"/>
      <c r="H1066" s="29"/>
      <c r="I1066" s="29"/>
      <c r="J1066" s="29"/>
      <c r="K1066" s="29"/>
      <c r="L1066" s="29"/>
      <c r="M1066" s="29"/>
      <c r="N1066" s="29"/>
      <c r="O1066" s="29"/>
      <c r="P1066" s="29"/>
      <c r="Q1066" s="29"/>
    </row>
    <row r="1067" spans="7:17">
      <c r="G1067" s="29"/>
      <c r="H1067" s="29"/>
      <c r="I1067" s="29"/>
      <c r="J1067" s="29"/>
      <c r="K1067" s="29"/>
      <c r="L1067" s="29"/>
      <c r="M1067" s="29"/>
      <c r="N1067" s="29"/>
      <c r="O1067" s="29"/>
      <c r="P1067" s="29"/>
      <c r="Q1067" s="29"/>
    </row>
    <row r="1068" spans="7:17">
      <c r="G1068" s="29"/>
      <c r="H1068" s="29"/>
      <c r="I1068" s="29"/>
      <c r="J1068" s="29"/>
      <c r="K1068" s="29"/>
      <c r="L1068" s="29"/>
      <c r="M1068" s="29"/>
      <c r="N1068" s="29"/>
      <c r="O1068" s="29"/>
      <c r="P1068" s="29"/>
      <c r="Q1068" s="29"/>
    </row>
    <row r="1069" spans="7:17">
      <c r="G1069" s="29"/>
      <c r="H1069" s="29"/>
      <c r="I1069" s="29"/>
      <c r="J1069" s="29"/>
      <c r="K1069" s="29"/>
      <c r="L1069" s="29"/>
      <c r="M1069" s="29"/>
      <c r="N1069" s="29"/>
      <c r="O1069" s="29"/>
      <c r="P1069" s="29"/>
      <c r="Q1069" s="29"/>
    </row>
    <row r="1070" spans="7:17">
      <c r="G1070" s="29"/>
      <c r="H1070" s="29"/>
      <c r="I1070" s="29"/>
      <c r="J1070" s="29"/>
      <c r="K1070" s="29"/>
      <c r="L1070" s="29"/>
      <c r="M1070" s="29"/>
      <c r="N1070" s="29"/>
      <c r="O1070" s="29"/>
      <c r="P1070" s="29"/>
      <c r="Q1070" s="29"/>
    </row>
    <row r="1071" spans="7:17">
      <c r="G1071" s="29"/>
      <c r="H1071" s="29"/>
      <c r="I1071" s="29"/>
      <c r="J1071" s="29"/>
      <c r="K1071" s="29"/>
      <c r="L1071" s="29"/>
      <c r="M1071" s="29"/>
      <c r="N1071" s="29"/>
      <c r="O1071" s="29"/>
      <c r="P1071" s="29"/>
      <c r="Q1071" s="29"/>
    </row>
    <row r="1072" spans="7:17">
      <c r="G1072" s="29"/>
      <c r="H1072" s="29"/>
      <c r="I1072" s="29"/>
      <c r="J1072" s="29"/>
      <c r="K1072" s="29"/>
      <c r="L1072" s="29"/>
      <c r="M1072" s="29"/>
      <c r="N1072" s="29"/>
      <c r="O1072" s="29"/>
      <c r="P1072" s="29"/>
      <c r="Q1072" s="29"/>
    </row>
    <row r="1073" spans="7:17">
      <c r="G1073" s="29"/>
      <c r="H1073" s="29"/>
      <c r="I1073" s="29"/>
      <c r="J1073" s="29"/>
      <c r="K1073" s="29"/>
      <c r="L1073" s="29"/>
      <c r="M1073" s="29"/>
      <c r="N1073" s="29"/>
      <c r="O1073" s="29"/>
      <c r="P1073" s="29"/>
      <c r="Q1073" s="29"/>
    </row>
    <row r="1074" spans="7:17">
      <c r="G1074" s="29"/>
      <c r="H1074" s="29"/>
      <c r="I1074" s="29"/>
      <c r="J1074" s="29"/>
      <c r="K1074" s="29"/>
      <c r="L1074" s="29"/>
      <c r="M1074" s="29"/>
      <c r="N1074" s="29"/>
      <c r="O1074" s="29"/>
      <c r="P1074" s="29"/>
      <c r="Q1074" s="29"/>
    </row>
    <row r="1075" spans="7:17">
      <c r="G1075" s="29"/>
      <c r="H1075" s="29"/>
      <c r="I1075" s="29"/>
      <c r="J1075" s="29"/>
      <c r="K1075" s="29"/>
      <c r="L1075" s="29"/>
      <c r="M1075" s="29"/>
      <c r="N1075" s="29"/>
      <c r="O1075" s="29"/>
      <c r="P1075" s="29"/>
      <c r="Q1075" s="29"/>
    </row>
    <row r="1076" spans="7:17">
      <c r="G1076" s="29"/>
      <c r="H1076" s="29"/>
      <c r="I1076" s="29"/>
      <c r="J1076" s="29"/>
      <c r="K1076" s="29"/>
      <c r="L1076" s="29"/>
      <c r="M1076" s="29"/>
      <c r="N1076" s="29"/>
      <c r="O1076" s="29"/>
      <c r="P1076" s="29"/>
      <c r="Q1076" s="29"/>
    </row>
    <row r="1077" spans="7:17">
      <c r="G1077" s="29"/>
      <c r="H1077" s="29"/>
      <c r="I1077" s="29"/>
      <c r="J1077" s="29"/>
      <c r="K1077" s="29"/>
      <c r="L1077" s="29"/>
      <c r="M1077" s="29"/>
      <c r="N1077" s="29"/>
      <c r="O1077" s="29"/>
      <c r="P1077" s="29"/>
      <c r="Q1077" s="29"/>
    </row>
    <row r="1078" spans="7:17">
      <c r="G1078" s="29"/>
      <c r="H1078" s="29"/>
      <c r="I1078" s="29"/>
      <c r="J1078" s="29"/>
      <c r="K1078" s="29"/>
      <c r="L1078" s="29"/>
      <c r="M1078" s="29"/>
      <c r="N1078" s="29"/>
      <c r="O1078" s="29"/>
      <c r="P1078" s="29"/>
      <c r="Q1078" s="29"/>
    </row>
    <row r="1079" spans="7:17">
      <c r="G1079" s="29"/>
      <c r="H1079" s="29"/>
      <c r="I1079" s="29"/>
      <c r="J1079" s="29"/>
      <c r="K1079" s="29"/>
      <c r="L1079" s="29"/>
      <c r="M1079" s="29"/>
      <c r="N1079" s="29"/>
      <c r="O1079" s="29"/>
      <c r="P1079" s="29"/>
      <c r="Q1079" s="29"/>
    </row>
    <row r="1080" spans="7:17">
      <c r="G1080" s="29"/>
      <c r="H1080" s="29"/>
      <c r="I1080" s="29"/>
      <c r="J1080" s="29"/>
      <c r="K1080" s="29"/>
      <c r="L1080" s="29"/>
      <c r="M1080" s="29"/>
      <c r="N1080" s="29"/>
      <c r="O1080" s="29"/>
      <c r="P1080" s="29"/>
      <c r="Q1080" s="29"/>
    </row>
    <row r="1081" spans="7:17">
      <c r="G1081" s="29"/>
      <c r="H1081" s="29"/>
      <c r="I1081" s="29"/>
      <c r="J1081" s="29"/>
      <c r="K1081" s="29"/>
      <c r="L1081" s="29"/>
      <c r="M1081" s="29"/>
      <c r="N1081" s="29"/>
      <c r="O1081" s="29"/>
      <c r="P1081" s="29"/>
      <c r="Q1081" s="29"/>
    </row>
    <row r="1082" spans="7:17">
      <c r="G1082" s="29"/>
      <c r="H1082" s="29"/>
      <c r="I1082" s="29"/>
      <c r="J1082" s="29"/>
      <c r="K1082" s="29"/>
      <c r="L1082" s="29"/>
      <c r="M1082" s="29"/>
      <c r="N1082" s="29"/>
      <c r="O1082" s="29"/>
      <c r="P1082" s="29"/>
      <c r="Q1082" s="29"/>
    </row>
    <row r="1083" spans="7:17">
      <c r="G1083" s="29"/>
      <c r="H1083" s="29"/>
      <c r="I1083" s="29"/>
      <c r="J1083" s="29"/>
      <c r="K1083" s="29"/>
      <c r="L1083" s="29"/>
      <c r="M1083" s="29"/>
      <c r="N1083" s="29"/>
      <c r="O1083" s="29"/>
      <c r="P1083" s="29"/>
      <c r="Q1083" s="29"/>
    </row>
    <row r="1084" spans="7:17">
      <c r="G1084" s="29"/>
      <c r="H1084" s="29"/>
      <c r="I1084" s="29"/>
      <c r="J1084" s="29"/>
      <c r="K1084" s="29"/>
      <c r="L1084" s="29"/>
      <c r="M1084" s="29"/>
      <c r="N1084" s="29"/>
      <c r="O1084" s="29"/>
      <c r="P1084" s="29"/>
      <c r="Q1084" s="29"/>
    </row>
    <row r="1085" spans="7:17">
      <c r="G1085" s="29"/>
      <c r="H1085" s="29"/>
      <c r="I1085" s="29"/>
      <c r="J1085" s="29"/>
      <c r="K1085" s="29"/>
      <c r="L1085" s="29"/>
      <c r="M1085" s="29"/>
      <c r="N1085" s="29"/>
      <c r="O1085" s="29"/>
      <c r="P1085" s="29"/>
      <c r="Q1085" s="29"/>
    </row>
    <row r="1086" spans="7:17">
      <c r="G1086" s="29"/>
      <c r="H1086" s="29"/>
      <c r="I1086" s="29"/>
      <c r="J1086" s="29"/>
      <c r="K1086" s="29"/>
      <c r="L1086" s="29"/>
      <c r="M1086" s="29"/>
      <c r="N1086" s="29"/>
      <c r="O1086" s="29"/>
      <c r="P1086" s="29"/>
      <c r="Q1086" s="29"/>
    </row>
    <row r="1087" spans="7:17">
      <c r="G1087" s="29"/>
      <c r="H1087" s="29"/>
      <c r="I1087" s="29"/>
      <c r="J1087" s="29"/>
      <c r="K1087" s="29"/>
      <c r="L1087" s="29"/>
      <c r="M1087" s="29"/>
      <c r="N1087" s="29"/>
      <c r="O1087" s="29"/>
      <c r="P1087" s="29"/>
      <c r="Q1087" s="29"/>
    </row>
    <row r="1088" spans="7:17">
      <c r="G1088" s="29"/>
      <c r="H1088" s="29"/>
      <c r="I1088" s="29"/>
      <c r="J1088" s="29"/>
      <c r="K1088" s="29"/>
      <c r="L1088" s="29"/>
      <c r="M1088" s="29"/>
      <c r="N1088" s="29"/>
      <c r="O1088" s="29"/>
      <c r="P1088" s="29"/>
      <c r="Q1088" s="29"/>
    </row>
  </sheetData>
  <mergeCells count="8">
    <mergeCell ref="E149:R149"/>
    <mergeCell ref="F7:P7"/>
    <mergeCell ref="E88:R88"/>
    <mergeCell ref="A1:R1"/>
    <mergeCell ref="A2:R2"/>
    <mergeCell ref="A54:R54"/>
    <mergeCell ref="E4:R4"/>
    <mergeCell ref="E55:R55"/>
  </mergeCells>
  <phoneticPr fontId="45" type="noConversion"/>
  <printOptions horizontalCentered="1"/>
  <pageMargins left="0.7" right="0.7" top="0.75" bottom="0.75" header="0.3" footer="0.3"/>
  <pageSetup scale="76" fitToHeight="3" orientation="landscape" r:id="rId1"/>
  <headerFooter scaleWithDoc="0">
    <oddHeader>&amp;RExhibit No. __(EMA-2)</oddHeader>
    <oddFooter>&amp;RPage &amp;P of &amp;N</oddFooter>
  </headerFooter>
  <rowBreaks count="2" manualBreakCount="2">
    <brk id="53" max="21" man="1"/>
    <brk id="84" max="21" man="1"/>
  </rowBreaks>
  <ignoredErrors>
    <ignoredError sqref="F75:I75 G60:I60 N60:P60 F25:F26 F45 G61:P61 F16:F18 F36 K75:P75 F31" unlockedFormula="1"/>
  </ignoredError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G20"/>
  <sheetViews>
    <sheetView workbookViewId="0"/>
  </sheetViews>
  <sheetFormatPr defaultRowHeight="12.75"/>
  <cols>
    <col min="1" max="1" width="5.140625" style="471" customWidth="1"/>
    <col min="2" max="2" width="4.7109375" style="471" customWidth="1"/>
    <col min="3" max="3" width="31.140625" style="471" customWidth="1"/>
    <col min="4" max="7" width="13.42578125" style="471" customWidth="1"/>
    <col min="8" max="16384" width="9.140625" style="471"/>
  </cols>
  <sheetData>
    <row r="1" spans="1:7" ht="15">
      <c r="A1" s="521" t="s">
        <v>492</v>
      </c>
      <c r="B1" s="510"/>
      <c r="C1" s="510"/>
      <c r="D1" s="510"/>
      <c r="E1" s="510"/>
      <c r="F1" s="510"/>
      <c r="G1" s="510"/>
    </row>
    <row r="2" spans="1:7" ht="15">
      <c r="A2" s="521" t="s">
        <v>491</v>
      </c>
      <c r="B2" s="510"/>
      <c r="C2" s="510"/>
      <c r="D2" s="510"/>
      <c r="E2" s="510"/>
      <c r="F2" s="510"/>
      <c r="G2" s="510"/>
    </row>
    <row r="3" spans="1:7" s="523" customFormat="1" ht="15"/>
    <row r="4" spans="1:7" ht="15">
      <c r="A4" s="510"/>
      <c r="B4" s="510" t="s">
        <v>490</v>
      </c>
      <c r="C4" s="510"/>
      <c r="D4" s="522">
        <v>2007</v>
      </c>
      <c r="E4" s="522">
        <v>2008</v>
      </c>
      <c r="F4" s="522">
        <v>2009</v>
      </c>
      <c r="G4" s="522">
        <v>2010</v>
      </c>
    </row>
    <row r="5" spans="1:7" ht="15">
      <c r="A5" s="510"/>
      <c r="B5" s="521" t="s">
        <v>489</v>
      </c>
      <c r="C5" s="510"/>
      <c r="D5" s="510"/>
      <c r="E5" s="510"/>
      <c r="F5" s="510"/>
      <c r="G5" s="510"/>
    </row>
    <row r="6" spans="1:7" ht="15">
      <c r="A6" s="510"/>
      <c r="B6" s="510"/>
      <c r="C6" s="510" t="s">
        <v>488</v>
      </c>
      <c r="D6" s="519">
        <v>6349</v>
      </c>
      <c r="E6" s="520">
        <v>7252</v>
      </c>
      <c r="F6" s="516">
        <v>9302</v>
      </c>
      <c r="G6" s="515">
        <v>12606</v>
      </c>
    </row>
    <row r="7" spans="1:7" ht="15">
      <c r="A7" s="510"/>
      <c r="B7" s="510"/>
      <c r="C7" s="510" t="s">
        <v>487</v>
      </c>
      <c r="D7" s="519">
        <v>230738</v>
      </c>
      <c r="E7" s="518">
        <v>243189</v>
      </c>
      <c r="F7" s="516">
        <v>255390</v>
      </c>
      <c r="G7" s="515">
        <v>272340</v>
      </c>
    </row>
    <row r="8" spans="1:7" ht="15">
      <c r="A8" s="510"/>
      <c r="B8" s="510"/>
      <c r="C8" s="510" t="s">
        <v>392</v>
      </c>
      <c r="D8" s="517">
        <v>90140</v>
      </c>
      <c r="E8" s="516">
        <v>95026</v>
      </c>
      <c r="F8" s="516">
        <v>100649</v>
      </c>
      <c r="G8" s="515">
        <v>106041</v>
      </c>
    </row>
    <row r="9" spans="1:7" ht="15">
      <c r="A9" s="510"/>
      <c r="B9" s="510"/>
      <c r="C9" s="510" t="s">
        <v>251</v>
      </c>
      <c r="D9" s="517">
        <v>162343</v>
      </c>
      <c r="E9" s="516">
        <v>172026</v>
      </c>
      <c r="F9" s="516">
        <v>181327</v>
      </c>
      <c r="G9" s="515">
        <v>194593</v>
      </c>
    </row>
    <row r="10" spans="1:7" ht="15">
      <c r="A10" s="510"/>
      <c r="B10" s="510"/>
      <c r="C10" s="510" t="s">
        <v>486</v>
      </c>
      <c r="D10" s="514">
        <v>36737</v>
      </c>
      <c r="E10" s="513">
        <v>39933</v>
      </c>
      <c r="F10" s="513">
        <v>39153</v>
      </c>
      <c r="G10" s="512">
        <v>43819</v>
      </c>
    </row>
    <row r="11" spans="1:7" ht="15.75" thickBot="1">
      <c r="A11" s="510"/>
      <c r="B11" s="510" t="s">
        <v>92</v>
      </c>
      <c r="C11" s="510"/>
      <c r="D11" s="511">
        <f>SUM(D6:D10)</f>
        <v>526307</v>
      </c>
      <c r="E11" s="511">
        <f>SUM(E6:E10)</f>
        <v>557426</v>
      </c>
      <c r="F11" s="511">
        <f>SUM(F6:F10)</f>
        <v>585821</v>
      </c>
      <c r="G11" s="511">
        <f>SUM(G6:G10)</f>
        <v>629399</v>
      </c>
    </row>
    <row r="12" spans="1:7" ht="15.75" thickTop="1">
      <c r="A12" s="510"/>
      <c r="B12" s="510"/>
      <c r="C12" s="510"/>
      <c r="D12" s="510"/>
      <c r="E12" s="510"/>
      <c r="F12" s="510"/>
      <c r="G12" s="510"/>
    </row>
    <row r="14" spans="1:7" ht="15" hidden="1">
      <c r="A14" s="510"/>
      <c r="B14" s="510"/>
      <c r="C14" s="510"/>
      <c r="D14" s="510"/>
      <c r="E14" s="510"/>
      <c r="F14" s="510"/>
      <c r="G14" s="510"/>
    </row>
    <row r="15" spans="1:7" ht="15" hidden="1">
      <c r="A15" s="510"/>
      <c r="B15" s="510"/>
      <c r="C15" s="510"/>
      <c r="D15" s="510"/>
      <c r="E15" s="510"/>
      <c r="F15" s="510"/>
      <c r="G15" s="510"/>
    </row>
    <row r="16" spans="1:7" ht="15" hidden="1">
      <c r="A16" s="510"/>
      <c r="B16" s="510"/>
      <c r="C16" s="510"/>
      <c r="D16" s="510"/>
      <c r="E16" s="510"/>
      <c r="F16" s="510"/>
      <c r="G16" s="510"/>
    </row>
    <row r="17" hidden="1"/>
    <row r="18" hidden="1"/>
    <row r="19" hidden="1"/>
    <row r="20" hidden="1"/>
  </sheetData>
  <pageMargins left="0.7" right="0.7" top="0.75" bottom="0.75" header="0.3" footer="0.3"/>
  <pageSetup orientation="landscape" r:id="rId1"/>
  <headerFooter>
    <oddFooter>&amp;L&amp;F&amp;RPage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39997558519241921"/>
    <pageSetUpPr fitToPage="1"/>
  </sheetPr>
  <dimension ref="A1:J34"/>
  <sheetViews>
    <sheetView workbookViewId="0">
      <selection activeCell="T1" sqref="T1"/>
    </sheetView>
  </sheetViews>
  <sheetFormatPr defaultColWidth="8.85546875" defaultRowHeight="12.75"/>
  <cols>
    <col min="1" max="1" width="11.28515625" style="281" bestFit="1" customWidth="1"/>
    <col min="2" max="2" width="41" style="281" bestFit="1" customWidth="1"/>
    <col min="3" max="3" width="19.7109375" style="281" bestFit="1" customWidth="1"/>
    <col min="4" max="4" width="11.140625" style="281" bestFit="1" customWidth="1"/>
    <col min="5" max="5" width="20.7109375" style="281" customWidth="1"/>
    <col min="6" max="6" width="10.28515625" style="281" customWidth="1"/>
    <col min="7" max="7" width="12.7109375" style="281" bestFit="1" customWidth="1"/>
    <col min="8" max="8" width="18.28515625" style="281" customWidth="1"/>
    <col min="9" max="9" width="14.5703125" style="281" customWidth="1"/>
    <col min="10" max="10" width="12.7109375" style="281" customWidth="1"/>
    <col min="11" max="16384" width="8.85546875" style="281"/>
  </cols>
  <sheetData>
    <row r="1" spans="1:10">
      <c r="A1" s="95" t="s">
        <v>355</v>
      </c>
      <c r="B1" s="95"/>
      <c r="C1" s="95"/>
      <c r="D1" s="95"/>
      <c r="E1" s="95"/>
      <c r="F1" s="95"/>
      <c r="G1" s="95"/>
      <c r="H1" s="95"/>
    </row>
    <row r="2" spans="1:10">
      <c r="A2" s="95"/>
      <c r="B2" s="95"/>
      <c r="C2" s="95"/>
      <c r="D2" s="95"/>
      <c r="E2" s="95"/>
      <c r="F2" s="95"/>
      <c r="G2" s="95"/>
      <c r="H2" s="95"/>
    </row>
    <row r="3" spans="1:10">
      <c r="A3" s="286" t="s">
        <v>325</v>
      </c>
      <c r="B3" s="287" t="s">
        <v>326</v>
      </c>
      <c r="C3" s="95"/>
      <c r="D3" s="95"/>
      <c r="E3" s="95"/>
      <c r="F3" s="95"/>
      <c r="G3" s="95"/>
      <c r="H3" s="95"/>
    </row>
    <row r="4" spans="1:10">
      <c r="A4" s="95"/>
      <c r="B4" s="95"/>
      <c r="C4" s="95"/>
      <c r="D4" s="95"/>
      <c r="E4" s="95"/>
      <c r="F4" s="95"/>
      <c r="G4" s="95"/>
      <c r="H4" s="95"/>
    </row>
    <row r="5" spans="1:10">
      <c r="A5" s="288"/>
      <c r="B5" s="289"/>
      <c r="C5" s="290"/>
      <c r="D5" s="291"/>
      <c r="E5" s="292" t="s">
        <v>327</v>
      </c>
      <c r="F5" s="293"/>
      <c r="G5" s="293"/>
      <c r="H5" s="294"/>
      <c r="I5" s="308" t="s">
        <v>68</v>
      </c>
      <c r="J5" s="308" t="s">
        <v>392</v>
      </c>
    </row>
    <row r="6" spans="1:10" ht="14.25">
      <c r="A6" s="295"/>
      <c r="B6" s="296"/>
      <c r="C6" s="297"/>
      <c r="D6" s="298" t="s">
        <v>328</v>
      </c>
      <c r="E6" s="298" t="s">
        <v>329</v>
      </c>
      <c r="F6" s="298" t="s">
        <v>112</v>
      </c>
      <c r="G6" s="298" t="s">
        <v>28</v>
      </c>
      <c r="H6" s="299" t="s">
        <v>330</v>
      </c>
      <c r="I6" s="308" t="s">
        <v>67</v>
      </c>
      <c r="J6" s="308"/>
    </row>
    <row r="7" spans="1:10" ht="14.25">
      <c r="A7" s="298" t="s">
        <v>331</v>
      </c>
      <c r="B7" s="298" t="s">
        <v>356</v>
      </c>
      <c r="C7" s="298" t="s">
        <v>332</v>
      </c>
      <c r="D7" s="300"/>
      <c r="E7" s="300"/>
      <c r="F7" s="300"/>
      <c r="G7" s="300"/>
      <c r="H7" s="300"/>
    </row>
    <row r="8" spans="1:10" ht="14.25">
      <c r="A8" s="301" t="s">
        <v>357</v>
      </c>
      <c r="B8" s="301" t="s">
        <v>358</v>
      </c>
      <c r="C8" s="298" t="s">
        <v>359</v>
      </c>
      <c r="D8" s="300"/>
      <c r="E8" s="302">
        <v>10582</v>
      </c>
      <c r="F8" s="302" t="s">
        <v>335</v>
      </c>
      <c r="G8" s="302" t="s">
        <v>335</v>
      </c>
      <c r="H8" s="302">
        <v>10582</v>
      </c>
    </row>
    <row r="9" spans="1:10" ht="14.25">
      <c r="A9" s="303"/>
      <c r="B9" s="303"/>
      <c r="C9" s="298" t="s">
        <v>360</v>
      </c>
      <c r="D9" s="300"/>
      <c r="E9" s="302">
        <v>889279.74</v>
      </c>
      <c r="F9" s="302" t="s">
        <v>335</v>
      </c>
      <c r="G9" s="302" t="s">
        <v>335</v>
      </c>
      <c r="H9" s="302">
        <v>889279.74</v>
      </c>
    </row>
    <row r="10" spans="1:10" ht="14.25">
      <c r="A10" s="303"/>
      <c r="B10" s="304"/>
      <c r="C10" s="298" t="s">
        <v>361</v>
      </c>
      <c r="D10" s="300"/>
      <c r="E10" s="302">
        <v>3679.62</v>
      </c>
      <c r="F10" s="302">
        <v>683.02</v>
      </c>
      <c r="G10" s="302">
        <v>38699.56</v>
      </c>
      <c r="H10" s="302">
        <v>43062.200000000004</v>
      </c>
    </row>
    <row r="11" spans="1:10" ht="14.25">
      <c r="A11" s="303"/>
      <c r="B11" s="298" t="s">
        <v>362</v>
      </c>
      <c r="C11" s="298" t="s">
        <v>363</v>
      </c>
      <c r="D11" s="300"/>
      <c r="E11" s="302">
        <v>16978.95</v>
      </c>
      <c r="F11" s="302" t="s">
        <v>335</v>
      </c>
      <c r="G11" s="302" t="s">
        <v>335</v>
      </c>
      <c r="H11" s="302">
        <v>16978.95</v>
      </c>
    </row>
    <row r="12" spans="1:10" ht="14.25">
      <c r="A12" s="303"/>
      <c r="B12" s="301" t="s">
        <v>364</v>
      </c>
      <c r="C12" s="298" t="s">
        <v>365</v>
      </c>
      <c r="D12" s="300"/>
      <c r="E12" s="302">
        <v>6800</v>
      </c>
      <c r="F12" s="302" t="s">
        <v>335</v>
      </c>
      <c r="G12" s="302" t="s">
        <v>335</v>
      </c>
      <c r="H12" s="302">
        <v>6800</v>
      </c>
    </row>
    <row r="13" spans="1:10" ht="14.25">
      <c r="A13" s="303"/>
      <c r="B13" s="303"/>
      <c r="C13" s="298" t="s">
        <v>366</v>
      </c>
      <c r="D13" s="300"/>
      <c r="E13" s="302">
        <v>7023.6900000000005</v>
      </c>
      <c r="F13" s="302" t="s">
        <v>335</v>
      </c>
      <c r="G13" s="302" t="s">
        <v>335</v>
      </c>
      <c r="H13" s="302">
        <v>7023.6900000000005</v>
      </c>
    </row>
    <row r="14" spans="1:10" ht="14.25">
      <c r="A14" s="303"/>
      <c r="B14" s="303"/>
      <c r="C14" s="298" t="s">
        <v>367</v>
      </c>
      <c r="D14" s="300"/>
      <c r="E14" s="302">
        <v>666530.53</v>
      </c>
      <c r="F14" s="302" t="s">
        <v>335</v>
      </c>
      <c r="G14" s="302" t="s">
        <v>335</v>
      </c>
      <c r="H14" s="302">
        <v>666530.53</v>
      </c>
    </row>
    <row r="15" spans="1:10" ht="14.25">
      <c r="A15" s="303"/>
      <c r="B15" s="304"/>
      <c r="C15" s="298" t="s">
        <v>368</v>
      </c>
      <c r="D15" s="300"/>
      <c r="E15" s="302">
        <v>456.12</v>
      </c>
      <c r="F15" s="302" t="s">
        <v>335</v>
      </c>
      <c r="G15" s="302" t="s">
        <v>335</v>
      </c>
      <c r="H15" s="302">
        <v>456.12</v>
      </c>
    </row>
    <row r="16" spans="1:10" ht="14.25">
      <c r="A16" s="304"/>
      <c r="B16" s="298" t="s">
        <v>369</v>
      </c>
      <c r="C16" s="298" t="s">
        <v>370</v>
      </c>
      <c r="D16" s="300"/>
      <c r="E16" s="302">
        <v>46995</v>
      </c>
      <c r="F16" s="302" t="s">
        <v>335</v>
      </c>
      <c r="G16" s="302" t="s">
        <v>335</v>
      </c>
      <c r="H16" s="302">
        <v>46995</v>
      </c>
    </row>
    <row r="17" spans="1:10" ht="14.25">
      <c r="A17" s="301" t="s">
        <v>371</v>
      </c>
      <c r="B17" s="301" t="s">
        <v>372</v>
      </c>
      <c r="C17" s="298" t="s">
        <v>373</v>
      </c>
      <c r="D17" s="300"/>
      <c r="E17" s="302">
        <v>-7723892.5</v>
      </c>
      <c r="F17" s="302" t="s">
        <v>335</v>
      </c>
      <c r="G17" s="302" t="s">
        <v>335</v>
      </c>
      <c r="H17" s="302">
        <v>-7723892.5</v>
      </c>
      <c r="I17" s="309">
        <f>H17</f>
        <v>-7723892.5</v>
      </c>
    </row>
    <row r="18" spans="1:10" ht="14.25">
      <c r="A18" s="303"/>
      <c r="B18" s="303"/>
      <c r="C18" s="298" t="s">
        <v>374</v>
      </c>
      <c r="D18" s="300"/>
      <c r="E18" s="302">
        <v>-2718369.75</v>
      </c>
      <c r="F18" s="302" t="s">
        <v>335</v>
      </c>
      <c r="G18" s="302" t="s">
        <v>335</v>
      </c>
      <c r="H18" s="302">
        <v>-2718369.75</v>
      </c>
      <c r="I18" s="309">
        <f t="shared" ref="I18:I23" si="0">H18</f>
        <v>-2718369.75</v>
      </c>
    </row>
    <row r="19" spans="1:10" ht="14.25">
      <c r="A19" s="304"/>
      <c r="B19" s="304"/>
      <c r="C19" s="298" t="s">
        <v>375</v>
      </c>
      <c r="D19" s="300"/>
      <c r="E19" s="302">
        <v>24.8</v>
      </c>
      <c r="F19" s="302" t="s">
        <v>335</v>
      </c>
      <c r="G19" s="302" t="s">
        <v>335</v>
      </c>
      <c r="H19" s="302">
        <v>24.8</v>
      </c>
      <c r="I19" s="309">
        <f t="shared" si="0"/>
        <v>24.8</v>
      </c>
    </row>
    <row r="20" spans="1:10" ht="14.25">
      <c r="A20" s="301" t="s">
        <v>376</v>
      </c>
      <c r="B20" s="301" t="s">
        <v>372</v>
      </c>
      <c r="C20" s="298" t="s">
        <v>377</v>
      </c>
      <c r="D20" s="300"/>
      <c r="E20" s="302">
        <v>855810.15</v>
      </c>
      <c r="F20" s="302" t="s">
        <v>335</v>
      </c>
      <c r="G20" s="302" t="s">
        <v>335</v>
      </c>
      <c r="H20" s="302">
        <v>855810.15</v>
      </c>
      <c r="I20" s="309">
        <f t="shared" si="0"/>
        <v>855810.15</v>
      </c>
    </row>
    <row r="21" spans="1:10" ht="14.25">
      <c r="A21" s="304"/>
      <c r="B21" s="304"/>
      <c r="C21" s="298" t="s">
        <v>378</v>
      </c>
      <c r="D21" s="300"/>
      <c r="E21" s="302">
        <v>29287951.550000001</v>
      </c>
      <c r="F21" s="302" t="s">
        <v>335</v>
      </c>
      <c r="G21" s="302" t="s">
        <v>335</v>
      </c>
      <c r="H21" s="302">
        <v>29287951.550000001</v>
      </c>
      <c r="I21" s="309">
        <f t="shared" si="0"/>
        <v>29287951.550000001</v>
      </c>
    </row>
    <row r="22" spans="1:10" ht="14.25">
      <c r="A22" s="301" t="s">
        <v>379</v>
      </c>
      <c r="B22" s="301" t="s">
        <v>380</v>
      </c>
      <c r="C22" s="298" t="s">
        <v>381</v>
      </c>
      <c r="D22" s="300"/>
      <c r="E22" s="302">
        <v>4006377.64</v>
      </c>
      <c r="F22" s="302" t="s">
        <v>335</v>
      </c>
      <c r="G22" s="302" t="s">
        <v>335</v>
      </c>
      <c r="H22" s="302">
        <v>4006377.64</v>
      </c>
      <c r="I22" s="309">
        <f t="shared" si="0"/>
        <v>4006377.64</v>
      </c>
    </row>
    <row r="23" spans="1:10" ht="14.25">
      <c r="A23" s="304"/>
      <c r="B23" s="304"/>
      <c r="C23" s="298" t="s">
        <v>382</v>
      </c>
      <c r="D23" s="300"/>
      <c r="E23" s="302" t="s">
        <v>335</v>
      </c>
      <c r="F23" s="302" t="s">
        <v>335</v>
      </c>
      <c r="G23" s="302">
        <v>162500</v>
      </c>
      <c r="H23" s="302">
        <v>162500</v>
      </c>
      <c r="I23" s="309">
        <f t="shared" si="0"/>
        <v>162500</v>
      </c>
    </row>
    <row r="24" spans="1:10" ht="14.25">
      <c r="A24" s="298" t="s">
        <v>333</v>
      </c>
      <c r="B24" s="298" t="s">
        <v>383</v>
      </c>
      <c r="C24" s="298" t="s">
        <v>334</v>
      </c>
      <c r="D24" s="300"/>
      <c r="E24" s="302">
        <v>60244.08</v>
      </c>
      <c r="F24" s="302" t="s">
        <v>335</v>
      </c>
      <c r="G24" s="302" t="s">
        <v>335</v>
      </c>
      <c r="H24" s="302">
        <v>60244.08</v>
      </c>
      <c r="J24" s="309">
        <f>H24</f>
        <v>60244.08</v>
      </c>
    </row>
    <row r="25" spans="1:10" ht="14.25">
      <c r="A25" s="298" t="s">
        <v>384</v>
      </c>
      <c r="B25" s="298" t="s">
        <v>385</v>
      </c>
      <c r="C25" s="298" t="s">
        <v>386</v>
      </c>
      <c r="D25" s="300"/>
      <c r="E25" s="302">
        <v>529103.25</v>
      </c>
      <c r="F25" s="302" t="s">
        <v>335</v>
      </c>
      <c r="G25" s="302" t="s">
        <v>335</v>
      </c>
      <c r="H25" s="302">
        <v>529103.25</v>
      </c>
      <c r="I25" s="317"/>
      <c r="J25" s="309">
        <f>H25</f>
        <v>529103.25</v>
      </c>
    </row>
    <row r="26" spans="1:10" ht="14.25">
      <c r="A26" s="298" t="s">
        <v>336</v>
      </c>
      <c r="B26" s="298" t="s">
        <v>383</v>
      </c>
      <c r="C26" s="298" t="s">
        <v>337</v>
      </c>
      <c r="D26" s="300"/>
      <c r="E26" s="302">
        <v>11553981.52</v>
      </c>
      <c r="F26" s="302" t="s">
        <v>335</v>
      </c>
      <c r="G26" s="302" t="s">
        <v>335</v>
      </c>
      <c r="H26" s="302">
        <v>11553981.52</v>
      </c>
      <c r="J26" s="309">
        <f>H26</f>
        <v>11553981.52</v>
      </c>
    </row>
    <row r="27" spans="1:10" ht="14.25">
      <c r="A27" s="298" t="s">
        <v>338</v>
      </c>
      <c r="B27" s="298" t="s">
        <v>383</v>
      </c>
      <c r="C27" s="298" t="s">
        <v>339</v>
      </c>
      <c r="D27" s="300"/>
      <c r="E27" s="302">
        <v>3192000</v>
      </c>
      <c r="F27" s="302" t="s">
        <v>335</v>
      </c>
      <c r="G27" s="302" t="s">
        <v>335</v>
      </c>
      <c r="H27" s="302">
        <v>3192000</v>
      </c>
      <c r="J27" s="309">
        <f t="shared" ref="J27:J29" si="1">H27</f>
        <v>3192000</v>
      </c>
    </row>
    <row r="28" spans="1:10" ht="14.25">
      <c r="A28" s="298" t="s">
        <v>340</v>
      </c>
      <c r="B28" s="298" t="s">
        <v>383</v>
      </c>
      <c r="C28" s="298" t="s">
        <v>341</v>
      </c>
      <c r="D28" s="300"/>
      <c r="E28" s="302" t="s">
        <v>335</v>
      </c>
      <c r="F28" s="302">
        <v>44019.49</v>
      </c>
      <c r="G28" s="302">
        <v>97939.56</v>
      </c>
      <c r="H28" s="302">
        <v>141959.05000000002</v>
      </c>
      <c r="J28" s="309">
        <f t="shared" si="1"/>
        <v>141959.05000000002</v>
      </c>
    </row>
    <row r="29" spans="1:10" ht="14.25">
      <c r="A29" s="298" t="s">
        <v>342</v>
      </c>
      <c r="B29" s="298" t="s">
        <v>383</v>
      </c>
      <c r="C29" s="298" t="s">
        <v>343</v>
      </c>
      <c r="D29" s="300"/>
      <c r="E29" s="302">
        <v>928944</v>
      </c>
      <c r="F29" s="302" t="s">
        <v>335</v>
      </c>
      <c r="G29" s="302" t="s">
        <v>335</v>
      </c>
      <c r="H29" s="302">
        <v>928944</v>
      </c>
      <c r="J29" s="309">
        <f t="shared" si="1"/>
        <v>928944</v>
      </c>
    </row>
    <row r="30" spans="1:10" ht="14.25">
      <c r="A30" s="298" t="s">
        <v>387</v>
      </c>
      <c r="B30" s="298" t="s">
        <v>372</v>
      </c>
      <c r="C30" s="298" t="s">
        <v>388</v>
      </c>
      <c r="D30" s="300"/>
      <c r="E30" s="302">
        <v>-44500</v>
      </c>
      <c r="F30" s="302" t="s">
        <v>335</v>
      </c>
      <c r="G30" s="302" t="s">
        <v>335</v>
      </c>
      <c r="H30" s="302">
        <v>-44500</v>
      </c>
      <c r="I30" s="309">
        <f t="shared" ref="I30:I32" si="2">H30</f>
        <v>-44500</v>
      </c>
    </row>
    <row r="31" spans="1:10" ht="14.25">
      <c r="A31" s="298" t="s">
        <v>389</v>
      </c>
      <c r="B31" s="298" t="s">
        <v>372</v>
      </c>
      <c r="C31" s="298" t="s">
        <v>388</v>
      </c>
      <c r="D31" s="300"/>
      <c r="E31" s="302">
        <v>44500</v>
      </c>
      <c r="F31" s="302" t="s">
        <v>335</v>
      </c>
      <c r="G31" s="302" t="s">
        <v>335</v>
      </c>
      <c r="H31" s="302">
        <v>44500</v>
      </c>
      <c r="I31" s="309">
        <f t="shared" si="2"/>
        <v>44500</v>
      </c>
    </row>
    <row r="32" spans="1:10" ht="14.25">
      <c r="A32" s="298" t="s">
        <v>390</v>
      </c>
      <c r="B32" s="298" t="s">
        <v>372</v>
      </c>
      <c r="C32" s="298" t="s">
        <v>391</v>
      </c>
      <c r="D32" s="300"/>
      <c r="E32" s="302">
        <v>67420725.560000002</v>
      </c>
      <c r="F32" s="302" t="s">
        <v>335</v>
      </c>
      <c r="G32" s="302" t="s">
        <v>335</v>
      </c>
      <c r="H32" s="302">
        <v>67420725.560000002</v>
      </c>
      <c r="I32" s="309">
        <f t="shared" si="2"/>
        <v>67420725.560000002</v>
      </c>
    </row>
    <row r="33" spans="1:10">
      <c r="A33" s="305" t="s">
        <v>344</v>
      </c>
      <c r="B33" s="306"/>
      <c r="C33" s="307"/>
      <c r="D33" s="300"/>
      <c r="E33" s="302">
        <v>109041225.95</v>
      </c>
      <c r="F33" s="302">
        <v>44702.51</v>
      </c>
      <c r="G33" s="302">
        <v>299139.12</v>
      </c>
      <c r="H33" s="302">
        <v>109385067.58</v>
      </c>
    </row>
    <row r="34" spans="1:10">
      <c r="I34" s="309">
        <f>SUM(I17:I32)</f>
        <v>91291127.450000003</v>
      </c>
      <c r="J34" s="337">
        <f>SUM(J17:J32)</f>
        <v>16406231.9</v>
      </c>
    </row>
  </sheetData>
  <pageMargins left="0.75" right="0.75" top="1" bottom="1" header="0.5" footer="0.5"/>
  <pageSetup scale="7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14"/>
  <sheetViews>
    <sheetView workbookViewId="0">
      <selection activeCell="T1" sqref="T1"/>
    </sheetView>
  </sheetViews>
  <sheetFormatPr defaultColWidth="9.140625" defaultRowHeight="12.75"/>
  <cols>
    <col min="1" max="3" width="9.140625" style="281"/>
    <col min="4" max="4" width="10.28515625" style="281" bestFit="1" customWidth="1"/>
    <col min="5" max="6" width="9.140625" style="281"/>
    <col min="7" max="7" width="12.28515625" style="281" customWidth="1"/>
    <col min="8" max="8" width="7.85546875" style="281" customWidth="1"/>
    <col min="9" max="12" width="9.140625" style="281"/>
    <col min="13" max="13" width="11" style="281" customWidth="1"/>
    <col min="14" max="16384" width="9.140625" style="281"/>
  </cols>
  <sheetData>
    <row r="1" spans="1:14" ht="15.75">
      <c r="A1" s="338" t="s">
        <v>404</v>
      </c>
    </row>
    <row r="2" spans="1:14">
      <c r="A2" s="327" t="s">
        <v>396</v>
      </c>
    </row>
    <row r="3" spans="1:14" ht="13.5" thickBot="1">
      <c r="D3" s="331" t="s">
        <v>397</v>
      </c>
      <c r="E3" s="331"/>
      <c r="F3" s="331" t="s">
        <v>398</v>
      </c>
      <c r="G3" s="331" t="s">
        <v>403</v>
      </c>
    </row>
    <row r="4" spans="1:14">
      <c r="A4" s="339" t="s">
        <v>321</v>
      </c>
      <c r="B4" s="340"/>
      <c r="C4" s="340"/>
      <c r="D4" s="341" t="e">
        <f>#REF!</f>
        <v>#REF!</v>
      </c>
      <c r="E4" s="341"/>
      <c r="F4" s="341" t="e">
        <f>#REF!</f>
        <v>#REF!</v>
      </c>
      <c r="G4" s="341" t="e">
        <f>F4-D4</f>
        <v>#REF!</v>
      </c>
      <c r="H4" s="342" t="s">
        <v>399</v>
      </c>
      <c r="I4" s="343"/>
      <c r="J4" s="343"/>
      <c r="K4" s="343"/>
      <c r="L4" s="343"/>
      <c r="M4" s="343"/>
      <c r="N4" s="343"/>
    </row>
    <row r="5" spans="1:14" ht="13.5" thickBot="1">
      <c r="A5" s="344" t="s">
        <v>322</v>
      </c>
      <c r="B5" s="345"/>
      <c r="C5" s="345"/>
      <c r="D5" s="346" t="e">
        <f>#REF!</f>
        <v>#REF!</v>
      </c>
      <c r="E5" s="346"/>
      <c r="F5" s="346" t="e">
        <f>#REF!</f>
        <v>#REF!</v>
      </c>
      <c r="G5" s="346" t="e">
        <f>F5-D5</f>
        <v>#REF!</v>
      </c>
      <c r="H5" s="347" t="s">
        <v>399</v>
      </c>
      <c r="I5" s="343"/>
      <c r="J5" s="343"/>
      <c r="K5" s="343"/>
      <c r="L5" s="343"/>
      <c r="M5" s="343"/>
      <c r="N5" s="343"/>
    </row>
    <row r="6" spans="1:14">
      <c r="A6" s="324"/>
      <c r="B6" s="324"/>
      <c r="C6" s="324"/>
      <c r="D6" s="45" t="e">
        <f>SUM(D4:D5)</f>
        <v>#REF!</v>
      </c>
      <c r="E6" s="324"/>
      <c r="F6" s="45" t="e">
        <f>SUM(F4:F5)</f>
        <v>#REF!</v>
      </c>
      <c r="G6" s="330" t="e">
        <f>F6-D6</f>
        <v>#REF!</v>
      </c>
    </row>
    <row r="7" spans="1:14">
      <c r="H7" s="329"/>
    </row>
    <row r="8" spans="1:14">
      <c r="C8" s="328" t="s">
        <v>400</v>
      </c>
      <c r="D8" s="332" t="e">
        <f>100%+'Cost Trends'!#REF!</f>
        <v>#REF!</v>
      </c>
      <c r="H8" s="329"/>
    </row>
    <row r="9" spans="1:14">
      <c r="H9" s="348" t="s">
        <v>402</v>
      </c>
      <c r="I9" s="349"/>
      <c r="J9" s="349"/>
      <c r="K9" s="349"/>
      <c r="L9" s="349"/>
      <c r="M9" s="349"/>
    </row>
    <row r="10" spans="1:14">
      <c r="C10" s="328" t="s">
        <v>401</v>
      </c>
      <c r="D10" s="333" t="e">
        <f>D6*D8</f>
        <v>#REF!</v>
      </c>
      <c r="F10" s="334" t="e">
        <f>F6</f>
        <v>#REF!</v>
      </c>
      <c r="H10" s="350" t="e">
        <f>F10-D10</f>
        <v>#REF!</v>
      </c>
      <c r="I10" s="349"/>
      <c r="J10" s="351"/>
      <c r="K10" s="349"/>
      <c r="L10" s="349"/>
      <c r="M10" s="349"/>
    </row>
    <row r="11" spans="1:14">
      <c r="H11" s="329"/>
    </row>
    <row r="12" spans="1:14">
      <c r="H12" s="329"/>
    </row>
    <row r="13" spans="1:14">
      <c r="H13" s="329"/>
    </row>
    <row r="14" spans="1:14">
      <c r="H14" s="329"/>
    </row>
  </sheetData>
  <pageMargins left="0.7" right="0.7" top="0.75" bottom="0.75" header="0.3" footer="0.3"/>
  <pageSetup scale="94" orientation="landscape"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2:T112"/>
  <sheetViews>
    <sheetView workbookViewId="0"/>
  </sheetViews>
  <sheetFormatPr defaultRowHeight="12.75"/>
  <cols>
    <col min="1" max="1" width="4.85546875" customWidth="1"/>
    <col min="2" max="2" width="4.7109375" customWidth="1"/>
    <col min="3" max="3" width="23" customWidth="1"/>
    <col min="4" max="4" width="4.5703125" customWidth="1"/>
    <col min="5" max="5" width="9.42578125" customWidth="1"/>
    <col min="6" max="14" width="9.7109375" bestFit="1" customWidth="1"/>
    <col min="15" max="15" width="10.7109375" bestFit="1" customWidth="1"/>
    <col min="16" max="16" width="10.5703125" customWidth="1"/>
    <col min="17" max="17" width="9.85546875" bestFit="1" customWidth="1"/>
    <col min="18" max="18" width="9.140625" customWidth="1"/>
    <col min="19" max="19" width="9.140625" style="272" customWidth="1"/>
    <col min="20" max="20" width="9.140625" style="95" customWidth="1"/>
  </cols>
  <sheetData>
    <row r="2" spans="1:20">
      <c r="A2" s="64" t="s">
        <v>73</v>
      </c>
      <c r="B2" s="64"/>
      <c r="C2" s="64"/>
      <c r="D2" s="64"/>
      <c r="E2" s="64"/>
      <c r="F2" s="64"/>
      <c r="G2" s="64"/>
      <c r="H2" s="64"/>
      <c r="I2" s="64"/>
      <c r="J2" s="64"/>
      <c r="K2" s="64"/>
      <c r="L2" s="64"/>
      <c r="M2" s="64"/>
      <c r="N2" s="64"/>
      <c r="O2" s="64"/>
      <c r="P2" s="64"/>
      <c r="Q2" s="64"/>
    </row>
    <row r="3" spans="1:20">
      <c r="A3" s="64" t="s">
        <v>83</v>
      </c>
      <c r="B3" s="64"/>
      <c r="C3" s="64"/>
      <c r="D3" s="64"/>
      <c r="E3" s="64"/>
      <c r="F3" s="64"/>
      <c r="G3" s="64"/>
      <c r="H3" s="64"/>
      <c r="I3" s="64"/>
      <c r="J3" s="64"/>
      <c r="K3" s="64"/>
      <c r="L3" s="64"/>
      <c r="M3" s="64"/>
      <c r="N3" s="64"/>
      <c r="O3" s="64"/>
      <c r="P3" s="64"/>
      <c r="Q3" s="64"/>
    </row>
    <row r="4" spans="1:20">
      <c r="A4" s="64" t="s">
        <v>311</v>
      </c>
      <c r="B4" s="64"/>
      <c r="C4" s="64"/>
      <c r="D4" s="64"/>
      <c r="E4" s="64"/>
      <c r="F4" s="64"/>
      <c r="G4" s="64"/>
      <c r="H4" s="64"/>
      <c r="I4" s="64"/>
      <c r="J4" s="64"/>
      <c r="K4" s="64"/>
      <c r="L4" s="64"/>
      <c r="M4" s="64"/>
      <c r="N4" s="64"/>
      <c r="O4" s="64"/>
      <c r="P4" s="64"/>
      <c r="Q4" s="64"/>
      <c r="T4" s="265"/>
    </row>
    <row r="5" spans="1:20">
      <c r="A5" s="64" t="s">
        <v>72</v>
      </c>
      <c r="B5" s="64"/>
      <c r="C5" s="64"/>
      <c r="D5" s="64"/>
      <c r="E5" s="64"/>
      <c r="F5" s="64"/>
      <c r="G5" s="64"/>
      <c r="H5" s="64"/>
      <c r="I5" s="64"/>
      <c r="J5" s="64"/>
      <c r="K5" s="64"/>
      <c r="L5" s="64"/>
      <c r="M5" s="64"/>
      <c r="N5" s="64"/>
      <c r="O5" s="64"/>
      <c r="P5" s="64"/>
      <c r="Q5" s="64"/>
    </row>
    <row r="6" spans="1:20">
      <c r="A6" s="64"/>
      <c r="B6" s="64"/>
      <c r="C6" s="64"/>
      <c r="D6" s="64"/>
      <c r="E6" s="64"/>
      <c r="F6" s="64"/>
      <c r="G6" s="64"/>
      <c r="H6" s="64"/>
      <c r="I6" s="64"/>
      <c r="J6" s="64"/>
      <c r="K6" s="64"/>
      <c r="L6" s="64"/>
      <c r="M6" s="64"/>
      <c r="N6" s="64"/>
      <c r="O6" s="64"/>
      <c r="P6" s="64"/>
      <c r="Q6" s="64"/>
      <c r="S6" s="63"/>
      <c r="T6" s="715" t="s">
        <v>354</v>
      </c>
    </row>
    <row r="7" spans="1:20">
      <c r="A7" s="64"/>
      <c r="B7" s="64"/>
      <c r="C7" s="64"/>
      <c r="D7" s="64"/>
      <c r="E7" s="73">
        <v>2000</v>
      </c>
      <c r="F7" s="73">
        <v>2001</v>
      </c>
      <c r="G7" s="73">
        <v>2002</v>
      </c>
      <c r="H7" s="73">
        <v>2003</v>
      </c>
      <c r="I7" s="73">
        <v>2004</v>
      </c>
      <c r="J7" s="73">
        <v>2005</v>
      </c>
      <c r="K7" s="73">
        <v>2006</v>
      </c>
      <c r="L7" s="73">
        <v>2007</v>
      </c>
      <c r="M7" s="73">
        <v>2008</v>
      </c>
      <c r="N7" s="73">
        <v>2009</v>
      </c>
      <c r="O7" s="73">
        <v>2010</v>
      </c>
      <c r="P7" s="73">
        <v>2011</v>
      </c>
      <c r="Q7" s="73">
        <v>2012</v>
      </c>
      <c r="R7" s="73">
        <v>2013</v>
      </c>
      <c r="S7" s="268">
        <v>2014</v>
      </c>
      <c r="T7" s="716">
        <v>12.201499999999999</v>
      </c>
    </row>
    <row r="8" spans="1:20">
      <c r="T8" s="429"/>
    </row>
    <row r="10" spans="1:20">
      <c r="S10" s="95"/>
    </row>
    <row r="11" spans="1:20">
      <c r="A11" s="2" t="s">
        <v>139</v>
      </c>
      <c r="E11" s="115">
        <f>'CBR Hist'!F24</f>
        <v>-3114</v>
      </c>
      <c r="F11" s="115">
        <f>'CBR Hist'!G24</f>
        <v>9152</v>
      </c>
      <c r="G11" s="115">
        <f>'CBR Hist'!H24</f>
        <v>13808</v>
      </c>
      <c r="H11" s="115">
        <f>'CBR Hist'!I24</f>
        <v>14915</v>
      </c>
      <c r="I11" s="115">
        <f>'CBR Hist'!J24</f>
        <v>22879</v>
      </c>
      <c r="J11" s="115">
        <f>'CBR Hist'!K24</f>
        <v>13812</v>
      </c>
      <c r="K11" s="115">
        <f>'CBR Hist'!L24</f>
        <v>25745</v>
      </c>
      <c r="L11" s="115">
        <f>'CBR Hist'!M24</f>
        <v>21795</v>
      </c>
      <c r="M11" s="115">
        <f>'CBR Hist'!N24</f>
        <v>22000</v>
      </c>
      <c r="N11" s="115">
        <f>'CBR Hist'!O24</f>
        <v>22266</v>
      </c>
      <c r="O11" s="115">
        <f>'CBR Hist'!P24</f>
        <v>22129</v>
      </c>
      <c r="P11" s="115">
        <f>'CBR Hist'!Q24</f>
        <v>25158</v>
      </c>
      <c r="Q11" s="115">
        <f>'CBR Hist'!R24+Q19</f>
        <v>25680</v>
      </c>
      <c r="R11" s="115">
        <f>'CBR Hist'!S24</f>
        <v>23284</v>
      </c>
      <c r="S11" s="312">
        <f>'CBR Hist'!T24</f>
        <v>23715</v>
      </c>
      <c r="T11" s="312">
        <f>'[7]CBR Hist'!U24</f>
        <v>24947</v>
      </c>
    </row>
    <row r="12" spans="1:20">
      <c r="A12" s="2" t="s">
        <v>140</v>
      </c>
      <c r="P12" s="115">
        <f>'CBR Hist'!Q25</f>
        <v>403</v>
      </c>
      <c r="Q12" s="115">
        <f>'CBR Hist'!R25-Q19</f>
        <v>-7744</v>
      </c>
      <c r="R12" s="115">
        <f>'CBR Hist'!S25</f>
        <v>8629</v>
      </c>
      <c r="S12" s="312">
        <f>'CBR Hist'!T25</f>
        <v>8101</v>
      </c>
      <c r="T12" s="312">
        <f>'[7]CBR Hist'!U25</f>
        <v>5974</v>
      </c>
    </row>
    <row r="13" spans="1:20">
      <c r="A13" s="2"/>
      <c r="S13" s="95"/>
    </row>
    <row r="14" spans="1:20">
      <c r="A14" s="2"/>
      <c r="B14" s="2"/>
      <c r="E14" s="117"/>
      <c r="F14" s="117"/>
      <c r="G14" s="117"/>
      <c r="H14" s="117"/>
      <c r="I14" s="117"/>
      <c r="J14" s="117"/>
      <c r="K14" s="117"/>
      <c r="L14" s="117"/>
      <c r="M14" s="117"/>
      <c r="N14" s="117"/>
      <c r="O14" s="117"/>
      <c r="P14" s="117"/>
      <c r="Q14" s="117"/>
      <c r="S14" s="95"/>
    </row>
    <row r="15" spans="1:20">
      <c r="A15" s="2"/>
      <c r="B15" s="2"/>
      <c r="E15" s="117"/>
      <c r="F15" s="117"/>
      <c r="G15" s="117"/>
      <c r="H15" s="117"/>
      <c r="I15" s="117"/>
      <c r="J15" s="117"/>
      <c r="K15" s="117"/>
      <c r="L15" s="117"/>
      <c r="M15" s="117"/>
      <c r="N15" s="117"/>
      <c r="O15" s="117"/>
      <c r="P15" s="117"/>
      <c r="Q15" s="117"/>
      <c r="S15" s="95"/>
    </row>
    <row r="16" spans="1:20">
      <c r="A16" s="2" t="s">
        <v>141</v>
      </c>
      <c r="E16" s="116">
        <f>10346-213</f>
        <v>10133</v>
      </c>
      <c r="F16" s="116">
        <f>10784-205</f>
        <v>10579</v>
      </c>
      <c r="G16" s="116">
        <f>12359+3035-228</f>
        <v>15166</v>
      </c>
      <c r="H16" s="116">
        <f>14152+1470-219</f>
        <v>15403</v>
      </c>
      <c r="I16" s="116">
        <f>15379+1705-113-221</f>
        <v>16750</v>
      </c>
      <c r="J16" s="116">
        <f>17205-154-219</f>
        <v>16832</v>
      </c>
      <c r="K16" s="116">
        <f>18582-216</f>
        <v>18366</v>
      </c>
      <c r="L16" s="116">
        <f>18487-225</f>
        <v>18262</v>
      </c>
      <c r="M16" s="116">
        <f>17022-195</f>
        <v>16827</v>
      </c>
      <c r="N16" s="116">
        <f>17556-193</f>
        <v>17363</v>
      </c>
      <c r="O16" s="116">
        <f>18188-191</f>
        <v>17997</v>
      </c>
      <c r="P16" s="116">
        <f>18013-191</f>
        <v>17822</v>
      </c>
      <c r="Q16" s="116">
        <f>18237</f>
        <v>18237</v>
      </c>
      <c r="R16" s="116">
        <v>16250</v>
      </c>
      <c r="S16" s="97">
        <v>16426</v>
      </c>
      <c r="T16" s="97">
        <v>17083</v>
      </c>
    </row>
    <row r="17" spans="1:20">
      <c r="A17" s="2" t="s">
        <v>142</v>
      </c>
      <c r="E17" s="116">
        <f>4492</f>
        <v>4492</v>
      </c>
      <c r="F17" s="116">
        <f>4393</f>
        <v>4393</v>
      </c>
      <c r="G17" s="116">
        <f>4780</f>
        <v>4780</v>
      </c>
      <c r="H17" s="116">
        <f>4891</f>
        <v>4891</v>
      </c>
      <c r="I17" s="116">
        <f>5220</f>
        <v>5220</v>
      </c>
      <c r="J17" s="116">
        <v>5531</v>
      </c>
      <c r="K17" s="116">
        <f>5957</f>
        <v>5957</v>
      </c>
      <c r="L17" s="116">
        <f>6352+1</f>
        <v>6353</v>
      </c>
      <c r="M17" s="116">
        <v>5969</v>
      </c>
      <c r="N17" s="116">
        <v>6116</v>
      </c>
      <c r="O17" s="116">
        <v>6354</v>
      </c>
      <c r="P17" s="116">
        <v>6681</v>
      </c>
      <c r="Q17" s="116">
        <v>6976</v>
      </c>
      <c r="R17" s="116">
        <v>6529</v>
      </c>
      <c r="S17" s="97">
        <v>6725</v>
      </c>
      <c r="T17" s="97">
        <v>7246</v>
      </c>
    </row>
    <row r="18" spans="1:20">
      <c r="A18" s="2" t="s">
        <v>143</v>
      </c>
      <c r="E18" s="116">
        <f>9+216</f>
        <v>225</v>
      </c>
      <c r="F18" s="116">
        <f>9+221</f>
        <v>230</v>
      </c>
      <c r="G18" s="116">
        <f>1+210</f>
        <v>211</v>
      </c>
      <c r="H18" s="116">
        <f>17+212</f>
        <v>229</v>
      </c>
      <c r="I18" s="116">
        <f>9+212+8+11+102</f>
        <v>342</v>
      </c>
      <c r="J18" s="116">
        <f>10+221+31+4</f>
        <v>266</v>
      </c>
      <c r="K18" s="116">
        <f>32+222</f>
        <v>254</v>
      </c>
      <c r="L18" s="116">
        <f>44+218</f>
        <v>262</v>
      </c>
      <c r="M18" s="116">
        <f>62+218</f>
        <v>280</v>
      </c>
      <c r="N18" s="116">
        <f>63+427</f>
        <v>490</v>
      </c>
      <c r="O18" s="116">
        <f>595+62</f>
        <v>657</v>
      </c>
      <c r="P18" s="116">
        <f>655</f>
        <v>655</v>
      </c>
      <c r="Q18" s="116">
        <v>659</v>
      </c>
      <c r="R18" s="116">
        <v>652</v>
      </c>
      <c r="S18" s="97">
        <v>710</v>
      </c>
      <c r="T18" s="97">
        <v>760</v>
      </c>
    </row>
    <row r="19" spans="1:20">
      <c r="A19" s="2"/>
      <c r="E19" s="118" t="s">
        <v>165</v>
      </c>
      <c r="F19" s="116"/>
      <c r="G19" s="116"/>
      <c r="H19" s="116"/>
      <c r="I19" s="116"/>
      <c r="J19" s="116"/>
      <c r="K19" s="116"/>
      <c r="L19" s="116"/>
      <c r="M19" s="116"/>
      <c r="N19" s="116"/>
      <c r="O19" s="116"/>
      <c r="P19" s="116"/>
      <c r="Q19" s="116">
        <v>-192</v>
      </c>
      <c r="R19" s="116">
        <v>-147</v>
      </c>
      <c r="S19" s="97">
        <v>-146</v>
      </c>
      <c r="T19" s="97">
        <v>-142</v>
      </c>
    </row>
    <row r="20" spans="1:20">
      <c r="A20" s="2"/>
      <c r="B20" s="2" t="s">
        <v>163</v>
      </c>
      <c r="E20" s="119">
        <f>SUM(E16:E18)</f>
        <v>14850</v>
      </c>
      <c r="F20" s="119">
        <f t="shared" ref="F20:P20" si="0">SUM(F16:F18)</f>
        <v>15202</v>
      </c>
      <c r="G20" s="119">
        <f t="shared" si="0"/>
        <v>20157</v>
      </c>
      <c r="H20" s="119">
        <f t="shared" si="0"/>
        <v>20523</v>
      </c>
      <c r="I20" s="119">
        <f t="shared" si="0"/>
        <v>22312</v>
      </c>
      <c r="J20" s="119">
        <f t="shared" si="0"/>
        <v>22629</v>
      </c>
      <c r="K20" s="119">
        <f t="shared" si="0"/>
        <v>24577</v>
      </c>
      <c r="L20" s="119">
        <f t="shared" si="0"/>
        <v>24877</v>
      </c>
      <c r="M20" s="119">
        <f t="shared" si="0"/>
        <v>23076</v>
      </c>
      <c r="N20" s="119">
        <f t="shared" si="0"/>
        <v>23969</v>
      </c>
      <c r="O20" s="119">
        <f t="shared" si="0"/>
        <v>25008</v>
      </c>
      <c r="P20" s="119">
        <f t="shared" si="0"/>
        <v>25158</v>
      </c>
      <c r="Q20" s="119">
        <f>SUM(Q16:Q19)</f>
        <v>25680</v>
      </c>
      <c r="R20" s="119">
        <f>SUM(R16:R19)</f>
        <v>23284</v>
      </c>
      <c r="S20" s="313">
        <f>SUM(S16:S19)</f>
        <v>23715</v>
      </c>
      <c r="T20" s="313">
        <f>SUM(T16:T19)</f>
        <v>24947</v>
      </c>
    </row>
    <row r="21" spans="1:20">
      <c r="A21" s="2"/>
      <c r="E21" s="116"/>
      <c r="F21" s="116"/>
      <c r="G21" s="116"/>
      <c r="H21" s="116"/>
      <c r="I21" s="116"/>
      <c r="J21" s="116"/>
      <c r="K21" s="116"/>
      <c r="L21" s="116"/>
      <c r="M21" s="116"/>
      <c r="N21" s="116"/>
      <c r="O21" s="116"/>
      <c r="P21" s="116"/>
      <c r="Q21" s="116"/>
      <c r="S21" s="95"/>
    </row>
    <row r="22" spans="1:20">
      <c r="A22" s="2" t="s">
        <v>144</v>
      </c>
      <c r="D22" s="95"/>
      <c r="E22" s="97">
        <f>2448-2448</f>
        <v>0</v>
      </c>
      <c r="F22" s="97">
        <f>2448-2448</f>
        <v>0</v>
      </c>
      <c r="G22" s="97">
        <f>2481-31</f>
        <v>2450</v>
      </c>
      <c r="H22" s="97">
        <f>2450</f>
        <v>2450</v>
      </c>
      <c r="I22" s="97">
        <f>2450</f>
        <v>2450</v>
      </c>
      <c r="J22" s="97">
        <v>2450</v>
      </c>
      <c r="K22" s="97">
        <v>2450</v>
      </c>
      <c r="L22" s="97">
        <v>2450</v>
      </c>
      <c r="M22" s="97">
        <v>2450</v>
      </c>
      <c r="N22" s="97">
        <v>2450</v>
      </c>
      <c r="O22" s="97">
        <v>2450</v>
      </c>
      <c r="P22" s="97">
        <v>2450</v>
      </c>
      <c r="Q22" s="97">
        <v>2450</v>
      </c>
      <c r="R22" s="239">
        <v>2450</v>
      </c>
      <c r="S22" s="239">
        <v>2450</v>
      </c>
      <c r="T22" s="239">
        <v>2450</v>
      </c>
    </row>
    <row r="23" spans="1:20">
      <c r="A23" s="2" t="s">
        <v>145</v>
      </c>
      <c r="D23" s="95"/>
      <c r="E23" s="97">
        <f>32</f>
        <v>32</v>
      </c>
      <c r="F23" s="97">
        <f>32</f>
        <v>32</v>
      </c>
      <c r="G23" s="97">
        <f>32</f>
        <v>32</v>
      </c>
      <c r="H23" s="97">
        <f>32</f>
        <v>32</v>
      </c>
      <c r="I23" s="97">
        <f>32</f>
        <v>32</v>
      </c>
      <c r="J23" s="97">
        <f>32</f>
        <v>32</v>
      </c>
      <c r="K23" s="97">
        <f>32</f>
        <v>32</v>
      </c>
      <c r="L23" s="97">
        <f>32</f>
        <v>32</v>
      </c>
      <c r="M23" s="97">
        <f>32</f>
        <v>32</v>
      </c>
      <c r="N23" s="97">
        <f>32</f>
        <v>32</v>
      </c>
      <c r="O23" s="97">
        <f>32</f>
        <v>32</v>
      </c>
      <c r="P23" s="97">
        <f>32</f>
        <v>32</v>
      </c>
      <c r="Q23" s="97">
        <f>32</f>
        <v>32</v>
      </c>
      <c r="R23" s="239">
        <v>32</v>
      </c>
      <c r="S23" s="239">
        <v>32</v>
      </c>
      <c r="T23" s="239">
        <v>32</v>
      </c>
    </row>
    <row r="24" spans="1:20">
      <c r="A24" s="2" t="s">
        <v>146</v>
      </c>
      <c r="D24" s="95"/>
      <c r="E24" s="97">
        <f>-15</f>
        <v>-15</v>
      </c>
      <c r="F24" s="97">
        <v>-3</v>
      </c>
      <c r="G24" s="97">
        <v>-3</v>
      </c>
      <c r="H24" s="97">
        <v>-2</v>
      </c>
      <c r="I24" s="97">
        <v>-4</v>
      </c>
      <c r="J24" s="97"/>
      <c r="K24" s="97"/>
      <c r="L24" s="97"/>
      <c r="M24" s="97"/>
      <c r="N24" s="97"/>
      <c r="O24" s="97"/>
      <c r="P24" s="97"/>
      <c r="Q24" s="97"/>
      <c r="R24" s="95"/>
      <c r="S24" s="95"/>
    </row>
    <row r="25" spans="1:20">
      <c r="A25" s="2" t="s">
        <v>147</v>
      </c>
      <c r="D25" s="264" t="s">
        <v>153</v>
      </c>
      <c r="E25" s="97">
        <f>-16644</f>
        <v>-16644</v>
      </c>
      <c r="F25" s="97">
        <f>-16636+16636</f>
        <v>0</v>
      </c>
      <c r="G25" s="97">
        <v>2</v>
      </c>
      <c r="H25" s="97"/>
      <c r="I25" s="97"/>
      <c r="J25" s="97"/>
      <c r="K25" s="97"/>
      <c r="L25" s="97"/>
      <c r="M25" s="97"/>
      <c r="N25" s="97"/>
      <c r="O25" s="97"/>
      <c r="P25" s="97"/>
      <c r="Q25" s="97"/>
      <c r="R25" s="95"/>
      <c r="S25" s="95"/>
    </row>
    <row r="26" spans="1:20">
      <c r="A26" s="2" t="s">
        <v>148</v>
      </c>
      <c r="D26" s="95"/>
      <c r="E26" s="97">
        <f>-729-444</f>
        <v>-1173</v>
      </c>
      <c r="F26" s="97">
        <f>-2915-1776</f>
        <v>-4691</v>
      </c>
      <c r="G26" s="97">
        <f>-2915+1139</f>
        <v>-1776</v>
      </c>
      <c r="H26" s="97">
        <v>-1776</v>
      </c>
      <c r="I26" s="97">
        <v>-1776</v>
      </c>
      <c r="J26" s="97">
        <v>-1776</v>
      </c>
      <c r="K26" s="97">
        <v>-1332</v>
      </c>
      <c r="L26" s="97"/>
      <c r="M26" s="97"/>
      <c r="N26" s="97"/>
      <c r="O26" s="97"/>
      <c r="P26" s="97"/>
      <c r="Q26" s="97"/>
      <c r="R26" s="95"/>
      <c r="S26" s="95"/>
    </row>
    <row r="27" spans="1:20">
      <c r="A27" s="2" t="s">
        <v>149</v>
      </c>
      <c r="D27" s="95"/>
      <c r="E27" s="95"/>
      <c r="F27" s="97">
        <f>193-1</f>
        <v>192</v>
      </c>
      <c r="G27" s="97">
        <v>191</v>
      </c>
      <c r="H27" s="97">
        <v>191</v>
      </c>
      <c r="I27" s="97"/>
      <c r="J27" s="97"/>
      <c r="K27" s="97"/>
      <c r="L27" s="97"/>
      <c r="M27" s="97"/>
      <c r="N27" s="97"/>
      <c r="O27" s="97"/>
      <c r="P27" s="97"/>
      <c r="Q27" s="97"/>
      <c r="R27" s="95"/>
      <c r="S27" s="95"/>
    </row>
    <row r="28" spans="1:20">
      <c r="A28" s="2" t="s">
        <v>150</v>
      </c>
      <c r="D28" s="264" t="s">
        <v>153</v>
      </c>
      <c r="E28" s="95"/>
      <c r="F28" s="97">
        <v>-1416</v>
      </c>
      <c r="G28" s="97">
        <v>-7512</v>
      </c>
      <c r="H28" s="97">
        <v>-6339</v>
      </c>
      <c r="I28" s="97">
        <f>-7160+7160</f>
        <v>0</v>
      </c>
      <c r="J28" s="97">
        <v>-9388</v>
      </c>
      <c r="K28" s="97">
        <f>-10285+10285</f>
        <v>0</v>
      </c>
      <c r="L28" s="97">
        <v>-5582</v>
      </c>
      <c r="M28" s="97">
        <v>-3576</v>
      </c>
      <c r="N28" s="97">
        <v>-4005</v>
      </c>
      <c r="O28" s="97">
        <v>-6244</v>
      </c>
      <c r="P28" s="97">
        <v>-4794</v>
      </c>
      <c r="Q28" s="97">
        <v>-8505</v>
      </c>
      <c r="R28" s="97">
        <v>0</v>
      </c>
      <c r="S28" s="97">
        <v>0</v>
      </c>
      <c r="T28" s="97">
        <v>0</v>
      </c>
    </row>
    <row r="29" spans="1:20">
      <c r="A29" s="2" t="s">
        <v>151</v>
      </c>
      <c r="D29" s="95"/>
      <c r="E29" s="95"/>
      <c r="F29" s="97"/>
      <c r="G29" s="97">
        <v>431</v>
      </c>
      <c r="H29" s="97"/>
      <c r="I29" s="97"/>
      <c r="J29" s="97"/>
      <c r="K29" s="97">
        <v>153</v>
      </c>
      <c r="L29" s="97">
        <v>153</v>
      </c>
      <c r="M29" s="97">
        <v>153</v>
      </c>
      <c r="N29" s="97">
        <v>153</v>
      </c>
      <c r="O29" s="97">
        <v>153</v>
      </c>
      <c r="P29" s="97">
        <v>153</v>
      </c>
      <c r="Q29" s="97">
        <v>153</v>
      </c>
      <c r="R29" s="97">
        <v>153</v>
      </c>
      <c r="S29" s="97">
        <v>153</v>
      </c>
      <c r="T29" s="97">
        <v>153</v>
      </c>
    </row>
    <row r="30" spans="1:20">
      <c r="A30" s="2" t="s">
        <v>152</v>
      </c>
      <c r="D30" s="95"/>
      <c r="E30" s="97">
        <v>-164</v>
      </c>
      <c r="F30" s="97">
        <v>-164</v>
      </c>
      <c r="G30" s="97">
        <v>-164</v>
      </c>
      <c r="H30" s="97">
        <v>-164</v>
      </c>
      <c r="I30" s="97">
        <v>-135</v>
      </c>
      <c r="J30" s="97">
        <v>-135</v>
      </c>
      <c r="K30" s="97">
        <v>-135</v>
      </c>
      <c r="L30" s="97">
        <v>-135</v>
      </c>
      <c r="M30" s="97">
        <v>-135</v>
      </c>
      <c r="N30" s="97">
        <v>-135</v>
      </c>
      <c r="O30" s="97">
        <v>-134</v>
      </c>
      <c r="P30" s="97">
        <v>-135</v>
      </c>
      <c r="Q30" s="97">
        <v>-135</v>
      </c>
      <c r="R30" s="97">
        <v>-135</v>
      </c>
      <c r="S30" s="97">
        <v>-135</v>
      </c>
      <c r="T30" s="97">
        <v>-135</v>
      </c>
    </row>
    <row r="31" spans="1:20">
      <c r="A31" s="2" t="s">
        <v>154</v>
      </c>
      <c r="D31" s="95"/>
      <c r="E31" s="95"/>
      <c r="F31" s="97"/>
      <c r="G31" s="97"/>
      <c r="H31" s="97"/>
      <c r="I31" s="97"/>
      <c r="J31" s="97"/>
      <c r="K31" s="97"/>
      <c r="L31" s="97"/>
      <c r="M31" s="97"/>
      <c r="N31" s="97">
        <f>-201+32-32+390-387</f>
        <v>-198</v>
      </c>
      <c r="O31" s="97">
        <f>20+133+553+45</f>
        <v>751</v>
      </c>
      <c r="P31" s="97">
        <f>73+142+608+152</f>
        <v>975</v>
      </c>
      <c r="Q31" s="97">
        <f>73+141+30+574+152</f>
        <v>970</v>
      </c>
      <c r="R31" s="95">
        <f>73+141+21+576+152</f>
        <v>963</v>
      </c>
      <c r="S31" s="95">
        <f>73+140+21+572+152</f>
        <v>958</v>
      </c>
      <c r="T31" s="95">
        <f>73+142+21+580+152</f>
        <v>968</v>
      </c>
    </row>
    <row r="32" spans="1:20">
      <c r="A32" s="2" t="s">
        <v>155</v>
      </c>
      <c r="D32" s="95"/>
      <c r="E32" s="95"/>
      <c r="F32" s="97"/>
      <c r="G32" s="97"/>
      <c r="H32" s="97"/>
      <c r="I32" s="97"/>
      <c r="J32" s="97"/>
      <c r="K32" s="97"/>
      <c r="L32" s="97"/>
      <c r="M32" s="97"/>
      <c r="N32" s="97"/>
      <c r="O32" s="97">
        <v>113</v>
      </c>
      <c r="P32" s="97">
        <v>1360</v>
      </c>
      <c r="Q32" s="97">
        <v>1360</v>
      </c>
      <c r="R32" s="97">
        <v>1360</v>
      </c>
      <c r="S32" s="97">
        <v>1360</v>
      </c>
      <c r="T32" s="97">
        <v>1247</v>
      </c>
    </row>
    <row r="33" spans="1:20">
      <c r="A33" s="2" t="s">
        <v>156</v>
      </c>
      <c r="D33" s="265" t="s">
        <v>153</v>
      </c>
      <c r="E33" s="95"/>
      <c r="F33" s="97"/>
      <c r="G33" s="97"/>
      <c r="H33" s="97"/>
      <c r="I33" s="97"/>
      <c r="J33" s="97"/>
      <c r="K33" s="97"/>
      <c r="L33" s="97"/>
      <c r="M33" s="97"/>
      <c r="N33" s="97"/>
      <c r="O33" s="97">
        <f>86-86</f>
        <v>0</v>
      </c>
      <c r="P33" s="97">
        <v>184</v>
      </c>
      <c r="Q33" s="97">
        <v>178</v>
      </c>
      <c r="R33" s="97">
        <v>0</v>
      </c>
      <c r="S33" s="97">
        <v>0</v>
      </c>
      <c r="T33" s="97">
        <v>0</v>
      </c>
    </row>
    <row r="34" spans="1:20">
      <c r="A34" s="2" t="s">
        <v>157</v>
      </c>
      <c r="D34" s="95"/>
      <c r="E34" s="95"/>
      <c r="F34" s="97"/>
      <c r="G34" s="97"/>
      <c r="H34" s="97"/>
      <c r="I34" s="97"/>
      <c r="J34" s="97"/>
      <c r="K34" s="97"/>
      <c r="L34" s="97"/>
      <c r="M34" s="97"/>
      <c r="N34" s="97"/>
      <c r="O34" s="97"/>
      <c r="P34" s="97">
        <v>516</v>
      </c>
      <c r="Q34" s="97">
        <f>-129-4411</f>
        <v>-4540</v>
      </c>
      <c r="R34" s="97">
        <f>974</f>
        <v>974</v>
      </c>
      <c r="S34" s="97">
        <f>974</f>
        <v>974</v>
      </c>
      <c r="T34" s="97">
        <f>974</f>
        <v>974</v>
      </c>
    </row>
    <row r="35" spans="1:20">
      <c r="A35" s="2" t="s">
        <v>158</v>
      </c>
      <c r="D35" s="95"/>
      <c r="E35" s="95"/>
      <c r="F35" s="97"/>
      <c r="G35" s="97"/>
      <c r="H35" s="97"/>
      <c r="I35" s="97"/>
      <c r="J35" s="97"/>
      <c r="K35" s="97"/>
      <c r="L35" s="97"/>
      <c r="M35" s="97"/>
      <c r="N35" s="97"/>
      <c r="O35" s="97"/>
      <c r="P35" s="97">
        <v>-338</v>
      </c>
      <c r="Q35" s="97">
        <f>640-889</f>
        <v>-249</v>
      </c>
      <c r="R35" s="97">
        <f>726-206</f>
        <v>520</v>
      </c>
      <c r="S35" s="97">
        <v>67</v>
      </c>
      <c r="T35" s="97">
        <v>0</v>
      </c>
    </row>
    <row r="36" spans="1:20">
      <c r="A36" s="2" t="s">
        <v>160</v>
      </c>
      <c r="D36" s="95"/>
      <c r="E36" s="95"/>
      <c r="F36" s="97"/>
      <c r="G36" s="97"/>
      <c r="H36" s="97"/>
      <c r="I36" s="97"/>
      <c r="J36" s="97"/>
      <c r="K36" s="97"/>
      <c r="L36" s="97"/>
      <c r="M36" s="97"/>
      <c r="N36" s="97"/>
      <c r="O36" s="97"/>
      <c r="P36" s="97"/>
      <c r="Q36" s="97">
        <v>472</v>
      </c>
      <c r="R36" s="97">
        <v>0</v>
      </c>
      <c r="S36" s="97">
        <v>0</v>
      </c>
      <c r="T36" s="97">
        <v>0</v>
      </c>
    </row>
    <row r="37" spans="1:20">
      <c r="A37" s="2" t="s">
        <v>159</v>
      </c>
      <c r="D37" s="95"/>
      <c r="E37" s="95"/>
      <c r="F37" s="95"/>
      <c r="G37" s="95"/>
      <c r="H37" s="95"/>
      <c r="I37" s="95"/>
      <c r="J37" s="95"/>
      <c r="K37" s="95"/>
      <c r="L37" s="95"/>
      <c r="M37" s="95"/>
      <c r="N37" s="95"/>
      <c r="O37" s="95"/>
      <c r="P37" s="95"/>
      <c r="Q37" s="95">
        <v>165</v>
      </c>
      <c r="R37" s="97">
        <v>165</v>
      </c>
      <c r="S37" s="97">
        <v>165</v>
      </c>
      <c r="T37" s="97">
        <v>0</v>
      </c>
    </row>
    <row r="38" spans="1:20">
      <c r="A38" s="2" t="s">
        <v>308</v>
      </c>
      <c r="D38" s="95"/>
      <c r="E38" s="95"/>
      <c r="F38" s="95"/>
      <c r="G38" s="95"/>
      <c r="H38" s="95"/>
      <c r="I38" s="95"/>
      <c r="J38" s="95"/>
      <c r="K38" s="95"/>
      <c r="L38" s="95"/>
      <c r="M38" s="95"/>
      <c r="N38" s="95"/>
      <c r="O38" s="95"/>
      <c r="P38" s="95"/>
      <c r="Q38" s="95"/>
      <c r="R38" s="97">
        <v>2082</v>
      </c>
      <c r="S38" s="97">
        <f>2082</f>
        <v>2082</v>
      </c>
      <c r="T38" s="97">
        <v>0</v>
      </c>
    </row>
    <row r="39" spans="1:20">
      <c r="A39" s="2" t="s">
        <v>309</v>
      </c>
      <c r="D39" s="95"/>
      <c r="E39" s="95"/>
      <c r="F39" s="95"/>
      <c r="G39" s="95"/>
      <c r="H39" s="95"/>
      <c r="I39" s="95"/>
      <c r="J39" s="95"/>
      <c r="K39" s="95"/>
      <c r="L39" s="95"/>
      <c r="M39" s="95"/>
      <c r="N39" s="95"/>
      <c r="O39" s="95"/>
      <c r="P39" s="95"/>
      <c r="Q39" s="95"/>
      <c r="R39" s="97">
        <v>70</v>
      </c>
      <c r="S39" s="97">
        <v>0</v>
      </c>
      <c r="T39" s="97">
        <v>0</v>
      </c>
    </row>
    <row r="40" spans="1:20">
      <c r="A40" s="2" t="s">
        <v>161</v>
      </c>
      <c r="D40" s="95"/>
      <c r="E40" s="95"/>
      <c r="F40" s="95"/>
      <c r="G40" s="95"/>
      <c r="H40" s="95"/>
      <c r="I40" s="95"/>
      <c r="J40" s="95"/>
      <c r="K40" s="95"/>
      <c r="L40" s="95"/>
      <c r="M40" s="95"/>
      <c r="N40" s="95"/>
      <c r="O40" s="95"/>
      <c r="P40" s="95"/>
      <c r="Q40" s="97">
        <v>-4</v>
      </c>
      <c r="R40" s="97">
        <v>-5</v>
      </c>
      <c r="S40" s="97">
        <v>-5</v>
      </c>
      <c r="T40" s="97">
        <v>-5</v>
      </c>
    </row>
    <row r="41" spans="1:20" s="272" customFormat="1">
      <c r="A41" s="273" t="s">
        <v>427</v>
      </c>
      <c r="D41" s="95"/>
      <c r="E41" s="95"/>
      <c r="F41" s="95"/>
      <c r="G41" s="95"/>
      <c r="H41" s="95"/>
      <c r="I41" s="95"/>
      <c r="J41" s="95"/>
      <c r="K41" s="95"/>
      <c r="L41" s="95"/>
      <c r="M41" s="95"/>
      <c r="N41" s="95"/>
      <c r="O41" s="95"/>
      <c r="P41" s="95"/>
      <c r="Q41" s="97"/>
      <c r="R41" s="97"/>
      <c r="S41" s="97"/>
      <c r="T41" s="97">
        <v>290</v>
      </c>
    </row>
    <row r="42" spans="1:20">
      <c r="A42" s="2" t="s">
        <v>162</v>
      </c>
      <c r="D42" s="95"/>
      <c r="E42" s="95"/>
      <c r="F42" s="95"/>
      <c r="G42" s="95"/>
      <c r="H42" s="95"/>
      <c r="I42" s="95"/>
      <c r="J42" s="95"/>
      <c r="K42" s="95"/>
      <c r="L42" s="95"/>
      <c r="M42" s="95"/>
      <c r="N42" s="95"/>
      <c r="O42" s="95"/>
      <c r="P42" s="95"/>
      <c r="Q42" s="97">
        <v>-91</v>
      </c>
      <c r="R42" s="97">
        <v>0</v>
      </c>
      <c r="S42" s="97">
        <v>0</v>
      </c>
      <c r="T42" s="97">
        <v>0</v>
      </c>
    </row>
    <row r="43" spans="1:20">
      <c r="B43" s="120" t="s">
        <v>164</v>
      </c>
      <c r="D43" s="95"/>
      <c r="E43" s="266">
        <f>SUM(E22:E42)</f>
        <v>-17964</v>
      </c>
      <c r="F43" s="266">
        <f t="shared" ref="F43:P43" si="1">SUM(F22:F42)</f>
        <v>-6050</v>
      </c>
      <c r="G43" s="266">
        <f t="shared" si="1"/>
        <v>-6349</v>
      </c>
      <c r="H43" s="266">
        <f t="shared" si="1"/>
        <v>-5608</v>
      </c>
      <c r="I43" s="266">
        <f t="shared" si="1"/>
        <v>567</v>
      </c>
      <c r="J43" s="266">
        <f t="shared" si="1"/>
        <v>-8817</v>
      </c>
      <c r="K43" s="266">
        <f t="shared" si="1"/>
        <v>1168</v>
      </c>
      <c r="L43" s="266">
        <f t="shared" si="1"/>
        <v>-3082</v>
      </c>
      <c r="M43" s="266">
        <f t="shared" si="1"/>
        <v>-1076</v>
      </c>
      <c r="N43" s="266">
        <f t="shared" si="1"/>
        <v>-1703</v>
      </c>
      <c r="O43" s="266">
        <f t="shared" si="1"/>
        <v>-2879</v>
      </c>
      <c r="P43" s="266">
        <f t="shared" si="1"/>
        <v>403</v>
      </c>
      <c r="Q43" s="266">
        <f>SUM(Q22:Q42)</f>
        <v>-7744</v>
      </c>
      <c r="R43" s="266">
        <f>SUM(R22:R42)</f>
        <v>8629</v>
      </c>
      <c r="S43" s="266">
        <f>SUM(S22:S42)</f>
        <v>8101</v>
      </c>
      <c r="T43" s="266">
        <f>SUM(T22:T42)</f>
        <v>5974</v>
      </c>
    </row>
    <row r="44" spans="1:20">
      <c r="D44" s="95"/>
      <c r="E44" s="95"/>
      <c r="F44" s="95"/>
      <c r="G44" s="95"/>
      <c r="H44" s="95"/>
      <c r="I44" s="95"/>
      <c r="J44" s="95"/>
      <c r="K44" s="95"/>
      <c r="L44" s="95"/>
      <c r="M44" s="95"/>
      <c r="N44" s="95"/>
      <c r="O44" s="95"/>
      <c r="P44" s="95"/>
      <c r="Q44" s="95"/>
      <c r="R44" s="95"/>
      <c r="S44" s="95"/>
    </row>
    <row r="45" spans="1:20">
      <c r="B45" s="2" t="s">
        <v>166</v>
      </c>
      <c r="D45" s="95"/>
      <c r="E45" s="267">
        <f t="shared" ref="E45:P45" si="2">E20+E43</f>
        <v>-3114</v>
      </c>
      <c r="F45" s="267">
        <f t="shared" si="2"/>
        <v>9152</v>
      </c>
      <c r="G45" s="267">
        <f t="shared" si="2"/>
        <v>13808</v>
      </c>
      <c r="H45" s="267">
        <f t="shared" si="2"/>
        <v>14915</v>
      </c>
      <c r="I45" s="267">
        <f t="shared" si="2"/>
        <v>22879</v>
      </c>
      <c r="J45" s="267">
        <f t="shared" si="2"/>
        <v>13812</v>
      </c>
      <c r="K45" s="267">
        <f t="shared" si="2"/>
        <v>25745</v>
      </c>
      <c r="L45" s="267">
        <f t="shared" si="2"/>
        <v>21795</v>
      </c>
      <c r="M45" s="267">
        <f t="shared" si="2"/>
        <v>22000</v>
      </c>
      <c r="N45" s="267">
        <f t="shared" si="2"/>
        <v>22266</v>
      </c>
      <c r="O45" s="267">
        <f t="shared" si="2"/>
        <v>22129</v>
      </c>
      <c r="P45" s="267">
        <f t="shared" si="2"/>
        <v>25561</v>
      </c>
      <c r="Q45" s="267">
        <f>Q20+Q43</f>
        <v>17936</v>
      </c>
      <c r="R45" s="267">
        <f>R20+R43</f>
        <v>31913</v>
      </c>
      <c r="S45" s="267">
        <f>S20+S43</f>
        <v>31816</v>
      </c>
      <c r="T45" s="267">
        <f>T20+T43</f>
        <v>30921</v>
      </c>
    </row>
    <row r="46" spans="1:20">
      <c r="D46" s="95"/>
      <c r="E46" s="95" t="str">
        <f t="shared" ref="E46:Q46" si="3">IF(E45=E11+E12,"","check")</f>
        <v/>
      </c>
      <c r="F46" s="95" t="str">
        <f t="shared" si="3"/>
        <v/>
      </c>
      <c r="G46" s="95" t="str">
        <f t="shared" si="3"/>
        <v/>
      </c>
      <c r="H46" s="95" t="str">
        <f t="shared" si="3"/>
        <v/>
      </c>
      <c r="I46" s="95" t="str">
        <f t="shared" si="3"/>
        <v/>
      </c>
      <c r="J46" s="95" t="str">
        <f t="shared" si="3"/>
        <v/>
      </c>
      <c r="K46" s="95" t="str">
        <f t="shared" si="3"/>
        <v/>
      </c>
      <c r="L46" s="95" t="str">
        <f t="shared" si="3"/>
        <v/>
      </c>
      <c r="M46" s="95" t="str">
        <f t="shared" si="3"/>
        <v/>
      </c>
      <c r="N46" s="95" t="str">
        <f t="shared" si="3"/>
        <v/>
      </c>
      <c r="O46" s="95" t="str">
        <f t="shared" si="3"/>
        <v/>
      </c>
      <c r="P46" s="95" t="str">
        <f t="shared" si="3"/>
        <v/>
      </c>
      <c r="Q46" s="95" t="str">
        <f t="shared" si="3"/>
        <v/>
      </c>
      <c r="R46" s="95"/>
      <c r="S46" s="95"/>
      <c r="T46" s="267">
        <f>T45-T11-T12</f>
        <v>0</v>
      </c>
    </row>
    <row r="47" spans="1:20">
      <c r="B47" t="s">
        <v>167</v>
      </c>
      <c r="D47" s="95"/>
      <c r="E47" s="95"/>
      <c r="F47" s="95"/>
      <c r="G47" s="95"/>
      <c r="H47" s="95"/>
      <c r="I47" s="95"/>
      <c r="J47" s="95"/>
      <c r="K47" s="95"/>
      <c r="L47" s="95"/>
      <c r="M47" s="95"/>
      <c r="N47" s="95"/>
      <c r="O47" s="95"/>
      <c r="P47" s="95"/>
      <c r="Q47" s="95"/>
      <c r="R47" s="95"/>
      <c r="S47" s="95"/>
    </row>
    <row r="48" spans="1:20">
      <c r="D48" s="95"/>
      <c r="E48" s="267">
        <f>E43-E25</f>
        <v>-1320</v>
      </c>
      <c r="F48" s="267">
        <f>F43-F28</f>
        <v>-4634</v>
      </c>
      <c r="G48" s="267">
        <f t="shared" ref="G48:O48" si="4">G43-G28</f>
        <v>1163</v>
      </c>
      <c r="H48" s="267">
        <f t="shared" si="4"/>
        <v>731</v>
      </c>
      <c r="I48" s="267">
        <f t="shared" si="4"/>
        <v>567</v>
      </c>
      <c r="J48" s="267">
        <f t="shared" si="4"/>
        <v>571</v>
      </c>
      <c r="K48" s="267">
        <f>K43-K28</f>
        <v>1168</v>
      </c>
      <c r="L48" s="267">
        <f t="shared" si="4"/>
        <v>2500</v>
      </c>
      <c r="M48" s="267">
        <f t="shared" si="4"/>
        <v>2500</v>
      </c>
      <c r="N48" s="267">
        <f t="shared" si="4"/>
        <v>2302</v>
      </c>
      <c r="O48" s="267">
        <f t="shared" si="4"/>
        <v>3365</v>
      </c>
      <c r="P48" s="267">
        <f>P43-P28-P33</f>
        <v>5013</v>
      </c>
      <c r="Q48" s="267">
        <f>Q43-Q28-Q33</f>
        <v>583</v>
      </c>
      <c r="R48" s="267">
        <f>R43-R28</f>
        <v>8629</v>
      </c>
      <c r="S48" s="267">
        <f>S43-S28</f>
        <v>8101</v>
      </c>
      <c r="T48" s="267">
        <f>T43-T28</f>
        <v>5974</v>
      </c>
    </row>
    <row r="49" spans="1:20">
      <c r="D49" s="95"/>
      <c r="E49" s="267"/>
      <c r="F49" s="267"/>
      <c r="G49" s="267"/>
      <c r="H49" s="267"/>
      <c r="I49" s="267"/>
      <c r="J49" s="267"/>
      <c r="K49" s="267"/>
      <c r="L49" s="267"/>
      <c r="M49" s="267"/>
      <c r="N49" s="267"/>
      <c r="O49" s="267"/>
      <c r="P49" s="267"/>
      <c r="Q49" s="267"/>
      <c r="R49" s="95"/>
      <c r="S49" s="95"/>
    </row>
    <row r="50" spans="1:20">
      <c r="D50" s="95"/>
      <c r="E50" s="268">
        <v>2000</v>
      </c>
      <c r="F50" s="268">
        <v>2001</v>
      </c>
      <c r="G50" s="268">
        <v>2002</v>
      </c>
      <c r="H50" s="268">
        <v>2003</v>
      </c>
      <c r="I50" s="268">
        <v>2004</v>
      </c>
      <c r="J50" s="268">
        <v>2005</v>
      </c>
      <c r="K50" s="268">
        <v>2006</v>
      </c>
      <c r="L50" s="268">
        <v>2007</v>
      </c>
      <c r="M50" s="268">
        <v>2008</v>
      </c>
      <c r="N50" s="268">
        <v>2009</v>
      </c>
      <c r="O50" s="268">
        <v>2010</v>
      </c>
      <c r="P50" s="268">
        <v>2011</v>
      </c>
      <c r="Q50" s="268">
        <v>2012</v>
      </c>
      <c r="R50" s="268">
        <v>2013</v>
      </c>
      <c r="S50" s="268">
        <v>2014</v>
      </c>
      <c r="T50" s="717">
        <f>T7</f>
        <v>12.201499999999999</v>
      </c>
    </row>
    <row r="51" spans="1:20">
      <c r="A51" s="41"/>
      <c r="B51" s="29" t="s">
        <v>41</v>
      </c>
      <c r="C51" s="29"/>
      <c r="D51" s="29"/>
      <c r="E51" s="29"/>
      <c r="F51" s="30"/>
      <c r="G51" s="30"/>
      <c r="H51" s="30"/>
      <c r="I51" s="30"/>
      <c r="J51" s="30"/>
      <c r="K51" s="30"/>
      <c r="L51" s="30"/>
      <c r="M51" s="30"/>
      <c r="N51" s="30"/>
      <c r="O51" s="30"/>
      <c r="P51" s="30"/>
      <c r="Q51" s="30"/>
      <c r="R51" s="30"/>
      <c r="S51" s="30"/>
      <c r="T51" s="30"/>
    </row>
    <row r="52" spans="1:20">
      <c r="A52" s="41"/>
      <c r="B52" s="29" t="s">
        <v>40</v>
      </c>
      <c r="C52" s="29"/>
      <c r="D52" s="29"/>
      <c r="E52" s="29"/>
      <c r="F52" s="30"/>
      <c r="G52" s="30"/>
      <c r="H52" s="30"/>
      <c r="I52" s="30"/>
      <c r="J52" s="30"/>
      <c r="K52" s="30"/>
      <c r="L52" s="30"/>
      <c r="M52" s="30"/>
      <c r="N52" s="30"/>
      <c r="O52" s="30"/>
      <c r="P52" s="30"/>
      <c r="Q52" s="30"/>
      <c r="R52" s="30"/>
      <c r="S52" s="30"/>
      <c r="T52" s="30"/>
    </row>
    <row r="53" spans="1:20">
      <c r="A53" s="41">
        <v>31</v>
      </c>
      <c r="B53" s="29"/>
      <c r="C53" s="29" t="s">
        <v>39</v>
      </c>
      <c r="D53" s="29"/>
      <c r="E53" s="269">
        <f>'CBR Hist'!F58</f>
        <v>15127</v>
      </c>
      <c r="F53" s="269">
        <f>'CBR Hist'!G58</f>
        <v>16340</v>
      </c>
      <c r="G53" s="269">
        <f>'CBR Hist'!H58</f>
        <v>20910</v>
      </c>
      <c r="H53" s="269">
        <f>'CBR Hist'!I58</f>
        <v>21299</v>
      </c>
      <c r="I53" s="269">
        <f>'CBR Hist'!J58</f>
        <v>21374</v>
      </c>
      <c r="J53" s="269">
        <f>'CBR Hist'!K58</f>
        <v>22459</v>
      </c>
      <c r="K53" s="269">
        <f>'CBR Hist'!L58</f>
        <v>23458</v>
      </c>
      <c r="L53" s="269">
        <f>'CBR Hist'!M58</f>
        <v>20632</v>
      </c>
      <c r="M53" s="269">
        <f>'CBR Hist'!N58</f>
        <v>23321</v>
      </c>
      <c r="N53" s="269">
        <f>'CBR Hist'!O58</f>
        <v>57116</v>
      </c>
      <c r="O53" s="269">
        <f>'CBR Hist'!P58</f>
        <v>81955</v>
      </c>
      <c r="P53" s="269">
        <f>'CBR Hist'!Q58</f>
        <v>84081</v>
      </c>
      <c r="Q53" s="269">
        <f>'CBR Hist'!R58</f>
        <v>85247</v>
      </c>
      <c r="R53" s="269">
        <f>'CBR Hist'!S58</f>
        <v>91466</v>
      </c>
      <c r="S53" s="269">
        <f>'CBR Hist'!T58</f>
        <v>102620</v>
      </c>
      <c r="T53" s="269">
        <f>'[7]CBR Hist'!U58</f>
        <v>144970</v>
      </c>
    </row>
    <row r="54" spans="1:20">
      <c r="A54" s="41">
        <v>32</v>
      </c>
      <c r="B54" s="29"/>
      <c r="C54" s="29" t="s">
        <v>38</v>
      </c>
      <c r="D54" s="29"/>
      <c r="E54" s="80">
        <f>'CBR Hist'!F59</f>
        <v>369323</v>
      </c>
      <c r="F54" s="80">
        <f>'CBR Hist'!G59</f>
        <v>382522</v>
      </c>
      <c r="G54" s="80">
        <f>'CBR Hist'!H59</f>
        <v>598523</v>
      </c>
      <c r="H54" s="80">
        <f>'CBR Hist'!I59</f>
        <v>609668</v>
      </c>
      <c r="I54" s="80">
        <f>'CBR Hist'!J59</f>
        <v>651608</v>
      </c>
      <c r="J54" s="80">
        <f>'CBR Hist'!K59</f>
        <v>669043</v>
      </c>
      <c r="K54" s="80">
        <f>'CBR Hist'!L59</f>
        <v>703455</v>
      </c>
      <c r="L54" s="80">
        <f>'CBR Hist'!M59</f>
        <v>712962</v>
      </c>
      <c r="M54" s="80">
        <f>'CBR Hist'!N59</f>
        <v>724416</v>
      </c>
      <c r="N54" s="80">
        <f>'CBR Hist'!O59</f>
        <v>751055</v>
      </c>
      <c r="O54" s="80">
        <f>'CBR Hist'!P59</f>
        <v>767632</v>
      </c>
      <c r="P54" s="80">
        <f>'CBR Hist'!Q59</f>
        <v>706894</v>
      </c>
      <c r="Q54" s="80">
        <f>'CBR Hist'!R59</f>
        <v>717448</v>
      </c>
      <c r="R54" s="80">
        <f>'CBR Hist'!S59</f>
        <v>738315</v>
      </c>
      <c r="S54" s="80">
        <f>'CBR Hist'!T59</f>
        <v>746101</v>
      </c>
      <c r="T54" s="80">
        <f>'[7]CBR Hist'!U59</f>
        <v>779441</v>
      </c>
    </row>
    <row r="55" spans="1:20">
      <c r="A55" s="41">
        <v>33</v>
      </c>
      <c r="B55" s="29"/>
      <c r="C55" s="29" t="s">
        <v>37</v>
      </c>
      <c r="D55" s="29"/>
      <c r="E55" s="80">
        <f>'CBR Hist'!F60</f>
        <v>181627</v>
      </c>
      <c r="F55" s="80">
        <f>'CBR Hist'!G60</f>
        <v>191517</v>
      </c>
      <c r="G55" s="80">
        <f>'CBR Hist'!H60</f>
        <v>186550</v>
      </c>
      <c r="H55" s="80">
        <f>'CBR Hist'!I60</f>
        <v>196937</v>
      </c>
      <c r="I55" s="80">
        <f>'CBR Hist'!J60</f>
        <v>213539</v>
      </c>
      <c r="J55" s="80">
        <f>'CBR Hist'!K60</f>
        <v>224696</v>
      </c>
      <c r="K55" s="80">
        <f>'CBR Hist'!L60</f>
        <v>244435</v>
      </c>
      <c r="L55" s="80">
        <f>'CBR Hist'!M60</f>
        <v>259532</v>
      </c>
      <c r="M55" s="80">
        <f>'CBR Hist'!N60</f>
        <v>289302</v>
      </c>
      <c r="N55" s="80">
        <f>'CBR Hist'!O60</f>
        <v>301090</v>
      </c>
      <c r="O55" s="80">
        <f>'CBR Hist'!P60</f>
        <v>312505</v>
      </c>
      <c r="P55" s="80">
        <f>'CBR Hist'!Q60</f>
        <v>328012</v>
      </c>
      <c r="Q55" s="80">
        <f>'CBR Hist'!R60</f>
        <v>342382</v>
      </c>
      <c r="R55" s="80">
        <f>'CBR Hist'!S60</f>
        <v>359941</v>
      </c>
      <c r="S55" s="80">
        <f>'CBR Hist'!T60</f>
        <v>371971</v>
      </c>
      <c r="T55" s="80">
        <f>'[7]CBR Hist'!U60</f>
        <v>401700</v>
      </c>
    </row>
    <row r="56" spans="1:20">
      <c r="A56" s="41">
        <v>34</v>
      </c>
      <c r="B56" s="29"/>
      <c r="C56" s="29" t="s">
        <v>36</v>
      </c>
      <c r="D56" s="29"/>
      <c r="E56" s="80">
        <f>'CBR Hist'!F61</f>
        <v>398104</v>
      </c>
      <c r="F56" s="80">
        <f>'CBR Hist'!G61</f>
        <v>416427</v>
      </c>
      <c r="G56" s="80">
        <f>'CBR Hist'!H61</f>
        <v>429742</v>
      </c>
      <c r="H56" s="80">
        <f>'CBR Hist'!I61</f>
        <v>443424</v>
      </c>
      <c r="I56" s="80">
        <f>'CBR Hist'!J61</f>
        <v>459516</v>
      </c>
      <c r="J56" s="80">
        <f>'CBR Hist'!K61</f>
        <v>480638</v>
      </c>
      <c r="K56" s="80">
        <f>'CBR Hist'!L61</f>
        <v>502571</v>
      </c>
      <c r="L56" s="80">
        <f>'CBR Hist'!M61</f>
        <v>528809</v>
      </c>
      <c r="M56" s="80">
        <f>'CBR Hist'!N61</f>
        <v>561016</v>
      </c>
      <c r="N56" s="80">
        <f>'CBR Hist'!O61</f>
        <v>598884</v>
      </c>
      <c r="O56" s="80">
        <f>'CBR Hist'!P61</f>
        <v>638445</v>
      </c>
      <c r="P56" s="80">
        <f>'CBR Hist'!Q61</f>
        <v>696082</v>
      </c>
      <c r="Q56" s="80">
        <f>'CBR Hist'!R61</f>
        <v>743732</v>
      </c>
      <c r="R56" s="80">
        <f>'CBR Hist'!S61</f>
        <v>796640</v>
      </c>
      <c r="S56" s="80">
        <f>'CBR Hist'!T61</f>
        <v>842795</v>
      </c>
      <c r="T56" s="80">
        <f>'[7]CBR Hist'!U61</f>
        <v>895055</v>
      </c>
    </row>
    <row r="57" spans="1:20">
      <c r="A57" s="41">
        <v>35</v>
      </c>
      <c r="B57" s="29"/>
      <c r="C57" s="29" t="s">
        <v>35</v>
      </c>
      <c r="D57" s="29"/>
      <c r="E57" s="80">
        <f>'CBR Hist'!F62</f>
        <v>58402</v>
      </c>
      <c r="F57" s="80">
        <f>'CBR Hist'!G62</f>
        <v>59846</v>
      </c>
      <c r="G57" s="80">
        <f>'CBR Hist'!H62</f>
        <v>59771</v>
      </c>
      <c r="H57" s="80">
        <f>'CBR Hist'!I62</f>
        <v>60444</v>
      </c>
      <c r="I57" s="80">
        <f>'CBR Hist'!J62</f>
        <v>63155</v>
      </c>
      <c r="J57" s="80">
        <f>'CBR Hist'!K62</f>
        <v>65299</v>
      </c>
      <c r="K57" s="80">
        <f>'CBR Hist'!L62</f>
        <v>80110</v>
      </c>
      <c r="L57" s="80">
        <f>'CBR Hist'!M62</f>
        <v>81368</v>
      </c>
      <c r="M57" s="80">
        <f>'CBR Hist'!N62</f>
        <v>91205</v>
      </c>
      <c r="N57" s="80">
        <f>'CBR Hist'!O62</f>
        <v>98727</v>
      </c>
      <c r="O57" s="80">
        <f>'CBR Hist'!P62</f>
        <v>120996</v>
      </c>
      <c r="P57" s="80">
        <f>'CBR Hist'!Q62</f>
        <v>140218</v>
      </c>
      <c r="Q57" s="80">
        <f>'CBR Hist'!R62</f>
        <v>155104</v>
      </c>
      <c r="R57" s="80">
        <f>'CBR Hist'!S62</f>
        <v>179134</v>
      </c>
      <c r="S57" s="80">
        <f>'CBR Hist'!T62</f>
        <v>196867</v>
      </c>
      <c r="T57" s="80">
        <f>'[7]CBR Hist'!U62</f>
        <v>212726</v>
      </c>
    </row>
    <row r="58" spans="1:20">
      <c r="A58" s="41">
        <v>36</v>
      </c>
      <c r="B58" s="29" t="s">
        <v>34</v>
      </c>
      <c r="C58" s="29"/>
      <c r="D58" s="29"/>
      <c r="E58" s="169">
        <f>SUM(E53:E57)</f>
        <v>1022583</v>
      </c>
      <c r="F58" s="169">
        <f t="shared" ref="F58:O58" si="5">SUM(F53:F57)</f>
        <v>1066652</v>
      </c>
      <c r="G58" s="169">
        <f t="shared" si="5"/>
        <v>1295496</v>
      </c>
      <c r="H58" s="169">
        <f t="shared" si="5"/>
        <v>1331772</v>
      </c>
      <c r="I58" s="169">
        <f t="shared" si="5"/>
        <v>1409192</v>
      </c>
      <c r="J58" s="169">
        <f t="shared" si="5"/>
        <v>1462135</v>
      </c>
      <c r="K58" s="169">
        <f t="shared" si="5"/>
        <v>1554029</v>
      </c>
      <c r="L58" s="169">
        <f t="shared" si="5"/>
        <v>1603303</v>
      </c>
      <c r="M58" s="169">
        <f t="shared" si="5"/>
        <v>1689260</v>
      </c>
      <c r="N58" s="169">
        <f t="shared" si="5"/>
        <v>1806872</v>
      </c>
      <c r="O58" s="169">
        <f t="shared" si="5"/>
        <v>1921533</v>
      </c>
      <c r="P58" s="169">
        <f t="shared" ref="P58" si="6">SUM(P53:P57)</f>
        <v>1955287</v>
      </c>
      <c r="Q58" s="169">
        <f t="shared" ref="Q58:R58" si="7">SUM(Q53:Q57)</f>
        <v>2043913</v>
      </c>
      <c r="R58" s="169">
        <f t="shared" si="7"/>
        <v>2165496</v>
      </c>
      <c r="S58" s="169">
        <f t="shared" ref="S58:T58" si="8">SUM(S53:S57)</f>
        <v>2260354</v>
      </c>
      <c r="T58" s="169">
        <f t="shared" si="8"/>
        <v>2433892</v>
      </c>
    </row>
    <row r="59" spans="1:20">
      <c r="A59" s="41"/>
      <c r="B59" s="29" t="s">
        <v>91</v>
      </c>
      <c r="C59" s="29"/>
      <c r="D59" s="29"/>
      <c r="E59" s="30"/>
      <c r="F59" s="30"/>
      <c r="G59" s="30"/>
      <c r="H59" s="30"/>
      <c r="I59" s="30"/>
      <c r="J59" s="30"/>
      <c r="K59" s="30"/>
      <c r="L59" s="30"/>
      <c r="M59" s="30"/>
      <c r="N59" s="30"/>
      <c r="O59" s="30"/>
      <c r="P59" s="30"/>
      <c r="Q59" s="30"/>
      <c r="R59" s="30"/>
      <c r="S59" s="30"/>
      <c r="T59" s="30"/>
    </row>
    <row r="60" spans="1:20">
      <c r="A60" s="41">
        <v>37</v>
      </c>
      <c r="B60" s="29"/>
      <c r="C60" s="29" t="s">
        <v>39</v>
      </c>
      <c r="D60" s="29"/>
      <c r="E60" s="82" t="s">
        <v>120</v>
      </c>
      <c r="F60" s="82" t="s">
        <v>120</v>
      </c>
      <c r="G60" s="82" t="s">
        <v>120</v>
      </c>
      <c r="H60" s="82" t="s">
        <v>120</v>
      </c>
      <c r="I60" s="82" t="s">
        <v>120</v>
      </c>
      <c r="J60" s="82" t="s">
        <v>120</v>
      </c>
      <c r="K60" s="82" t="s">
        <v>120</v>
      </c>
      <c r="L60" s="82" t="s">
        <v>120</v>
      </c>
      <c r="M60" s="82" t="s">
        <v>120</v>
      </c>
      <c r="N60" s="82" t="s">
        <v>120</v>
      </c>
      <c r="O60" s="82" t="s">
        <v>120</v>
      </c>
      <c r="P60" s="80">
        <f>'CBR Hist'!Q65</f>
        <v>3744</v>
      </c>
      <c r="Q60" s="80">
        <f>'CBR Hist'!R65</f>
        <v>4369</v>
      </c>
      <c r="R60" s="80">
        <f>'CBR Hist'!S65</f>
        <v>17667</v>
      </c>
      <c r="S60" s="80">
        <f>'CBR Hist'!T65</f>
        <v>20242</v>
      </c>
      <c r="T60" s="80">
        <f>'[7]CBR Hist'!U65</f>
        <v>24943</v>
      </c>
    </row>
    <row r="61" spans="1:20">
      <c r="A61" s="41">
        <v>38</v>
      </c>
      <c r="B61" s="29"/>
      <c r="C61" s="29" t="s">
        <v>38</v>
      </c>
      <c r="D61" s="29"/>
      <c r="E61" s="82" t="s">
        <v>120</v>
      </c>
      <c r="F61" s="82" t="s">
        <v>120</v>
      </c>
      <c r="G61" s="82" t="s">
        <v>120</v>
      </c>
      <c r="H61" s="82" t="s">
        <v>120</v>
      </c>
      <c r="I61" s="82" t="s">
        <v>120</v>
      </c>
      <c r="J61" s="82" t="s">
        <v>120</v>
      </c>
      <c r="K61" s="82" t="s">
        <v>120</v>
      </c>
      <c r="L61" s="82" t="s">
        <v>120</v>
      </c>
      <c r="M61" s="82" t="s">
        <v>120</v>
      </c>
      <c r="N61" s="82" t="s">
        <v>120</v>
      </c>
      <c r="O61" s="82" t="s">
        <v>120</v>
      </c>
      <c r="P61" s="80">
        <f>'CBR Hist'!Q66</f>
        <v>286300</v>
      </c>
      <c r="Q61" s="80">
        <f>'CBR Hist'!R66</f>
        <v>300170</v>
      </c>
      <c r="R61" s="80">
        <f>'CBR Hist'!S66</f>
        <v>314599</v>
      </c>
      <c r="S61" s="80">
        <f>'CBR Hist'!T66</f>
        <v>325531</v>
      </c>
      <c r="T61" s="80">
        <f>'[7]CBR Hist'!U66</f>
        <v>342899</v>
      </c>
    </row>
    <row r="62" spans="1:20">
      <c r="A62" s="41">
        <v>39</v>
      </c>
      <c r="B62" s="29"/>
      <c r="C62" s="29" t="s">
        <v>37</v>
      </c>
      <c r="D62" s="29"/>
      <c r="E62" s="82" t="s">
        <v>120</v>
      </c>
      <c r="F62" s="82" t="s">
        <v>120</v>
      </c>
      <c r="G62" s="82" t="s">
        <v>120</v>
      </c>
      <c r="H62" s="82" t="s">
        <v>120</v>
      </c>
      <c r="I62" s="82" t="s">
        <v>120</v>
      </c>
      <c r="J62" s="82" t="s">
        <v>120</v>
      </c>
      <c r="K62" s="82" t="s">
        <v>120</v>
      </c>
      <c r="L62" s="82" t="s">
        <v>120</v>
      </c>
      <c r="M62" s="82" t="s">
        <v>120</v>
      </c>
      <c r="N62" s="82" t="s">
        <v>120</v>
      </c>
      <c r="O62" s="82" t="s">
        <v>120</v>
      </c>
      <c r="P62" s="80">
        <f>'CBR Hist'!Q67</f>
        <v>111144</v>
      </c>
      <c r="Q62" s="80">
        <f>'CBR Hist'!R67</f>
        <v>116316</v>
      </c>
      <c r="R62" s="80">
        <f>'CBR Hist'!S67</f>
        <v>122308</v>
      </c>
      <c r="S62" s="80">
        <f>'CBR Hist'!T67</f>
        <v>123869</v>
      </c>
      <c r="T62" s="80">
        <f>'[7]CBR Hist'!U67</f>
        <v>129936</v>
      </c>
    </row>
    <row r="63" spans="1:20">
      <c r="A63" s="41">
        <v>40</v>
      </c>
      <c r="B63" s="29"/>
      <c r="C63" s="29" t="s">
        <v>36</v>
      </c>
      <c r="D63" s="29"/>
      <c r="E63" s="82" t="s">
        <v>120</v>
      </c>
      <c r="F63" s="82" t="s">
        <v>120</v>
      </c>
      <c r="G63" s="82" t="s">
        <v>120</v>
      </c>
      <c r="H63" s="82" t="s">
        <v>120</v>
      </c>
      <c r="I63" s="82" t="s">
        <v>120</v>
      </c>
      <c r="J63" s="82" t="s">
        <v>120</v>
      </c>
      <c r="K63" s="82" t="s">
        <v>120</v>
      </c>
      <c r="L63" s="82" t="s">
        <v>120</v>
      </c>
      <c r="M63" s="82" t="s">
        <v>120</v>
      </c>
      <c r="N63" s="82" t="s">
        <v>120</v>
      </c>
      <c r="O63" s="82" t="s">
        <v>120</v>
      </c>
      <c r="P63" s="80">
        <f>'CBR Hist'!Q68</f>
        <v>209101</v>
      </c>
      <c r="Q63" s="80">
        <f>'CBR Hist'!R68</f>
        <v>221408</v>
      </c>
      <c r="R63" s="80">
        <f>'CBR Hist'!S68</f>
        <v>236201</v>
      </c>
      <c r="S63" s="80">
        <f>'CBR Hist'!T68</f>
        <v>252722</v>
      </c>
      <c r="T63" s="80">
        <f>'[7]CBR Hist'!U68</f>
        <v>273578</v>
      </c>
    </row>
    <row r="64" spans="1:20">
      <c r="A64" s="41">
        <v>41</v>
      </c>
      <c r="B64" s="29"/>
      <c r="C64" s="29" t="s">
        <v>35</v>
      </c>
      <c r="D64" s="29"/>
      <c r="E64" s="82" t="s">
        <v>120</v>
      </c>
      <c r="F64" s="82" t="s">
        <v>120</v>
      </c>
      <c r="G64" s="82" t="s">
        <v>120</v>
      </c>
      <c r="H64" s="82" t="s">
        <v>120</v>
      </c>
      <c r="I64" s="82" t="s">
        <v>120</v>
      </c>
      <c r="J64" s="82" t="s">
        <v>120</v>
      </c>
      <c r="K64" s="82" t="s">
        <v>120</v>
      </c>
      <c r="L64" s="82" t="s">
        <v>120</v>
      </c>
      <c r="M64" s="82" t="s">
        <v>120</v>
      </c>
      <c r="N64" s="82" t="s">
        <v>120</v>
      </c>
      <c r="O64" s="82" t="s">
        <v>120</v>
      </c>
      <c r="P64" s="80">
        <f>'CBR Hist'!Q69</f>
        <v>56694</v>
      </c>
      <c r="Q64" s="80">
        <f>'CBR Hist'!R69</f>
        <v>61871</v>
      </c>
      <c r="R64" s="80">
        <f>'CBR Hist'!S69</f>
        <v>58357</v>
      </c>
      <c r="S64" s="80">
        <f>'CBR Hist'!T69</f>
        <v>65720</v>
      </c>
      <c r="T64" s="80">
        <f>'[7]CBR Hist'!U69</f>
        <v>73050</v>
      </c>
    </row>
    <row r="65" spans="1:20">
      <c r="A65" s="41">
        <v>42</v>
      </c>
      <c r="B65" s="29" t="s">
        <v>92</v>
      </c>
      <c r="C65" s="29"/>
      <c r="D65" s="29"/>
      <c r="E65" s="80">
        <f>'CBR Hist'!F70</f>
        <v>348345</v>
      </c>
      <c r="F65" s="80">
        <f>'CBR Hist'!G70</f>
        <v>359654</v>
      </c>
      <c r="G65" s="80">
        <f>'CBR Hist'!H70</f>
        <v>418593</v>
      </c>
      <c r="H65" s="80">
        <f>'CBR Hist'!I70</f>
        <v>450096</v>
      </c>
      <c r="I65" s="80">
        <f>'CBR Hist'!J70</f>
        <v>475935</v>
      </c>
      <c r="J65" s="80">
        <f>'CBR Hist'!K70</f>
        <v>503194</v>
      </c>
      <c r="K65" s="80">
        <f>'CBR Hist'!L70</f>
        <v>536682</v>
      </c>
      <c r="L65" s="80">
        <f>'CBR Hist'!M70</f>
        <v>567320</v>
      </c>
      <c r="M65" s="80">
        <f>'CBR Hist'!N70</f>
        <v>600292</v>
      </c>
      <c r="N65" s="80">
        <f>'CBR Hist'!O70</f>
        <v>632110</v>
      </c>
      <c r="O65" s="80">
        <f>'CBR Hist'!P70</f>
        <v>676635</v>
      </c>
      <c r="P65" s="173">
        <f>SUM(P60:P64)</f>
        <v>666983</v>
      </c>
      <c r="Q65" s="173">
        <f>SUM(Q60:Q64)</f>
        <v>704134</v>
      </c>
      <c r="R65" s="173">
        <f>SUM(R60:R64)</f>
        <v>749132</v>
      </c>
      <c r="S65" s="173">
        <f>SUM(S60:S64)</f>
        <v>788084</v>
      </c>
      <c r="T65" s="173">
        <f>SUM(T60:T64)</f>
        <v>844406</v>
      </c>
    </row>
    <row r="66" spans="1:20">
      <c r="A66" s="41">
        <v>43</v>
      </c>
      <c r="B66" s="29" t="s">
        <v>93</v>
      </c>
      <c r="C66" s="29"/>
      <c r="D66" s="29"/>
      <c r="E66" s="172">
        <f t="shared" ref="E66" si="9">E58-E65</f>
        <v>674238</v>
      </c>
      <c r="F66" s="172">
        <f t="shared" ref="F66:O66" si="10">F58-F65</f>
        <v>706998</v>
      </c>
      <c r="G66" s="172">
        <f t="shared" si="10"/>
        <v>876903</v>
      </c>
      <c r="H66" s="172">
        <f t="shared" si="10"/>
        <v>881676</v>
      </c>
      <c r="I66" s="172">
        <f t="shared" si="10"/>
        <v>933257</v>
      </c>
      <c r="J66" s="172">
        <f t="shared" si="10"/>
        <v>958941</v>
      </c>
      <c r="K66" s="172">
        <f t="shared" si="10"/>
        <v>1017347</v>
      </c>
      <c r="L66" s="172">
        <f t="shared" si="10"/>
        <v>1035983</v>
      </c>
      <c r="M66" s="172">
        <f t="shared" si="10"/>
        <v>1088968</v>
      </c>
      <c r="N66" s="172">
        <f t="shared" si="10"/>
        <v>1174762</v>
      </c>
      <c r="O66" s="172">
        <f t="shared" si="10"/>
        <v>1244898</v>
      </c>
      <c r="P66" s="172">
        <f t="shared" ref="P66:Q66" si="11">P58-P65</f>
        <v>1288304</v>
      </c>
      <c r="Q66" s="172">
        <f t="shared" si="11"/>
        <v>1339779</v>
      </c>
      <c r="R66" s="172">
        <f t="shared" ref="R66:T66" si="12">R58-R65</f>
        <v>1416364</v>
      </c>
      <c r="S66" s="172">
        <f t="shared" si="12"/>
        <v>1472270</v>
      </c>
      <c r="T66" s="172">
        <f t="shared" si="12"/>
        <v>1589486</v>
      </c>
    </row>
    <row r="67" spans="1:20">
      <c r="A67" s="41"/>
      <c r="B67" s="29"/>
      <c r="C67" s="29"/>
      <c r="D67" s="29"/>
      <c r="E67" s="80"/>
      <c r="F67" s="80"/>
      <c r="G67" s="80"/>
      <c r="H67" s="80"/>
      <c r="I67" s="80"/>
      <c r="J67" s="80"/>
      <c r="K67" s="80"/>
      <c r="L67" s="80"/>
      <c r="M67" s="80"/>
      <c r="N67" s="80"/>
      <c r="O67" s="80"/>
      <c r="P67" s="80"/>
      <c r="Q67" s="80"/>
      <c r="R67" s="80"/>
      <c r="S67" s="80"/>
      <c r="T67" s="80"/>
    </row>
    <row r="68" spans="1:20">
      <c r="A68" s="41">
        <v>44</v>
      </c>
      <c r="B68" s="29" t="s">
        <v>32</v>
      </c>
      <c r="C68" s="29"/>
      <c r="D68" s="29"/>
      <c r="E68" s="33">
        <f>'CBR Hist'!F73</f>
        <v>-104246</v>
      </c>
      <c r="F68" s="33">
        <f>'CBR Hist'!G73</f>
        <v>-108113</v>
      </c>
      <c r="G68" s="33">
        <f>'CBR Hist'!H73</f>
        <v>-113807</v>
      </c>
      <c r="H68" s="33">
        <f>'CBR Hist'!I73</f>
        <v>-138127</v>
      </c>
      <c r="I68" s="33">
        <f>'CBR Hist'!J73</f>
        <v>-154531</v>
      </c>
      <c r="J68" s="33">
        <f>'CBR Hist'!K73</f>
        <v>-138256</v>
      </c>
      <c r="K68" s="33">
        <f>'CBR Hist'!L73</f>
        <v>-142383</v>
      </c>
      <c r="L68" s="33">
        <f>'CBR Hist'!M73</f>
        <v>-143546</v>
      </c>
      <c r="M68" s="33">
        <f>'CBR Hist'!N73</f>
        <v>-151677</v>
      </c>
      <c r="N68" s="33">
        <f>'CBR Hist'!O73</f>
        <v>-169421</v>
      </c>
      <c r="O68" s="33">
        <f>'CBR Hist'!P73</f>
        <v>-190931</v>
      </c>
      <c r="P68" s="33">
        <f>'CBR Hist'!Q73</f>
        <v>-201163</v>
      </c>
      <c r="Q68" s="33">
        <f>'CBR Hist'!R73</f>
        <v>-208209</v>
      </c>
      <c r="R68" s="33">
        <f>'CBR Hist'!S73</f>
        <v>-221354</v>
      </c>
      <c r="S68" s="33">
        <f>'CBR Hist'!T73</f>
        <v>-257766</v>
      </c>
      <c r="T68" s="33">
        <f>'[7]CBR Hist'!U73</f>
        <v>-317860</v>
      </c>
    </row>
    <row r="69" spans="1:20">
      <c r="A69" s="41">
        <v>45</v>
      </c>
      <c r="B69" s="29"/>
      <c r="C69" s="29" t="s">
        <v>132</v>
      </c>
      <c r="D69" s="29"/>
      <c r="E69" s="169">
        <f>E66+E68</f>
        <v>569992</v>
      </c>
      <c r="F69" s="169">
        <f t="shared" ref="F69:O69" si="13">F66+F68</f>
        <v>598885</v>
      </c>
      <c r="G69" s="169">
        <f t="shared" si="13"/>
        <v>763096</v>
      </c>
      <c r="H69" s="169">
        <f t="shared" si="13"/>
        <v>743549</v>
      </c>
      <c r="I69" s="169">
        <f t="shared" si="13"/>
        <v>778726</v>
      </c>
      <c r="J69" s="169">
        <f t="shared" si="13"/>
        <v>820685</v>
      </c>
      <c r="K69" s="169">
        <f t="shared" si="13"/>
        <v>874964</v>
      </c>
      <c r="L69" s="169">
        <f t="shared" si="13"/>
        <v>892437</v>
      </c>
      <c r="M69" s="169">
        <f t="shared" si="13"/>
        <v>937291</v>
      </c>
      <c r="N69" s="169">
        <f t="shared" si="13"/>
        <v>1005341</v>
      </c>
      <c r="O69" s="169">
        <f t="shared" si="13"/>
        <v>1053967</v>
      </c>
      <c r="P69" s="169">
        <f t="shared" ref="P69" si="14">P66+P68</f>
        <v>1087141</v>
      </c>
      <c r="Q69" s="169">
        <f t="shared" ref="Q69:R69" si="15">Q66+Q68</f>
        <v>1131570</v>
      </c>
      <c r="R69" s="169">
        <f t="shared" si="15"/>
        <v>1195010</v>
      </c>
      <c r="S69" s="169">
        <f t="shared" ref="S69:T69" si="16">S66+S68</f>
        <v>1214504</v>
      </c>
      <c r="T69" s="169">
        <f t="shared" si="16"/>
        <v>1271626</v>
      </c>
    </row>
    <row r="70" spans="1:20">
      <c r="A70" s="41">
        <v>46</v>
      </c>
      <c r="B70" s="29" t="s">
        <v>95</v>
      </c>
      <c r="C70" s="29"/>
      <c r="D70" s="29"/>
      <c r="E70" s="80">
        <f>'CBR Hist'!F75</f>
        <v>-1500</v>
      </c>
      <c r="F70" s="80">
        <f>'CBR Hist'!G75</f>
        <v>-1370</v>
      </c>
      <c r="G70" s="80">
        <f>'CBR Hist'!H75</f>
        <v>-1238</v>
      </c>
      <c r="H70" s="80">
        <f>'CBR Hist'!I75</f>
        <v>-1106</v>
      </c>
      <c r="I70" s="80">
        <f>'CBR Hist'!J75</f>
        <v>-715</v>
      </c>
      <c r="J70" s="80">
        <f>'CBR Hist'!K75</f>
        <v>-843</v>
      </c>
      <c r="K70" s="80">
        <f>'CBR Hist'!L75</f>
        <v>-453</v>
      </c>
      <c r="L70" s="80">
        <f>'CBR Hist'!M75</f>
        <v>-582</v>
      </c>
      <c r="M70" s="80">
        <f>'CBR Hist'!N75</f>
        <v>-451</v>
      </c>
      <c r="N70" s="80">
        <f>'CBR Hist'!O75</f>
        <v>-322</v>
      </c>
      <c r="O70" s="80">
        <f>'CBR Hist'!P75</f>
        <v>-127</v>
      </c>
      <c r="P70" s="80">
        <f>'CBR Hist'!Q75</f>
        <v>32534</v>
      </c>
      <c r="Q70" s="80">
        <f>'CBR Hist'!R75</f>
        <v>16438</v>
      </c>
      <c r="R70" s="80">
        <f>'CBR Hist'!S75</f>
        <v>14761</v>
      </c>
      <c r="S70" s="80">
        <f>'CBR Hist'!T75</f>
        <v>10846</v>
      </c>
      <c r="T70" s="80">
        <f>'[7]CBR Hist'!U75</f>
        <v>7458</v>
      </c>
    </row>
    <row r="71" spans="1:20">
      <c r="A71" s="41">
        <v>47</v>
      </c>
      <c r="B71" s="29" t="s">
        <v>33</v>
      </c>
      <c r="C71" s="29"/>
      <c r="D71" s="29"/>
      <c r="E71" s="80">
        <f>'CBR Hist'!F76</f>
        <v>0</v>
      </c>
      <c r="F71" s="80">
        <f>'CBR Hist'!G76</f>
        <v>0</v>
      </c>
      <c r="G71" s="80">
        <f>'CBR Hist'!H76</f>
        <v>0</v>
      </c>
      <c r="H71" s="80">
        <f>'CBR Hist'!I76</f>
        <v>0</v>
      </c>
      <c r="I71" s="80">
        <f>'CBR Hist'!J76</f>
        <v>0</v>
      </c>
      <c r="J71" s="80">
        <f>'CBR Hist'!K76</f>
        <v>0</v>
      </c>
      <c r="K71" s="80">
        <f>'CBR Hist'!L76</f>
        <v>0</v>
      </c>
      <c r="L71" s="80">
        <f>'CBR Hist'!M76</f>
        <v>0</v>
      </c>
      <c r="M71" s="80">
        <f>'CBR Hist'!N76</f>
        <v>0</v>
      </c>
      <c r="N71" s="80">
        <f>'CBR Hist'!O76</f>
        <v>0</v>
      </c>
      <c r="O71" s="80">
        <f>'CBR Hist'!P76</f>
        <v>18188</v>
      </c>
      <c r="P71" s="80">
        <f>'CBR Hist'!Q76</f>
        <v>18188</v>
      </c>
      <c r="Q71" s="80">
        <f>'CBR Hist'!R76</f>
        <v>10967</v>
      </c>
      <c r="R71" s="80">
        <f>'CBR Hist'!S76</f>
        <v>16281</v>
      </c>
      <c r="S71" s="80">
        <f>'CBR Hist'!T76</f>
        <v>47807</v>
      </c>
      <c r="T71" s="80">
        <f>'[7]CBR Hist'!U76</f>
        <v>59722</v>
      </c>
    </row>
    <row r="72" spans="1:20">
      <c r="A72" s="41"/>
      <c r="B72" s="29"/>
      <c r="C72" s="29"/>
      <c r="D72" s="29"/>
      <c r="E72" s="30"/>
      <c r="F72" s="30"/>
      <c r="G72" s="30"/>
      <c r="H72" s="30"/>
      <c r="I72" s="30"/>
      <c r="J72" s="30"/>
      <c r="K72" s="30"/>
      <c r="L72" s="30"/>
      <c r="M72" s="30"/>
      <c r="N72" s="30"/>
      <c r="O72" s="30"/>
      <c r="P72" s="30"/>
      <c r="Q72" s="30"/>
      <c r="R72" s="30"/>
      <c r="S72" s="30"/>
      <c r="T72" s="30"/>
    </row>
    <row r="73" spans="1:20" ht="13.5" thickBot="1">
      <c r="A73" s="41">
        <v>48</v>
      </c>
      <c r="B73" s="29" t="s">
        <v>31</v>
      </c>
      <c r="C73" s="29"/>
      <c r="D73" s="29"/>
      <c r="E73" s="171">
        <f>SUM(E69:E72)</f>
        <v>568492</v>
      </c>
      <c r="F73" s="171">
        <f t="shared" ref="F73:O73" si="17">SUM(F69:F72)</f>
        <v>597515</v>
      </c>
      <c r="G73" s="171">
        <f t="shared" si="17"/>
        <v>761858</v>
      </c>
      <c r="H73" s="171">
        <f t="shared" si="17"/>
        <v>742443</v>
      </c>
      <c r="I73" s="171">
        <f t="shared" si="17"/>
        <v>778011</v>
      </c>
      <c r="J73" s="171">
        <f t="shared" si="17"/>
        <v>819842</v>
      </c>
      <c r="K73" s="171">
        <f t="shared" si="17"/>
        <v>874511</v>
      </c>
      <c r="L73" s="171">
        <f t="shared" si="17"/>
        <v>891855</v>
      </c>
      <c r="M73" s="171">
        <f t="shared" si="17"/>
        <v>936840</v>
      </c>
      <c r="N73" s="171">
        <f t="shared" si="17"/>
        <v>1005019</v>
      </c>
      <c r="O73" s="171">
        <f t="shared" si="17"/>
        <v>1072028</v>
      </c>
      <c r="P73" s="171">
        <f t="shared" ref="P73" si="18">SUM(P69:P72)</f>
        <v>1137863</v>
      </c>
      <c r="Q73" s="171">
        <f t="shared" ref="Q73:R73" si="19">SUM(Q69:Q72)</f>
        <v>1158975</v>
      </c>
      <c r="R73" s="171">
        <f t="shared" si="19"/>
        <v>1226052</v>
      </c>
      <c r="S73" s="171">
        <f t="shared" ref="S73:T73" si="20">SUM(S69:S72)</f>
        <v>1273157</v>
      </c>
      <c r="T73" s="171">
        <f t="shared" si="20"/>
        <v>1338806</v>
      </c>
    </row>
    <row r="74" spans="1:20" ht="13.5" thickTop="1">
      <c r="D74" s="95"/>
      <c r="E74" s="95" t="str">
        <f>IF(E66+E68+E70+E71=E73,"","check total")</f>
        <v/>
      </c>
      <c r="F74" s="95" t="str">
        <f t="shared" ref="F74:Q74" si="21">IF(F66+F68+F70+F71=F73,"","check total")</f>
        <v/>
      </c>
      <c r="G74" s="95" t="str">
        <f t="shared" si="21"/>
        <v/>
      </c>
      <c r="H74" s="95" t="str">
        <f t="shared" si="21"/>
        <v/>
      </c>
      <c r="I74" s="95" t="str">
        <f t="shared" si="21"/>
        <v/>
      </c>
      <c r="J74" s="95" t="str">
        <f t="shared" si="21"/>
        <v/>
      </c>
      <c r="K74" s="95" t="str">
        <f t="shared" si="21"/>
        <v/>
      </c>
      <c r="L74" s="95" t="str">
        <f t="shared" si="21"/>
        <v/>
      </c>
      <c r="M74" s="95" t="str">
        <f t="shared" si="21"/>
        <v/>
      </c>
      <c r="N74" s="95" t="str">
        <f t="shared" si="21"/>
        <v/>
      </c>
      <c r="O74" s="95" t="str">
        <f t="shared" si="21"/>
        <v/>
      </c>
      <c r="P74" s="95" t="str">
        <f t="shared" si="21"/>
        <v/>
      </c>
      <c r="Q74" s="95" t="str">
        <f t="shared" si="21"/>
        <v/>
      </c>
      <c r="R74" s="95"/>
      <c r="S74" s="95"/>
    </row>
    <row r="75" spans="1:20">
      <c r="D75" s="95"/>
      <c r="E75" s="270">
        <f>E50</f>
        <v>2000</v>
      </c>
      <c r="F75" s="270">
        <f t="shared" ref="F75:R75" si="22">F50</f>
        <v>2001</v>
      </c>
      <c r="G75" s="270">
        <f t="shared" si="22"/>
        <v>2002</v>
      </c>
      <c r="H75" s="270">
        <f t="shared" si="22"/>
        <v>2003</v>
      </c>
      <c r="I75" s="270">
        <f t="shared" si="22"/>
        <v>2004</v>
      </c>
      <c r="J75" s="270">
        <f t="shared" si="22"/>
        <v>2005</v>
      </c>
      <c r="K75" s="270">
        <f t="shared" si="22"/>
        <v>2006</v>
      </c>
      <c r="L75" s="270">
        <f t="shared" si="22"/>
        <v>2007</v>
      </c>
      <c r="M75" s="270">
        <f t="shared" si="22"/>
        <v>2008</v>
      </c>
      <c r="N75" s="270">
        <f t="shared" si="22"/>
        <v>2009</v>
      </c>
      <c r="O75" s="270">
        <f t="shared" si="22"/>
        <v>2010</v>
      </c>
      <c r="P75" s="270">
        <f t="shared" si="22"/>
        <v>2011</v>
      </c>
      <c r="Q75" s="270">
        <f t="shared" si="22"/>
        <v>2012</v>
      </c>
      <c r="R75" s="270">
        <f t="shared" si="22"/>
        <v>2013</v>
      </c>
      <c r="S75" s="270">
        <f t="shared" ref="S75:T75" si="23">S50</f>
        <v>2014</v>
      </c>
      <c r="T75" s="718">
        <f t="shared" si="23"/>
        <v>12.201499999999999</v>
      </c>
    </row>
    <row r="76" spans="1:20">
      <c r="B76" s="35" t="s">
        <v>109</v>
      </c>
      <c r="D76" s="95"/>
      <c r="E76" s="95"/>
      <c r="F76" s="95"/>
      <c r="G76" s="95"/>
      <c r="H76" s="95"/>
      <c r="I76" s="95"/>
      <c r="J76" s="95"/>
      <c r="K76" s="95"/>
      <c r="L76" s="95"/>
      <c r="M76" s="95"/>
      <c r="N76" s="95"/>
      <c r="O76" s="95"/>
      <c r="P76" s="95"/>
      <c r="Q76" s="95"/>
      <c r="R76" s="95"/>
      <c r="S76" s="95"/>
    </row>
    <row r="77" spans="1:20">
      <c r="A77" s="2" t="s">
        <v>170</v>
      </c>
      <c r="D77" s="271" t="s">
        <v>103</v>
      </c>
      <c r="E77" s="97">
        <v>-1500</v>
      </c>
      <c r="F77" s="97">
        <v>-1370</v>
      </c>
      <c r="G77" s="97">
        <v>-1238</v>
      </c>
      <c r="H77" s="97">
        <v>-1106</v>
      </c>
      <c r="I77" s="97">
        <v>-715</v>
      </c>
      <c r="J77" s="97">
        <v>-843</v>
      </c>
      <c r="K77" s="97">
        <v>-453</v>
      </c>
      <c r="L77" s="97">
        <v>-582</v>
      </c>
      <c r="M77" s="97">
        <v>-451</v>
      </c>
      <c r="N77" s="97">
        <v>-322</v>
      </c>
      <c r="O77" s="97">
        <v>-127</v>
      </c>
      <c r="P77" s="97">
        <v>-66</v>
      </c>
      <c r="Q77" s="97">
        <v>0</v>
      </c>
      <c r="R77" s="97">
        <v>0</v>
      </c>
      <c r="S77" s="97">
        <v>0</v>
      </c>
      <c r="T77" s="97">
        <v>0</v>
      </c>
    </row>
    <row r="78" spans="1:20">
      <c r="A78" s="2" t="s">
        <v>188</v>
      </c>
      <c r="D78" s="271" t="s">
        <v>175</v>
      </c>
      <c r="E78" s="97">
        <v>525</v>
      </c>
      <c r="F78" s="97">
        <v>480</v>
      </c>
      <c r="G78" s="97">
        <v>433</v>
      </c>
      <c r="H78" s="97">
        <v>387</v>
      </c>
      <c r="I78" s="97">
        <v>250</v>
      </c>
      <c r="J78" s="97">
        <v>295</v>
      </c>
      <c r="K78" s="97">
        <v>158</v>
      </c>
      <c r="L78" s="97">
        <v>204</v>
      </c>
      <c r="M78" s="97">
        <v>158</v>
      </c>
      <c r="N78" s="97">
        <v>113</v>
      </c>
      <c r="O78" s="97"/>
      <c r="P78" s="97">
        <v>23</v>
      </c>
      <c r="Q78" s="97">
        <v>0</v>
      </c>
      <c r="R78" s="97">
        <v>0</v>
      </c>
      <c r="S78" s="97">
        <v>0</v>
      </c>
      <c r="T78" s="97">
        <v>0</v>
      </c>
    </row>
    <row r="79" spans="1:20">
      <c r="A79" s="2" t="s">
        <v>171</v>
      </c>
      <c r="D79" s="271" t="s">
        <v>186</v>
      </c>
      <c r="E79" s="97">
        <v>-7073</v>
      </c>
      <c r="F79" s="97">
        <v>-6807</v>
      </c>
      <c r="G79" s="97">
        <v>-7557</v>
      </c>
      <c r="H79" s="97">
        <v>-7254</v>
      </c>
      <c r="I79" s="97">
        <v>-7325</v>
      </c>
      <c r="J79" s="97">
        <v>-7278</v>
      </c>
      <c r="K79" s="97">
        <v>-7175</v>
      </c>
      <c r="L79" s="97">
        <v>-7452</v>
      </c>
      <c r="M79" s="97">
        <v>-7490</v>
      </c>
      <c r="N79" s="97">
        <v>-7390</v>
      </c>
      <c r="O79" s="97">
        <v>-7325</v>
      </c>
      <c r="P79" s="97">
        <v>-7307</v>
      </c>
      <c r="Q79" s="97">
        <v>-7359</v>
      </c>
      <c r="R79" s="97">
        <v>-7318</v>
      </c>
      <c r="S79" s="97">
        <v>-7426</v>
      </c>
      <c r="T79" s="97">
        <v>-7426</v>
      </c>
    </row>
    <row r="80" spans="1:20">
      <c r="A80" s="2" t="s">
        <v>171</v>
      </c>
      <c r="D80" s="271" t="s">
        <v>173</v>
      </c>
      <c r="E80" s="97">
        <v>3571</v>
      </c>
      <c r="F80" s="97">
        <v>3642</v>
      </c>
      <c r="G80" s="97">
        <v>4272</v>
      </c>
      <c r="H80" s="97">
        <v>4318</v>
      </c>
      <c r="I80" s="97">
        <v>5023</v>
      </c>
      <c r="J80" s="97">
        <v>4772</v>
      </c>
      <c r="K80" s="97">
        <v>4920</v>
      </c>
      <c r="L80" s="97">
        <v>5110</v>
      </c>
      <c r="M80" s="97">
        <v>5572</v>
      </c>
      <c r="N80" s="97">
        <v>5690</v>
      </c>
      <c r="O80" s="97">
        <v>5832</v>
      </c>
      <c r="P80" s="97">
        <v>6008</v>
      </c>
      <c r="Q80" s="97">
        <v>6242</v>
      </c>
      <c r="R80" s="97">
        <v>6375</v>
      </c>
      <c r="S80" s="97">
        <v>6614</v>
      </c>
      <c r="T80" s="97">
        <v>6778</v>
      </c>
    </row>
    <row r="81" spans="1:20">
      <c r="A81" s="2" t="s">
        <v>172</v>
      </c>
      <c r="D81" s="271" t="s">
        <v>186</v>
      </c>
      <c r="E81" s="97">
        <v>682</v>
      </c>
      <c r="F81" s="97">
        <v>651</v>
      </c>
      <c r="G81" s="97">
        <v>619</v>
      </c>
      <c r="H81" s="97">
        <v>587</v>
      </c>
      <c r="I81" s="97">
        <v>492</v>
      </c>
      <c r="J81" s="97">
        <v>524</v>
      </c>
      <c r="K81" s="97">
        <v>492</v>
      </c>
      <c r="L81" s="97">
        <v>460</v>
      </c>
      <c r="M81" s="97">
        <v>429</v>
      </c>
      <c r="N81" s="97">
        <v>426</v>
      </c>
      <c r="O81" s="97">
        <v>365</v>
      </c>
      <c r="P81" s="97">
        <v>1111</v>
      </c>
      <c r="Q81" s="97">
        <v>1111</v>
      </c>
      <c r="R81" s="97">
        <v>1111</v>
      </c>
      <c r="S81" s="97">
        <v>1111</v>
      </c>
      <c r="T81" s="97">
        <v>1111</v>
      </c>
    </row>
    <row r="82" spans="1:20">
      <c r="A82" s="2" t="s">
        <v>172</v>
      </c>
      <c r="D82" s="271" t="s">
        <v>173</v>
      </c>
      <c r="E82" s="97"/>
      <c r="F82" s="97"/>
      <c r="G82" s="97"/>
      <c r="H82" s="97"/>
      <c r="I82" s="97"/>
      <c r="J82" s="97"/>
      <c r="K82" s="97"/>
      <c r="L82" s="97"/>
      <c r="M82" s="97"/>
      <c r="N82" s="97"/>
      <c r="O82" s="97"/>
      <c r="P82" s="97">
        <v>-778</v>
      </c>
      <c r="Q82" s="97">
        <v>-809</v>
      </c>
      <c r="R82" s="97">
        <v>-841</v>
      </c>
      <c r="S82" s="97">
        <v>-873</v>
      </c>
      <c r="T82" s="97">
        <v>-905</v>
      </c>
    </row>
    <row r="83" spans="1:20">
      <c r="A83" s="2" t="s">
        <v>174</v>
      </c>
      <c r="D83" s="271" t="s">
        <v>186</v>
      </c>
      <c r="E83" s="97">
        <v>-5248</v>
      </c>
      <c r="F83" s="97">
        <v>-5248</v>
      </c>
      <c r="G83" s="97">
        <v>-5248</v>
      </c>
      <c r="H83" s="97">
        <v>-5248</v>
      </c>
      <c r="I83" s="97">
        <v>-5248</v>
      </c>
      <c r="J83" s="97">
        <v>-5248</v>
      </c>
      <c r="K83" s="97">
        <v>-5248</v>
      </c>
      <c r="L83" s="97">
        <v>-5248</v>
      </c>
      <c r="M83" s="97">
        <v>-5248</v>
      </c>
      <c r="N83" s="97">
        <v>-5248</v>
      </c>
      <c r="O83" s="97">
        <v>-5248</v>
      </c>
      <c r="P83" s="97">
        <v>-5248</v>
      </c>
      <c r="Q83" s="97">
        <v>-5248</v>
      </c>
      <c r="R83" s="97">
        <v>-5248</v>
      </c>
      <c r="S83" s="97">
        <v>-5248</v>
      </c>
      <c r="T83" s="97">
        <v>-5248</v>
      </c>
    </row>
    <row r="84" spans="1:20">
      <c r="A84" s="2" t="s">
        <v>174</v>
      </c>
      <c r="D84" s="271" t="s">
        <v>173</v>
      </c>
      <c r="E84" s="97">
        <v>2619</v>
      </c>
      <c r="F84" s="97">
        <v>2783</v>
      </c>
      <c r="G84" s="97">
        <v>2947</v>
      </c>
      <c r="H84" s="97">
        <v>3111</v>
      </c>
      <c r="I84" s="97">
        <v>3559</v>
      </c>
      <c r="J84" s="97">
        <v>3424</v>
      </c>
      <c r="K84" s="97">
        <v>3559</v>
      </c>
      <c r="L84" s="97">
        <v>3695</v>
      </c>
      <c r="M84" s="97">
        <v>3830</v>
      </c>
      <c r="N84" s="97">
        <v>3964</v>
      </c>
      <c r="O84" s="97">
        <v>4100</v>
      </c>
      <c r="P84" s="97">
        <v>4235</v>
      </c>
      <c r="Q84" s="97">
        <v>4370</v>
      </c>
      <c r="R84" s="97">
        <v>4505</v>
      </c>
      <c r="S84" s="97">
        <v>4640</v>
      </c>
      <c r="T84" s="97">
        <v>4775</v>
      </c>
    </row>
    <row r="85" spans="1:20">
      <c r="A85" s="2" t="s">
        <v>174</v>
      </c>
      <c r="D85" s="271" t="s">
        <v>175</v>
      </c>
      <c r="E85" s="97">
        <v>1004</v>
      </c>
      <c r="F85" s="97">
        <v>948</v>
      </c>
      <c r="G85" s="97">
        <v>892</v>
      </c>
      <c r="H85" s="97">
        <v>836</v>
      </c>
      <c r="I85" s="97">
        <v>668</v>
      </c>
      <c r="J85" s="97">
        <v>724</v>
      </c>
      <c r="K85" s="97">
        <v>696</v>
      </c>
      <c r="L85" s="97">
        <v>640</v>
      </c>
      <c r="M85" s="97">
        <v>584</v>
      </c>
      <c r="N85" s="97">
        <v>528</v>
      </c>
      <c r="O85" s="97">
        <v>472</v>
      </c>
      <c r="P85" s="97">
        <v>416</v>
      </c>
      <c r="Q85" s="97">
        <v>360</v>
      </c>
      <c r="R85" s="97">
        <v>303</v>
      </c>
      <c r="S85" s="97">
        <v>247</v>
      </c>
      <c r="T85" s="97">
        <v>191</v>
      </c>
    </row>
    <row r="86" spans="1:20">
      <c r="A86" s="2" t="s">
        <v>176</v>
      </c>
      <c r="D86" s="271" t="s">
        <v>186</v>
      </c>
      <c r="E86" s="97"/>
      <c r="F86" s="97"/>
      <c r="G86" s="97">
        <v>79626</v>
      </c>
      <c r="H86" s="97">
        <v>79626</v>
      </c>
      <c r="I86" s="97">
        <v>79626</v>
      </c>
      <c r="J86" s="97">
        <v>79626</v>
      </c>
      <c r="K86" s="97">
        <v>79626</v>
      </c>
      <c r="L86" s="97">
        <v>79626</v>
      </c>
      <c r="M86" s="97">
        <v>79626</v>
      </c>
      <c r="N86" s="97">
        <v>79626</v>
      </c>
      <c r="O86" s="97">
        <v>79626</v>
      </c>
      <c r="P86" s="97">
        <v>79626</v>
      </c>
      <c r="Q86" s="97">
        <v>79626</v>
      </c>
      <c r="R86" s="97">
        <v>79626</v>
      </c>
      <c r="S86" s="97">
        <v>79626</v>
      </c>
      <c r="T86" s="97">
        <v>79626</v>
      </c>
    </row>
    <row r="87" spans="1:20">
      <c r="A87" s="2" t="s">
        <v>176</v>
      </c>
      <c r="D87" s="271" t="s">
        <v>173</v>
      </c>
      <c r="E87" s="97"/>
      <c r="F87" s="97"/>
      <c r="G87" s="97">
        <v>-37568</v>
      </c>
      <c r="H87" s="97">
        <v>-40018</v>
      </c>
      <c r="I87" s="97">
        <v>-47368</v>
      </c>
      <c r="J87" s="97">
        <v>-44918</v>
      </c>
      <c r="K87" s="97">
        <v>-52268</v>
      </c>
      <c r="L87" s="97">
        <v>-49818</v>
      </c>
      <c r="M87" s="97">
        <v>-52268</v>
      </c>
      <c r="N87" s="97">
        <v>-55943</v>
      </c>
      <c r="O87" s="97">
        <v>-57168</v>
      </c>
      <c r="P87" s="97">
        <v>-59618</v>
      </c>
      <c r="Q87" s="97">
        <v>-62068</v>
      </c>
      <c r="R87" s="97">
        <v>-64518</v>
      </c>
      <c r="S87" s="97">
        <v>-66968</v>
      </c>
      <c r="T87" s="97">
        <v>-69418</v>
      </c>
    </row>
    <row r="88" spans="1:20">
      <c r="A88" s="2" t="s">
        <v>176</v>
      </c>
      <c r="D88" s="271" t="s">
        <v>175</v>
      </c>
      <c r="E88" s="97"/>
      <c r="F88" s="97"/>
      <c r="G88" s="97">
        <v>-7339</v>
      </c>
      <c r="H88" s="97">
        <v>-6898</v>
      </c>
      <c r="I88" s="97">
        <v>-5577</v>
      </c>
      <c r="J88" s="97">
        <v>-6017</v>
      </c>
      <c r="K88" s="97">
        <v>-4917</v>
      </c>
      <c r="L88" s="97">
        <v>-5357</v>
      </c>
      <c r="M88" s="97">
        <v>-4917</v>
      </c>
      <c r="N88" s="97">
        <v>-4256</v>
      </c>
      <c r="O88" s="97">
        <v>-4036</v>
      </c>
      <c r="P88" s="97">
        <v>-3596</v>
      </c>
      <c r="Q88" s="97">
        <v>-3155</v>
      </c>
      <c r="R88" s="97">
        <v>-2715</v>
      </c>
      <c r="S88" s="97">
        <v>-2275</v>
      </c>
      <c r="T88" s="97">
        <v>-1835</v>
      </c>
    </row>
    <row r="89" spans="1:20">
      <c r="A89" s="2" t="s">
        <v>182</v>
      </c>
      <c r="D89" s="271" t="s">
        <v>186</v>
      </c>
      <c r="E89" s="97">
        <v>-74560</v>
      </c>
      <c r="F89" s="97">
        <v>-66845</v>
      </c>
      <c r="G89" s="97">
        <v>-14205</v>
      </c>
      <c r="H89" s="97">
        <v>-14205</v>
      </c>
      <c r="I89" s="97">
        <v>-14205</v>
      </c>
      <c r="J89" s="97">
        <v>-14205</v>
      </c>
      <c r="K89" s="97">
        <v>-14205</v>
      </c>
      <c r="L89" s="97"/>
      <c r="M89" s="97"/>
      <c r="N89" s="97"/>
      <c r="O89" s="97"/>
      <c r="P89" s="97"/>
      <c r="Q89" s="97"/>
      <c r="R89" s="95"/>
      <c r="S89" s="95"/>
    </row>
    <row r="90" spans="1:20">
      <c r="A90" s="2" t="s">
        <v>182</v>
      </c>
      <c r="D90" s="271" t="s">
        <v>173</v>
      </c>
      <c r="E90" s="97">
        <v>147</v>
      </c>
      <c r="F90" s="97">
        <v>7011</v>
      </c>
      <c r="G90" s="97">
        <v>3107</v>
      </c>
      <c r="H90" s="97">
        <v>4883</v>
      </c>
      <c r="I90" s="97">
        <v>10210</v>
      </c>
      <c r="J90" s="97">
        <v>8434</v>
      </c>
      <c r="K90" s="97">
        <v>13706</v>
      </c>
      <c r="L90" s="97"/>
      <c r="M90" s="97"/>
      <c r="N90" s="97"/>
      <c r="O90" s="97"/>
      <c r="P90" s="97"/>
      <c r="Q90" s="97"/>
      <c r="R90" s="95"/>
      <c r="S90" s="95"/>
    </row>
    <row r="91" spans="1:20">
      <c r="A91" s="2" t="s">
        <v>182</v>
      </c>
      <c r="D91" s="271" t="s">
        <v>175</v>
      </c>
      <c r="E91" s="97"/>
      <c r="F91" s="97"/>
      <c r="G91" s="97">
        <v>3574</v>
      </c>
      <c r="H91" s="97">
        <v>2952</v>
      </c>
      <c r="I91" s="97">
        <v>1088</v>
      </c>
      <c r="J91" s="97">
        <v>1709</v>
      </c>
      <c r="K91" s="97">
        <v>175</v>
      </c>
      <c r="L91" s="97"/>
      <c r="M91" s="97"/>
      <c r="N91" s="97"/>
      <c r="O91" s="97"/>
      <c r="P91" s="97"/>
      <c r="Q91" s="97"/>
      <c r="R91" s="95"/>
      <c r="S91" s="95"/>
    </row>
    <row r="92" spans="1:20">
      <c r="A92" s="2" t="s">
        <v>177</v>
      </c>
      <c r="D92" s="271" t="s">
        <v>186</v>
      </c>
      <c r="E92" s="97"/>
      <c r="F92" s="97"/>
      <c r="G92" s="97"/>
      <c r="H92" s="97"/>
      <c r="I92" s="97"/>
      <c r="J92" s="97"/>
      <c r="K92" s="97"/>
      <c r="L92" s="97"/>
      <c r="M92" s="97"/>
      <c r="N92" s="97">
        <f>673+247</f>
        <v>920</v>
      </c>
      <c r="O92" s="97">
        <f>1647+1201</f>
        <v>2848</v>
      </c>
      <c r="P92" s="97">
        <f>1432+104+687+436</f>
        <v>2659</v>
      </c>
      <c r="Q92" s="97">
        <f>1554+113+743+472</f>
        <v>2882</v>
      </c>
      <c r="R92" s="97">
        <f>1554+113+743+472</f>
        <v>2882</v>
      </c>
      <c r="S92" s="97">
        <f>1554+113+743+472</f>
        <v>2882</v>
      </c>
      <c r="T92" s="97">
        <f>1554+113+743+472</f>
        <v>2882</v>
      </c>
    </row>
    <row r="93" spans="1:20">
      <c r="A93" s="2" t="s">
        <v>177</v>
      </c>
      <c r="D93" s="271" t="s">
        <v>173</v>
      </c>
      <c r="E93" s="97"/>
      <c r="F93" s="97"/>
      <c r="G93" s="97"/>
      <c r="H93" s="97"/>
      <c r="I93" s="97"/>
      <c r="J93" s="97"/>
      <c r="K93" s="97"/>
      <c r="L93" s="97"/>
      <c r="M93" s="97"/>
      <c r="N93" s="97"/>
      <c r="O93" s="97"/>
      <c r="P93" s="97"/>
      <c r="Q93" s="97">
        <f>-273-20-129-82</f>
        <v>-504</v>
      </c>
      <c r="R93" s="97">
        <f>-425-31-202-129</f>
        <v>-787</v>
      </c>
      <c r="S93" s="97">
        <f>-578-42-275-175</f>
        <v>-1070</v>
      </c>
      <c r="T93" s="97">
        <f>-692-50-330-210-47</f>
        <v>-1329</v>
      </c>
    </row>
    <row r="94" spans="1:20">
      <c r="A94" s="2" t="s">
        <v>177</v>
      </c>
      <c r="D94" s="122" t="s">
        <v>175</v>
      </c>
      <c r="E94" s="116"/>
      <c r="F94" s="116"/>
      <c r="G94" s="116"/>
      <c r="H94" s="116"/>
      <c r="I94" s="116"/>
      <c r="J94" s="116"/>
      <c r="K94" s="116"/>
      <c r="L94" s="116"/>
      <c r="M94" s="116"/>
      <c r="N94" s="116">
        <f>-236-78</f>
        <v>-314</v>
      </c>
      <c r="O94" s="116">
        <f>-476-429</f>
        <v>-905</v>
      </c>
      <c r="P94" s="116">
        <f>-501-36-240-153</f>
        <v>-930</v>
      </c>
      <c r="Q94" s="116">
        <f>-448-33-215-136</f>
        <v>-832</v>
      </c>
      <c r="R94" s="116">
        <f>-395-189-121</f>
        <v>-705</v>
      </c>
      <c r="S94" s="97">
        <f>-342-163-104</f>
        <v>-609</v>
      </c>
      <c r="T94" s="97">
        <f>-302-145-92+2</f>
        <v>-537</v>
      </c>
    </row>
    <row r="95" spans="1:20">
      <c r="A95" s="2" t="s">
        <v>178</v>
      </c>
      <c r="D95" s="122" t="s">
        <v>186</v>
      </c>
      <c r="E95" s="116"/>
      <c r="F95" s="116"/>
      <c r="G95" s="116"/>
      <c r="H95" s="116"/>
      <c r="I95" s="116"/>
      <c r="J95" s="116"/>
      <c r="K95" s="116"/>
      <c r="L95" s="116"/>
      <c r="M95" s="116"/>
      <c r="N95" s="116">
        <v>5075</v>
      </c>
      <c r="O95" s="116">
        <v>4398</v>
      </c>
      <c r="P95" s="116">
        <v>3721</v>
      </c>
      <c r="Q95" s="116">
        <v>3045</v>
      </c>
      <c r="R95" s="116">
        <v>2368</v>
      </c>
      <c r="S95" s="97">
        <v>1692</v>
      </c>
      <c r="T95" s="97">
        <v>1015</v>
      </c>
    </row>
    <row r="96" spans="1:20">
      <c r="A96" s="2" t="s">
        <v>178</v>
      </c>
      <c r="D96" s="122" t="s">
        <v>175</v>
      </c>
      <c r="E96" s="116"/>
      <c r="F96" s="116"/>
      <c r="G96" s="116"/>
      <c r="H96" s="116"/>
      <c r="I96" s="116"/>
      <c r="J96" s="116"/>
      <c r="K96" s="116"/>
      <c r="L96" s="116"/>
      <c r="M96" s="116"/>
      <c r="N96" s="116">
        <v>-1776</v>
      </c>
      <c r="O96" s="116">
        <v>-1539</v>
      </c>
      <c r="P96" s="116">
        <v>-1303</v>
      </c>
      <c r="Q96" s="116">
        <v>-1066</v>
      </c>
      <c r="R96" s="116">
        <v>-829</v>
      </c>
      <c r="S96" s="97">
        <v>-592</v>
      </c>
      <c r="T96" s="97">
        <v>-355</v>
      </c>
    </row>
    <row r="97" spans="1:20">
      <c r="A97" s="2" t="s">
        <v>179</v>
      </c>
      <c r="D97" s="122" t="s">
        <v>186</v>
      </c>
      <c r="E97" s="116"/>
      <c r="F97" s="116"/>
      <c r="G97" s="116"/>
      <c r="H97" s="116"/>
      <c r="I97" s="116"/>
      <c r="J97" s="116"/>
      <c r="K97" s="116"/>
      <c r="L97" s="116"/>
      <c r="M97" s="116"/>
      <c r="N97" s="116"/>
      <c r="O97" s="116">
        <v>279</v>
      </c>
      <c r="P97" s="116">
        <v>6007</v>
      </c>
      <c r="Q97" s="116">
        <v>4647</v>
      </c>
      <c r="R97" s="116">
        <v>3287</v>
      </c>
      <c r="S97" s="97">
        <v>1927</v>
      </c>
      <c r="T97" s="97">
        <v>571</v>
      </c>
    </row>
    <row r="98" spans="1:20">
      <c r="A98" s="2" t="s">
        <v>179</v>
      </c>
      <c r="D98" s="122" t="s">
        <v>175</v>
      </c>
      <c r="E98" s="116"/>
      <c r="F98" s="116"/>
      <c r="G98" s="116"/>
      <c r="H98" s="116"/>
      <c r="I98" s="116"/>
      <c r="J98" s="116"/>
      <c r="K98" s="116"/>
      <c r="L98" s="116"/>
      <c r="M98" s="116"/>
      <c r="N98" s="116"/>
      <c r="O98" s="116">
        <v>-98</v>
      </c>
      <c r="P98" s="116">
        <v>-2102</v>
      </c>
      <c r="Q98" s="116">
        <v>-1626</v>
      </c>
      <c r="R98" s="116">
        <v>-1150</v>
      </c>
      <c r="S98" s="97">
        <v>-674</v>
      </c>
      <c r="T98" s="97">
        <v>-200</v>
      </c>
    </row>
    <row r="99" spans="1:20">
      <c r="A99" s="2" t="s">
        <v>183</v>
      </c>
      <c r="D99" s="122" t="s">
        <v>186</v>
      </c>
      <c r="E99" s="116">
        <v>24</v>
      </c>
      <c r="F99" s="116">
        <v>479</v>
      </c>
      <c r="G99" s="116">
        <v>286</v>
      </c>
      <c r="H99" s="116">
        <v>95</v>
      </c>
      <c r="I99" s="116"/>
      <c r="J99" s="116"/>
      <c r="K99" s="116"/>
      <c r="L99" s="116"/>
      <c r="M99" s="116"/>
      <c r="N99" s="116"/>
      <c r="O99" s="116"/>
      <c r="P99" s="116"/>
      <c r="Q99" s="116"/>
      <c r="R99" s="116"/>
      <c r="S99" s="97"/>
      <c r="T99" s="97"/>
    </row>
    <row r="100" spans="1:20">
      <c r="A100" s="2" t="s">
        <v>180</v>
      </c>
      <c r="D100" s="122" t="s">
        <v>187</v>
      </c>
      <c r="E100" s="116">
        <v>-848</v>
      </c>
      <c r="F100" s="116">
        <v>-487</v>
      </c>
      <c r="G100" s="116">
        <v>-245</v>
      </c>
      <c r="H100" s="116">
        <v>-225</v>
      </c>
      <c r="I100" s="116">
        <v>-223</v>
      </c>
      <c r="J100" s="116">
        <v>-248</v>
      </c>
      <c r="K100" s="116">
        <v>-267</v>
      </c>
      <c r="L100" s="116">
        <v>-258</v>
      </c>
      <c r="M100" s="116">
        <v>-232</v>
      </c>
      <c r="N100" s="116">
        <v>-257</v>
      </c>
      <c r="O100" s="116">
        <v>-279</v>
      </c>
      <c r="P100" s="116">
        <f>-248-22</f>
        <v>-270</v>
      </c>
      <c r="Q100" s="116">
        <v>-236</v>
      </c>
      <c r="R100" s="116">
        <v>-363</v>
      </c>
      <c r="S100" s="97">
        <v>-438</v>
      </c>
      <c r="T100" s="97">
        <v>-487</v>
      </c>
    </row>
    <row r="101" spans="1:20">
      <c r="A101" s="2" t="s">
        <v>181</v>
      </c>
      <c r="D101" s="122" t="s">
        <v>187</v>
      </c>
      <c r="E101" s="116"/>
      <c r="F101" s="116"/>
      <c r="G101" s="116"/>
      <c r="H101" s="116"/>
      <c r="I101" s="116"/>
      <c r="J101" s="116"/>
      <c r="K101" s="116"/>
      <c r="L101" s="116"/>
      <c r="M101" s="116"/>
      <c r="N101" s="116">
        <v>-3060</v>
      </c>
      <c r="O101" s="116">
        <v>-3419</v>
      </c>
      <c r="P101" s="116">
        <v>-3743</v>
      </c>
      <c r="Q101" s="116">
        <v>-2942</v>
      </c>
      <c r="R101" s="116">
        <v>-1222</v>
      </c>
      <c r="S101" s="97">
        <v>-1720</v>
      </c>
      <c r="T101" s="97">
        <v>-1751</v>
      </c>
    </row>
    <row r="102" spans="1:20">
      <c r="A102" s="2"/>
      <c r="S102" s="95"/>
    </row>
    <row r="103" spans="1:20">
      <c r="A103" s="2" t="s">
        <v>6</v>
      </c>
      <c r="E103" s="117">
        <f t="shared" ref="E103:M103" si="24">SUM(E77:E101)</f>
        <v>-80657</v>
      </c>
      <c r="F103" s="117">
        <f t="shared" si="24"/>
        <v>-64763</v>
      </c>
      <c r="G103" s="117">
        <f t="shared" si="24"/>
        <v>22356</v>
      </c>
      <c r="H103" s="117">
        <f t="shared" si="24"/>
        <v>21841</v>
      </c>
      <c r="I103" s="117">
        <f t="shared" si="24"/>
        <v>20255</v>
      </c>
      <c r="J103" s="117">
        <f t="shared" si="24"/>
        <v>20751</v>
      </c>
      <c r="K103" s="117">
        <f t="shared" si="24"/>
        <v>18799</v>
      </c>
      <c r="L103" s="117">
        <f t="shared" si="24"/>
        <v>21020</v>
      </c>
      <c r="M103" s="117">
        <f t="shared" si="24"/>
        <v>19593</v>
      </c>
      <c r="N103" s="117">
        <f t="shared" ref="N103:S103" si="25">SUM(N77:N101)</f>
        <v>17776</v>
      </c>
      <c r="O103" s="117">
        <f t="shared" si="25"/>
        <v>17776</v>
      </c>
      <c r="P103" s="117">
        <f t="shared" si="25"/>
        <v>18845</v>
      </c>
      <c r="Q103" s="117">
        <f t="shared" si="25"/>
        <v>16438</v>
      </c>
      <c r="R103" s="117">
        <f t="shared" si="25"/>
        <v>14761</v>
      </c>
      <c r="S103" s="267">
        <f t="shared" si="25"/>
        <v>10846</v>
      </c>
      <c r="T103" s="267">
        <f>SUM(T77:T101)</f>
        <v>7458</v>
      </c>
    </row>
    <row r="104" spans="1:20">
      <c r="A104" s="2" t="s">
        <v>184</v>
      </c>
      <c r="E104" s="117">
        <f>E79+E81+E83+E86+E89+E92+E95+E97+E99</f>
        <v>-86175</v>
      </c>
      <c r="F104" s="117">
        <f t="shared" ref="F104:O104" si="26">F79+F81+F83+F86+F89+F92+F95+F97+F99</f>
        <v>-77770</v>
      </c>
      <c r="G104" s="117">
        <f t="shared" si="26"/>
        <v>53521</v>
      </c>
      <c r="H104" s="117">
        <f t="shared" si="26"/>
        <v>53601</v>
      </c>
      <c r="I104" s="117">
        <f t="shared" si="26"/>
        <v>53340</v>
      </c>
      <c r="J104" s="117">
        <f t="shared" si="26"/>
        <v>53419</v>
      </c>
      <c r="K104" s="117">
        <f t="shared" si="26"/>
        <v>53490</v>
      </c>
      <c r="L104" s="117">
        <f t="shared" si="26"/>
        <v>67386</v>
      </c>
      <c r="M104" s="117">
        <f t="shared" si="26"/>
        <v>67317</v>
      </c>
      <c r="N104" s="117">
        <f t="shared" si="26"/>
        <v>73409</v>
      </c>
      <c r="O104" s="117">
        <f t="shared" si="26"/>
        <v>74943</v>
      </c>
      <c r="P104" s="117"/>
      <c r="Q104" s="117"/>
      <c r="R104" s="117"/>
      <c r="S104" s="267"/>
      <c r="T104" s="267"/>
    </row>
    <row r="105" spans="1:20">
      <c r="A105" s="2" t="s">
        <v>185</v>
      </c>
      <c r="E105" s="117">
        <f>E100+E101</f>
        <v>-848</v>
      </c>
      <c r="F105" s="117">
        <f t="shared" ref="F105:O105" si="27">F100+F101</f>
        <v>-487</v>
      </c>
      <c r="G105" s="117">
        <f t="shared" si="27"/>
        <v>-245</v>
      </c>
      <c r="H105" s="117">
        <f t="shared" si="27"/>
        <v>-225</v>
      </c>
      <c r="I105" s="117">
        <f t="shared" si="27"/>
        <v>-223</v>
      </c>
      <c r="J105" s="117">
        <f t="shared" si="27"/>
        <v>-248</v>
      </c>
      <c r="K105" s="117">
        <f t="shared" si="27"/>
        <v>-267</v>
      </c>
      <c r="L105" s="117">
        <f t="shared" si="27"/>
        <v>-258</v>
      </c>
      <c r="M105" s="117">
        <f t="shared" si="27"/>
        <v>-232</v>
      </c>
      <c r="N105" s="117">
        <f t="shared" si="27"/>
        <v>-3317</v>
      </c>
      <c r="O105" s="117">
        <f t="shared" si="27"/>
        <v>-3698</v>
      </c>
      <c r="P105" s="117"/>
      <c r="Q105" s="117"/>
      <c r="R105" s="117"/>
      <c r="S105" s="267"/>
      <c r="T105" s="267"/>
    </row>
    <row r="106" spans="1:20">
      <c r="A106" s="2" t="s">
        <v>173</v>
      </c>
      <c r="E106" s="117">
        <f>E80+E82+E84+E87+E90+E93</f>
        <v>6337</v>
      </c>
      <c r="F106" s="117">
        <f t="shared" ref="F106:O106" si="28">F80+F82+F84+F87+F90+F93</f>
        <v>13436</v>
      </c>
      <c r="G106" s="117">
        <f t="shared" si="28"/>
        <v>-27242</v>
      </c>
      <c r="H106" s="117">
        <f t="shared" si="28"/>
        <v>-27706</v>
      </c>
      <c r="I106" s="117">
        <f t="shared" si="28"/>
        <v>-28576</v>
      </c>
      <c r="J106" s="117">
        <f t="shared" si="28"/>
        <v>-28288</v>
      </c>
      <c r="K106" s="117">
        <f t="shared" si="28"/>
        <v>-30083</v>
      </c>
      <c r="L106" s="117">
        <f t="shared" si="28"/>
        <v>-41013</v>
      </c>
      <c r="M106" s="117">
        <f t="shared" si="28"/>
        <v>-42866</v>
      </c>
      <c r="N106" s="117">
        <f t="shared" si="28"/>
        <v>-46289</v>
      </c>
      <c r="O106" s="117">
        <f t="shared" si="28"/>
        <v>-47236</v>
      </c>
      <c r="P106" s="117"/>
      <c r="Q106" s="117"/>
      <c r="R106" s="117"/>
      <c r="S106" s="267"/>
      <c r="T106" s="267"/>
    </row>
    <row r="107" spans="1:20">
      <c r="A107" s="2" t="s">
        <v>175</v>
      </c>
      <c r="E107" s="117">
        <f>E78+E85+E88+E91+E94+E96+E98</f>
        <v>1529</v>
      </c>
      <c r="F107" s="117">
        <f t="shared" ref="F107:O107" si="29">F78+F85+F88+F91+F94+F96+F98</f>
        <v>1428</v>
      </c>
      <c r="G107" s="117">
        <f t="shared" si="29"/>
        <v>-2440</v>
      </c>
      <c r="H107" s="117">
        <f t="shared" si="29"/>
        <v>-2723</v>
      </c>
      <c r="I107" s="117">
        <f t="shared" si="29"/>
        <v>-3571</v>
      </c>
      <c r="J107" s="117">
        <f t="shared" si="29"/>
        <v>-3289</v>
      </c>
      <c r="K107" s="117">
        <f t="shared" si="29"/>
        <v>-3888</v>
      </c>
      <c r="L107" s="117">
        <f t="shared" si="29"/>
        <v>-4513</v>
      </c>
      <c r="M107" s="117">
        <f t="shared" si="29"/>
        <v>-4175</v>
      </c>
      <c r="N107" s="117">
        <f t="shared" si="29"/>
        <v>-5705</v>
      </c>
      <c r="O107" s="117">
        <f t="shared" si="29"/>
        <v>-6106</v>
      </c>
      <c r="P107" s="117"/>
      <c r="Q107" s="117"/>
      <c r="R107" s="117"/>
      <c r="S107" s="267"/>
      <c r="T107" s="267"/>
    </row>
    <row r="108" spans="1:20">
      <c r="A108" s="2" t="s">
        <v>103</v>
      </c>
      <c r="E108" s="117">
        <f t="shared" ref="E108" si="30">E77</f>
        <v>-1500</v>
      </c>
      <c r="F108" s="117">
        <f t="shared" ref="F108:O108" si="31">F77</f>
        <v>-1370</v>
      </c>
      <c r="G108" s="117">
        <f t="shared" si="31"/>
        <v>-1238</v>
      </c>
      <c r="H108" s="117">
        <f t="shared" si="31"/>
        <v>-1106</v>
      </c>
      <c r="I108" s="117">
        <f t="shared" si="31"/>
        <v>-715</v>
      </c>
      <c r="J108" s="117">
        <f t="shared" si="31"/>
        <v>-843</v>
      </c>
      <c r="K108" s="117">
        <f t="shared" si="31"/>
        <v>-453</v>
      </c>
      <c r="L108" s="117">
        <f t="shared" si="31"/>
        <v>-582</v>
      </c>
      <c r="M108" s="117">
        <f t="shared" si="31"/>
        <v>-451</v>
      </c>
      <c r="N108" s="117">
        <f t="shared" si="31"/>
        <v>-322</v>
      </c>
      <c r="O108" s="117">
        <f t="shared" si="31"/>
        <v>-127</v>
      </c>
      <c r="P108" s="117">
        <f>P70</f>
        <v>32534</v>
      </c>
      <c r="Q108" s="117">
        <f t="shared" ref="Q108" si="32">Q70</f>
        <v>16438</v>
      </c>
      <c r="R108" s="117">
        <f>R70</f>
        <v>14761</v>
      </c>
      <c r="S108" s="267">
        <f>S70</f>
        <v>10846</v>
      </c>
      <c r="T108" s="267">
        <f>T70</f>
        <v>7458</v>
      </c>
    </row>
    <row r="109" spans="1:20">
      <c r="S109" s="95"/>
    </row>
    <row r="110" spans="1:20">
      <c r="O110" s="122" t="s">
        <v>312</v>
      </c>
      <c r="P110" s="117">
        <f>P103-P108</f>
        <v>-13689</v>
      </c>
      <c r="S110" s="95"/>
    </row>
    <row r="111" spans="1:20">
      <c r="O111" s="122" t="s">
        <v>313</v>
      </c>
      <c r="P111" s="117">
        <f>-P110</f>
        <v>13689</v>
      </c>
      <c r="S111" s="95"/>
    </row>
    <row r="112" spans="1:20">
      <c r="P112" s="117"/>
      <c r="Q112" s="117"/>
      <c r="R112" s="117"/>
      <c r="S112" s="117"/>
      <c r="T112" s="267"/>
    </row>
  </sheetData>
  <printOptions horizontalCentered="1"/>
  <pageMargins left="0.23" right="0.2" top="0.75" bottom="0.75" header="0.3" footer="0.54"/>
  <pageSetup scale="80" orientation="landscape" r:id="rId1"/>
  <headerFooter>
    <oddFooter>&amp;C&amp;F /&amp;A&amp;RPage &amp;P</oddFooter>
  </headerFooter>
  <rowBreaks count="2" manualBreakCount="2">
    <brk id="49" max="16383" man="1"/>
    <brk id="74" max="16383" man="1"/>
  </row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2:X57"/>
  <sheetViews>
    <sheetView topLeftCell="E1" workbookViewId="0">
      <selection activeCell="T1" sqref="T1"/>
    </sheetView>
  </sheetViews>
  <sheetFormatPr defaultColWidth="9.140625" defaultRowHeight="12.75"/>
  <cols>
    <col min="1" max="1" width="6.7109375" style="64" hidden="1" customWidth="1"/>
    <col min="2" max="2" width="3.42578125" style="64" hidden="1" customWidth="1"/>
    <col min="3" max="3" width="26.140625" style="64" hidden="1" customWidth="1"/>
    <col min="4" max="4" width="9" style="64" hidden="1" customWidth="1"/>
    <col min="5" max="5" width="6.7109375" style="64" customWidth="1"/>
    <col min="6" max="6" width="3.42578125" style="64" customWidth="1"/>
    <col min="7" max="7" width="26.140625" style="64" customWidth="1"/>
    <col min="8" max="8" width="9" style="64" bestFit="1" customWidth="1"/>
    <col min="9" max="20" width="7.5703125" style="64" bestFit="1" customWidth="1"/>
    <col min="21" max="22" width="9.140625" style="64"/>
    <col min="23" max="23" width="10.42578125" style="64" customWidth="1"/>
    <col min="24" max="16384" width="9.140625" style="64"/>
  </cols>
  <sheetData>
    <row r="2" spans="1:24">
      <c r="A2" s="64" t="s">
        <v>73</v>
      </c>
      <c r="E2" s="64" t="s">
        <v>73</v>
      </c>
    </row>
    <row r="3" spans="1:24">
      <c r="A3" s="64" t="s">
        <v>83</v>
      </c>
      <c r="E3" s="64" t="s">
        <v>83</v>
      </c>
    </row>
    <row r="4" spans="1:24">
      <c r="A4" s="64" t="s">
        <v>97</v>
      </c>
      <c r="E4" s="64" t="s">
        <v>134</v>
      </c>
    </row>
    <row r="5" spans="1:24">
      <c r="A5" s="64" t="s">
        <v>72</v>
      </c>
      <c r="E5" s="64" t="s">
        <v>72</v>
      </c>
    </row>
    <row r="7" spans="1:24">
      <c r="I7" s="73">
        <v>2000</v>
      </c>
      <c r="J7" s="73">
        <v>2001</v>
      </c>
      <c r="K7" s="73">
        <v>2002</v>
      </c>
      <c r="L7" s="73">
        <v>2003</v>
      </c>
      <c r="M7" s="73">
        <v>2004</v>
      </c>
      <c r="N7" s="73">
        <v>2005</v>
      </c>
      <c r="O7" s="73">
        <v>2006</v>
      </c>
      <c r="P7" s="73">
        <v>2007</v>
      </c>
      <c r="Q7" s="73">
        <v>2008</v>
      </c>
      <c r="R7" s="73">
        <v>2009</v>
      </c>
      <c r="S7" s="73">
        <v>2010</v>
      </c>
      <c r="T7" s="73">
        <v>2011</v>
      </c>
      <c r="U7" s="73">
        <v>2012</v>
      </c>
      <c r="V7" s="240" t="s">
        <v>345</v>
      </c>
      <c r="W7" s="240"/>
      <c r="X7" s="241"/>
    </row>
    <row r="8" spans="1:24">
      <c r="A8" s="66" t="s">
        <v>2</v>
      </c>
      <c r="E8" s="66" t="s">
        <v>2</v>
      </c>
      <c r="I8" s="66" t="s">
        <v>71</v>
      </c>
      <c r="J8" s="66" t="s">
        <v>71</v>
      </c>
      <c r="K8" s="66" t="s">
        <v>71</v>
      </c>
      <c r="L8" s="66" t="s">
        <v>71</v>
      </c>
      <c r="M8" s="66" t="s">
        <v>71</v>
      </c>
      <c r="N8" s="66" t="s">
        <v>71</v>
      </c>
      <c r="O8" s="66" t="s">
        <v>71</v>
      </c>
      <c r="P8" s="66" t="s">
        <v>71</v>
      </c>
      <c r="Q8" s="66" t="s">
        <v>71</v>
      </c>
      <c r="R8" s="66" t="s">
        <v>71</v>
      </c>
      <c r="S8" s="66" t="s">
        <v>71</v>
      </c>
      <c r="T8" s="66" t="s">
        <v>71</v>
      </c>
      <c r="U8" s="108" t="s">
        <v>71</v>
      </c>
      <c r="V8" s="248" t="s">
        <v>318</v>
      </c>
    </row>
    <row r="9" spans="1:24">
      <c r="A9" s="67" t="s">
        <v>69</v>
      </c>
      <c r="C9" s="68" t="s">
        <v>3</v>
      </c>
      <c r="D9" s="66" t="s">
        <v>98</v>
      </c>
      <c r="E9" s="67" t="s">
        <v>69</v>
      </c>
      <c r="G9" s="68" t="s">
        <v>3</v>
      </c>
      <c r="H9" s="66" t="s">
        <v>98</v>
      </c>
      <c r="I9" s="67" t="s">
        <v>100</v>
      </c>
      <c r="J9" s="67" t="s">
        <v>100</v>
      </c>
      <c r="K9" s="67" t="s">
        <v>100</v>
      </c>
      <c r="L9" s="67" t="s">
        <v>100</v>
      </c>
      <c r="M9" s="67" t="s">
        <v>100</v>
      </c>
      <c r="N9" s="67" t="s">
        <v>100</v>
      </c>
      <c r="O9" s="67" t="s">
        <v>100</v>
      </c>
      <c r="P9" s="67" t="s">
        <v>100</v>
      </c>
      <c r="Q9" s="67" t="s">
        <v>100</v>
      </c>
      <c r="R9" s="67" t="s">
        <v>100</v>
      </c>
      <c r="S9" s="67" t="s">
        <v>100</v>
      </c>
      <c r="T9" s="67" t="s">
        <v>100</v>
      </c>
      <c r="U9" s="67" t="s">
        <v>100</v>
      </c>
    </row>
    <row r="10" spans="1:24">
      <c r="A10" s="66"/>
      <c r="E10" s="66"/>
    </row>
    <row r="11" spans="1:24">
      <c r="A11" s="66"/>
      <c r="B11" s="64" t="s">
        <v>66</v>
      </c>
      <c r="E11" s="66"/>
      <c r="F11" s="64" t="s">
        <v>66</v>
      </c>
    </row>
    <row r="12" spans="1:24">
      <c r="A12" s="66">
        <v>1</v>
      </c>
      <c r="B12" s="64" t="s">
        <v>65</v>
      </c>
      <c r="D12" s="69">
        <v>0.95509999999999995</v>
      </c>
      <c r="E12" s="66">
        <v>1</v>
      </c>
      <c r="F12" s="64" t="s">
        <v>65</v>
      </c>
      <c r="H12" s="69">
        <f>'2) ROR'!N20</f>
        <v>0.95294299999999998</v>
      </c>
      <c r="I12" s="70">
        <f>I35/$H12</f>
        <v>-3613.0177775585739</v>
      </c>
      <c r="J12" s="70">
        <f>J35/$H12</f>
        <v>-5324.5577122661061</v>
      </c>
      <c r="K12" s="70">
        <f>K35/$H12</f>
        <v>-6363.4446131615432</v>
      </c>
      <c r="L12" s="70">
        <f>L35/$H12</f>
        <v>-6432.7037398879056</v>
      </c>
      <c r="M12" s="70">
        <f>M35/$H12</f>
        <v>-7080.1716367085965</v>
      </c>
      <c r="N12" s="70">
        <f t="shared" ref="N12:U12" si="0">N35/$D12</f>
        <v>-6918.6472620668001</v>
      </c>
      <c r="O12" s="70">
        <f t="shared" si="0"/>
        <v>-6889.3309601088895</v>
      </c>
      <c r="P12" s="70">
        <f t="shared" si="0"/>
        <v>-6980.4208983352528</v>
      </c>
      <c r="Q12" s="70">
        <f t="shared" si="0"/>
        <v>-12660.454402680349</v>
      </c>
      <c r="R12" s="70">
        <f t="shared" si="0"/>
        <v>-19767.563605905143</v>
      </c>
      <c r="S12" s="70">
        <f t="shared" si="0"/>
        <v>-20398.911108784421</v>
      </c>
      <c r="T12" s="70">
        <f t="shared" si="0"/>
        <v>-21047.010784211077</v>
      </c>
      <c r="U12" s="70">
        <f t="shared" si="0"/>
        <v>-17700.764317872476</v>
      </c>
    </row>
    <row r="13" spans="1:24">
      <c r="A13" s="66">
        <v>2</v>
      </c>
      <c r="B13" s="64" t="s">
        <v>64</v>
      </c>
      <c r="E13" s="66">
        <v>2</v>
      </c>
      <c r="F13" s="64" t="s">
        <v>64</v>
      </c>
      <c r="I13" s="70"/>
      <c r="J13" s="70"/>
      <c r="K13" s="70"/>
      <c r="L13" s="70"/>
      <c r="M13" s="70"/>
      <c r="N13" s="70"/>
      <c r="O13" s="70"/>
      <c r="P13" s="70"/>
      <c r="Q13" s="70"/>
      <c r="R13" s="70"/>
      <c r="S13" s="70"/>
      <c r="T13" s="70"/>
      <c r="U13" s="70"/>
    </row>
    <row r="14" spans="1:24">
      <c r="A14" s="66">
        <v>3</v>
      </c>
      <c r="B14" s="64" t="s">
        <v>63</v>
      </c>
      <c r="E14" s="66">
        <v>3</v>
      </c>
      <c r="F14" s="64" t="s">
        <v>63</v>
      </c>
      <c r="I14" s="71"/>
      <c r="J14" s="71"/>
      <c r="K14" s="71"/>
      <c r="L14" s="71"/>
      <c r="M14" s="71"/>
      <c r="N14" s="71"/>
      <c r="O14" s="71"/>
      <c r="P14" s="71"/>
      <c r="Q14" s="71"/>
      <c r="R14" s="71"/>
      <c r="S14" s="71"/>
      <c r="T14" s="71"/>
      <c r="U14" s="71"/>
    </row>
    <row r="15" spans="1:24">
      <c r="A15" s="66">
        <v>4</v>
      </c>
      <c r="B15" s="64" t="s">
        <v>62</v>
      </c>
      <c r="E15" s="66">
        <v>4</v>
      </c>
      <c r="F15" s="64" t="s">
        <v>62</v>
      </c>
      <c r="I15" s="70">
        <f>SUM(I12:I14)</f>
        <v>-3613.0177775585739</v>
      </c>
      <c r="J15" s="70">
        <f>SUM(J12:J14)</f>
        <v>-5324.5577122661061</v>
      </c>
      <c r="K15" s="70">
        <f>SUM(K12:K14)</f>
        <v>-6363.4446131615432</v>
      </c>
      <c r="L15" s="70">
        <f>SUM(L12:L14)</f>
        <v>-6432.7037398879056</v>
      </c>
      <c r="M15" s="70">
        <f>SUM(M12:M14)</f>
        <v>-7080.1716367085965</v>
      </c>
      <c r="N15" s="70">
        <f t="shared" ref="N15:T15" si="1">SUM(N12:N14)</f>
        <v>-6918.6472620668001</v>
      </c>
      <c r="O15" s="70">
        <f t="shared" si="1"/>
        <v>-6889.3309601088895</v>
      </c>
      <c r="P15" s="70">
        <f t="shared" si="1"/>
        <v>-6980.4208983352528</v>
      </c>
      <c r="Q15" s="70">
        <f t="shared" si="1"/>
        <v>-12660.454402680349</v>
      </c>
      <c r="R15" s="70">
        <f t="shared" si="1"/>
        <v>-19767.563605905143</v>
      </c>
      <c r="S15" s="70">
        <f t="shared" si="1"/>
        <v>-20398.911108784421</v>
      </c>
      <c r="T15" s="70">
        <f t="shared" si="1"/>
        <v>-21047.010784211077</v>
      </c>
      <c r="U15" s="70">
        <f t="shared" ref="U15" si="2">SUM(U12:U14)</f>
        <v>-17700.764317872476</v>
      </c>
    </row>
    <row r="16" spans="1:24">
      <c r="A16" s="66">
        <v>5</v>
      </c>
      <c r="B16" s="64" t="s">
        <v>61</v>
      </c>
      <c r="E16" s="66">
        <v>5</v>
      </c>
      <c r="F16" s="64" t="s">
        <v>61</v>
      </c>
      <c r="I16" s="71"/>
      <c r="J16" s="71"/>
      <c r="K16" s="71"/>
      <c r="L16" s="71"/>
      <c r="M16" s="71"/>
      <c r="N16" s="71"/>
      <c r="O16" s="71"/>
      <c r="P16" s="71"/>
      <c r="Q16" s="71"/>
      <c r="R16" s="71"/>
      <c r="S16" s="71"/>
      <c r="T16" s="71"/>
      <c r="U16" s="71"/>
    </row>
    <row r="17" spans="1:21">
      <c r="A17" s="66">
        <v>6</v>
      </c>
      <c r="B17" s="64" t="s">
        <v>60</v>
      </c>
      <c r="E17" s="66">
        <v>6</v>
      </c>
      <c r="F17" s="64" t="s">
        <v>60</v>
      </c>
      <c r="I17" s="70">
        <f>I15+I16</f>
        <v>-3613.0177775585739</v>
      </c>
      <c r="J17" s="70">
        <f>J15+J16</f>
        <v>-5324.5577122661061</v>
      </c>
      <c r="K17" s="70">
        <f>K15+K16</f>
        <v>-6363.4446131615432</v>
      </c>
      <c r="L17" s="70">
        <f>L15+L16</f>
        <v>-6432.7037398879056</v>
      </c>
      <c r="M17" s="70">
        <f>M15+M16</f>
        <v>-7080.1716367085965</v>
      </c>
      <c r="N17" s="70">
        <f t="shared" ref="N17:T17" si="3">N15+N16</f>
        <v>-6918.6472620668001</v>
      </c>
      <c r="O17" s="70">
        <f t="shared" si="3"/>
        <v>-6889.3309601088895</v>
      </c>
      <c r="P17" s="70">
        <f t="shared" si="3"/>
        <v>-6980.4208983352528</v>
      </c>
      <c r="Q17" s="70">
        <f t="shared" si="3"/>
        <v>-12660.454402680349</v>
      </c>
      <c r="R17" s="70">
        <f t="shared" si="3"/>
        <v>-19767.563605905143</v>
      </c>
      <c r="S17" s="70">
        <f t="shared" si="3"/>
        <v>-20398.911108784421</v>
      </c>
      <c r="T17" s="70">
        <f t="shared" si="3"/>
        <v>-21047.010784211077</v>
      </c>
      <c r="U17" s="70">
        <f t="shared" ref="U17" si="4">U15+U16</f>
        <v>-17700.764317872476</v>
      </c>
    </row>
    <row r="18" spans="1:21">
      <c r="A18" s="66"/>
      <c r="E18" s="66"/>
      <c r="I18" s="70"/>
      <c r="J18" s="70"/>
      <c r="K18" s="70"/>
      <c r="L18" s="70"/>
      <c r="M18" s="70"/>
      <c r="N18" s="70"/>
      <c r="O18" s="70"/>
      <c r="P18" s="70"/>
      <c r="Q18" s="70"/>
      <c r="R18" s="70"/>
      <c r="S18" s="70"/>
      <c r="T18" s="70"/>
      <c r="U18" s="70"/>
    </row>
    <row r="19" spans="1:21">
      <c r="A19" s="66"/>
      <c r="B19" s="64" t="s">
        <v>59</v>
      </c>
      <c r="E19" s="66"/>
      <c r="F19" s="64" t="s">
        <v>59</v>
      </c>
      <c r="I19" s="70"/>
      <c r="J19" s="70"/>
      <c r="K19" s="70"/>
      <c r="L19" s="70"/>
      <c r="M19" s="70"/>
      <c r="N19" s="70"/>
      <c r="O19" s="70"/>
      <c r="P19" s="70"/>
      <c r="Q19" s="70"/>
      <c r="R19" s="70"/>
      <c r="S19" s="70"/>
      <c r="T19" s="70"/>
      <c r="U19" s="70"/>
    </row>
    <row r="20" spans="1:21">
      <c r="A20" s="66"/>
      <c r="B20" s="64" t="s">
        <v>58</v>
      </c>
      <c r="E20" s="66"/>
      <c r="F20" s="64" t="s">
        <v>58</v>
      </c>
      <c r="I20" s="70"/>
      <c r="J20" s="70"/>
      <c r="K20" s="70"/>
      <c r="L20" s="70"/>
      <c r="M20" s="70"/>
      <c r="N20" s="70"/>
      <c r="O20" s="70"/>
      <c r="P20" s="70"/>
      <c r="Q20" s="70"/>
      <c r="R20" s="70"/>
      <c r="S20" s="70"/>
      <c r="T20" s="70"/>
      <c r="U20" s="70"/>
    </row>
    <row r="21" spans="1:21">
      <c r="A21" s="66">
        <v>7</v>
      </c>
      <c r="C21" s="64" t="s">
        <v>50</v>
      </c>
      <c r="E21" s="66">
        <v>7</v>
      </c>
      <c r="G21" s="64" t="s">
        <v>50</v>
      </c>
      <c r="I21" s="70"/>
      <c r="J21" s="70"/>
      <c r="K21" s="70"/>
      <c r="L21" s="70"/>
      <c r="M21" s="70"/>
      <c r="N21" s="70"/>
      <c r="O21" s="70"/>
      <c r="P21" s="70"/>
      <c r="Q21" s="70"/>
      <c r="R21" s="70"/>
      <c r="S21" s="70"/>
      <c r="T21" s="70"/>
      <c r="U21" s="70"/>
    </row>
    <row r="22" spans="1:21">
      <c r="A22" s="66">
        <v>8</v>
      </c>
      <c r="C22" s="64" t="s">
        <v>57</v>
      </c>
      <c r="E22" s="66">
        <v>8</v>
      </c>
      <c r="G22" s="64" t="s">
        <v>57</v>
      </c>
      <c r="I22" s="70"/>
      <c r="J22" s="70"/>
      <c r="K22" s="70"/>
      <c r="L22" s="70"/>
      <c r="M22" s="70"/>
      <c r="N22" s="70"/>
      <c r="O22" s="70"/>
      <c r="P22" s="70"/>
      <c r="Q22" s="70"/>
      <c r="R22" s="70"/>
      <c r="S22" s="70"/>
      <c r="T22" s="70"/>
      <c r="U22" s="70"/>
    </row>
    <row r="23" spans="1:21">
      <c r="A23" s="66">
        <v>9</v>
      </c>
      <c r="C23" s="64" t="s">
        <v>86</v>
      </c>
      <c r="E23" s="66">
        <v>9</v>
      </c>
      <c r="G23" s="64" t="s">
        <v>86</v>
      </c>
      <c r="I23" s="70"/>
      <c r="J23" s="70"/>
      <c r="K23" s="70"/>
      <c r="L23" s="70"/>
      <c r="M23" s="70"/>
      <c r="N23" s="70"/>
      <c r="O23" s="70"/>
      <c r="P23" s="70"/>
      <c r="Q23" s="70"/>
      <c r="R23" s="70"/>
      <c r="S23" s="70"/>
      <c r="T23" s="70"/>
      <c r="U23" s="70"/>
    </row>
    <row r="24" spans="1:21">
      <c r="A24" s="66">
        <v>10</v>
      </c>
      <c r="C24" s="64" t="s">
        <v>87</v>
      </c>
      <c r="E24" s="66">
        <v>10</v>
      </c>
      <c r="G24" s="64" t="s">
        <v>87</v>
      </c>
      <c r="I24" s="70"/>
      <c r="J24" s="70"/>
      <c r="K24" s="70"/>
      <c r="L24" s="70"/>
      <c r="M24" s="70"/>
      <c r="N24" s="70"/>
      <c r="O24" s="70"/>
      <c r="P24" s="70"/>
      <c r="Q24" s="70"/>
      <c r="R24" s="70"/>
      <c r="S24" s="70"/>
      <c r="T24" s="70"/>
      <c r="U24" s="70"/>
    </row>
    <row r="25" spans="1:21">
      <c r="A25" s="66">
        <v>11</v>
      </c>
      <c r="C25" s="64" t="s">
        <v>49</v>
      </c>
      <c r="E25" s="66">
        <v>11</v>
      </c>
      <c r="G25" s="64" t="s">
        <v>49</v>
      </c>
      <c r="I25" s="71"/>
      <c r="J25" s="71"/>
      <c r="K25" s="71"/>
      <c r="L25" s="71"/>
      <c r="M25" s="71"/>
      <c r="N25" s="71"/>
      <c r="O25" s="71"/>
      <c r="P25" s="71"/>
      <c r="Q25" s="71"/>
      <c r="R25" s="71"/>
      <c r="S25" s="71"/>
      <c r="T25" s="71"/>
      <c r="U25" s="71"/>
    </row>
    <row r="26" spans="1:21">
      <c r="A26" s="66">
        <v>12</v>
      </c>
      <c r="B26" s="64" t="s">
        <v>56</v>
      </c>
      <c r="E26" s="66">
        <v>12</v>
      </c>
      <c r="F26" s="64" t="s">
        <v>56</v>
      </c>
      <c r="I26" s="70">
        <f>SUM(I21:I25)</f>
        <v>0</v>
      </c>
      <c r="J26" s="70">
        <f>SUM(J21:J25)</f>
        <v>0</v>
      </c>
      <c r="K26" s="70">
        <f>SUM(K21:K25)</f>
        <v>0</v>
      </c>
      <c r="L26" s="70">
        <f>SUM(L21:L25)</f>
        <v>0</v>
      </c>
      <c r="M26" s="70">
        <f>SUM(M21:M25)</f>
        <v>0</v>
      </c>
      <c r="N26" s="70">
        <f t="shared" ref="N26:T26" si="5">SUM(N21:N25)</f>
        <v>0</v>
      </c>
      <c r="O26" s="70">
        <f t="shared" si="5"/>
        <v>0</v>
      </c>
      <c r="P26" s="70">
        <f t="shared" si="5"/>
        <v>0</v>
      </c>
      <c r="Q26" s="70">
        <f t="shared" si="5"/>
        <v>0</v>
      </c>
      <c r="R26" s="70">
        <f t="shared" si="5"/>
        <v>0</v>
      </c>
      <c r="S26" s="70">
        <f t="shared" si="5"/>
        <v>0</v>
      </c>
      <c r="T26" s="70">
        <f t="shared" si="5"/>
        <v>0</v>
      </c>
      <c r="U26" s="70">
        <f t="shared" ref="U26" si="6">SUM(U21:U25)</f>
        <v>0</v>
      </c>
    </row>
    <row r="27" spans="1:21">
      <c r="A27" s="66"/>
      <c r="E27" s="66"/>
      <c r="I27" s="70"/>
      <c r="J27" s="70"/>
      <c r="K27" s="70"/>
      <c r="L27" s="70"/>
      <c r="M27" s="70"/>
      <c r="N27" s="70"/>
      <c r="O27" s="70"/>
      <c r="P27" s="70"/>
      <c r="Q27" s="70"/>
      <c r="R27" s="70"/>
      <c r="S27" s="70"/>
      <c r="T27" s="70"/>
      <c r="U27" s="70"/>
    </row>
    <row r="28" spans="1:21">
      <c r="A28" s="66"/>
      <c r="B28" s="64" t="s">
        <v>36</v>
      </c>
      <c r="E28" s="66"/>
      <c r="F28" s="64" t="s">
        <v>36</v>
      </c>
      <c r="I28" s="70"/>
      <c r="J28" s="70"/>
      <c r="K28" s="70"/>
      <c r="L28" s="70"/>
      <c r="M28" s="70"/>
      <c r="N28" s="70"/>
      <c r="O28" s="70"/>
      <c r="P28" s="70"/>
      <c r="Q28" s="70"/>
      <c r="R28" s="70"/>
      <c r="S28" s="70"/>
      <c r="T28" s="70"/>
      <c r="U28" s="70"/>
    </row>
    <row r="29" spans="1:21">
      <c r="A29" s="66">
        <v>13</v>
      </c>
      <c r="C29" s="64" t="s">
        <v>50</v>
      </c>
      <c r="E29" s="66">
        <v>13</v>
      </c>
      <c r="G29" s="64" t="s">
        <v>50</v>
      </c>
      <c r="I29" s="70"/>
      <c r="J29" s="70"/>
      <c r="K29" s="70"/>
      <c r="L29" s="70"/>
      <c r="M29" s="70"/>
      <c r="N29" s="70"/>
      <c r="O29" s="70"/>
      <c r="P29" s="70"/>
      <c r="Q29" s="70"/>
      <c r="R29" s="70"/>
      <c r="S29" s="70"/>
      <c r="T29" s="70"/>
      <c r="U29" s="70"/>
    </row>
    <row r="30" spans="1:21">
      <c r="A30" s="66">
        <v>14</v>
      </c>
      <c r="C30" s="64" t="s">
        <v>88</v>
      </c>
      <c r="E30" s="66">
        <v>14</v>
      </c>
      <c r="G30" s="64" t="s">
        <v>88</v>
      </c>
      <c r="I30" s="70"/>
      <c r="J30" s="70"/>
      <c r="K30" s="70"/>
      <c r="L30" s="70"/>
      <c r="M30" s="70"/>
      <c r="N30" s="70"/>
      <c r="O30" s="70"/>
      <c r="P30" s="70"/>
      <c r="Q30" s="70"/>
      <c r="R30" s="70"/>
      <c r="S30" s="70"/>
      <c r="T30" s="70"/>
      <c r="U30" s="70"/>
    </row>
    <row r="31" spans="1:21">
      <c r="A31" s="66">
        <v>15</v>
      </c>
      <c r="C31" s="64" t="s">
        <v>49</v>
      </c>
      <c r="D31" s="69">
        <v>3.8561999999999999E-2</v>
      </c>
      <c r="E31" s="66">
        <v>15</v>
      </c>
      <c r="G31" s="64" t="s">
        <v>49</v>
      </c>
      <c r="H31" s="180">
        <f>'2) ROR'!N16</f>
        <v>3.8478999999999999E-2</v>
      </c>
      <c r="I31" s="71">
        <f>I12*$H31</f>
        <v>-139.02531106267637</v>
      </c>
      <c r="J31" s="71">
        <f>J12*$H31</f>
        <v>-204.88365621028748</v>
      </c>
      <c r="K31" s="71">
        <f>K12*$H31</f>
        <v>-244.858985269843</v>
      </c>
      <c r="L31" s="71">
        <f>L12*$H31</f>
        <v>-247.52400720714672</v>
      </c>
      <c r="M31" s="71">
        <f>M12*$H31</f>
        <v>-272.43792440891008</v>
      </c>
      <c r="N31" s="71">
        <f>N12*$D31</f>
        <v>-266.79687571981992</v>
      </c>
      <c r="O31" s="71">
        <f>O12*$D31</f>
        <v>-265.66638048371897</v>
      </c>
      <c r="P31" s="71">
        <f t="shared" ref="P31:U31" si="7">P12*$D31</f>
        <v>-269.17899068160403</v>
      </c>
      <c r="Q31" s="71">
        <f t="shared" si="7"/>
        <v>-488.21244267615958</v>
      </c>
      <c r="R31" s="71">
        <f t="shared" si="7"/>
        <v>-762.2767877709141</v>
      </c>
      <c r="S31" s="71">
        <f t="shared" si="7"/>
        <v>-786.62281017694488</v>
      </c>
      <c r="T31" s="71">
        <f t="shared" si="7"/>
        <v>-811.61482986074759</v>
      </c>
      <c r="U31" s="71">
        <f t="shared" si="7"/>
        <v>-682.57687362579838</v>
      </c>
    </row>
    <row r="32" spans="1:21">
      <c r="A32" s="66">
        <v>16</v>
      </c>
      <c r="B32" s="64" t="s">
        <v>55</v>
      </c>
      <c r="E32" s="66">
        <v>16</v>
      </c>
      <c r="F32" s="64" t="s">
        <v>55</v>
      </c>
      <c r="H32" s="83"/>
      <c r="I32" s="70">
        <f>SUM(I29:I31)</f>
        <v>-139.02531106267637</v>
      </c>
      <c r="J32" s="70">
        <f>SUM(J29:J31)</f>
        <v>-204.88365621028748</v>
      </c>
      <c r="K32" s="70">
        <f>SUM(K29:K31)</f>
        <v>-244.858985269843</v>
      </c>
      <c r="L32" s="70">
        <f>SUM(L29:L31)</f>
        <v>-247.52400720714672</v>
      </c>
      <c r="M32" s="70">
        <f>SUM(M29:M31)</f>
        <v>-272.43792440891008</v>
      </c>
      <c r="N32" s="70">
        <f t="shared" ref="N32:T32" si="8">SUM(N29:N31)</f>
        <v>-266.79687571981992</v>
      </c>
      <c r="O32" s="70">
        <f t="shared" si="8"/>
        <v>-265.66638048371897</v>
      </c>
      <c r="P32" s="70">
        <f t="shared" si="8"/>
        <v>-269.17899068160403</v>
      </c>
      <c r="Q32" s="70">
        <f t="shared" si="8"/>
        <v>-488.21244267615958</v>
      </c>
      <c r="R32" s="70">
        <f t="shared" si="8"/>
        <v>-762.2767877709141</v>
      </c>
      <c r="S32" s="70">
        <f t="shared" si="8"/>
        <v>-786.62281017694488</v>
      </c>
      <c r="T32" s="70">
        <f t="shared" si="8"/>
        <v>-811.61482986074759</v>
      </c>
      <c r="U32" s="70">
        <f t="shared" ref="U32" si="9">SUM(U29:U31)</f>
        <v>-682.57687362579838</v>
      </c>
    </row>
    <row r="33" spans="1:21">
      <c r="A33" s="66"/>
      <c r="E33" s="66"/>
      <c r="H33" s="83"/>
      <c r="I33" s="70"/>
      <c r="J33" s="70"/>
      <c r="K33" s="70"/>
      <c r="L33" s="70"/>
      <c r="M33" s="70"/>
      <c r="N33" s="70"/>
      <c r="O33" s="70"/>
      <c r="P33" s="70"/>
      <c r="Q33" s="70"/>
      <c r="R33" s="70"/>
      <c r="S33" s="70"/>
      <c r="T33" s="70"/>
      <c r="U33" s="70"/>
    </row>
    <row r="34" spans="1:21">
      <c r="A34" s="66">
        <v>17</v>
      </c>
      <c r="B34" s="64" t="s">
        <v>54</v>
      </c>
      <c r="D34" s="69">
        <v>4.3379999999999998E-3</v>
      </c>
      <c r="E34" s="66">
        <v>17</v>
      </c>
      <c r="F34" s="64" t="s">
        <v>54</v>
      </c>
      <c r="H34" s="180">
        <f>'2) ROR'!N12</f>
        <v>6.5779999999999996E-3</v>
      </c>
      <c r="I34" s="70">
        <f>I12*$H34</f>
        <v>-23.7664309407803</v>
      </c>
      <c r="J34" s="70">
        <f>J12*$H34</f>
        <v>-35.024940631286441</v>
      </c>
      <c r="K34" s="70">
        <f>K12*$H34</f>
        <v>-41.858738665376627</v>
      </c>
      <c r="L34" s="70">
        <f>L12*$H34</f>
        <v>-42.314325200982644</v>
      </c>
      <c r="M34" s="70">
        <f>M12*$H34</f>
        <v>-46.573369026269148</v>
      </c>
      <c r="N34" s="70">
        <f t="shared" ref="N34:T34" si="10">N12*$D34</f>
        <v>-30.013091822845777</v>
      </c>
      <c r="O34" s="70">
        <f t="shared" si="10"/>
        <v>-29.885917704952362</v>
      </c>
      <c r="P34" s="70">
        <f t="shared" si="10"/>
        <v>-30.281065856978326</v>
      </c>
      <c r="Q34" s="70">
        <f t="shared" si="10"/>
        <v>-54.92105119882735</v>
      </c>
      <c r="R34" s="70">
        <f t="shared" si="10"/>
        <v>-85.7516909224165</v>
      </c>
      <c r="S34" s="70">
        <f t="shared" si="10"/>
        <v>-88.490476389906817</v>
      </c>
      <c r="T34" s="70">
        <f t="shared" si="10"/>
        <v>-91.301932781907652</v>
      </c>
      <c r="U34" s="70">
        <f t="shared" ref="U34" si="11">U12*$D34</f>
        <v>-76.7859156109308</v>
      </c>
    </row>
    <row r="35" spans="1:21">
      <c r="A35" s="66">
        <v>18</v>
      </c>
      <c r="B35" s="64" t="s">
        <v>53</v>
      </c>
      <c r="E35" s="66">
        <v>18</v>
      </c>
      <c r="F35" s="64" t="s">
        <v>53</v>
      </c>
      <c r="H35" s="83"/>
      <c r="I35" s="70">
        <v>-3443</v>
      </c>
      <c r="J35" s="70">
        <v>-5074</v>
      </c>
      <c r="K35" s="70">
        <v>-6064</v>
      </c>
      <c r="L35" s="70">
        <v>-6130</v>
      </c>
      <c r="M35" s="70">
        <f>-6330-417</f>
        <v>-6747</v>
      </c>
      <c r="N35" s="70">
        <v>-6608</v>
      </c>
      <c r="O35" s="70">
        <v>-6580</v>
      </c>
      <c r="P35" s="70">
        <v>-6667</v>
      </c>
      <c r="Q35" s="70">
        <v>-12092</v>
      </c>
      <c r="R35" s="70">
        <v>-18880</v>
      </c>
      <c r="S35" s="70">
        <v>-19483</v>
      </c>
      <c r="T35" s="70">
        <v>-20102</v>
      </c>
      <c r="U35" s="70">
        <f>-17498+592</f>
        <v>-16906</v>
      </c>
    </row>
    <row r="36" spans="1:21">
      <c r="A36" s="66">
        <v>19</v>
      </c>
      <c r="B36" s="64" t="s">
        <v>52</v>
      </c>
      <c r="E36" s="66">
        <v>19</v>
      </c>
      <c r="F36" s="64" t="s">
        <v>52</v>
      </c>
      <c r="H36" s="83"/>
      <c r="I36" s="70"/>
      <c r="J36" s="70"/>
      <c r="K36" s="70"/>
      <c r="L36" s="70"/>
      <c r="M36" s="70"/>
      <c r="N36" s="70"/>
      <c r="O36" s="70"/>
      <c r="P36" s="70"/>
      <c r="Q36" s="70"/>
      <c r="R36" s="70"/>
      <c r="S36" s="70"/>
      <c r="T36" s="70"/>
      <c r="U36" s="70"/>
    </row>
    <row r="37" spans="1:21">
      <c r="A37" s="66"/>
      <c r="E37" s="66"/>
      <c r="H37" s="83"/>
      <c r="I37" s="70"/>
      <c r="J37" s="70"/>
      <c r="K37" s="70"/>
      <c r="L37" s="70"/>
      <c r="M37" s="70"/>
      <c r="N37" s="70"/>
      <c r="O37" s="70"/>
      <c r="P37" s="70"/>
      <c r="Q37" s="70"/>
      <c r="R37" s="70"/>
      <c r="S37" s="70"/>
      <c r="T37" s="70"/>
      <c r="U37" s="70"/>
    </row>
    <row r="38" spans="1:21">
      <c r="A38" s="66"/>
      <c r="B38" s="64" t="s">
        <v>51</v>
      </c>
      <c r="E38" s="66"/>
      <c r="F38" s="64" t="s">
        <v>51</v>
      </c>
      <c r="H38" s="83"/>
      <c r="I38" s="70"/>
      <c r="J38" s="70"/>
      <c r="K38" s="70"/>
      <c r="L38" s="70"/>
      <c r="M38" s="70"/>
      <c r="N38" s="70"/>
      <c r="O38" s="70"/>
      <c r="P38" s="70"/>
      <c r="Q38" s="70"/>
      <c r="R38" s="70"/>
      <c r="S38" s="70"/>
      <c r="T38" s="70"/>
      <c r="U38" s="70"/>
    </row>
    <row r="39" spans="1:21">
      <c r="A39" s="66">
        <v>20</v>
      </c>
      <c r="C39" s="64" t="s">
        <v>50</v>
      </c>
      <c r="D39" s="69">
        <v>2E-3</v>
      </c>
      <c r="E39" s="66">
        <v>20</v>
      </c>
      <c r="G39" s="64" t="s">
        <v>50</v>
      </c>
      <c r="H39" s="180">
        <f>'2) ROR'!N14</f>
        <v>2E-3</v>
      </c>
      <c r="I39" s="70">
        <f>I12*$H39</f>
        <v>-7.2260355551171482</v>
      </c>
      <c r="J39" s="70">
        <f>J12*$H39</f>
        <v>-10.649115424532212</v>
      </c>
      <c r="K39" s="70">
        <f>K12*$H39</f>
        <v>-12.726889226323086</v>
      </c>
      <c r="L39" s="70">
        <f>L12*$H39</f>
        <v>-12.865407479775811</v>
      </c>
      <c r="M39" s="70">
        <f>M12*$H39</f>
        <v>-14.160343273417194</v>
      </c>
      <c r="N39" s="70">
        <f t="shared" ref="N39:T39" si="12">N12*$D39</f>
        <v>-13.837294524133601</v>
      </c>
      <c r="O39" s="70">
        <f t="shared" si="12"/>
        <v>-13.778661920217779</v>
      </c>
      <c r="P39" s="70">
        <f t="shared" si="12"/>
        <v>-13.960841796670506</v>
      </c>
      <c r="Q39" s="70">
        <f t="shared" si="12"/>
        <v>-25.320908805360698</v>
      </c>
      <c r="R39" s="70">
        <f t="shared" si="12"/>
        <v>-39.535127211810284</v>
      </c>
      <c r="S39" s="70">
        <f t="shared" si="12"/>
        <v>-40.797822217568843</v>
      </c>
      <c r="T39" s="70">
        <f t="shared" si="12"/>
        <v>-42.094021568422157</v>
      </c>
      <c r="U39" s="70">
        <f t="shared" ref="U39" si="13">U12*$D39</f>
        <v>-35.401528635744953</v>
      </c>
    </row>
    <row r="40" spans="1:21">
      <c r="A40" s="66">
        <v>21</v>
      </c>
      <c r="C40" s="64" t="s">
        <v>88</v>
      </c>
      <c r="E40" s="66">
        <v>21</v>
      </c>
      <c r="G40" s="64" t="s">
        <v>88</v>
      </c>
      <c r="I40" s="70"/>
      <c r="J40" s="70"/>
      <c r="K40" s="70"/>
      <c r="L40" s="70"/>
      <c r="M40" s="70"/>
      <c r="N40" s="70"/>
      <c r="O40" s="70"/>
      <c r="P40" s="70"/>
      <c r="Q40" s="70"/>
      <c r="R40" s="70"/>
      <c r="S40" s="70"/>
      <c r="T40" s="70"/>
      <c r="U40" s="70"/>
    </row>
    <row r="41" spans="1:21">
      <c r="A41" s="66">
        <v>22</v>
      </c>
      <c r="C41" s="64" t="s">
        <v>49</v>
      </c>
      <c r="E41" s="66">
        <v>22</v>
      </c>
      <c r="G41" s="64" t="s">
        <v>49</v>
      </c>
      <c r="I41" s="71"/>
      <c r="J41" s="71"/>
      <c r="K41" s="71"/>
      <c r="L41" s="71"/>
      <c r="M41" s="71"/>
      <c r="N41" s="71"/>
      <c r="O41" s="71"/>
      <c r="P41" s="71"/>
      <c r="Q41" s="71"/>
      <c r="R41" s="71"/>
      <c r="S41" s="71"/>
      <c r="T41" s="71"/>
      <c r="U41" s="71"/>
    </row>
    <row r="42" spans="1:21">
      <c r="A42" s="66">
        <v>23</v>
      </c>
      <c r="B42" s="64" t="s">
        <v>48</v>
      </c>
      <c r="E42" s="66">
        <v>23</v>
      </c>
      <c r="F42" s="64" t="s">
        <v>48</v>
      </c>
      <c r="I42" s="72">
        <f>SUM(I39:I41)</f>
        <v>-7.2260355551171482</v>
      </c>
      <c r="J42" s="72">
        <f>SUM(J39:J41)</f>
        <v>-10.649115424532212</v>
      </c>
      <c r="K42" s="72">
        <f>SUM(K39:K41)</f>
        <v>-12.726889226323086</v>
      </c>
      <c r="L42" s="72">
        <f>SUM(L39:L41)</f>
        <v>-12.865407479775811</v>
      </c>
      <c r="M42" s="72">
        <f>SUM(M39:M41)</f>
        <v>-14.160343273417194</v>
      </c>
      <c r="N42" s="72">
        <f t="shared" ref="N42:T42" si="14">SUM(N39:N41)</f>
        <v>-13.837294524133601</v>
      </c>
      <c r="O42" s="72">
        <f t="shared" si="14"/>
        <v>-13.778661920217779</v>
      </c>
      <c r="P42" s="72">
        <f t="shared" si="14"/>
        <v>-13.960841796670506</v>
      </c>
      <c r="Q42" s="72">
        <f t="shared" si="14"/>
        <v>-25.320908805360698</v>
      </c>
      <c r="R42" s="72">
        <f t="shared" si="14"/>
        <v>-39.535127211810284</v>
      </c>
      <c r="S42" s="72">
        <f t="shared" si="14"/>
        <v>-40.797822217568843</v>
      </c>
      <c r="T42" s="72">
        <f t="shared" si="14"/>
        <v>-42.094021568422157</v>
      </c>
      <c r="U42" s="72">
        <f t="shared" ref="U42" si="15">SUM(U39:U41)</f>
        <v>-35.401528635744953</v>
      </c>
    </row>
    <row r="43" spans="1:21">
      <c r="A43" s="66">
        <v>24</v>
      </c>
      <c r="B43" s="64" t="s">
        <v>47</v>
      </c>
      <c r="E43" s="66">
        <v>24</v>
      </c>
      <c r="F43" s="64" t="s">
        <v>47</v>
      </c>
      <c r="I43" s="72">
        <f>I26+I32+I34+I35+I36+I42</f>
        <v>-3613.0177775585739</v>
      </c>
      <c r="J43" s="72">
        <f>J26+J32+J34+J35+J36+J42</f>
        <v>-5324.5577122661061</v>
      </c>
      <c r="K43" s="72">
        <f>K26+K32+K34+K35+K36+K42</f>
        <v>-6363.4446131615423</v>
      </c>
      <c r="L43" s="72">
        <f>L26+L32+L34+L35+L36+L42</f>
        <v>-6432.7037398879056</v>
      </c>
      <c r="M43" s="72">
        <f>M26+M32+M34+M35+M36+M42</f>
        <v>-7080.1716367085965</v>
      </c>
      <c r="N43" s="72">
        <f t="shared" ref="N43:T43" si="16">N26+N32+N34+N35+N36+N42</f>
        <v>-6918.6472620667992</v>
      </c>
      <c r="O43" s="72">
        <f t="shared" si="16"/>
        <v>-6889.3309601088895</v>
      </c>
      <c r="P43" s="72">
        <f t="shared" si="16"/>
        <v>-6980.4208983352528</v>
      </c>
      <c r="Q43" s="72">
        <f t="shared" si="16"/>
        <v>-12660.454402680347</v>
      </c>
      <c r="R43" s="72">
        <f t="shared" si="16"/>
        <v>-19767.563605905139</v>
      </c>
      <c r="S43" s="72">
        <f t="shared" si="16"/>
        <v>-20398.911108784421</v>
      </c>
      <c r="T43" s="72">
        <f t="shared" si="16"/>
        <v>-21047.010784211077</v>
      </c>
      <c r="U43" s="72">
        <f t="shared" ref="U43" si="17">U26+U32+U34+U35+U36+U42</f>
        <v>-17700.764317872476</v>
      </c>
    </row>
    <row r="44" spans="1:21">
      <c r="A44" s="66"/>
      <c r="E44" s="66"/>
      <c r="I44" s="70"/>
      <c r="J44" s="70"/>
      <c r="K44" s="70"/>
      <c r="L44" s="70"/>
      <c r="M44" s="70"/>
      <c r="N44" s="70"/>
      <c r="O44" s="70"/>
      <c r="P44" s="70"/>
      <c r="Q44" s="70"/>
      <c r="R44" s="70"/>
      <c r="S44" s="70"/>
      <c r="T44" s="70"/>
      <c r="U44" s="70"/>
    </row>
    <row r="45" spans="1:21">
      <c r="A45" s="66">
        <v>25</v>
      </c>
      <c r="B45" s="64" t="s">
        <v>46</v>
      </c>
      <c r="E45" s="66">
        <v>25</v>
      </c>
      <c r="F45" s="64" t="s">
        <v>46</v>
      </c>
      <c r="I45" s="70">
        <f>I17-I43</f>
        <v>0</v>
      </c>
      <c r="J45" s="70">
        <f>J17-J43</f>
        <v>0</v>
      </c>
      <c r="K45" s="70">
        <f>K17-K43</f>
        <v>0</v>
      </c>
      <c r="L45" s="70">
        <f>L17-L43</f>
        <v>0</v>
      </c>
      <c r="M45" s="70">
        <f>M17-M43</f>
        <v>0</v>
      </c>
      <c r="N45" s="70">
        <f t="shared" ref="N45:T45" si="18">N17-N43</f>
        <v>0</v>
      </c>
      <c r="O45" s="70">
        <f t="shared" si="18"/>
        <v>0</v>
      </c>
      <c r="P45" s="70">
        <f t="shared" si="18"/>
        <v>0</v>
      </c>
      <c r="Q45" s="70">
        <f t="shared" si="18"/>
        <v>0</v>
      </c>
      <c r="R45" s="70">
        <f t="shared" si="18"/>
        <v>0</v>
      </c>
      <c r="S45" s="70">
        <f t="shared" si="18"/>
        <v>0</v>
      </c>
      <c r="T45" s="70">
        <f t="shared" si="18"/>
        <v>0</v>
      </c>
      <c r="U45" s="70">
        <f t="shared" ref="U45" si="19">U17-U43</f>
        <v>0</v>
      </c>
    </row>
    <row r="46" spans="1:21">
      <c r="A46" s="66"/>
      <c r="E46" s="66"/>
      <c r="I46" s="70"/>
      <c r="J46" s="70"/>
      <c r="K46" s="70"/>
      <c r="L46" s="70"/>
      <c r="M46" s="70"/>
      <c r="N46" s="70"/>
      <c r="O46" s="70"/>
      <c r="P46" s="70"/>
      <c r="Q46" s="70"/>
      <c r="R46" s="70"/>
      <c r="S46" s="70"/>
      <c r="T46" s="70"/>
      <c r="U46" s="70"/>
    </row>
    <row r="47" spans="1:21">
      <c r="A47" s="66"/>
      <c r="B47" s="64" t="s">
        <v>45</v>
      </c>
      <c r="E47" s="66"/>
      <c r="F47" s="64" t="s">
        <v>45</v>
      </c>
      <c r="I47" s="70"/>
      <c r="J47" s="70"/>
      <c r="K47" s="70"/>
      <c r="L47" s="70"/>
      <c r="M47" s="70"/>
      <c r="N47" s="70"/>
      <c r="O47" s="70"/>
      <c r="P47" s="70"/>
      <c r="Q47" s="70"/>
      <c r="R47" s="70"/>
      <c r="S47" s="70"/>
      <c r="T47" s="70"/>
      <c r="U47" s="70"/>
    </row>
    <row r="48" spans="1:21">
      <c r="A48" s="66">
        <v>26</v>
      </c>
      <c r="B48" s="64" t="s">
        <v>89</v>
      </c>
      <c r="E48" s="66">
        <v>26</v>
      </c>
      <c r="F48" s="64" t="s">
        <v>89</v>
      </c>
      <c r="I48" s="70">
        <f>ROUND(0.35*I45,0)</f>
        <v>0</v>
      </c>
      <c r="J48" s="70">
        <f>ROUND(0.35*J45,0)</f>
        <v>0</v>
      </c>
      <c r="K48" s="70">
        <f>ROUND(0.35*K45,0)</f>
        <v>0</v>
      </c>
      <c r="L48" s="70">
        <f>ROUND(0.35*L45,0)</f>
        <v>0</v>
      </c>
      <c r="M48" s="70">
        <f>ROUND(0.35*M45,0)</f>
        <v>0</v>
      </c>
      <c r="N48" s="70">
        <f t="shared" ref="N48:T48" si="20">ROUND(0.35*N45,0)</f>
        <v>0</v>
      </c>
      <c r="O48" s="70">
        <f t="shared" si="20"/>
        <v>0</v>
      </c>
      <c r="P48" s="70">
        <f t="shared" si="20"/>
        <v>0</v>
      </c>
      <c r="Q48" s="70">
        <f t="shared" si="20"/>
        <v>0</v>
      </c>
      <c r="R48" s="70">
        <f t="shared" si="20"/>
        <v>0</v>
      </c>
      <c r="S48" s="70">
        <f t="shared" si="20"/>
        <v>0</v>
      </c>
      <c r="T48" s="70">
        <f t="shared" si="20"/>
        <v>0</v>
      </c>
      <c r="U48" s="70">
        <f t="shared" ref="U48" si="21">ROUND(0.35*U45,0)</f>
        <v>0</v>
      </c>
    </row>
    <row r="49" spans="1:21">
      <c r="A49" s="66">
        <v>27</v>
      </c>
      <c r="B49" s="64" t="s">
        <v>90</v>
      </c>
      <c r="E49" s="66">
        <v>27</v>
      </c>
      <c r="F49" s="64" t="s">
        <v>90</v>
      </c>
      <c r="I49" s="70"/>
      <c r="J49" s="70"/>
      <c r="K49" s="70"/>
      <c r="L49" s="70"/>
      <c r="M49" s="70"/>
      <c r="N49" s="70"/>
      <c r="O49" s="70"/>
      <c r="P49" s="70"/>
      <c r="Q49" s="70"/>
      <c r="R49" s="70"/>
      <c r="S49" s="70"/>
      <c r="T49" s="70"/>
      <c r="U49" s="70"/>
    </row>
    <row r="50" spans="1:21">
      <c r="A50" s="66">
        <v>28</v>
      </c>
      <c r="B50" s="64" t="s">
        <v>44</v>
      </c>
      <c r="E50" s="66">
        <v>28</v>
      </c>
      <c r="F50" s="64" t="s">
        <v>44</v>
      </c>
      <c r="I50" s="70"/>
      <c r="J50" s="70"/>
      <c r="K50" s="70"/>
      <c r="L50" s="70"/>
      <c r="M50" s="70"/>
      <c r="N50" s="70"/>
      <c r="O50" s="70"/>
      <c r="P50" s="70"/>
      <c r="Q50" s="70"/>
      <c r="R50" s="70"/>
      <c r="S50" s="70"/>
      <c r="T50" s="70"/>
      <c r="U50" s="70"/>
    </row>
    <row r="51" spans="1:21">
      <c r="A51" s="66">
        <v>29</v>
      </c>
      <c r="B51" s="64" t="s">
        <v>43</v>
      </c>
      <c r="E51" s="66">
        <v>29</v>
      </c>
      <c r="F51" s="64" t="s">
        <v>43</v>
      </c>
      <c r="I51" s="71"/>
      <c r="J51" s="71"/>
      <c r="K51" s="71"/>
      <c r="L51" s="71"/>
      <c r="M51" s="71"/>
      <c r="N51" s="71"/>
      <c r="O51" s="71"/>
      <c r="P51" s="71"/>
      <c r="Q51" s="71"/>
      <c r="R51" s="71"/>
      <c r="S51" s="71"/>
      <c r="T51" s="71"/>
      <c r="U51" s="71"/>
    </row>
    <row r="52" spans="1:21">
      <c r="A52" s="66"/>
      <c r="E52" s="66"/>
      <c r="I52" s="70"/>
      <c r="J52" s="70"/>
      <c r="K52" s="70"/>
      <c r="L52" s="70"/>
      <c r="M52" s="70"/>
      <c r="N52" s="70"/>
      <c r="O52" s="70"/>
      <c r="P52" s="70"/>
      <c r="Q52" s="70"/>
      <c r="R52" s="70"/>
      <c r="S52" s="70"/>
      <c r="T52" s="70"/>
      <c r="U52" s="70"/>
    </row>
    <row r="53" spans="1:21">
      <c r="A53" s="66">
        <v>30</v>
      </c>
      <c r="B53" s="64" t="s">
        <v>42</v>
      </c>
      <c r="E53" s="66">
        <v>30</v>
      </c>
      <c r="F53" s="64" t="s">
        <v>42</v>
      </c>
      <c r="I53" s="70">
        <f>I45-I48-I49-I50-I51</f>
        <v>0</v>
      </c>
      <c r="J53" s="70">
        <f>J45-J48-J49-J50-J51</f>
        <v>0</v>
      </c>
      <c r="K53" s="70">
        <f>K45-K48-K49-K50-K51</f>
        <v>0</v>
      </c>
      <c r="L53" s="70">
        <f>L45-L48-L49-L50-L51</f>
        <v>0</v>
      </c>
      <c r="M53" s="70">
        <f>M45-M48-M49-M50-M51</f>
        <v>0</v>
      </c>
      <c r="N53" s="70">
        <f t="shared" ref="N53:T53" si="22">N45-N48-N49-N50-N51</f>
        <v>0</v>
      </c>
      <c r="O53" s="70">
        <f t="shared" si="22"/>
        <v>0</v>
      </c>
      <c r="P53" s="70">
        <f t="shared" si="22"/>
        <v>0</v>
      </c>
      <c r="Q53" s="70">
        <f t="shared" si="22"/>
        <v>0</v>
      </c>
      <c r="R53" s="70">
        <f t="shared" si="22"/>
        <v>0</v>
      </c>
      <c r="S53" s="70">
        <f t="shared" si="22"/>
        <v>0</v>
      </c>
      <c r="T53" s="70">
        <f t="shared" si="22"/>
        <v>0</v>
      </c>
      <c r="U53" s="70">
        <f t="shared" ref="U53" si="23">U45-U48-U49-U50-U51</f>
        <v>0</v>
      </c>
    </row>
    <row r="54" spans="1:21">
      <c r="A54" s="66"/>
      <c r="E54" s="66"/>
    </row>
    <row r="55" spans="1:21">
      <c r="B55" s="64" t="s">
        <v>102</v>
      </c>
      <c r="F55" s="64" t="s">
        <v>226</v>
      </c>
    </row>
    <row r="56" spans="1:21">
      <c r="F56" s="64" t="s">
        <v>135</v>
      </c>
    </row>
    <row r="57" spans="1:21">
      <c r="F57" s="64" t="s">
        <v>317</v>
      </c>
    </row>
  </sheetData>
  <phoneticPr fontId="44" type="noConversion"/>
  <pageMargins left="0.7" right="0.7" top="0.33" bottom="0.5" header="0.17" footer="0.3"/>
  <pageSetup scale="75" orientation="landscape" r:id="rId1"/>
  <headerFooter>
    <oddFooter>&amp;C&amp;F/&amp;A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sheetPr>
  <dimension ref="A2:X58"/>
  <sheetViews>
    <sheetView topLeftCell="E1" workbookViewId="0">
      <selection activeCell="E1" sqref="E1"/>
    </sheetView>
  </sheetViews>
  <sheetFormatPr defaultColWidth="9.140625" defaultRowHeight="12.75"/>
  <cols>
    <col min="1" max="1" width="6.7109375" style="64" hidden="1" customWidth="1"/>
    <col min="2" max="2" width="3.42578125" style="64" hidden="1" customWidth="1"/>
    <col min="3" max="3" width="26.140625" style="64" hidden="1" customWidth="1"/>
    <col min="4" max="4" width="9" style="64" hidden="1" customWidth="1"/>
    <col min="5" max="5" width="6.7109375" style="64" customWidth="1"/>
    <col min="6" max="6" width="3.42578125" style="64" customWidth="1"/>
    <col min="7" max="7" width="26.140625" style="64" customWidth="1"/>
    <col min="8" max="8" width="9" style="64" bestFit="1" customWidth="1"/>
    <col min="9" max="12" width="7.5703125" style="64" bestFit="1" customWidth="1"/>
    <col min="13" max="15" width="7.5703125" style="83" bestFit="1" customWidth="1"/>
    <col min="16" max="20" width="7.5703125" style="64" bestFit="1" customWidth="1"/>
    <col min="21" max="22" width="9.140625" style="64"/>
    <col min="23" max="23" width="10.42578125" style="64" customWidth="1"/>
    <col min="24" max="16384" width="9.140625" style="64"/>
  </cols>
  <sheetData>
    <row r="2" spans="1:24">
      <c r="A2" s="64" t="s">
        <v>73</v>
      </c>
      <c r="E2" s="64" t="s">
        <v>73</v>
      </c>
    </row>
    <row r="3" spans="1:24">
      <c r="A3" s="64" t="s">
        <v>83</v>
      </c>
      <c r="E3" s="64" t="s">
        <v>83</v>
      </c>
    </row>
    <row r="4" spans="1:24">
      <c r="A4" s="64" t="s">
        <v>97</v>
      </c>
      <c r="E4" s="64" t="s">
        <v>134</v>
      </c>
    </row>
    <row r="5" spans="1:24">
      <c r="A5" s="64" t="s">
        <v>72</v>
      </c>
      <c r="E5" s="64" t="s">
        <v>72</v>
      </c>
    </row>
    <row r="7" spans="1:24">
      <c r="I7" s="65">
        <v>2000</v>
      </c>
      <c r="J7" s="65">
        <v>2001</v>
      </c>
      <c r="K7" s="65">
        <v>2002</v>
      </c>
      <c r="L7" s="65">
        <v>2003</v>
      </c>
      <c r="M7" s="242">
        <v>2004</v>
      </c>
      <c r="N7" s="251">
        <v>2005</v>
      </c>
      <c r="O7" s="242">
        <v>2006</v>
      </c>
      <c r="P7" s="65">
        <v>2007</v>
      </c>
      <c r="Q7" s="65">
        <v>2008</v>
      </c>
      <c r="R7" s="65">
        <v>2009</v>
      </c>
      <c r="S7" s="65">
        <v>2010</v>
      </c>
      <c r="T7" s="65">
        <v>2011</v>
      </c>
      <c r="U7" s="65">
        <v>2012</v>
      </c>
      <c r="V7" s="257" t="s">
        <v>345</v>
      </c>
      <c r="W7" s="257"/>
      <c r="X7" s="284"/>
    </row>
    <row r="8" spans="1:24">
      <c r="A8" s="66" t="s">
        <v>2</v>
      </c>
      <c r="E8" s="66" t="s">
        <v>2</v>
      </c>
      <c r="I8" s="66" t="s">
        <v>71</v>
      </c>
      <c r="J8" s="66" t="s">
        <v>71</v>
      </c>
      <c r="K8" s="66" t="s">
        <v>71</v>
      </c>
      <c r="L8" s="66" t="s">
        <v>71</v>
      </c>
      <c r="M8" s="243" t="s">
        <v>71</v>
      </c>
      <c r="N8" s="252" t="s">
        <v>71</v>
      </c>
      <c r="O8" s="243" t="s">
        <v>71</v>
      </c>
      <c r="P8" s="66" t="s">
        <v>71</v>
      </c>
      <c r="Q8" s="66" t="s">
        <v>71</v>
      </c>
      <c r="R8" s="66" t="s">
        <v>71</v>
      </c>
      <c r="S8" s="66" t="s">
        <v>71</v>
      </c>
      <c r="T8" s="66" t="s">
        <v>71</v>
      </c>
      <c r="U8" s="108" t="s">
        <v>71</v>
      </c>
      <c r="V8" s="248" t="s">
        <v>315</v>
      </c>
    </row>
    <row r="9" spans="1:24">
      <c r="A9" s="67" t="s">
        <v>69</v>
      </c>
      <c r="C9" s="68" t="s">
        <v>3</v>
      </c>
      <c r="D9" s="66" t="s">
        <v>98</v>
      </c>
      <c r="E9" s="67" t="s">
        <v>69</v>
      </c>
      <c r="G9" s="68" t="s">
        <v>3</v>
      </c>
      <c r="H9" s="66" t="s">
        <v>98</v>
      </c>
      <c r="I9" s="67" t="s">
        <v>99</v>
      </c>
      <c r="J9" s="67" t="s">
        <v>99</v>
      </c>
      <c r="K9" s="67" t="s">
        <v>99</v>
      </c>
      <c r="L9" s="67" t="s">
        <v>99</v>
      </c>
      <c r="M9" s="244" t="s">
        <v>99</v>
      </c>
      <c r="N9" s="253" t="s">
        <v>99</v>
      </c>
      <c r="O9" s="244" t="s">
        <v>99</v>
      </c>
      <c r="P9" s="67" t="s">
        <v>99</v>
      </c>
      <c r="Q9" s="67" t="s">
        <v>99</v>
      </c>
      <c r="R9" s="67" t="s">
        <v>99</v>
      </c>
      <c r="S9" s="67" t="s">
        <v>99</v>
      </c>
      <c r="T9" s="67" t="s">
        <v>99</v>
      </c>
      <c r="U9" s="67" t="s">
        <v>99</v>
      </c>
    </row>
    <row r="10" spans="1:24">
      <c r="A10" s="66"/>
      <c r="E10" s="66"/>
      <c r="I10" s="64" t="s">
        <v>101</v>
      </c>
      <c r="M10" s="241"/>
      <c r="O10" s="241"/>
    </row>
    <row r="11" spans="1:24">
      <c r="A11" s="66"/>
      <c r="B11" s="64" t="s">
        <v>66</v>
      </c>
      <c r="E11" s="66"/>
      <c r="F11" s="64" t="s">
        <v>66</v>
      </c>
      <c r="M11" s="241"/>
      <c r="O11" s="241"/>
    </row>
    <row r="12" spans="1:24">
      <c r="A12" s="66">
        <v>1</v>
      </c>
      <c r="B12" s="64" t="s">
        <v>65</v>
      </c>
      <c r="D12" s="69">
        <v>0.95509999999999995</v>
      </c>
      <c r="E12" s="66">
        <v>1</v>
      </c>
      <c r="F12" s="64" t="s">
        <v>65</v>
      </c>
      <c r="H12" s="180">
        <f>'2) ROR'!N20</f>
        <v>0.95294299999999998</v>
      </c>
      <c r="I12" s="70">
        <f>I24/$H12</f>
        <v>17465.892503539038</v>
      </c>
      <c r="J12" s="70">
        <f>J24/$H12</f>
        <v>1485.9230824928668</v>
      </c>
      <c r="K12" s="70">
        <f>K24/$H12</f>
        <v>7882.9478783096156</v>
      </c>
      <c r="L12" s="70">
        <f>L24/$H12</f>
        <v>6652.0243078547201</v>
      </c>
      <c r="M12" s="245">
        <f>M24/$H12</f>
        <v>7513.5658691023491</v>
      </c>
      <c r="N12" s="254">
        <f t="shared" ref="N12:T12" si="0">N24/$D12</f>
        <v>9829.3372421735949</v>
      </c>
      <c r="O12" s="245">
        <f t="shared" si="0"/>
        <v>10768.505915610931</v>
      </c>
      <c r="P12" s="70">
        <f t="shared" si="0"/>
        <v>5844.4141974662343</v>
      </c>
      <c r="Q12" s="70">
        <f t="shared" si="0"/>
        <v>3744.1105643388128</v>
      </c>
      <c r="R12" s="70">
        <f t="shared" si="0"/>
        <v>4193.2781907653653</v>
      </c>
      <c r="S12" s="70">
        <f t="shared" si="0"/>
        <v>6537.535336613967</v>
      </c>
      <c r="T12" s="70">
        <f t="shared" si="0"/>
        <v>4826.7197152130666</v>
      </c>
      <c r="U12" s="70">
        <f t="shared" ref="U12" si="1">U24/$D12</f>
        <v>8718.4588001256416</v>
      </c>
    </row>
    <row r="13" spans="1:24">
      <c r="A13" s="66">
        <v>2</v>
      </c>
      <c r="B13" s="64" t="s">
        <v>64</v>
      </c>
      <c r="E13" s="66">
        <v>2</v>
      </c>
      <c r="F13" s="64" t="s">
        <v>64</v>
      </c>
      <c r="H13" s="83"/>
      <c r="I13" s="70"/>
      <c r="J13" s="70"/>
      <c r="K13" s="70"/>
      <c r="L13" s="70"/>
      <c r="M13" s="245"/>
      <c r="N13" s="254"/>
      <c r="O13" s="245"/>
      <c r="P13" s="70"/>
      <c r="Q13" s="70"/>
      <c r="R13" s="70"/>
      <c r="S13" s="70"/>
      <c r="T13" s="70"/>
      <c r="U13" s="70"/>
    </row>
    <row r="14" spans="1:24">
      <c r="A14" s="66">
        <v>3</v>
      </c>
      <c r="B14" s="64" t="s">
        <v>63</v>
      </c>
      <c r="E14" s="66">
        <v>3</v>
      </c>
      <c r="F14" s="64" t="s">
        <v>63</v>
      </c>
      <c r="H14" s="83"/>
      <c r="I14" s="71"/>
      <c r="J14" s="71"/>
      <c r="K14" s="71"/>
      <c r="L14" s="71"/>
      <c r="M14" s="246"/>
      <c r="N14" s="255"/>
      <c r="O14" s="246"/>
      <c r="P14" s="71"/>
      <c r="Q14" s="71"/>
      <c r="R14" s="71"/>
      <c r="S14" s="71"/>
      <c r="T14" s="71"/>
      <c r="U14" s="71"/>
    </row>
    <row r="15" spans="1:24">
      <c r="A15" s="66">
        <v>4</v>
      </c>
      <c r="B15" s="64" t="s">
        <v>62</v>
      </c>
      <c r="E15" s="66">
        <v>4</v>
      </c>
      <c r="F15" s="64" t="s">
        <v>62</v>
      </c>
      <c r="H15" s="83"/>
      <c r="I15" s="70">
        <f>SUM(I12:I14)</f>
        <v>17465.892503539038</v>
      </c>
      <c r="J15" s="70">
        <f>SUM(J12:J14)</f>
        <v>1485.9230824928668</v>
      </c>
      <c r="K15" s="70">
        <f>SUM(K12:K14)</f>
        <v>7882.9478783096156</v>
      </c>
      <c r="L15" s="70">
        <f>SUM(L12:L14)</f>
        <v>6652.0243078547201</v>
      </c>
      <c r="M15" s="245">
        <f>SUM(M12:M14)</f>
        <v>7513.5658691023491</v>
      </c>
      <c r="N15" s="254">
        <f t="shared" ref="N15:T15" si="2">SUM(N12:N14)</f>
        <v>9829.3372421735949</v>
      </c>
      <c r="O15" s="245">
        <f t="shared" si="2"/>
        <v>10768.505915610931</v>
      </c>
      <c r="P15" s="70">
        <f t="shared" si="2"/>
        <v>5844.4141974662343</v>
      </c>
      <c r="Q15" s="70">
        <f t="shared" si="2"/>
        <v>3744.1105643388128</v>
      </c>
      <c r="R15" s="70">
        <f t="shared" si="2"/>
        <v>4193.2781907653653</v>
      </c>
      <c r="S15" s="70">
        <f t="shared" si="2"/>
        <v>6537.535336613967</v>
      </c>
      <c r="T15" s="70">
        <f t="shared" si="2"/>
        <v>4826.7197152130666</v>
      </c>
      <c r="U15" s="70">
        <f t="shared" ref="U15" si="3">SUM(U12:U14)</f>
        <v>8718.4588001256416</v>
      </c>
    </row>
    <row r="16" spans="1:24">
      <c r="A16" s="66">
        <v>5</v>
      </c>
      <c r="B16" s="64" t="s">
        <v>61</v>
      </c>
      <c r="E16" s="66">
        <v>5</v>
      </c>
      <c r="F16" s="64" t="s">
        <v>61</v>
      </c>
      <c r="H16" s="83"/>
      <c r="I16" s="71"/>
      <c r="J16" s="71"/>
      <c r="K16" s="71"/>
      <c r="L16" s="71"/>
      <c r="M16" s="246"/>
      <c r="N16" s="255"/>
      <c r="O16" s="246"/>
      <c r="P16" s="71"/>
      <c r="Q16" s="71"/>
      <c r="R16" s="71"/>
      <c r="S16" s="71"/>
      <c r="T16" s="71"/>
      <c r="U16" s="71"/>
    </row>
    <row r="17" spans="1:21">
      <c r="A17" s="66">
        <v>6</v>
      </c>
      <c r="B17" s="64" t="s">
        <v>60</v>
      </c>
      <c r="E17" s="66">
        <v>6</v>
      </c>
      <c r="F17" s="64" t="s">
        <v>60</v>
      </c>
      <c r="H17" s="83"/>
      <c r="I17" s="70">
        <f>I15+I16</f>
        <v>17465.892503539038</v>
      </c>
      <c r="J17" s="70">
        <f>J15+J16</f>
        <v>1485.9230824928668</v>
      </c>
      <c r="K17" s="70">
        <f>K15+K16</f>
        <v>7882.9478783096156</v>
      </c>
      <c r="L17" s="70">
        <f>L15+L16</f>
        <v>6652.0243078547201</v>
      </c>
      <c r="M17" s="245">
        <f>M15+M16</f>
        <v>7513.5658691023491</v>
      </c>
      <c r="N17" s="254">
        <f t="shared" ref="N17:T17" si="4">N15+N16</f>
        <v>9829.3372421735949</v>
      </c>
      <c r="O17" s="245">
        <f t="shared" si="4"/>
        <v>10768.505915610931</v>
      </c>
      <c r="P17" s="70">
        <f t="shared" si="4"/>
        <v>5844.4141974662343</v>
      </c>
      <c r="Q17" s="70">
        <f t="shared" si="4"/>
        <v>3744.1105643388128</v>
      </c>
      <c r="R17" s="70">
        <f t="shared" si="4"/>
        <v>4193.2781907653653</v>
      </c>
      <c r="S17" s="70">
        <f t="shared" si="4"/>
        <v>6537.535336613967</v>
      </c>
      <c r="T17" s="70">
        <f t="shared" si="4"/>
        <v>4826.7197152130666</v>
      </c>
      <c r="U17" s="70">
        <f t="shared" ref="U17" si="5">U15+U16</f>
        <v>8718.4588001256416</v>
      </c>
    </row>
    <row r="18" spans="1:21">
      <c r="A18" s="66"/>
      <c r="E18" s="66"/>
      <c r="H18" s="83"/>
      <c r="I18" s="70"/>
      <c r="J18" s="70"/>
      <c r="K18" s="70"/>
      <c r="L18" s="70"/>
      <c r="M18" s="245"/>
      <c r="N18" s="254"/>
      <c r="O18" s="245"/>
      <c r="P18" s="70"/>
      <c r="Q18" s="70"/>
      <c r="R18" s="70"/>
      <c r="S18" s="70"/>
      <c r="T18" s="70"/>
      <c r="U18" s="70"/>
    </row>
    <row r="19" spans="1:21">
      <c r="A19" s="66"/>
      <c r="B19" s="64" t="s">
        <v>59</v>
      </c>
      <c r="E19" s="66"/>
      <c r="F19" s="64" t="s">
        <v>59</v>
      </c>
      <c r="H19" s="83"/>
      <c r="I19" s="70"/>
      <c r="J19" s="70"/>
      <c r="K19" s="70"/>
      <c r="L19" s="70"/>
      <c r="M19" s="245"/>
      <c r="N19" s="254"/>
      <c r="O19" s="245"/>
      <c r="P19" s="70"/>
      <c r="Q19" s="70"/>
      <c r="R19" s="70"/>
      <c r="S19" s="70"/>
      <c r="T19" s="70"/>
      <c r="U19" s="70"/>
    </row>
    <row r="20" spans="1:21">
      <c r="A20" s="66"/>
      <c r="B20" s="64" t="s">
        <v>58</v>
      </c>
      <c r="E20" s="66"/>
      <c r="F20" s="64" t="s">
        <v>58</v>
      </c>
      <c r="H20" s="83"/>
      <c r="I20" s="70"/>
      <c r="J20" s="70"/>
      <c r="K20" s="70"/>
      <c r="L20" s="70"/>
      <c r="M20" s="245"/>
      <c r="N20" s="254"/>
      <c r="O20" s="245"/>
      <c r="P20" s="70"/>
      <c r="Q20" s="70"/>
      <c r="R20" s="70"/>
      <c r="S20" s="70"/>
      <c r="T20" s="70"/>
      <c r="U20" s="70"/>
    </row>
    <row r="21" spans="1:21">
      <c r="A21" s="66">
        <v>7</v>
      </c>
      <c r="C21" s="64" t="s">
        <v>50</v>
      </c>
      <c r="E21" s="66">
        <v>7</v>
      </c>
      <c r="G21" s="64" t="s">
        <v>50</v>
      </c>
      <c r="H21" s="83"/>
      <c r="I21" s="70"/>
      <c r="J21" s="70"/>
      <c r="K21" s="70"/>
      <c r="L21" s="70"/>
      <c r="M21" s="245"/>
      <c r="N21" s="254"/>
      <c r="O21" s="245"/>
      <c r="P21" s="70"/>
      <c r="Q21" s="70"/>
      <c r="R21" s="70"/>
      <c r="S21" s="70"/>
      <c r="T21" s="70"/>
      <c r="U21" s="70"/>
    </row>
    <row r="22" spans="1:21">
      <c r="A22" s="66">
        <v>8</v>
      </c>
      <c r="C22" s="64" t="s">
        <v>57</v>
      </c>
      <c r="E22" s="66">
        <v>8</v>
      </c>
      <c r="G22" s="64" t="s">
        <v>57</v>
      </c>
      <c r="H22" s="83"/>
      <c r="I22" s="70"/>
      <c r="J22" s="70"/>
      <c r="K22" s="70"/>
      <c r="L22" s="70"/>
      <c r="M22" s="245"/>
      <c r="N22" s="254"/>
      <c r="O22" s="245"/>
      <c r="P22" s="70"/>
      <c r="Q22" s="70"/>
      <c r="R22" s="70"/>
      <c r="S22" s="70"/>
      <c r="T22" s="70"/>
      <c r="U22" s="70"/>
    </row>
    <row r="23" spans="1:21">
      <c r="A23" s="66">
        <v>9</v>
      </c>
      <c r="C23" s="64" t="s">
        <v>86</v>
      </c>
      <c r="E23" s="66">
        <v>9</v>
      </c>
      <c r="G23" s="64" t="s">
        <v>86</v>
      </c>
      <c r="H23" s="83"/>
      <c r="I23" s="70"/>
      <c r="J23" s="70"/>
      <c r="K23" s="70"/>
      <c r="L23" s="70"/>
      <c r="M23" s="245"/>
      <c r="N23" s="254"/>
      <c r="O23" s="245"/>
      <c r="P23" s="70"/>
      <c r="Q23" s="70"/>
      <c r="R23" s="70"/>
      <c r="S23" s="70"/>
      <c r="T23" s="70"/>
      <c r="U23" s="70"/>
    </row>
    <row r="24" spans="1:21">
      <c r="A24" s="66">
        <v>10</v>
      </c>
      <c r="C24" s="64" t="s">
        <v>87</v>
      </c>
      <c r="E24" s="66">
        <v>10</v>
      </c>
      <c r="G24" s="64" t="s">
        <v>87</v>
      </c>
      <c r="H24" s="83"/>
      <c r="I24" s="70">
        <v>16644</v>
      </c>
      <c r="J24" s="70">
        <v>1416</v>
      </c>
      <c r="K24" s="70">
        <v>7512</v>
      </c>
      <c r="L24" s="70">
        <v>6339</v>
      </c>
      <c r="M24" s="245">
        <v>7160</v>
      </c>
      <c r="N24" s="254">
        <v>9388</v>
      </c>
      <c r="O24" s="245">
        <v>10285</v>
      </c>
      <c r="P24" s="70">
        <v>5582</v>
      </c>
      <c r="Q24" s="70">
        <v>3576</v>
      </c>
      <c r="R24" s="70">
        <v>4005</v>
      </c>
      <c r="S24" s="70">
        <v>6244</v>
      </c>
      <c r="T24" s="70">
        <f>4794-184</f>
        <v>4610</v>
      </c>
      <c r="U24" s="70">
        <f>8505-178</f>
        <v>8327</v>
      </c>
    </row>
    <row r="25" spans="1:21">
      <c r="A25" s="66">
        <v>11</v>
      </c>
      <c r="C25" s="64" t="s">
        <v>49</v>
      </c>
      <c r="E25" s="66">
        <v>11</v>
      </c>
      <c r="G25" s="64" t="s">
        <v>49</v>
      </c>
      <c r="H25" s="83"/>
      <c r="I25" s="71"/>
      <c r="J25" s="71"/>
      <c r="K25" s="71"/>
      <c r="L25" s="71"/>
      <c r="M25" s="246"/>
      <c r="N25" s="255"/>
      <c r="O25" s="246"/>
      <c r="P25" s="71"/>
      <c r="Q25" s="71"/>
      <c r="R25" s="71"/>
      <c r="S25" s="71"/>
      <c r="T25" s="71"/>
      <c r="U25" s="71"/>
    </row>
    <row r="26" spans="1:21">
      <c r="A26" s="66">
        <v>12</v>
      </c>
      <c r="B26" s="64" t="s">
        <v>56</v>
      </c>
      <c r="E26" s="66">
        <v>12</v>
      </c>
      <c r="F26" s="64" t="s">
        <v>56</v>
      </c>
      <c r="H26" s="83"/>
      <c r="I26" s="70">
        <f>SUM(I21:I25)</f>
        <v>16644</v>
      </c>
      <c r="J26" s="70">
        <f>SUM(J21:J25)</f>
        <v>1416</v>
      </c>
      <c r="K26" s="70">
        <f>SUM(K21:K25)</f>
        <v>7512</v>
      </c>
      <c r="L26" s="70">
        <f>SUM(L21:L25)</f>
        <v>6339</v>
      </c>
      <c r="M26" s="245">
        <f>SUM(M21:M25)</f>
        <v>7160</v>
      </c>
      <c r="N26" s="254">
        <f t="shared" ref="N26:T26" si="6">SUM(N21:N25)</f>
        <v>9388</v>
      </c>
      <c r="O26" s="245">
        <f t="shared" si="6"/>
        <v>10285</v>
      </c>
      <c r="P26" s="70">
        <f t="shared" si="6"/>
        <v>5582</v>
      </c>
      <c r="Q26" s="70">
        <f t="shared" si="6"/>
        <v>3576</v>
      </c>
      <c r="R26" s="70">
        <f t="shared" si="6"/>
        <v>4005</v>
      </c>
      <c r="S26" s="70">
        <f t="shared" si="6"/>
        <v>6244</v>
      </c>
      <c r="T26" s="70">
        <f t="shared" si="6"/>
        <v>4610</v>
      </c>
      <c r="U26" s="70">
        <f t="shared" ref="U26" si="7">SUM(U21:U25)</f>
        <v>8327</v>
      </c>
    </row>
    <row r="27" spans="1:21">
      <c r="A27" s="66"/>
      <c r="E27" s="66"/>
      <c r="H27" s="83"/>
      <c r="I27" s="70"/>
      <c r="J27" s="70"/>
      <c r="K27" s="70"/>
      <c r="L27" s="70"/>
      <c r="M27" s="245"/>
      <c r="N27" s="254"/>
      <c r="O27" s="245"/>
      <c r="P27" s="70"/>
      <c r="Q27" s="70"/>
      <c r="R27" s="70"/>
      <c r="S27" s="70"/>
      <c r="T27" s="70"/>
      <c r="U27" s="70"/>
    </row>
    <row r="28" spans="1:21">
      <c r="A28" s="66"/>
      <c r="B28" s="64" t="s">
        <v>36</v>
      </c>
      <c r="E28" s="66"/>
      <c r="F28" s="64" t="s">
        <v>36</v>
      </c>
      <c r="H28" s="83"/>
      <c r="I28" s="70"/>
      <c r="J28" s="70"/>
      <c r="K28" s="70"/>
      <c r="L28" s="70"/>
      <c r="M28" s="245"/>
      <c r="N28" s="254"/>
      <c r="O28" s="245"/>
      <c r="P28" s="70"/>
      <c r="Q28" s="70"/>
      <c r="R28" s="70"/>
      <c r="S28" s="70"/>
      <c r="T28" s="70"/>
      <c r="U28" s="70"/>
    </row>
    <row r="29" spans="1:21">
      <c r="A29" s="66">
        <v>13</v>
      </c>
      <c r="C29" s="64" t="s">
        <v>50</v>
      </c>
      <c r="E29" s="66">
        <v>13</v>
      </c>
      <c r="G29" s="64" t="s">
        <v>50</v>
      </c>
      <c r="H29" s="83"/>
      <c r="I29" s="70"/>
      <c r="J29" s="70"/>
      <c r="K29" s="70"/>
      <c r="L29" s="70"/>
      <c r="M29" s="245"/>
      <c r="N29" s="254"/>
      <c r="O29" s="245"/>
      <c r="P29" s="70"/>
      <c r="Q29" s="70"/>
      <c r="R29" s="70"/>
      <c r="S29" s="70"/>
      <c r="T29" s="70"/>
      <c r="U29" s="70"/>
    </row>
    <row r="30" spans="1:21">
      <c r="A30" s="66">
        <v>14</v>
      </c>
      <c r="C30" s="64" t="s">
        <v>88</v>
      </c>
      <c r="E30" s="66">
        <v>14</v>
      </c>
      <c r="G30" s="64" t="s">
        <v>88</v>
      </c>
      <c r="H30" s="83"/>
      <c r="I30" s="70"/>
      <c r="J30" s="70"/>
      <c r="K30" s="70"/>
      <c r="L30" s="70"/>
      <c r="M30" s="245"/>
      <c r="N30" s="254"/>
      <c r="O30" s="245"/>
      <c r="P30" s="70"/>
      <c r="Q30" s="70"/>
      <c r="R30" s="70"/>
      <c r="S30" s="70"/>
      <c r="T30" s="70"/>
      <c r="U30" s="70"/>
    </row>
    <row r="31" spans="1:21">
      <c r="A31" s="66">
        <v>15</v>
      </c>
      <c r="C31" s="64" t="s">
        <v>49</v>
      </c>
      <c r="D31" s="69">
        <v>3.8561999999999999E-2</v>
      </c>
      <c r="E31" s="66">
        <v>15</v>
      </c>
      <c r="G31" s="64" t="s">
        <v>49</v>
      </c>
      <c r="H31" s="180">
        <f>'2) ROR'!N16</f>
        <v>3.8478999999999999E-2</v>
      </c>
      <c r="I31" s="71">
        <f>I12*$H31</f>
        <v>672.0700776436787</v>
      </c>
      <c r="J31" s="71">
        <f>J12*$H31</f>
        <v>57.176834291243019</v>
      </c>
      <c r="K31" s="71">
        <f>K12*$H31</f>
        <v>303.3279514094757</v>
      </c>
      <c r="L31" s="71">
        <f>L12*$H31</f>
        <v>255.96324334194176</v>
      </c>
      <c r="M31" s="246">
        <f>M12*$H31</f>
        <v>289.11450107718929</v>
      </c>
      <c r="N31" s="255">
        <f t="shared" ref="N31:U31" si="8">N12*$D31</f>
        <v>379.03890273269815</v>
      </c>
      <c r="O31" s="246">
        <f t="shared" si="8"/>
        <v>415.25512511778874</v>
      </c>
      <c r="P31" s="71">
        <f t="shared" si="8"/>
        <v>225.37230028269292</v>
      </c>
      <c r="Q31" s="71">
        <f t="shared" si="8"/>
        <v>144.3803915820333</v>
      </c>
      <c r="R31" s="71">
        <f t="shared" si="8"/>
        <v>161.701193592294</v>
      </c>
      <c r="S31" s="71">
        <f t="shared" si="8"/>
        <v>252.10043765050779</v>
      </c>
      <c r="T31" s="71">
        <f t="shared" si="8"/>
        <v>186.12796565804626</v>
      </c>
      <c r="U31" s="71">
        <f t="shared" si="8"/>
        <v>336.20120825044501</v>
      </c>
    </row>
    <row r="32" spans="1:21">
      <c r="A32" s="66">
        <v>16</v>
      </c>
      <c r="B32" s="64" t="s">
        <v>55</v>
      </c>
      <c r="E32" s="66">
        <v>16</v>
      </c>
      <c r="F32" s="64" t="s">
        <v>55</v>
      </c>
      <c r="H32" s="83"/>
      <c r="I32" s="70">
        <f>SUM(I29:I31)</f>
        <v>672.0700776436787</v>
      </c>
      <c r="J32" s="70">
        <f>SUM(J29:J31)</f>
        <v>57.176834291243019</v>
      </c>
      <c r="K32" s="70">
        <f>SUM(K29:K31)</f>
        <v>303.3279514094757</v>
      </c>
      <c r="L32" s="70">
        <f>SUM(L29:L31)</f>
        <v>255.96324334194176</v>
      </c>
      <c r="M32" s="245">
        <f>SUM(M29:M31)</f>
        <v>289.11450107718929</v>
      </c>
      <c r="N32" s="254">
        <f t="shared" ref="N32:T32" si="9">SUM(N29:N31)</f>
        <v>379.03890273269815</v>
      </c>
      <c r="O32" s="245">
        <f t="shared" si="9"/>
        <v>415.25512511778874</v>
      </c>
      <c r="P32" s="70">
        <f t="shared" si="9"/>
        <v>225.37230028269292</v>
      </c>
      <c r="Q32" s="70">
        <f t="shared" si="9"/>
        <v>144.3803915820333</v>
      </c>
      <c r="R32" s="70">
        <f t="shared" si="9"/>
        <v>161.701193592294</v>
      </c>
      <c r="S32" s="70">
        <f t="shared" si="9"/>
        <v>252.10043765050779</v>
      </c>
      <c r="T32" s="70">
        <f t="shared" si="9"/>
        <v>186.12796565804626</v>
      </c>
      <c r="U32" s="70">
        <f t="shared" ref="U32" si="10">SUM(U29:U31)</f>
        <v>336.20120825044501</v>
      </c>
    </row>
    <row r="33" spans="1:21">
      <c r="A33" s="66"/>
      <c r="E33" s="66"/>
      <c r="H33" s="83"/>
      <c r="I33" s="70"/>
      <c r="J33" s="70"/>
      <c r="K33" s="70"/>
      <c r="L33" s="70"/>
      <c r="M33" s="245"/>
      <c r="N33" s="254"/>
      <c r="O33" s="245"/>
      <c r="P33" s="70"/>
      <c r="Q33" s="70"/>
      <c r="R33" s="70"/>
      <c r="S33" s="70"/>
      <c r="T33" s="70"/>
      <c r="U33" s="70"/>
    </row>
    <row r="34" spans="1:21">
      <c r="A34" s="66">
        <v>17</v>
      </c>
      <c r="B34" s="64" t="s">
        <v>54</v>
      </c>
      <c r="D34" s="69">
        <v>4.3379999999999998E-3</v>
      </c>
      <c r="E34" s="66">
        <v>17</v>
      </c>
      <c r="F34" s="64" t="s">
        <v>54</v>
      </c>
      <c r="H34" s="180">
        <f>'2) ROR'!N12</f>
        <v>6.5779999999999996E-3</v>
      </c>
      <c r="I34" s="70">
        <f>I12*$H34</f>
        <v>114.89064088827979</v>
      </c>
      <c r="J34" s="70">
        <f>J12*$H34</f>
        <v>9.7744020366380777</v>
      </c>
      <c r="K34" s="70">
        <f>K12*$H34</f>
        <v>51.85403114352065</v>
      </c>
      <c r="L34" s="70">
        <f>L12*$H34</f>
        <v>43.757015897068349</v>
      </c>
      <c r="M34" s="245">
        <f>M12*$H34</f>
        <v>49.424236286955249</v>
      </c>
      <c r="N34" s="254">
        <f t="shared" ref="N34:S34" si="11">N12*$D34</f>
        <v>42.639664956549055</v>
      </c>
      <c r="O34" s="245">
        <f t="shared" si="11"/>
        <v>46.713778661920216</v>
      </c>
      <c r="P34" s="70">
        <f t="shared" si="11"/>
        <v>25.353068788608525</v>
      </c>
      <c r="Q34" s="70">
        <f t="shared" si="11"/>
        <v>16.24195162810177</v>
      </c>
      <c r="R34" s="70">
        <f t="shared" si="11"/>
        <v>18.190440791540155</v>
      </c>
      <c r="S34" s="70">
        <f t="shared" si="11"/>
        <v>28.359828290231388</v>
      </c>
      <c r="T34" s="70">
        <f>T12*$D34</f>
        <v>20.938310124594281</v>
      </c>
      <c r="U34" s="70">
        <f>U12*$D34</f>
        <v>37.820674274945034</v>
      </c>
    </row>
    <row r="35" spans="1:21">
      <c r="A35" s="66">
        <v>18</v>
      </c>
      <c r="B35" s="64" t="s">
        <v>53</v>
      </c>
      <c r="E35" s="66">
        <v>18</v>
      </c>
      <c r="F35" s="64" t="s">
        <v>53</v>
      </c>
      <c r="H35" s="83"/>
      <c r="I35" s="70"/>
      <c r="J35" s="70"/>
      <c r="K35" s="70"/>
      <c r="L35" s="70"/>
      <c r="M35" s="245"/>
      <c r="N35" s="254"/>
      <c r="O35" s="245"/>
      <c r="P35" s="70"/>
      <c r="Q35" s="70"/>
      <c r="R35" s="70"/>
      <c r="S35" s="70"/>
      <c r="T35" s="70"/>
      <c r="U35" s="70"/>
    </row>
    <row r="36" spans="1:21">
      <c r="A36" s="66">
        <v>19</v>
      </c>
      <c r="B36" s="64" t="s">
        <v>52</v>
      </c>
      <c r="E36" s="66">
        <v>19</v>
      </c>
      <c r="F36" s="64" t="s">
        <v>52</v>
      </c>
      <c r="H36" s="83"/>
      <c r="I36" s="70"/>
      <c r="J36" s="70"/>
      <c r="K36" s="70"/>
      <c r="L36" s="70"/>
      <c r="M36" s="245"/>
      <c r="N36" s="254"/>
      <c r="O36" s="245"/>
      <c r="P36" s="70"/>
      <c r="Q36" s="70"/>
      <c r="R36" s="70"/>
      <c r="S36" s="70"/>
      <c r="T36" s="70"/>
      <c r="U36" s="70"/>
    </row>
    <row r="37" spans="1:21">
      <c r="A37" s="66"/>
      <c r="E37" s="66"/>
      <c r="H37" s="83"/>
      <c r="I37" s="70"/>
      <c r="J37" s="70"/>
      <c r="K37" s="70"/>
      <c r="L37" s="70"/>
      <c r="M37" s="245"/>
      <c r="N37" s="254"/>
      <c r="O37" s="245"/>
      <c r="P37" s="70"/>
      <c r="Q37" s="70"/>
      <c r="R37" s="70"/>
      <c r="S37" s="70"/>
      <c r="T37" s="70"/>
      <c r="U37" s="70"/>
    </row>
    <row r="38" spans="1:21">
      <c r="A38" s="66"/>
      <c r="B38" s="64" t="s">
        <v>51</v>
      </c>
      <c r="E38" s="66"/>
      <c r="F38" s="64" t="s">
        <v>51</v>
      </c>
      <c r="H38" s="83"/>
      <c r="I38" s="70"/>
      <c r="J38" s="70"/>
      <c r="K38" s="70"/>
      <c r="L38" s="70"/>
      <c r="M38" s="245"/>
      <c r="N38" s="254"/>
      <c r="O38" s="245"/>
      <c r="P38" s="70"/>
      <c r="Q38" s="70"/>
      <c r="R38" s="70"/>
      <c r="S38" s="70"/>
      <c r="T38" s="70"/>
      <c r="U38" s="70"/>
    </row>
    <row r="39" spans="1:21">
      <c r="A39" s="66">
        <v>20</v>
      </c>
      <c r="C39" s="64" t="s">
        <v>50</v>
      </c>
      <c r="D39" s="69">
        <v>2E-3</v>
      </c>
      <c r="E39" s="66">
        <v>20</v>
      </c>
      <c r="G39" s="64" t="s">
        <v>50</v>
      </c>
      <c r="H39" s="180">
        <f>'2) ROR'!N14</f>
        <v>2E-3</v>
      </c>
      <c r="I39" s="70">
        <f>I12*$H39</f>
        <v>34.931785007078076</v>
      </c>
      <c r="J39" s="70">
        <f>J12*$H39</f>
        <v>2.9718461649857337</v>
      </c>
      <c r="K39" s="70">
        <f>K12*$H39</f>
        <v>15.765895756619232</v>
      </c>
      <c r="L39" s="70">
        <f>L12*$H39</f>
        <v>13.304048615709441</v>
      </c>
      <c r="M39" s="245">
        <f>M12*$H39</f>
        <v>15.027131738204698</v>
      </c>
      <c r="N39" s="254">
        <f t="shared" ref="N39:T39" si="12">N12*$D39</f>
        <v>19.658674484347191</v>
      </c>
      <c r="O39" s="245">
        <f t="shared" si="12"/>
        <v>21.537011831221861</v>
      </c>
      <c r="P39" s="70">
        <f t="shared" si="12"/>
        <v>11.688828394932468</v>
      </c>
      <c r="Q39" s="70">
        <f t="shared" si="12"/>
        <v>7.4882211286776261</v>
      </c>
      <c r="R39" s="70">
        <f t="shared" si="12"/>
        <v>8.3865563815307311</v>
      </c>
      <c r="S39" s="70">
        <f t="shared" si="12"/>
        <v>13.075070673227934</v>
      </c>
      <c r="T39" s="70">
        <f t="shared" si="12"/>
        <v>9.6534394304261326</v>
      </c>
      <c r="U39" s="70">
        <f t="shared" ref="U39" si="13">U12*$D39</f>
        <v>17.436917600251284</v>
      </c>
    </row>
    <row r="40" spans="1:21">
      <c r="A40" s="66">
        <v>21</v>
      </c>
      <c r="C40" s="64" t="s">
        <v>88</v>
      </c>
      <c r="E40" s="66">
        <v>21</v>
      </c>
      <c r="G40" s="64" t="s">
        <v>88</v>
      </c>
      <c r="I40" s="70"/>
      <c r="J40" s="70"/>
      <c r="K40" s="70"/>
      <c r="L40" s="70"/>
      <c r="M40" s="245"/>
      <c r="N40" s="254"/>
      <c r="O40" s="245"/>
      <c r="P40" s="70"/>
      <c r="Q40" s="70"/>
      <c r="R40" s="70"/>
      <c r="S40" s="70"/>
      <c r="T40" s="70"/>
      <c r="U40" s="70"/>
    </row>
    <row r="41" spans="1:21">
      <c r="A41" s="66">
        <v>22</v>
      </c>
      <c r="C41" s="64" t="s">
        <v>49</v>
      </c>
      <c r="E41" s="66">
        <v>22</v>
      </c>
      <c r="G41" s="64" t="s">
        <v>49</v>
      </c>
      <c r="I41" s="71"/>
      <c r="J41" s="71"/>
      <c r="K41" s="71"/>
      <c r="L41" s="71"/>
      <c r="M41" s="246"/>
      <c r="N41" s="255"/>
      <c r="O41" s="246"/>
      <c r="P41" s="71"/>
      <c r="Q41" s="71"/>
      <c r="R41" s="71"/>
      <c r="S41" s="71"/>
      <c r="T41" s="71"/>
      <c r="U41" s="71"/>
    </row>
    <row r="42" spans="1:21">
      <c r="A42" s="66">
        <v>23</v>
      </c>
      <c r="B42" s="64" t="s">
        <v>48</v>
      </c>
      <c r="E42" s="66">
        <v>23</v>
      </c>
      <c r="F42" s="64" t="s">
        <v>48</v>
      </c>
      <c r="I42" s="72">
        <f>SUM(I39:I41)</f>
        <v>34.931785007078076</v>
      </c>
      <c r="J42" s="72">
        <f>SUM(J39:J41)</f>
        <v>2.9718461649857337</v>
      </c>
      <c r="K42" s="72">
        <f>SUM(K39:K41)</f>
        <v>15.765895756619232</v>
      </c>
      <c r="L42" s="72">
        <f>SUM(L39:L41)</f>
        <v>13.304048615709441</v>
      </c>
      <c r="M42" s="247">
        <f>SUM(M39:M41)</f>
        <v>15.027131738204698</v>
      </c>
      <c r="N42" s="256">
        <f t="shared" ref="N42:T42" si="14">SUM(N39:N41)</f>
        <v>19.658674484347191</v>
      </c>
      <c r="O42" s="247">
        <f t="shared" si="14"/>
        <v>21.537011831221861</v>
      </c>
      <c r="P42" s="72">
        <f t="shared" si="14"/>
        <v>11.688828394932468</v>
      </c>
      <c r="Q42" s="72">
        <f t="shared" si="14"/>
        <v>7.4882211286776261</v>
      </c>
      <c r="R42" s="72">
        <f t="shared" si="14"/>
        <v>8.3865563815307311</v>
      </c>
      <c r="S42" s="72">
        <f t="shared" si="14"/>
        <v>13.075070673227934</v>
      </c>
      <c r="T42" s="72">
        <f t="shared" si="14"/>
        <v>9.6534394304261326</v>
      </c>
      <c r="U42" s="72">
        <f t="shared" ref="U42" si="15">SUM(U39:U41)</f>
        <v>17.436917600251284</v>
      </c>
    </row>
    <row r="43" spans="1:21">
      <c r="A43" s="66">
        <v>24</v>
      </c>
      <c r="B43" s="64" t="s">
        <v>47</v>
      </c>
      <c r="E43" s="66">
        <v>24</v>
      </c>
      <c r="F43" s="64" t="s">
        <v>47</v>
      </c>
      <c r="I43" s="72">
        <f>I26+I32+I34+I35+I36+I42</f>
        <v>17465.892503539035</v>
      </c>
      <c r="J43" s="72">
        <f>J26+J32+J34+J35+J36+J42</f>
        <v>1485.9230824928668</v>
      </c>
      <c r="K43" s="72">
        <f>K26+K32+K34+K35+K36+K42</f>
        <v>7882.9478783096156</v>
      </c>
      <c r="L43" s="72">
        <f>L26+L32+L34+L35+L36+L42</f>
        <v>6652.0243078547201</v>
      </c>
      <c r="M43" s="247">
        <f>M26+M32+M34+M35+M36+M42</f>
        <v>7513.5658691023491</v>
      </c>
      <c r="N43" s="256">
        <f t="shared" ref="N43:S43" si="16">N26+N32+N34+N35+N36+N42</f>
        <v>9829.3372421735949</v>
      </c>
      <c r="O43" s="247">
        <f t="shared" si="16"/>
        <v>10768.505915610931</v>
      </c>
      <c r="P43" s="72">
        <f t="shared" si="16"/>
        <v>5844.4141974662343</v>
      </c>
      <c r="Q43" s="72">
        <f t="shared" si="16"/>
        <v>3744.1105643388123</v>
      </c>
      <c r="R43" s="72">
        <f t="shared" si="16"/>
        <v>4193.2781907653643</v>
      </c>
      <c r="S43" s="72">
        <f t="shared" si="16"/>
        <v>6537.535336613967</v>
      </c>
      <c r="T43" s="72">
        <f>T26+T32+T34+T35+T36+T42</f>
        <v>4826.7197152130666</v>
      </c>
      <c r="U43" s="72">
        <f>U26+U32+U34+U35+U36+U42</f>
        <v>8718.4588001256398</v>
      </c>
    </row>
    <row r="44" spans="1:21">
      <c r="A44" s="66"/>
      <c r="E44" s="66"/>
      <c r="I44" s="70"/>
      <c r="J44" s="70"/>
      <c r="K44" s="70"/>
      <c r="L44" s="70"/>
      <c r="M44" s="245"/>
      <c r="N44" s="254"/>
      <c r="O44" s="245"/>
      <c r="P44" s="70"/>
      <c r="Q44" s="70"/>
      <c r="R44" s="70"/>
      <c r="S44" s="70"/>
      <c r="T44" s="70"/>
      <c r="U44" s="70"/>
    </row>
    <row r="45" spans="1:21">
      <c r="A45" s="66">
        <v>25</v>
      </c>
      <c r="B45" s="64" t="s">
        <v>46</v>
      </c>
      <c r="E45" s="66">
        <v>25</v>
      </c>
      <c r="F45" s="64" t="s">
        <v>46</v>
      </c>
      <c r="I45" s="70">
        <f>I17-I43</f>
        <v>0</v>
      </c>
      <c r="J45" s="70">
        <f>J17-J43</f>
        <v>0</v>
      </c>
      <c r="K45" s="70">
        <f>K17-K43</f>
        <v>0</v>
      </c>
      <c r="L45" s="70">
        <f>L17-L43</f>
        <v>0</v>
      </c>
      <c r="M45" s="245">
        <f>M17-M43</f>
        <v>0</v>
      </c>
      <c r="N45" s="254">
        <f t="shared" ref="N45:T45" si="17">N17-N43</f>
        <v>0</v>
      </c>
      <c r="O45" s="245">
        <f t="shared" si="17"/>
        <v>0</v>
      </c>
      <c r="P45" s="70">
        <f t="shared" si="17"/>
        <v>0</v>
      </c>
      <c r="Q45" s="70">
        <f t="shared" si="17"/>
        <v>0</v>
      </c>
      <c r="R45" s="70">
        <f t="shared" si="17"/>
        <v>0</v>
      </c>
      <c r="S45" s="70">
        <f t="shared" si="17"/>
        <v>0</v>
      </c>
      <c r="T45" s="70">
        <f t="shared" si="17"/>
        <v>0</v>
      </c>
      <c r="U45" s="70">
        <f t="shared" ref="U45" si="18">U17-U43</f>
        <v>0</v>
      </c>
    </row>
    <row r="46" spans="1:21">
      <c r="A46" s="66"/>
      <c r="E46" s="66"/>
      <c r="I46" s="70"/>
      <c r="J46" s="70"/>
      <c r="K46" s="70"/>
      <c r="L46" s="70"/>
      <c r="M46" s="245"/>
      <c r="N46" s="254"/>
      <c r="O46" s="245"/>
      <c r="P46" s="70"/>
      <c r="Q46" s="70"/>
      <c r="R46" s="70"/>
      <c r="S46" s="70"/>
      <c r="T46" s="70"/>
      <c r="U46" s="70"/>
    </row>
    <row r="47" spans="1:21">
      <c r="A47" s="66"/>
      <c r="B47" s="64" t="s">
        <v>45</v>
      </c>
      <c r="E47" s="66"/>
      <c r="F47" s="64" t="s">
        <v>45</v>
      </c>
      <c r="I47" s="70"/>
      <c r="J47" s="70"/>
      <c r="K47" s="70"/>
      <c r="L47" s="70"/>
      <c r="M47" s="245"/>
      <c r="N47" s="254"/>
      <c r="O47" s="245"/>
      <c r="P47" s="70"/>
      <c r="Q47" s="70"/>
      <c r="R47" s="70"/>
      <c r="S47" s="70"/>
      <c r="T47" s="70"/>
      <c r="U47" s="70"/>
    </row>
    <row r="48" spans="1:21">
      <c r="A48" s="66">
        <v>26</v>
      </c>
      <c r="B48" s="64" t="s">
        <v>89</v>
      </c>
      <c r="E48" s="66">
        <v>26</v>
      </c>
      <c r="F48" s="64" t="s">
        <v>89</v>
      </c>
      <c r="I48" s="70">
        <f>ROUND(0.35*I45,0)</f>
        <v>0</v>
      </c>
      <c r="J48" s="70">
        <f>ROUND(0.35*J45,0)</f>
        <v>0</v>
      </c>
      <c r="K48" s="70">
        <f>ROUND(0.35*K45,0)</f>
        <v>0</v>
      </c>
      <c r="L48" s="70">
        <f>ROUND(0.35*L45,0)</f>
        <v>0</v>
      </c>
      <c r="M48" s="245">
        <f>ROUND(0.35*M45,0)</f>
        <v>0</v>
      </c>
      <c r="N48" s="254">
        <f t="shared" ref="N48:T48" si="19">ROUND(0.35*N45,0)</f>
        <v>0</v>
      </c>
      <c r="O48" s="245">
        <f t="shared" si="19"/>
        <v>0</v>
      </c>
      <c r="P48" s="70">
        <f t="shared" si="19"/>
        <v>0</v>
      </c>
      <c r="Q48" s="70">
        <f t="shared" si="19"/>
        <v>0</v>
      </c>
      <c r="R48" s="70">
        <f t="shared" si="19"/>
        <v>0</v>
      </c>
      <c r="S48" s="70">
        <f t="shared" si="19"/>
        <v>0</v>
      </c>
      <c r="T48" s="70">
        <f t="shared" si="19"/>
        <v>0</v>
      </c>
      <c r="U48" s="70">
        <f t="shared" ref="U48" si="20">ROUND(0.35*U45,0)</f>
        <v>0</v>
      </c>
    </row>
    <row r="49" spans="1:21">
      <c r="A49" s="66">
        <v>27</v>
      </c>
      <c r="B49" s="64" t="s">
        <v>90</v>
      </c>
      <c r="E49" s="66">
        <v>27</v>
      </c>
      <c r="F49" s="64" t="s">
        <v>90</v>
      </c>
      <c r="I49" s="70"/>
      <c r="J49" s="70"/>
      <c r="K49" s="70"/>
      <c r="L49" s="70"/>
      <c r="M49" s="245"/>
      <c r="N49" s="254"/>
      <c r="O49" s="245"/>
      <c r="P49" s="70"/>
      <c r="Q49" s="70"/>
      <c r="R49" s="70"/>
      <c r="S49" s="70"/>
      <c r="T49" s="70"/>
      <c r="U49" s="70"/>
    </row>
    <row r="50" spans="1:21">
      <c r="A50" s="66">
        <v>28</v>
      </c>
      <c r="B50" s="64" t="s">
        <v>44</v>
      </c>
      <c r="E50" s="66">
        <v>28</v>
      </c>
      <c r="F50" s="64" t="s">
        <v>44</v>
      </c>
      <c r="I50" s="70"/>
      <c r="J50" s="70"/>
      <c r="K50" s="70"/>
      <c r="L50" s="70"/>
      <c r="M50" s="245"/>
      <c r="N50" s="254"/>
      <c r="O50" s="245"/>
      <c r="P50" s="70"/>
      <c r="Q50" s="70"/>
      <c r="R50" s="70"/>
      <c r="S50" s="70"/>
      <c r="T50" s="70"/>
      <c r="U50" s="70"/>
    </row>
    <row r="51" spans="1:21">
      <c r="A51" s="66">
        <v>29</v>
      </c>
      <c r="B51" s="64" t="s">
        <v>43</v>
      </c>
      <c r="E51" s="66">
        <v>29</v>
      </c>
      <c r="F51" s="64" t="s">
        <v>43</v>
      </c>
      <c r="I51" s="71"/>
      <c r="J51" s="71"/>
      <c r="K51" s="71"/>
      <c r="L51" s="71"/>
      <c r="M51" s="246"/>
      <c r="N51" s="255"/>
      <c r="O51" s="246"/>
      <c r="P51" s="71"/>
      <c r="Q51" s="71"/>
      <c r="R51" s="71"/>
      <c r="S51" s="71"/>
      <c r="T51" s="71"/>
      <c r="U51" s="71"/>
    </row>
    <row r="52" spans="1:21">
      <c r="A52" s="66"/>
      <c r="E52" s="66"/>
      <c r="I52" s="70"/>
      <c r="J52" s="70"/>
      <c r="K52" s="70"/>
      <c r="L52" s="70"/>
      <c r="M52" s="245"/>
      <c r="N52" s="254"/>
      <c r="O52" s="245"/>
      <c r="P52" s="70"/>
      <c r="Q52" s="70"/>
      <c r="R52" s="70"/>
      <c r="S52" s="70"/>
      <c r="T52" s="70"/>
      <c r="U52" s="70"/>
    </row>
    <row r="53" spans="1:21">
      <c r="A53" s="66">
        <v>30</v>
      </c>
      <c r="B53" s="64" t="s">
        <v>42</v>
      </c>
      <c r="E53" s="66">
        <v>30</v>
      </c>
      <c r="F53" s="64" t="s">
        <v>42</v>
      </c>
      <c r="I53" s="70">
        <f>I45-I48-I49-I50-I51</f>
        <v>0</v>
      </c>
      <c r="J53" s="70">
        <f>J45-J48-J49-J50-J51</f>
        <v>0</v>
      </c>
      <c r="K53" s="70">
        <f>K45-K48-K49-K50-K51</f>
        <v>0</v>
      </c>
      <c r="L53" s="70">
        <f>L45-L48-L49-L50-L51</f>
        <v>0</v>
      </c>
      <c r="M53" s="245">
        <f>M45-M48-M49-M50-M51</f>
        <v>0</v>
      </c>
      <c r="N53" s="254">
        <f t="shared" ref="N53:T53" si="21">N45-N48-N49-N50-N51</f>
        <v>0</v>
      </c>
      <c r="O53" s="245">
        <f t="shared" si="21"/>
        <v>0</v>
      </c>
      <c r="P53" s="70">
        <f t="shared" si="21"/>
        <v>0</v>
      </c>
      <c r="Q53" s="70">
        <f t="shared" si="21"/>
        <v>0</v>
      </c>
      <c r="R53" s="70">
        <f t="shared" si="21"/>
        <v>0</v>
      </c>
      <c r="S53" s="70">
        <f t="shared" si="21"/>
        <v>0</v>
      </c>
      <c r="T53" s="70">
        <f t="shared" si="21"/>
        <v>0</v>
      </c>
      <c r="U53" s="70">
        <f t="shared" ref="U53" si="22">U45-U48-U49-U50-U51</f>
        <v>0</v>
      </c>
    </row>
    <row r="54" spans="1:21">
      <c r="A54" s="66"/>
      <c r="E54" s="66"/>
    </row>
    <row r="55" spans="1:21">
      <c r="B55" s="64" t="s">
        <v>102</v>
      </c>
      <c r="F55" s="64" t="s">
        <v>314</v>
      </c>
    </row>
    <row r="56" spans="1:21">
      <c r="F56" s="64" t="s">
        <v>138</v>
      </c>
    </row>
    <row r="57" spans="1:21">
      <c r="F57" s="64" t="s">
        <v>136</v>
      </c>
    </row>
    <row r="58" spans="1:21">
      <c r="F58" s="64" t="s">
        <v>316</v>
      </c>
    </row>
  </sheetData>
  <phoneticPr fontId="44" type="noConversion"/>
  <pageMargins left="0.7" right="0.7" top="0.19" bottom="0.5" header="0.17" footer="0.3"/>
  <pageSetup scale="75" orientation="landscape" cellComments="asDisplayed" r:id="rId1"/>
  <headerFooter>
    <oddFooter>&amp;C&amp;F / &amp;A</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6"/>
  </sheetPr>
  <dimension ref="A1:V84"/>
  <sheetViews>
    <sheetView view="pageBreakPreview" zoomScaleNormal="100" zoomScaleSheetLayoutView="100" workbookViewId="0"/>
  </sheetViews>
  <sheetFormatPr defaultColWidth="10.7109375" defaultRowHeight="12.75"/>
  <cols>
    <col min="1" max="1" width="4.7109375" style="6" customWidth="1"/>
    <col min="2" max="3" width="1.7109375" style="3" customWidth="1"/>
    <col min="4" max="4" width="21.85546875" style="3" customWidth="1"/>
    <col min="5" max="5" width="3" style="154" customWidth="1"/>
    <col min="6" max="6" width="10.7109375" style="4" customWidth="1"/>
    <col min="7" max="7" width="10.7109375" style="5" customWidth="1"/>
    <col min="8" max="10" width="10.7109375" style="3" customWidth="1"/>
    <col min="11" max="11" width="10.7109375" style="4" customWidth="1"/>
    <col min="12" max="13" width="10.7109375" style="3" customWidth="1"/>
    <col min="14" max="14" width="10.7109375" style="154" customWidth="1"/>
    <col min="15" max="15" width="10.7109375" style="4" customWidth="1"/>
    <col min="16" max="16" width="10.7109375" style="3" customWidth="1"/>
    <col min="17" max="16384" width="10.7109375" style="3"/>
  </cols>
  <sheetData>
    <row r="1" spans="1:21">
      <c r="A1" s="28" t="s">
        <v>73</v>
      </c>
      <c r="D1" s="6"/>
    </row>
    <row r="2" spans="1:21">
      <c r="A2" s="28" t="s">
        <v>83</v>
      </c>
      <c r="D2" s="6"/>
    </row>
    <row r="3" spans="1:21">
      <c r="A3" s="28" t="s">
        <v>210</v>
      </c>
      <c r="D3" s="6"/>
      <c r="H3" s="4" t="s">
        <v>211</v>
      </c>
    </row>
    <row r="4" spans="1:21">
      <c r="A4" s="28" t="s">
        <v>72</v>
      </c>
      <c r="D4" s="6"/>
      <c r="K4" s="15"/>
      <c r="U4" s="416"/>
    </row>
    <row r="5" spans="1:21" s="14" customFormat="1">
      <c r="A5" s="17"/>
      <c r="D5" s="17"/>
      <c r="E5" s="154"/>
      <c r="F5" s="15"/>
      <c r="G5" s="16"/>
      <c r="K5" s="15"/>
      <c r="O5" s="15"/>
      <c r="U5" s="416"/>
    </row>
    <row r="6" spans="1:21" s="14" customFormat="1" ht="12" customHeight="1">
      <c r="A6" s="26"/>
      <c r="B6" s="25"/>
      <c r="C6" s="24"/>
      <c r="D6" s="24"/>
      <c r="E6" s="154"/>
      <c r="F6" s="23"/>
      <c r="G6" s="16"/>
      <c r="K6" s="23"/>
      <c r="O6" s="23"/>
      <c r="U6" s="688">
        <v>42369</v>
      </c>
    </row>
    <row r="7" spans="1:21" s="14" customFormat="1">
      <c r="A7" s="22" t="s">
        <v>2</v>
      </c>
      <c r="B7" s="21"/>
      <c r="C7" s="16"/>
      <c r="D7" s="16"/>
      <c r="E7" s="154"/>
      <c r="F7" s="15"/>
      <c r="G7" s="16"/>
      <c r="K7" s="15"/>
      <c r="O7" s="15"/>
      <c r="T7" s="63"/>
      <c r="U7" s="63" t="s">
        <v>354</v>
      </c>
    </row>
    <row r="8" spans="1:21" s="14" customFormat="1">
      <c r="A8" s="20" t="s">
        <v>69</v>
      </c>
      <c r="B8" s="19"/>
      <c r="C8" s="18"/>
      <c r="D8" s="18" t="s">
        <v>3</v>
      </c>
      <c r="E8" s="154"/>
      <c r="F8" s="155" t="s">
        <v>212</v>
      </c>
      <c r="G8" s="155" t="s">
        <v>213</v>
      </c>
      <c r="H8" s="155" t="s">
        <v>214</v>
      </c>
      <c r="I8" s="155" t="s">
        <v>215</v>
      </c>
      <c r="J8" s="155" t="s">
        <v>216</v>
      </c>
      <c r="K8" s="155" t="s">
        <v>217</v>
      </c>
      <c r="L8" s="155" t="s">
        <v>218</v>
      </c>
      <c r="M8" s="155" t="s">
        <v>219</v>
      </c>
      <c r="N8" s="155" t="s">
        <v>220</v>
      </c>
      <c r="O8" s="155" t="s">
        <v>221</v>
      </c>
      <c r="P8" s="155" t="s">
        <v>222</v>
      </c>
      <c r="Q8" s="155" t="s">
        <v>223</v>
      </c>
      <c r="R8" s="155" t="s">
        <v>224</v>
      </c>
      <c r="S8" s="155" t="s">
        <v>307</v>
      </c>
      <c r="T8" s="155" t="s">
        <v>346</v>
      </c>
      <c r="U8" s="155" t="s">
        <v>522</v>
      </c>
    </row>
    <row r="9" spans="1:21" s="52" customFormat="1">
      <c r="B9" s="53" t="s">
        <v>84</v>
      </c>
      <c r="E9" s="154"/>
      <c r="F9" s="55"/>
      <c r="G9" s="56"/>
      <c r="K9" s="54"/>
      <c r="O9" s="55"/>
    </row>
    <row r="10" spans="1:21" s="52" customFormat="1">
      <c r="B10" s="53" t="s">
        <v>85</v>
      </c>
      <c r="E10" s="154"/>
      <c r="F10" s="55"/>
      <c r="G10" s="56"/>
      <c r="K10" s="54"/>
      <c r="O10" s="55"/>
    </row>
    <row r="11" spans="1:21" s="52" customFormat="1">
      <c r="B11" s="53"/>
      <c r="E11" s="154"/>
      <c r="F11" s="55"/>
      <c r="G11" s="56"/>
      <c r="K11" s="54"/>
      <c r="O11" s="55"/>
    </row>
    <row r="12" spans="1:21">
      <c r="B12" s="3" t="s">
        <v>66</v>
      </c>
    </row>
    <row r="13" spans="1:21" s="9" customFormat="1">
      <c r="A13" s="8">
        <v>1</v>
      </c>
      <c r="B13" s="9" t="s">
        <v>65</v>
      </c>
      <c r="E13" s="154"/>
      <c r="F13" s="156">
        <v>242529</v>
      </c>
      <c r="G13" s="156">
        <v>258201</v>
      </c>
      <c r="H13" s="156">
        <v>273318</v>
      </c>
      <c r="I13" s="156">
        <v>283356</v>
      </c>
      <c r="J13" s="156">
        <v>285399</v>
      </c>
      <c r="K13" s="156">
        <v>289216</v>
      </c>
      <c r="L13" s="156">
        <v>321929</v>
      </c>
      <c r="M13" s="156">
        <v>326335</v>
      </c>
      <c r="N13" s="156">
        <v>365425</v>
      </c>
      <c r="O13" s="156">
        <v>402618</v>
      </c>
      <c r="P13" s="156">
        <v>415739.9703632</v>
      </c>
      <c r="Q13" s="156">
        <v>451837</v>
      </c>
      <c r="R13" s="156">
        <v>460195</v>
      </c>
      <c r="S13" s="156">
        <v>468006</v>
      </c>
      <c r="T13" s="156">
        <v>488372</v>
      </c>
      <c r="U13" s="156">
        <v>497229</v>
      </c>
    </row>
    <row r="14" spans="1:21" s="11" customFormat="1">
      <c r="A14" s="8">
        <v>2</v>
      </c>
      <c r="B14" s="11" t="s">
        <v>64</v>
      </c>
      <c r="E14" s="154"/>
      <c r="F14" s="157">
        <v>546</v>
      </c>
      <c r="G14" s="157">
        <v>528</v>
      </c>
      <c r="H14" s="157">
        <v>791</v>
      </c>
      <c r="I14" s="157">
        <v>752</v>
      </c>
      <c r="J14" s="157">
        <v>752</v>
      </c>
      <c r="K14" s="157">
        <v>713</v>
      </c>
      <c r="L14" s="157">
        <v>733</v>
      </c>
      <c r="M14" s="157">
        <v>739</v>
      </c>
      <c r="N14" s="157">
        <v>820</v>
      </c>
      <c r="O14" s="157">
        <v>871.54909999999995</v>
      </c>
      <c r="P14" s="157">
        <v>790</v>
      </c>
      <c r="Q14" s="157">
        <v>820</v>
      </c>
      <c r="R14" s="157">
        <v>-113</v>
      </c>
      <c r="S14" s="157">
        <v>884</v>
      </c>
      <c r="T14" s="157">
        <v>922</v>
      </c>
      <c r="U14" s="157">
        <v>928</v>
      </c>
    </row>
    <row r="15" spans="1:21" s="11" customFormat="1">
      <c r="A15" s="8">
        <v>3</v>
      </c>
      <c r="B15" s="11" t="s">
        <v>63</v>
      </c>
      <c r="E15" s="154"/>
      <c r="F15" s="158">
        <v>137117</v>
      </c>
      <c r="G15" s="158">
        <v>91388</v>
      </c>
      <c r="H15" s="158">
        <v>29918</v>
      </c>
      <c r="I15" s="158">
        <v>35252</v>
      </c>
      <c r="J15" s="158">
        <v>40460</v>
      </c>
      <c r="K15" s="158">
        <v>44718</v>
      </c>
      <c r="L15" s="158">
        <v>35380</v>
      </c>
      <c r="M15" s="158">
        <v>34954</v>
      </c>
      <c r="N15" s="158">
        <v>46848</v>
      </c>
      <c r="O15" s="158">
        <v>31491</v>
      </c>
      <c r="P15" s="158">
        <v>133479</v>
      </c>
      <c r="Q15" s="158">
        <v>52604</v>
      </c>
      <c r="R15" s="158">
        <v>54549</v>
      </c>
      <c r="S15" s="158">
        <v>75349</v>
      </c>
      <c r="T15" s="158">
        <v>60998</v>
      </c>
      <c r="U15" s="689">
        <v>49505</v>
      </c>
    </row>
    <row r="16" spans="1:21" s="11" customFormat="1">
      <c r="A16" s="8">
        <v>4</v>
      </c>
      <c r="B16" s="11" t="s">
        <v>62</v>
      </c>
      <c r="E16" s="154"/>
      <c r="F16" s="159">
        <v>380192</v>
      </c>
      <c r="G16" s="159">
        <v>350117</v>
      </c>
      <c r="H16" s="159">
        <v>304027</v>
      </c>
      <c r="I16" s="159">
        <v>319360</v>
      </c>
      <c r="J16" s="159">
        <v>326611</v>
      </c>
      <c r="K16" s="159">
        <v>334647</v>
      </c>
      <c r="L16" s="159">
        <v>358042</v>
      </c>
      <c r="M16" s="159">
        <v>362028</v>
      </c>
      <c r="N16" s="159">
        <v>413093</v>
      </c>
      <c r="O16" s="159">
        <v>434980.5491</v>
      </c>
      <c r="P16" s="159">
        <v>550008.97036319994</v>
      </c>
      <c r="Q16" s="159">
        <v>505261</v>
      </c>
      <c r="R16" s="159">
        <v>514631</v>
      </c>
      <c r="S16" s="159">
        <f>SUM(S13:S15)</f>
        <v>544239</v>
      </c>
      <c r="T16" s="159">
        <f>SUM(T13:T15)</f>
        <v>550292</v>
      </c>
      <c r="U16" s="159">
        <f>SUM(U13:U15)</f>
        <v>547662</v>
      </c>
    </row>
    <row r="17" spans="1:21" s="11" customFormat="1">
      <c r="A17" s="8">
        <v>5</v>
      </c>
      <c r="B17" s="11" t="s">
        <v>61</v>
      </c>
      <c r="E17" s="154"/>
      <c r="F17" s="158">
        <v>13062</v>
      </c>
      <c r="G17" s="158">
        <v>14305</v>
      </c>
      <c r="H17" s="158">
        <v>34274</v>
      </c>
      <c r="I17" s="158">
        <v>57244</v>
      </c>
      <c r="J17" s="158">
        <v>8587</v>
      </c>
      <c r="K17" s="158">
        <v>10259</v>
      </c>
      <c r="L17" s="158">
        <v>10178</v>
      </c>
      <c r="M17" s="158">
        <v>10170</v>
      </c>
      <c r="N17" s="158">
        <v>10927</v>
      </c>
      <c r="O17" s="158">
        <v>9395</v>
      </c>
      <c r="P17" s="158">
        <v>11786</v>
      </c>
      <c r="Q17" s="158">
        <v>13666</v>
      </c>
      <c r="R17" s="158">
        <v>13089</v>
      </c>
      <c r="S17" s="158">
        <v>13408</v>
      </c>
      <c r="T17" s="158">
        <v>17163</v>
      </c>
      <c r="U17" s="689">
        <v>16920</v>
      </c>
    </row>
    <row r="18" spans="1:21" s="11" customFormat="1">
      <c r="A18" s="8">
        <v>6</v>
      </c>
      <c r="B18" s="11" t="s">
        <v>60</v>
      </c>
      <c r="E18" s="154"/>
      <c r="F18" s="159">
        <v>393254</v>
      </c>
      <c r="G18" s="159">
        <v>364422</v>
      </c>
      <c r="H18" s="159">
        <v>338301</v>
      </c>
      <c r="I18" s="159">
        <v>376604</v>
      </c>
      <c r="J18" s="159">
        <v>335198</v>
      </c>
      <c r="K18" s="159">
        <v>344906</v>
      </c>
      <c r="L18" s="159">
        <v>368220</v>
      </c>
      <c r="M18" s="159">
        <v>372198</v>
      </c>
      <c r="N18" s="159">
        <v>424020</v>
      </c>
      <c r="O18" s="159">
        <v>444375.5491</v>
      </c>
      <c r="P18" s="159">
        <v>561794.97036319994</v>
      </c>
      <c r="Q18" s="159">
        <v>518927</v>
      </c>
      <c r="R18" s="159">
        <v>527720</v>
      </c>
      <c r="S18" s="159">
        <f>SUM(S16:S17)</f>
        <v>557647</v>
      </c>
      <c r="T18" s="159">
        <f>SUM(T16:T17)</f>
        <v>567455</v>
      </c>
      <c r="U18" s="159">
        <f>SUM(U16:U17)</f>
        <v>564582</v>
      </c>
    </row>
    <row r="19" spans="1:21" s="11" customFormat="1">
      <c r="A19" s="8"/>
      <c r="E19" s="154"/>
      <c r="F19" s="160"/>
      <c r="G19" s="160"/>
      <c r="H19" s="160"/>
      <c r="I19" s="160"/>
      <c r="J19" s="160"/>
      <c r="K19" s="160"/>
      <c r="L19" s="160"/>
      <c r="M19" s="159"/>
      <c r="N19" s="159"/>
      <c r="O19" s="159"/>
      <c r="P19" s="159"/>
      <c r="Q19" s="159"/>
      <c r="R19" s="159"/>
      <c r="S19" s="159"/>
      <c r="T19" s="159"/>
      <c r="U19" s="159"/>
    </row>
    <row r="20" spans="1:21" s="11" customFormat="1">
      <c r="A20" s="8"/>
      <c r="B20" s="11" t="s">
        <v>59</v>
      </c>
      <c r="E20" s="154"/>
      <c r="F20" s="160"/>
      <c r="G20" s="160"/>
      <c r="H20" s="160"/>
      <c r="I20" s="160"/>
      <c r="J20" s="160"/>
      <c r="K20" s="160"/>
      <c r="L20" s="160"/>
      <c r="M20" s="159"/>
      <c r="N20" s="159"/>
      <c r="O20" s="159"/>
      <c r="P20" s="159"/>
      <c r="Q20" s="159"/>
      <c r="R20" s="159"/>
      <c r="S20" s="159"/>
      <c r="T20" s="159"/>
      <c r="U20" s="159"/>
    </row>
    <row r="21" spans="1:21" s="11" customFormat="1">
      <c r="A21" s="8"/>
      <c r="B21" s="11" t="s">
        <v>58</v>
      </c>
      <c r="E21" s="154"/>
      <c r="F21" s="160"/>
      <c r="G21" s="160"/>
      <c r="H21" s="160"/>
      <c r="I21" s="160"/>
      <c r="J21" s="160"/>
      <c r="K21" s="160"/>
      <c r="L21" s="160"/>
      <c r="M21" s="159"/>
      <c r="N21" s="159"/>
      <c r="O21" s="159"/>
      <c r="P21" s="159"/>
      <c r="Q21" s="159"/>
      <c r="R21" s="159"/>
      <c r="S21" s="159"/>
      <c r="T21" s="159"/>
      <c r="U21" s="159"/>
    </row>
    <row r="22" spans="1:21" s="11" customFormat="1">
      <c r="A22" s="8">
        <v>7</v>
      </c>
      <c r="C22" s="11" t="s">
        <v>50</v>
      </c>
      <c r="E22" s="154"/>
      <c r="F22" s="157">
        <v>78721</v>
      </c>
      <c r="G22" s="157">
        <v>47157</v>
      </c>
      <c r="H22" s="157">
        <v>101475</v>
      </c>
      <c r="I22" s="157">
        <v>132098</v>
      </c>
      <c r="J22" s="157">
        <v>101545</v>
      </c>
      <c r="K22" s="157">
        <v>105374</v>
      </c>
      <c r="L22" s="157">
        <v>104260</v>
      </c>
      <c r="M22" s="157">
        <v>102890</v>
      </c>
      <c r="N22" s="157">
        <v>117123</v>
      </c>
      <c r="O22" s="157">
        <v>87599</v>
      </c>
      <c r="P22" s="157">
        <v>147107</v>
      </c>
      <c r="Q22" s="157">
        <v>145634</v>
      </c>
      <c r="R22" s="157">
        <v>131795</v>
      </c>
      <c r="S22" s="157">
        <v>143904</v>
      </c>
      <c r="T22" s="162">
        <v>120307</v>
      </c>
      <c r="U22" s="162">
        <v>140485</v>
      </c>
    </row>
    <row r="23" spans="1:21" s="11" customFormat="1">
      <c r="A23" s="8">
        <v>8</v>
      </c>
      <c r="C23" s="11" t="s">
        <v>57</v>
      </c>
      <c r="E23" s="154"/>
      <c r="F23" s="157">
        <v>181189</v>
      </c>
      <c r="G23" s="157">
        <v>132159</v>
      </c>
      <c r="H23" s="157">
        <v>50769</v>
      </c>
      <c r="I23" s="157">
        <v>46591</v>
      </c>
      <c r="J23" s="157">
        <v>51042</v>
      </c>
      <c r="K23" s="157">
        <v>55046</v>
      </c>
      <c r="L23" s="157">
        <v>79146</v>
      </c>
      <c r="M23" s="157">
        <v>65640</v>
      </c>
      <c r="N23" s="157">
        <v>72508</v>
      </c>
      <c r="O23" s="352">
        <f>104869-4432</f>
        <v>100437</v>
      </c>
      <c r="P23" s="157">
        <v>142197</v>
      </c>
      <c r="Q23" s="157">
        <v>91142</v>
      </c>
      <c r="R23" s="157">
        <v>101283</v>
      </c>
      <c r="S23" s="157">
        <v>109034</v>
      </c>
      <c r="T23" s="157">
        <v>116643</v>
      </c>
      <c r="U23" s="157">
        <v>85107</v>
      </c>
    </row>
    <row r="24" spans="1:21" s="11" customFormat="1">
      <c r="A24" s="8">
        <v>9</v>
      </c>
      <c r="C24" s="11" t="s">
        <v>86</v>
      </c>
      <c r="E24" s="154"/>
      <c r="F24" s="157">
        <v>-3114</v>
      </c>
      <c r="G24" s="157">
        <v>9152</v>
      </c>
      <c r="H24" s="157">
        <v>13808</v>
      </c>
      <c r="I24" s="157">
        <v>14915</v>
      </c>
      <c r="J24" s="157">
        <v>22879</v>
      </c>
      <c r="K24" s="157">
        <v>13812</v>
      </c>
      <c r="L24" s="157">
        <v>25745</v>
      </c>
      <c r="M24" s="157">
        <v>21795</v>
      </c>
      <c r="N24" s="157">
        <v>22000</v>
      </c>
      <c r="O24" s="157">
        <v>22266</v>
      </c>
      <c r="P24" s="157">
        <v>22129</v>
      </c>
      <c r="Q24" s="157">
        <v>25158</v>
      </c>
      <c r="R24" s="157">
        <v>25872</v>
      </c>
      <c r="S24" s="157">
        <v>23284</v>
      </c>
      <c r="T24" s="157">
        <v>23715</v>
      </c>
      <c r="U24" s="162">
        <v>24947</v>
      </c>
    </row>
    <row r="25" spans="1:21" s="11" customFormat="1">
      <c r="A25" s="8">
        <v>10</v>
      </c>
      <c r="C25" s="12" t="s">
        <v>87</v>
      </c>
      <c r="D25" s="12"/>
      <c r="E25" s="154"/>
      <c r="Q25" s="11">
        <v>403</v>
      </c>
      <c r="R25" s="11">
        <v>-7936</v>
      </c>
      <c r="S25" s="11">
        <v>8629</v>
      </c>
      <c r="T25" s="11">
        <v>8101</v>
      </c>
      <c r="U25" s="11">
        <v>5974</v>
      </c>
    </row>
    <row r="26" spans="1:21" s="11" customFormat="1">
      <c r="A26" s="8">
        <v>11</v>
      </c>
      <c r="C26" s="11" t="s">
        <v>49</v>
      </c>
      <c r="E26" s="154"/>
      <c r="F26" s="158">
        <v>9346</v>
      </c>
      <c r="G26" s="158">
        <v>5139</v>
      </c>
      <c r="H26" s="158">
        <v>7164</v>
      </c>
      <c r="I26" s="158">
        <v>6722</v>
      </c>
      <c r="J26" s="158">
        <v>7283</v>
      </c>
      <c r="K26" s="158">
        <v>9900</v>
      </c>
      <c r="L26" s="158">
        <v>9115</v>
      </c>
      <c r="M26" s="158">
        <v>8319</v>
      </c>
      <c r="N26" s="158">
        <v>8146</v>
      </c>
      <c r="O26" s="158">
        <v>9014</v>
      </c>
      <c r="P26" s="158">
        <v>9955</v>
      </c>
      <c r="Q26" s="158">
        <v>10846</v>
      </c>
      <c r="R26" s="158">
        <v>11456</v>
      </c>
      <c r="S26" s="158">
        <v>12913</v>
      </c>
      <c r="T26" s="158">
        <v>12828</v>
      </c>
      <c r="U26" s="689">
        <v>14133</v>
      </c>
    </row>
    <row r="27" spans="1:21" s="11" customFormat="1">
      <c r="A27" s="8">
        <v>12</v>
      </c>
      <c r="B27" s="11" t="s">
        <v>56</v>
      </c>
      <c r="E27" s="154"/>
      <c r="F27" s="159">
        <v>266142</v>
      </c>
      <c r="G27" s="159">
        <v>193607</v>
      </c>
      <c r="H27" s="159">
        <v>173216</v>
      </c>
      <c r="I27" s="159">
        <v>200326</v>
      </c>
      <c r="J27" s="159">
        <v>182749</v>
      </c>
      <c r="K27" s="159">
        <v>184132</v>
      </c>
      <c r="L27" s="159">
        <v>218266</v>
      </c>
      <c r="M27" s="159">
        <v>198644</v>
      </c>
      <c r="N27" s="159">
        <v>219777</v>
      </c>
      <c r="O27" s="159">
        <v>223748</v>
      </c>
      <c r="P27" s="159">
        <v>321388</v>
      </c>
      <c r="Q27" s="159">
        <v>273183</v>
      </c>
      <c r="R27" s="159">
        <v>262470</v>
      </c>
      <c r="S27" s="159">
        <f>SUM(S22:S26)</f>
        <v>297764</v>
      </c>
      <c r="T27" s="159">
        <f>SUM(T22:T26)</f>
        <v>281594</v>
      </c>
      <c r="U27" s="159">
        <f>SUM(U22:U26)</f>
        <v>270646</v>
      </c>
    </row>
    <row r="28" spans="1:21" s="11" customFormat="1">
      <c r="A28" s="8"/>
      <c r="E28" s="154"/>
      <c r="F28" s="159"/>
      <c r="G28" s="159"/>
      <c r="H28" s="159"/>
      <c r="I28" s="159"/>
      <c r="J28" s="159"/>
      <c r="K28" s="159"/>
      <c r="L28" s="159"/>
      <c r="M28" s="159"/>
      <c r="N28" s="159"/>
      <c r="O28" s="159"/>
      <c r="P28" s="159"/>
      <c r="Q28" s="159"/>
      <c r="R28" s="159"/>
      <c r="S28" s="159"/>
      <c r="T28" s="159"/>
      <c r="U28" s="159"/>
    </row>
    <row r="29" spans="1:21" s="11" customFormat="1">
      <c r="A29" s="8"/>
      <c r="B29" s="11" t="s">
        <v>36</v>
      </c>
      <c r="E29" s="154"/>
      <c r="F29" s="159"/>
      <c r="G29" s="159"/>
      <c r="H29" s="159"/>
      <c r="I29" s="159"/>
      <c r="J29" s="159"/>
      <c r="K29" s="159"/>
      <c r="L29" s="159"/>
      <c r="M29" s="159"/>
      <c r="N29" s="159"/>
      <c r="O29" s="159"/>
      <c r="P29" s="159"/>
      <c r="Q29" s="159"/>
      <c r="R29" s="159"/>
      <c r="S29" s="159"/>
      <c r="T29" s="159"/>
      <c r="U29" s="159"/>
    </row>
    <row r="30" spans="1:21" s="11" customFormat="1">
      <c r="A30" s="8">
        <v>13</v>
      </c>
      <c r="C30" s="11" t="s">
        <v>50</v>
      </c>
      <c r="E30" s="154"/>
      <c r="F30" s="157">
        <v>9418</v>
      </c>
      <c r="G30" s="157">
        <v>10560</v>
      </c>
      <c r="H30" s="157">
        <v>9631</v>
      </c>
      <c r="I30" s="157">
        <v>10171</v>
      </c>
      <c r="J30" s="157">
        <v>12016</v>
      </c>
      <c r="K30" s="157">
        <v>14263</v>
      </c>
      <c r="L30" s="157">
        <v>15485</v>
      </c>
      <c r="M30" s="157">
        <v>14563</v>
      </c>
      <c r="N30" s="157">
        <v>17329</v>
      </c>
      <c r="O30" s="157">
        <v>17267</v>
      </c>
      <c r="P30" s="157">
        <v>18354</v>
      </c>
      <c r="Q30" s="157">
        <v>19081</v>
      </c>
      <c r="R30" s="157">
        <v>21152</v>
      </c>
      <c r="S30" s="157">
        <v>20878</v>
      </c>
      <c r="T30" s="157">
        <v>21299</v>
      </c>
      <c r="U30" s="157">
        <v>24056</v>
      </c>
    </row>
    <row r="31" spans="1:21" s="11" customFormat="1">
      <c r="A31" s="8">
        <v>14</v>
      </c>
      <c r="C31" s="11" t="s">
        <v>88</v>
      </c>
      <c r="E31" s="154"/>
      <c r="F31" s="157">
        <v>9056</v>
      </c>
      <c r="G31" s="157">
        <v>9178</v>
      </c>
      <c r="H31" s="157">
        <v>9427</v>
      </c>
      <c r="I31" s="157">
        <v>9752</v>
      </c>
      <c r="J31" s="157">
        <v>10067</v>
      </c>
      <c r="K31" s="157">
        <v>10399</v>
      </c>
      <c r="L31" s="157">
        <v>10776</v>
      </c>
      <c r="M31" s="157">
        <v>11333</v>
      </c>
      <c r="N31" s="157">
        <v>15611</v>
      </c>
      <c r="O31" s="157">
        <v>16809</v>
      </c>
      <c r="P31" s="157">
        <v>17985</v>
      </c>
      <c r="Q31" s="157">
        <v>19240</v>
      </c>
      <c r="R31" s="157">
        <v>20749</v>
      </c>
      <c r="S31" s="157">
        <v>22303</v>
      </c>
      <c r="T31" s="157">
        <v>23794</v>
      </c>
      <c r="U31" s="162">
        <v>25379</v>
      </c>
    </row>
    <row r="32" spans="1:21" s="11" customFormat="1">
      <c r="A32" s="8">
        <v>15</v>
      </c>
      <c r="C32" s="11" t="s">
        <v>49</v>
      </c>
      <c r="E32" s="154"/>
      <c r="F32" s="158">
        <v>11693</v>
      </c>
      <c r="G32" s="158">
        <v>15462</v>
      </c>
      <c r="H32" s="158">
        <v>16996</v>
      </c>
      <c r="I32" s="158">
        <v>17286</v>
      </c>
      <c r="J32" s="158">
        <v>17401</v>
      </c>
      <c r="K32" s="158">
        <v>14988</v>
      </c>
      <c r="L32" s="158">
        <v>16307</v>
      </c>
      <c r="M32" s="158">
        <v>16156</v>
      </c>
      <c r="N32" s="158">
        <v>17416</v>
      </c>
      <c r="O32" s="690">
        <f>18207+9</f>
        <v>18216</v>
      </c>
      <c r="P32" s="690">
        <f>19990+39</f>
        <v>20029</v>
      </c>
      <c r="Q32" s="690">
        <f>22393+66</f>
        <v>22459</v>
      </c>
      <c r="R32" s="690">
        <f>22595+104</f>
        <v>22699</v>
      </c>
      <c r="S32" s="690">
        <f>23288+521</f>
        <v>23809</v>
      </c>
      <c r="T32" s="690">
        <f>25575+246</f>
        <v>25821</v>
      </c>
      <c r="U32" s="690">
        <f>26806+642</f>
        <v>27448</v>
      </c>
    </row>
    <row r="33" spans="1:21" s="11" customFormat="1">
      <c r="A33" s="8">
        <v>16</v>
      </c>
      <c r="B33" s="11" t="s">
        <v>55</v>
      </c>
      <c r="E33" s="154"/>
      <c r="F33" s="159">
        <v>30167</v>
      </c>
      <c r="G33" s="159">
        <v>35200</v>
      </c>
      <c r="H33" s="159">
        <v>36054</v>
      </c>
      <c r="I33" s="159">
        <v>37209</v>
      </c>
      <c r="J33" s="159">
        <v>39484</v>
      </c>
      <c r="K33" s="159">
        <v>39650</v>
      </c>
      <c r="L33" s="159">
        <v>42568</v>
      </c>
      <c r="M33" s="159">
        <v>42052</v>
      </c>
      <c r="N33" s="159">
        <v>50356</v>
      </c>
      <c r="O33" s="159">
        <v>52283</v>
      </c>
      <c r="P33" s="159">
        <v>56329</v>
      </c>
      <c r="Q33" s="159">
        <v>60714.453812</v>
      </c>
      <c r="R33" s="159">
        <v>64495.925350000005</v>
      </c>
      <c r="S33" s="159">
        <f>SUM(S30:S32)</f>
        <v>66990</v>
      </c>
      <c r="T33" s="159">
        <f>SUM(T30:T32)</f>
        <v>70914</v>
      </c>
      <c r="U33" s="159">
        <f>SUM(U30:U32)</f>
        <v>76883</v>
      </c>
    </row>
    <row r="34" spans="1:21" s="11" customFormat="1">
      <c r="E34" s="154"/>
      <c r="F34" s="159"/>
      <c r="G34" s="159"/>
      <c r="H34" s="159"/>
      <c r="I34" s="159"/>
      <c r="J34" s="159"/>
      <c r="K34" s="159"/>
      <c r="L34" s="159"/>
      <c r="M34" s="159"/>
      <c r="N34" s="159"/>
      <c r="O34" s="159"/>
      <c r="P34" s="159"/>
      <c r="Q34" s="159"/>
      <c r="R34" s="159"/>
      <c r="S34" s="159"/>
      <c r="T34" s="159"/>
      <c r="U34" s="159"/>
    </row>
    <row r="35" spans="1:21" s="11" customFormat="1">
      <c r="A35" s="8">
        <v>17</v>
      </c>
      <c r="B35" s="11" t="s">
        <v>54</v>
      </c>
      <c r="E35" s="154"/>
      <c r="F35" s="157">
        <v>5768</v>
      </c>
      <c r="G35" s="157">
        <v>6196</v>
      </c>
      <c r="H35" s="157">
        <v>7113</v>
      </c>
      <c r="I35" s="157">
        <v>7129</v>
      </c>
      <c r="J35" s="157">
        <v>7352</v>
      </c>
      <c r="K35" s="157">
        <v>7156</v>
      </c>
      <c r="L35" s="157">
        <v>7097</v>
      </c>
      <c r="M35" s="157">
        <v>7514</v>
      </c>
      <c r="N35" s="157">
        <v>7919</v>
      </c>
      <c r="O35" s="157">
        <v>9646</v>
      </c>
      <c r="P35" s="157">
        <v>9261</v>
      </c>
      <c r="Q35" s="157">
        <v>10274.701588</v>
      </c>
      <c r="R35" s="157">
        <v>10335.791302</v>
      </c>
      <c r="S35" s="157">
        <v>11334</v>
      </c>
      <c r="T35" s="157">
        <v>11166</v>
      </c>
      <c r="U35" s="157">
        <v>12363</v>
      </c>
    </row>
    <row r="36" spans="1:21" s="11" customFormat="1">
      <c r="A36" s="8">
        <v>18</v>
      </c>
      <c r="B36" s="11" t="s">
        <v>53</v>
      </c>
      <c r="E36" s="154"/>
      <c r="F36" s="157">
        <v>5704</v>
      </c>
      <c r="G36" s="157">
        <v>5381</v>
      </c>
      <c r="H36" s="157">
        <v>6261</v>
      </c>
      <c r="I36" s="157">
        <v>6620</v>
      </c>
      <c r="J36" s="157">
        <v>266</v>
      </c>
      <c r="K36" s="157">
        <v>7127</v>
      </c>
      <c r="L36" s="157">
        <v>1159</v>
      </c>
      <c r="M36" s="157">
        <v>7472</v>
      </c>
      <c r="N36" s="157">
        <v>12847</v>
      </c>
      <c r="O36" s="157">
        <v>19736</v>
      </c>
      <c r="P36" s="157">
        <v>20832</v>
      </c>
      <c r="Q36" s="157">
        <v>21292</v>
      </c>
      <c r="R36" s="157">
        <v>18487</v>
      </c>
      <c r="S36" s="157">
        <v>1516</v>
      </c>
      <c r="T36" s="157">
        <v>1383</v>
      </c>
      <c r="U36" s="157">
        <v>1454</v>
      </c>
    </row>
    <row r="37" spans="1:21" s="11" customFormat="1">
      <c r="A37" s="8">
        <v>19</v>
      </c>
      <c r="B37" s="11" t="s">
        <v>52</v>
      </c>
      <c r="E37" s="154"/>
      <c r="F37" s="157">
        <v>1071</v>
      </c>
      <c r="G37" s="157">
        <v>734</v>
      </c>
      <c r="H37" s="157">
        <v>628</v>
      </c>
      <c r="I37" s="157">
        <v>734</v>
      </c>
      <c r="J37" s="157">
        <v>686</v>
      </c>
      <c r="K37" s="157">
        <v>430</v>
      </c>
      <c r="L37" s="157">
        <v>657</v>
      </c>
      <c r="M37" s="157">
        <v>682</v>
      </c>
      <c r="N37" s="157">
        <v>571</v>
      </c>
      <c r="O37" s="157">
        <v>660</v>
      </c>
      <c r="P37" s="157">
        <v>176</v>
      </c>
      <c r="Q37" s="157">
        <v>4</v>
      </c>
      <c r="R37" s="157">
        <v>5</v>
      </c>
      <c r="S37" s="157">
        <v>5</v>
      </c>
      <c r="T37" s="157">
        <v>0</v>
      </c>
      <c r="U37" s="157">
        <v>0</v>
      </c>
    </row>
    <row r="38" spans="1:21" s="11" customFormat="1">
      <c r="A38" s="8"/>
      <c r="E38" s="154"/>
      <c r="F38" s="159"/>
      <c r="G38" s="159"/>
      <c r="H38" s="159"/>
      <c r="I38" s="159"/>
      <c r="J38" s="159"/>
      <c r="K38" s="159"/>
      <c r="L38" s="159"/>
      <c r="M38" s="159"/>
      <c r="N38" s="159"/>
      <c r="O38" s="159"/>
      <c r="P38" s="159"/>
      <c r="Q38" s="159"/>
      <c r="R38" s="159"/>
      <c r="S38" s="159"/>
      <c r="T38" s="159"/>
      <c r="U38" s="159"/>
    </row>
    <row r="39" spans="1:21" s="11" customFormat="1">
      <c r="B39" s="11" t="s">
        <v>51</v>
      </c>
      <c r="E39" s="154"/>
      <c r="F39" s="159"/>
      <c r="G39" s="159"/>
      <c r="H39" s="159"/>
      <c r="I39" s="159"/>
      <c r="J39" s="159"/>
      <c r="K39" s="159"/>
      <c r="L39" s="159"/>
      <c r="M39" s="159"/>
      <c r="N39" s="159"/>
      <c r="O39" s="159"/>
      <c r="P39" s="159"/>
      <c r="Q39" s="159"/>
      <c r="R39" s="159"/>
      <c r="S39" s="159"/>
      <c r="T39" s="159"/>
      <c r="U39" s="159"/>
    </row>
    <row r="40" spans="1:21" s="11" customFormat="1">
      <c r="A40" s="8">
        <v>20</v>
      </c>
      <c r="C40" s="11" t="s">
        <v>50</v>
      </c>
      <c r="E40" s="154"/>
      <c r="F40" s="157">
        <v>30350</v>
      </c>
      <c r="G40" s="157">
        <v>25102</v>
      </c>
      <c r="H40" s="157">
        <v>30304</v>
      </c>
      <c r="I40" s="157">
        <v>30153</v>
      </c>
      <c r="J40" s="157">
        <v>31927</v>
      </c>
      <c r="K40" s="157">
        <v>33143</v>
      </c>
      <c r="L40" s="157">
        <v>33148</v>
      </c>
      <c r="M40" s="157">
        <v>35844</v>
      </c>
      <c r="N40" s="157">
        <v>35982</v>
      </c>
      <c r="O40" s="157">
        <v>38461</v>
      </c>
      <c r="P40" s="157">
        <v>44662</v>
      </c>
      <c r="Q40" s="157">
        <v>44779.252</v>
      </c>
      <c r="R40" s="157">
        <v>49333.396000000001</v>
      </c>
      <c r="S40" s="157">
        <v>43310</v>
      </c>
      <c r="T40" s="157">
        <v>46210</v>
      </c>
      <c r="U40" s="162">
        <v>49942</v>
      </c>
    </row>
    <row r="41" spans="1:21" s="11" customFormat="1">
      <c r="A41" s="8">
        <v>21</v>
      </c>
      <c r="C41" s="11" t="s">
        <v>88</v>
      </c>
      <c r="E41" s="154"/>
      <c r="F41" s="157">
        <v>3998</v>
      </c>
      <c r="G41" s="157">
        <v>4414</v>
      </c>
      <c r="H41" s="157">
        <v>6606</v>
      </c>
      <c r="I41" s="157">
        <v>6659</v>
      </c>
      <c r="J41" s="157">
        <v>6072</v>
      </c>
      <c r="K41" s="157">
        <v>6537</v>
      </c>
      <c r="L41" s="157">
        <v>6459</v>
      </c>
      <c r="M41" s="157">
        <v>6739</v>
      </c>
      <c r="N41" s="157">
        <v>7187</v>
      </c>
      <c r="O41" s="157">
        <v>7688</v>
      </c>
      <c r="P41" s="157">
        <v>9277</v>
      </c>
      <c r="Q41" s="157">
        <v>10906</v>
      </c>
      <c r="R41" s="157">
        <v>12517</v>
      </c>
      <c r="S41" s="157">
        <v>14721</v>
      </c>
      <c r="T41" s="157">
        <v>16947</v>
      </c>
      <c r="U41" s="162">
        <v>21503</v>
      </c>
    </row>
    <row r="42" spans="1:21" s="11" customFormat="1">
      <c r="A42" s="57">
        <v>22</v>
      </c>
      <c r="C42" s="11" t="s">
        <v>49</v>
      </c>
      <c r="E42" s="154"/>
      <c r="F42" s="158">
        <v>5</v>
      </c>
      <c r="G42" s="158">
        <v>2</v>
      </c>
      <c r="H42" s="158">
        <v>1</v>
      </c>
      <c r="I42" s="158">
        <v>2</v>
      </c>
      <c r="J42" s="158">
        <v>3</v>
      </c>
      <c r="K42" s="158">
        <v>-4</v>
      </c>
      <c r="L42" s="158">
        <v>0</v>
      </c>
      <c r="M42" s="158">
        <v>-9</v>
      </c>
      <c r="N42" s="158">
        <v>-3</v>
      </c>
      <c r="O42" s="158">
        <v>-3</v>
      </c>
      <c r="P42" s="158">
        <v>2</v>
      </c>
      <c r="Q42" s="158">
        <v>0</v>
      </c>
      <c r="R42" s="158">
        <v>-4</v>
      </c>
      <c r="S42" s="158">
        <v>0</v>
      </c>
      <c r="T42" s="158">
        <v>0</v>
      </c>
      <c r="U42" s="691">
        <v>0</v>
      </c>
    </row>
    <row r="43" spans="1:21" s="11" customFormat="1">
      <c r="A43" s="8">
        <v>23</v>
      </c>
      <c r="B43" s="11" t="s">
        <v>48</v>
      </c>
      <c r="E43" s="154"/>
      <c r="F43" s="161">
        <v>34353</v>
      </c>
      <c r="G43" s="161">
        <v>29518</v>
      </c>
      <c r="H43" s="161">
        <v>36911</v>
      </c>
      <c r="I43" s="161">
        <v>36814</v>
      </c>
      <c r="J43" s="161">
        <v>38002</v>
      </c>
      <c r="K43" s="161">
        <v>39676</v>
      </c>
      <c r="L43" s="161">
        <v>39607</v>
      </c>
      <c r="M43" s="161">
        <v>42574</v>
      </c>
      <c r="N43" s="161">
        <v>43166</v>
      </c>
      <c r="O43" s="161">
        <v>46146</v>
      </c>
      <c r="P43" s="161">
        <v>53941</v>
      </c>
      <c r="Q43" s="161">
        <v>55685.252</v>
      </c>
      <c r="R43" s="161">
        <v>61846.396000000001</v>
      </c>
      <c r="S43" s="161">
        <f>SUM(S40:S42)</f>
        <v>58031</v>
      </c>
      <c r="T43" s="161">
        <f>SUM(T40:T42)</f>
        <v>63157</v>
      </c>
      <c r="U43" s="692">
        <f>SUM(U40:U42)</f>
        <v>71445</v>
      </c>
    </row>
    <row r="44" spans="1:21" s="11" customFormat="1" ht="18" customHeight="1">
      <c r="A44" s="8">
        <v>24</v>
      </c>
      <c r="B44" s="11" t="s">
        <v>47</v>
      </c>
      <c r="E44" s="154"/>
      <c r="F44" s="161">
        <v>343205</v>
      </c>
      <c r="G44" s="161">
        <v>270636</v>
      </c>
      <c r="H44" s="161">
        <v>260183</v>
      </c>
      <c r="I44" s="161">
        <v>288832</v>
      </c>
      <c r="J44" s="161">
        <v>268539</v>
      </c>
      <c r="K44" s="161">
        <v>278171</v>
      </c>
      <c r="L44" s="161">
        <v>309354</v>
      </c>
      <c r="M44" s="161">
        <v>298938</v>
      </c>
      <c r="N44" s="161">
        <v>334636</v>
      </c>
      <c r="O44" s="161">
        <v>352219</v>
      </c>
      <c r="P44" s="161">
        <v>461927</v>
      </c>
      <c r="Q44" s="161">
        <v>421153.40740000003</v>
      </c>
      <c r="R44" s="161">
        <v>417640.11265200004</v>
      </c>
      <c r="S44" s="161">
        <f>S27+S33+S35+S36+S37+S43</f>
        <v>435640</v>
      </c>
      <c r="T44" s="161">
        <f>T27+T33+T35+T36+T37+T43</f>
        <v>428214</v>
      </c>
      <c r="U44" s="692">
        <f>U27+U33+U35+U36+U37+U43</f>
        <v>432791</v>
      </c>
    </row>
    <row r="45" spans="1:21" s="11" customFormat="1">
      <c r="E45" s="154"/>
      <c r="F45" s="159"/>
      <c r="G45" s="159"/>
      <c r="H45" s="159"/>
      <c r="I45" s="159"/>
      <c r="J45" s="159"/>
      <c r="K45" s="159"/>
      <c r="L45" s="159"/>
      <c r="M45" s="159"/>
      <c r="N45" s="159"/>
      <c r="O45" s="159"/>
      <c r="P45" s="159"/>
      <c r="Q45" s="159"/>
      <c r="R45" s="159"/>
      <c r="S45" s="159"/>
      <c r="T45" s="159"/>
      <c r="U45" s="159"/>
    </row>
    <row r="46" spans="1:21" s="11" customFormat="1">
      <c r="A46" s="8">
        <v>25</v>
      </c>
      <c r="B46" s="11" t="s">
        <v>46</v>
      </c>
      <c r="E46" s="154"/>
      <c r="F46" s="156">
        <v>50049</v>
      </c>
      <c r="G46" s="156">
        <v>93786</v>
      </c>
      <c r="H46" s="156">
        <v>78118</v>
      </c>
      <c r="I46" s="156">
        <v>87772</v>
      </c>
      <c r="J46" s="156">
        <v>66659</v>
      </c>
      <c r="K46" s="156">
        <v>66735</v>
      </c>
      <c r="L46" s="156">
        <v>58866</v>
      </c>
      <c r="M46" s="156">
        <v>73260</v>
      </c>
      <c r="N46" s="156">
        <v>89384</v>
      </c>
      <c r="O46" s="156">
        <v>92156.549100000004</v>
      </c>
      <c r="P46" s="156">
        <v>99867.970363199944</v>
      </c>
      <c r="Q46" s="156">
        <v>97773.592599999974</v>
      </c>
      <c r="R46" s="156">
        <v>110079.88734799996</v>
      </c>
      <c r="S46" s="156">
        <f>S18-S44</f>
        <v>122007</v>
      </c>
      <c r="T46" s="156">
        <f>T18-T44</f>
        <v>139241</v>
      </c>
      <c r="U46" s="156">
        <f>U18-U44</f>
        <v>131791</v>
      </c>
    </row>
    <row r="47" spans="1:21" s="11" customFormat="1">
      <c r="A47" s="8"/>
      <c r="E47" s="154"/>
      <c r="F47" s="162"/>
      <c r="G47" s="162"/>
      <c r="H47" s="162"/>
      <c r="I47" s="162"/>
      <c r="J47" s="162"/>
      <c r="K47" s="162"/>
      <c r="L47" s="162"/>
      <c r="M47" s="162"/>
      <c r="N47" s="162"/>
      <c r="O47" s="162"/>
      <c r="P47" s="162"/>
      <c r="Q47" s="162"/>
      <c r="R47" s="162"/>
      <c r="S47" s="162"/>
      <c r="T47" s="162"/>
      <c r="U47" s="162"/>
    </row>
    <row r="48" spans="1:21" s="11" customFormat="1">
      <c r="A48" s="10"/>
      <c r="B48" s="11" t="s">
        <v>45</v>
      </c>
      <c r="E48" s="154"/>
      <c r="F48" s="162"/>
      <c r="G48" s="162"/>
      <c r="H48" s="162"/>
      <c r="I48" s="162"/>
      <c r="J48" s="162"/>
      <c r="K48" s="162"/>
      <c r="L48" s="162"/>
      <c r="M48" s="162"/>
      <c r="N48" s="162"/>
      <c r="O48" s="162"/>
      <c r="P48" s="162"/>
      <c r="Q48" s="162"/>
      <c r="R48" s="162"/>
      <c r="S48" s="162"/>
      <c r="T48" s="162"/>
      <c r="U48" s="162"/>
    </row>
    <row r="49" spans="1:22" s="11" customFormat="1">
      <c r="A49" s="57">
        <v>26</v>
      </c>
      <c r="B49" s="11" t="s">
        <v>89</v>
      </c>
      <c r="D49" s="49"/>
      <c r="E49" s="154"/>
      <c r="F49" s="162">
        <v>13500</v>
      </c>
      <c r="G49" s="162">
        <v>7802.6454399910144</v>
      </c>
      <c r="H49" s="162">
        <v>12532.4934614427</v>
      </c>
      <c r="I49" s="162">
        <v>18199.38094551977</v>
      </c>
      <c r="J49" s="162">
        <v>10602.745932108257</v>
      </c>
      <c r="K49" s="162">
        <v>6760.4768703774607</v>
      </c>
      <c r="L49" s="162">
        <v>3583.5198936206907</v>
      </c>
      <c r="M49" s="162">
        <v>5069.5165750000015</v>
      </c>
      <c r="N49" s="162">
        <v>-6217.1202000000012</v>
      </c>
      <c r="O49" s="162">
        <v>-1846</v>
      </c>
      <c r="P49" s="162">
        <v>9263</v>
      </c>
      <c r="Q49" s="162">
        <v>6568.9074099999998</v>
      </c>
      <c r="R49" s="162">
        <v>11499.260571799998</v>
      </c>
      <c r="S49" s="162">
        <v>19267</v>
      </c>
      <c r="T49" s="162">
        <v>-7683</v>
      </c>
      <c r="U49" s="162">
        <v>4968</v>
      </c>
    </row>
    <row r="50" spans="1:22" s="12" customFormat="1">
      <c r="A50" s="8">
        <v>27</v>
      </c>
      <c r="B50" s="12" t="s">
        <v>90</v>
      </c>
      <c r="E50" s="154"/>
      <c r="F50" s="162"/>
      <c r="G50" s="162"/>
      <c r="H50" s="162"/>
      <c r="I50" s="162"/>
      <c r="J50" s="162"/>
      <c r="K50" s="162"/>
      <c r="L50" s="162"/>
      <c r="M50" s="162"/>
      <c r="N50" s="162"/>
      <c r="O50" s="162"/>
      <c r="P50" s="162"/>
      <c r="Q50" s="162">
        <v>206.8288</v>
      </c>
      <c r="R50" s="162">
        <v>70.410550000000001</v>
      </c>
      <c r="S50" s="162">
        <v>1</v>
      </c>
      <c r="T50" s="162">
        <v>-136</v>
      </c>
      <c r="U50" s="162">
        <v>1</v>
      </c>
    </row>
    <row r="51" spans="1:22" s="11" customFormat="1">
      <c r="A51" s="8">
        <v>28</v>
      </c>
      <c r="B51" s="11" t="s">
        <v>44</v>
      </c>
      <c r="E51" s="154"/>
      <c r="F51" s="162">
        <v>3549</v>
      </c>
      <c r="G51" s="162">
        <v>16107</v>
      </c>
      <c r="H51" s="162">
        <v>3470</v>
      </c>
      <c r="I51" s="162">
        <v>1284</v>
      </c>
      <c r="J51" s="162">
        <v>608</v>
      </c>
      <c r="K51" s="162">
        <v>3867</v>
      </c>
      <c r="L51" s="162">
        <v>3975</v>
      </c>
      <c r="M51" s="162">
        <v>6497</v>
      </c>
      <c r="N51" s="162">
        <v>26634</v>
      </c>
      <c r="O51" s="162">
        <v>23983</v>
      </c>
      <c r="P51" s="162">
        <v>13823</v>
      </c>
      <c r="Q51" s="162">
        <v>16402</v>
      </c>
      <c r="R51" s="162">
        <v>15684</v>
      </c>
      <c r="S51" s="162">
        <v>10613</v>
      </c>
      <c r="T51" s="162">
        <v>46085</v>
      </c>
      <c r="U51" s="162">
        <v>29492</v>
      </c>
    </row>
    <row r="52" spans="1:22" s="11" customFormat="1">
      <c r="A52" s="10">
        <v>29</v>
      </c>
      <c r="B52" s="11" t="s">
        <v>43</v>
      </c>
      <c r="E52" s="154"/>
      <c r="F52" s="162"/>
      <c r="G52" s="162"/>
      <c r="H52" s="162"/>
      <c r="I52" s="162"/>
      <c r="J52" s="162"/>
      <c r="K52" s="162"/>
      <c r="L52" s="162"/>
      <c r="M52" s="162"/>
      <c r="N52" s="162"/>
      <c r="O52" s="162">
        <v>-58</v>
      </c>
      <c r="P52" s="162">
        <v>-83</v>
      </c>
      <c r="Q52" s="162">
        <v>-99</v>
      </c>
      <c r="R52" s="162">
        <v>-128</v>
      </c>
      <c r="S52" s="162">
        <v>-130</v>
      </c>
      <c r="T52" s="162">
        <v>-128</v>
      </c>
      <c r="U52" s="162">
        <v>-129</v>
      </c>
    </row>
    <row r="53" spans="1:22">
      <c r="B53" s="163" t="s">
        <v>137</v>
      </c>
      <c r="F53" s="162">
        <v>5683</v>
      </c>
      <c r="G53" s="162">
        <v>5369</v>
      </c>
      <c r="H53" s="162"/>
      <c r="I53" s="162"/>
      <c r="J53" s="162"/>
      <c r="K53" s="162"/>
      <c r="L53" s="162"/>
      <c r="M53" s="162"/>
      <c r="N53" s="162"/>
      <c r="O53" s="162"/>
      <c r="P53" s="162"/>
      <c r="Q53" s="162"/>
      <c r="R53" s="162"/>
      <c r="S53" s="162"/>
      <c r="T53" s="162"/>
      <c r="U53" s="162"/>
    </row>
    <row r="54" spans="1:22" s="9" customFormat="1" ht="13.5" thickBot="1">
      <c r="A54" s="13">
        <v>30</v>
      </c>
      <c r="B54" s="9" t="s">
        <v>42</v>
      </c>
      <c r="E54" s="154"/>
      <c r="F54" s="164">
        <v>27317</v>
      </c>
      <c r="G54" s="164">
        <v>64507.354560008986</v>
      </c>
      <c r="H54" s="164">
        <v>62115.506538557296</v>
      </c>
      <c r="I54" s="164">
        <v>68288.619054480223</v>
      </c>
      <c r="J54" s="164">
        <v>55448.254067891743</v>
      </c>
      <c r="K54" s="164">
        <v>56107.523129622539</v>
      </c>
      <c r="L54" s="164">
        <v>51307.480106379313</v>
      </c>
      <c r="M54" s="164">
        <v>61693.483424999999</v>
      </c>
      <c r="N54" s="164">
        <v>68967.120200000005</v>
      </c>
      <c r="O54" s="164">
        <v>70077.549100000004</v>
      </c>
      <c r="P54" s="164">
        <v>76864.970363199944</v>
      </c>
      <c r="Q54" s="164">
        <v>74694.856389999972</v>
      </c>
      <c r="R54" s="164">
        <v>82954.216226199962</v>
      </c>
      <c r="S54" s="164">
        <f>S46-S49-S50-S51-S52</f>
        <v>92256</v>
      </c>
      <c r="T54" s="164">
        <f>T46-T49-T50-T51-T52</f>
        <v>101103</v>
      </c>
      <c r="U54" s="164">
        <f>U46-U49-U50-U51-U52</f>
        <v>97459</v>
      </c>
    </row>
    <row r="55" spans="1:22" ht="13.5" thickTop="1">
      <c r="A55" s="13"/>
      <c r="F55" s="162"/>
      <c r="G55" s="162"/>
      <c r="H55" s="162"/>
      <c r="I55" s="162"/>
      <c r="J55" s="162"/>
      <c r="K55" s="162"/>
      <c r="L55" s="162"/>
      <c r="M55" s="162"/>
      <c r="N55" s="162"/>
      <c r="O55" s="162"/>
      <c r="P55" s="162"/>
      <c r="Q55" s="162"/>
      <c r="R55" s="162"/>
      <c r="S55" s="162"/>
      <c r="T55" s="162"/>
      <c r="U55" s="162"/>
    </row>
    <row r="56" spans="1:22">
      <c r="A56" s="13"/>
      <c r="B56" s="3" t="s">
        <v>41</v>
      </c>
      <c r="F56" s="162"/>
      <c r="G56" s="162"/>
      <c r="H56" s="162"/>
      <c r="I56" s="162"/>
      <c r="J56" s="162"/>
      <c r="K56" s="162"/>
      <c r="L56" s="162"/>
      <c r="M56" s="162"/>
      <c r="N56" s="162"/>
      <c r="O56" s="162"/>
      <c r="P56" s="162"/>
      <c r="Q56" s="162"/>
      <c r="R56" s="162"/>
      <c r="S56" s="162"/>
      <c r="T56" s="162"/>
      <c r="U56" s="162"/>
    </row>
    <row r="57" spans="1:22">
      <c r="B57" s="3" t="s">
        <v>40</v>
      </c>
      <c r="F57" s="162"/>
      <c r="G57" s="162"/>
      <c r="H57" s="162"/>
      <c r="I57" s="162"/>
      <c r="J57" s="162"/>
      <c r="K57" s="162"/>
      <c r="L57" s="162"/>
      <c r="M57" s="162"/>
      <c r="N57" s="162"/>
      <c r="O57" s="162"/>
      <c r="P57" s="162"/>
      <c r="Q57" s="162"/>
      <c r="R57" s="162"/>
      <c r="S57" s="162"/>
      <c r="T57" s="162"/>
      <c r="U57" s="162"/>
    </row>
    <row r="58" spans="1:22" s="9" customFormat="1">
      <c r="A58" s="58">
        <v>31</v>
      </c>
      <c r="C58" s="9" t="s">
        <v>39</v>
      </c>
      <c r="E58" s="154"/>
      <c r="F58" s="156">
        <v>15127</v>
      </c>
      <c r="G58" s="156">
        <v>16340</v>
      </c>
      <c r="H58" s="156">
        <v>20910</v>
      </c>
      <c r="I58" s="156">
        <v>21299</v>
      </c>
      <c r="J58" s="156">
        <v>21374</v>
      </c>
      <c r="K58" s="156">
        <v>22459</v>
      </c>
      <c r="L58" s="156">
        <v>23458</v>
      </c>
      <c r="M58" s="156">
        <v>20632</v>
      </c>
      <c r="N58" s="156">
        <v>23321</v>
      </c>
      <c r="O58" s="156">
        <v>57116</v>
      </c>
      <c r="P58" s="156">
        <v>81955</v>
      </c>
      <c r="Q58" s="156">
        <v>84081</v>
      </c>
      <c r="R58" s="156">
        <v>85247</v>
      </c>
      <c r="S58" s="156">
        <v>91466</v>
      </c>
      <c r="T58" s="156">
        <v>102620</v>
      </c>
      <c r="U58" s="269">
        <v>144970</v>
      </c>
      <c r="V58" s="417"/>
    </row>
    <row r="59" spans="1:22" s="11" customFormat="1">
      <c r="A59" s="13">
        <v>32</v>
      </c>
      <c r="C59" s="11" t="s">
        <v>38</v>
      </c>
      <c r="E59" s="154"/>
      <c r="F59" s="162">
        <v>369323</v>
      </c>
      <c r="G59" s="162">
        <v>382522</v>
      </c>
      <c r="H59" s="162">
        <v>598523</v>
      </c>
      <c r="I59" s="162">
        <v>609668</v>
      </c>
      <c r="J59" s="162">
        <v>651608</v>
      </c>
      <c r="K59" s="162">
        <v>669043</v>
      </c>
      <c r="L59" s="162">
        <v>703455</v>
      </c>
      <c r="M59" s="162">
        <v>712962</v>
      </c>
      <c r="N59" s="162">
        <v>724416</v>
      </c>
      <c r="O59" s="162">
        <v>751055</v>
      </c>
      <c r="P59" s="162">
        <v>767632</v>
      </c>
      <c r="Q59" s="162">
        <v>706894</v>
      </c>
      <c r="R59" s="162">
        <v>717448</v>
      </c>
      <c r="S59" s="162">
        <v>738315</v>
      </c>
      <c r="T59" s="162">
        <v>746101</v>
      </c>
      <c r="U59" s="162">
        <v>779441</v>
      </c>
      <c r="V59" s="12"/>
    </row>
    <row r="60" spans="1:22" s="11" customFormat="1">
      <c r="A60" s="13">
        <v>33</v>
      </c>
      <c r="C60" s="11" t="s">
        <v>37</v>
      </c>
      <c r="E60" s="154"/>
      <c r="F60" s="162">
        <v>181627</v>
      </c>
      <c r="G60" s="162">
        <v>191517</v>
      </c>
      <c r="H60" s="162">
        <v>186550</v>
      </c>
      <c r="I60" s="162">
        <v>196937</v>
      </c>
      <c r="J60" s="162">
        <v>213539</v>
      </c>
      <c r="K60" s="162">
        <v>224696</v>
      </c>
      <c r="L60" s="162">
        <v>244435</v>
      </c>
      <c r="M60" s="162">
        <v>259532</v>
      </c>
      <c r="N60" s="162">
        <v>289302</v>
      </c>
      <c r="O60" s="162">
        <v>301090</v>
      </c>
      <c r="P60" s="162">
        <v>312505</v>
      </c>
      <c r="Q60" s="162">
        <v>328012</v>
      </c>
      <c r="R60" s="162">
        <v>342382</v>
      </c>
      <c r="S60" s="162">
        <v>359941</v>
      </c>
      <c r="T60" s="162">
        <v>371971</v>
      </c>
      <c r="U60" s="162">
        <v>401700</v>
      </c>
      <c r="V60" s="12"/>
    </row>
    <row r="61" spans="1:22" s="11" customFormat="1">
      <c r="A61" s="13">
        <v>34</v>
      </c>
      <c r="C61" s="11" t="s">
        <v>36</v>
      </c>
      <c r="E61" s="154"/>
      <c r="F61" s="162">
        <v>398104</v>
      </c>
      <c r="G61" s="162">
        <v>416427</v>
      </c>
      <c r="H61" s="162">
        <v>429742</v>
      </c>
      <c r="I61" s="162">
        <v>443424</v>
      </c>
      <c r="J61" s="162">
        <v>459516</v>
      </c>
      <c r="K61" s="162">
        <v>480638</v>
      </c>
      <c r="L61" s="162">
        <v>502571</v>
      </c>
      <c r="M61" s="162">
        <v>528809</v>
      </c>
      <c r="N61" s="162">
        <v>561016</v>
      </c>
      <c r="O61" s="162">
        <v>598884</v>
      </c>
      <c r="P61" s="162">
        <v>638445</v>
      </c>
      <c r="Q61" s="162">
        <v>696082</v>
      </c>
      <c r="R61" s="162">
        <v>743732</v>
      </c>
      <c r="S61" s="162">
        <v>796640</v>
      </c>
      <c r="T61" s="162">
        <v>842795</v>
      </c>
      <c r="U61" s="162">
        <v>895055</v>
      </c>
      <c r="V61" s="12"/>
    </row>
    <row r="62" spans="1:22" s="11" customFormat="1">
      <c r="A62" s="13">
        <v>35</v>
      </c>
      <c r="C62" s="11" t="s">
        <v>35</v>
      </c>
      <c r="E62" s="154"/>
      <c r="F62" s="162">
        <v>58402</v>
      </c>
      <c r="G62" s="162">
        <v>59846</v>
      </c>
      <c r="H62" s="162">
        <v>59771</v>
      </c>
      <c r="I62" s="162">
        <v>60444</v>
      </c>
      <c r="J62" s="162">
        <v>63155</v>
      </c>
      <c r="K62" s="162">
        <v>65299</v>
      </c>
      <c r="L62" s="162">
        <v>80110</v>
      </c>
      <c r="M62" s="162">
        <v>81368</v>
      </c>
      <c r="N62" s="162">
        <v>91205</v>
      </c>
      <c r="O62" s="162">
        <v>98727</v>
      </c>
      <c r="P62" s="162">
        <v>120996</v>
      </c>
      <c r="Q62" s="162">
        <v>140218</v>
      </c>
      <c r="R62" s="162">
        <v>155104</v>
      </c>
      <c r="S62" s="162">
        <v>179134</v>
      </c>
      <c r="T62" s="162">
        <v>196867</v>
      </c>
      <c r="U62" s="162">
        <v>212726</v>
      </c>
      <c r="V62" s="12"/>
    </row>
    <row r="63" spans="1:22" s="11" customFormat="1">
      <c r="A63" s="13">
        <v>36</v>
      </c>
      <c r="B63" s="11" t="s">
        <v>34</v>
      </c>
      <c r="E63" s="154"/>
      <c r="F63" s="165">
        <v>1022583</v>
      </c>
      <c r="G63" s="165">
        <v>1066652</v>
      </c>
      <c r="H63" s="165">
        <v>1295496</v>
      </c>
      <c r="I63" s="165">
        <v>1331772</v>
      </c>
      <c r="J63" s="165">
        <v>1409192</v>
      </c>
      <c r="K63" s="165">
        <v>1462135</v>
      </c>
      <c r="L63" s="165">
        <v>1554029</v>
      </c>
      <c r="M63" s="165">
        <v>1603303</v>
      </c>
      <c r="N63" s="165">
        <v>1689260</v>
      </c>
      <c r="O63" s="165">
        <v>1806872</v>
      </c>
      <c r="P63" s="165">
        <v>1921533</v>
      </c>
      <c r="Q63" s="165">
        <v>1955287</v>
      </c>
      <c r="R63" s="165">
        <v>2043913</v>
      </c>
      <c r="S63" s="165">
        <f>SUM(S58:S62)</f>
        <v>2165496</v>
      </c>
      <c r="T63" s="165">
        <f>SUM(T58:T62)</f>
        <v>2260354</v>
      </c>
      <c r="U63" s="165">
        <f>SUM(U58:U62)</f>
        <v>2433892</v>
      </c>
      <c r="V63" s="12"/>
    </row>
    <row r="64" spans="1:22" s="11" customFormat="1" ht="18" customHeight="1">
      <c r="A64" s="13"/>
      <c r="B64" s="11" t="s">
        <v>91</v>
      </c>
      <c r="E64" s="154"/>
      <c r="F64" s="74"/>
      <c r="G64" s="74"/>
      <c r="H64" s="74"/>
      <c r="I64" s="74"/>
      <c r="J64" s="74"/>
      <c r="K64" s="74"/>
      <c r="L64" s="74"/>
      <c r="M64" s="74"/>
      <c r="N64" s="74"/>
      <c r="O64" s="74"/>
      <c r="P64" s="74"/>
      <c r="Q64" s="74"/>
      <c r="R64" s="74"/>
      <c r="S64" s="74"/>
      <c r="T64" s="74"/>
      <c r="U64" s="74"/>
      <c r="V64" s="12"/>
    </row>
    <row r="65" spans="1:22" s="11" customFormat="1">
      <c r="A65" s="13">
        <v>37</v>
      </c>
      <c r="C65" s="9" t="s">
        <v>39</v>
      </c>
      <c r="E65" s="154"/>
      <c r="F65" s="166"/>
      <c r="G65" s="166"/>
      <c r="H65" s="166"/>
      <c r="I65" s="166"/>
      <c r="J65" s="166"/>
      <c r="K65" s="166"/>
      <c r="L65" s="166"/>
      <c r="M65" s="166"/>
      <c r="N65" s="166"/>
      <c r="O65" s="166"/>
      <c r="P65" s="166"/>
      <c r="Q65" s="167">
        <v>3744</v>
      </c>
      <c r="R65" s="167">
        <v>4369</v>
      </c>
      <c r="S65" s="167">
        <v>17667</v>
      </c>
      <c r="T65" s="167">
        <v>20242</v>
      </c>
      <c r="U65" s="167">
        <v>24943</v>
      </c>
      <c r="V65" s="12"/>
    </row>
    <row r="66" spans="1:22" s="11" customFormat="1">
      <c r="A66" s="13">
        <v>38</v>
      </c>
      <c r="C66" s="11" t="s">
        <v>38</v>
      </c>
      <c r="E66" s="154"/>
      <c r="F66" s="166"/>
      <c r="G66" s="166"/>
      <c r="H66" s="166"/>
      <c r="I66" s="166"/>
      <c r="J66" s="166"/>
      <c r="K66" s="166"/>
      <c r="L66" s="166"/>
      <c r="M66" s="166"/>
      <c r="N66" s="166"/>
      <c r="O66" s="166"/>
      <c r="P66" s="166"/>
      <c r="Q66" s="167">
        <v>286300</v>
      </c>
      <c r="R66" s="167">
        <v>300170</v>
      </c>
      <c r="S66" s="167">
        <v>314599</v>
      </c>
      <c r="T66" s="167">
        <v>325531</v>
      </c>
      <c r="U66" s="167">
        <v>342899</v>
      </c>
      <c r="V66" s="12"/>
    </row>
    <row r="67" spans="1:22" s="11" customFormat="1">
      <c r="A67" s="13">
        <v>39</v>
      </c>
      <c r="C67" s="11" t="s">
        <v>37</v>
      </c>
      <c r="E67" s="154"/>
      <c r="F67" s="166"/>
      <c r="G67" s="166"/>
      <c r="H67" s="166"/>
      <c r="I67" s="166"/>
      <c r="J67" s="166"/>
      <c r="K67" s="166"/>
      <c r="L67" s="166"/>
      <c r="M67" s="166"/>
      <c r="N67" s="166"/>
      <c r="O67" s="166"/>
      <c r="P67" s="166"/>
      <c r="Q67" s="167">
        <v>111144</v>
      </c>
      <c r="R67" s="167">
        <v>116316</v>
      </c>
      <c r="S67" s="167">
        <v>122308</v>
      </c>
      <c r="T67" s="167">
        <v>123869</v>
      </c>
      <c r="U67" s="167">
        <v>129936</v>
      </c>
      <c r="V67" s="12"/>
    </row>
    <row r="68" spans="1:22" s="11" customFormat="1">
      <c r="A68" s="13">
        <v>40</v>
      </c>
      <c r="C68" s="11" t="s">
        <v>36</v>
      </c>
      <c r="E68" s="154"/>
      <c r="F68" s="166"/>
      <c r="G68" s="166"/>
      <c r="H68" s="166"/>
      <c r="I68" s="166"/>
      <c r="J68" s="166"/>
      <c r="K68" s="166"/>
      <c r="L68" s="166"/>
      <c r="M68" s="166"/>
      <c r="N68" s="166"/>
      <c r="O68" s="166"/>
      <c r="P68" s="166"/>
      <c r="Q68" s="167">
        <v>209101</v>
      </c>
      <c r="R68" s="167">
        <v>221408</v>
      </c>
      <c r="S68" s="167">
        <v>236201</v>
      </c>
      <c r="T68" s="167">
        <v>252722</v>
      </c>
      <c r="U68" s="167">
        <v>273578</v>
      </c>
      <c r="V68" s="12"/>
    </row>
    <row r="69" spans="1:22" s="11" customFormat="1">
      <c r="A69" s="13">
        <v>41</v>
      </c>
      <c r="C69" s="11" t="s">
        <v>35</v>
      </c>
      <c r="E69" s="154"/>
      <c r="F69" s="166"/>
      <c r="G69" s="166"/>
      <c r="H69" s="166"/>
      <c r="I69" s="166"/>
      <c r="J69" s="166"/>
      <c r="K69" s="166"/>
      <c r="L69" s="166"/>
      <c r="M69" s="166"/>
      <c r="N69" s="166"/>
      <c r="O69" s="166"/>
      <c r="P69" s="166"/>
      <c r="Q69" s="238">
        <v>56694</v>
      </c>
      <c r="R69" s="238">
        <v>61871</v>
      </c>
      <c r="S69" s="238">
        <v>58357</v>
      </c>
      <c r="T69" s="238">
        <v>65720</v>
      </c>
      <c r="U69" s="693">
        <v>73050</v>
      </c>
      <c r="V69" s="12"/>
    </row>
    <row r="70" spans="1:22" s="11" customFormat="1">
      <c r="A70" s="13">
        <v>42</v>
      </c>
      <c r="B70" s="11" t="s">
        <v>92</v>
      </c>
      <c r="E70" s="154"/>
      <c r="F70" s="162">
        <v>348345</v>
      </c>
      <c r="G70" s="162">
        <v>359654</v>
      </c>
      <c r="H70" s="162">
        <v>418593</v>
      </c>
      <c r="I70" s="162">
        <v>450096</v>
      </c>
      <c r="J70" s="162">
        <v>475935</v>
      </c>
      <c r="K70" s="162">
        <v>503194</v>
      </c>
      <c r="L70" s="162">
        <v>536682</v>
      </c>
      <c r="M70" s="162">
        <v>567320</v>
      </c>
      <c r="N70" s="162">
        <v>600292</v>
      </c>
      <c r="O70" s="162">
        <v>632110</v>
      </c>
      <c r="P70" s="162">
        <v>676635</v>
      </c>
      <c r="Q70" s="162">
        <v>666983</v>
      </c>
      <c r="R70" s="162">
        <v>704134</v>
      </c>
      <c r="S70" s="162">
        <f>SUM(S65:S69)</f>
        <v>749132</v>
      </c>
      <c r="T70" s="162">
        <f>SUM(T65:T69)</f>
        <v>788084</v>
      </c>
      <c r="U70" s="162">
        <f>SUM(U65:U69)</f>
        <v>844406</v>
      </c>
      <c r="V70" s="12"/>
    </row>
    <row r="71" spans="1:22" s="11" customFormat="1">
      <c r="A71" s="13">
        <v>43</v>
      </c>
      <c r="B71" s="11" t="s">
        <v>93</v>
      </c>
      <c r="E71" s="154"/>
      <c r="F71" s="165">
        <v>674238</v>
      </c>
      <c r="G71" s="165">
        <v>706998</v>
      </c>
      <c r="H71" s="165">
        <v>876903</v>
      </c>
      <c r="I71" s="165">
        <v>881676</v>
      </c>
      <c r="J71" s="165">
        <v>933257</v>
      </c>
      <c r="K71" s="165">
        <v>958941</v>
      </c>
      <c r="L71" s="165">
        <v>1017347</v>
      </c>
      <c r="M71" s="165">
        <v>1035983</v>
      </c>
      <c r="N71" s="165">
        <v>1088968</v>
      </c>
      <c r="O71" s="165">
        <v>1174762</v>
      </c>
      <c r="P71" s="165">
        <v>1244898</v>
      </c>
      <c r="Q71" s="165">
        <v>1288304</v>
      </c>
      <c r="R71" s="165">
        <v>1339779</v>
      </c>
      <c r="S71" s="165">
        <f>S63-S70</f>
        <v>1416364</v>
      </c>
      <c r="T71" s="165">
        <f>T63-T70</f>
        <v>1472270</v>
      </c>
      <c r="U71" s="165">
        <f>U63-U70</f>
        <v>1589486</v>
      </c>
      <c r="V71" s="12"/>
    </row>
    <row r="72" spans="1:22" s="11" customFormat="1" ht="6.75" customHeight="1">
      <c r="A72" s="13"/>
      <c r="E72" s="154"/>
      <c r="F72" s="162"/>
      <c r="G72" s="162"/>
      <c r="H72" s="162"/>
      <c r="I72" s="162"/>
      <c r="J72" s="162"/>
      <c r="K72" s="162"/>
      <c r="L72" s="162"/>
      <c r="M72" s="162"/>
      <c r="N72" s="162"/>
      <c r="O72" s="162"/>
      <c r="P72" s="162"/>
      <c r="Q72" s="162"/>
      <c r="R72" s="162"/>
      <c r="S72" s="162"/>
      <c r="T72" s="162"/>
      <c r="U72" s="162"/>
      <c r="V72" s="12"/>
    </row>
    <row r="73" spans="1:22" s="11" customFormat="1">
      <c r="A73" s="10">
        <v>44</v>
      </c>
      <c r="B73" s="11" t="s">
        <v>32</v>
      </c>
      <c r="E73" s="154"/>
      <c r="F73" s="162">
        <v>-104246</v>
      </c>
      <c r="G73" s="162">
        <v>-108113</v>
      </c>
      <c r="H73" s="162">
        <v>-113807</v>
      </c>
      <c r="I73" s="162">
        <v>-138127</v>
      </c>
      <c r="J73" s="162">
        <v>-154531</v>
      </c>
      <c r="K73" s="162">
        <v>-138256</v>
      </c>
      <c r="L73" s="162">
        <v>-142383</v>
      </c>
      <c r="M73" s="162">
        <v>-143546</v>
      </c>
      <c r="N73" s="162">
        <v>-151677</v>
      </c>
      <c r="O73" s="162">
        <v>-169421</v>
      </c>
      <c r="P73" s="162">
        <v>-190931</v>
      </c>
      <c r="Q73" s="162">
        <v>-201163</v>
      </c>
      <c r="R73" s="162">
        <v>-208209</v>
      </c>
      <c r="S73" s="162">
        <v>-221354</v>
      </c>
      <c r="T73" s="162">
        <v>-257766</v>
      </c>
      <c r="U73" s="162">
        <v>-317860</v>
      </c>
      <c r="V73" s="12"/>
    </row>
    <row r="74" spans="1:22" s="11" customFormat="1">
      <c r="A74" s="10">
        <v>45</v>
      </c>
      <c r="C74" s="11" t="s">
        <v>94</v>
      </c>
      <c r="E74" s="154"/>
      <c r="F74" s="165">
        <v>569992</v>
      </c>
      <c r="G74" s="165">
        <v>598885</v>
      </c>
      <c r="H74" s="165">
        <v>763096</v>
      </c>
      <c r="I74" s="165">
        <v>743549</v>
      </c>
      <c r="J74" s="165">
        <v>778726</v>
      </c>
      <c r="K74" s="165">
        <v>820685</v>
      </c>
      <c r="L74" s="165">
        <v>874964</v>
      </c>
      <c r="M74" s="165">
        <v>892437</v>
      </c>
      <c r="N74" s="165">
        <v>937291</v>
      </c>
      <c r="O74" s="165">
        <v>1005341</v>
      </c>
      <c r="P74" s="165">
        <v>1053967</v>
      </c>
      <c r="Q74" s="165">
        <v>1087141</v>
      </c>
      <c r="R74" s="165">
        <v>1131570</v>
      </c>
      <c r="S74" s="165">
        <f>S71+S73</f>
        <v>1195010</v>
      </c>
      <c r="T74" s="165">
        <f>T71+T73</f>
        <v>1214504</v>
      </c>
      <c r="U74" s="165">
        <f>U71+U73</f>
        <v>1271626</v>
      </c>
      <c r="V74" s="12"/>
    </row>
    <row r="75" spans="1:22" s="11" customFormat="1">
      <c r="A75" s="13">
        <v>46</v>
      </c>
      <c r="B75" s="11" t="s">
        <v>95</v>
      </c>
      <c r="E75" s="154"/>
      <c r="F75" s="162">
        <v>-1500</v>
      </c>
      <c r="G75" s="162">
        <v>-1370</v>
      </c>
      <c r="H75" s="162">
        <v>-1238</v>
      </c>
      <c r="I75" s="162">
        <v>-1106</v>
      </c>
      <c r="J75" s="162">
        <v>-715</v>
      </c>
      <c r="K75" s="162">
        <v>-843</v>
      </c>
      <c r="L75" s="162">
        <v>-453</v>
      </c>
      <c r="M75" s="162">
        <v>-582</v>
      </c>
      <c r="N75" s="162">
        <v>-451</v>
      </c>
      <c r="O75" s="162">
        <v>-322</v>
      </c>
      <c r="P75" s="162">
        <v>-127</v>
      </c>
      <c r="Q75" s="162">
        <v>32534</v>
      </c>
      <c r="R75" s="162">
        <v>16438</v>
      </c>
      <c r="S75" s="162">
        <v>14761</v>
      </c>
      <c r="T75" s="162">
        <v>10846</v>
      </c>
      <c r="U75" s="162">
        <v>7458</v>
      </c>
      <c r="V75" s="12"/>
    </row>
    <row r="76" spans="1:22" s="11" customFormat="1">
      <c r="A76" s="13">
        <v>47</v>
      </c>
      <c r="B76" s="11" t="s">
        <v>33</v>
      </c>
      <c r="E76" s="154"/>
      <c r="F76" s="162"/>
      <c r="G76" s="162"/>
      <c r="H76" s="162"/>
      <c r="I76" s="162"/>
      <c r="J76" s="162"/>
      <c r="K76" s="162"/>
      <c r="L76" s="162"/>
      <c r="M76" s="162"/>
      <c r="N76" s="162"/>
      <c r="O76" s="162"/>
      <c r="P76" s="162">
        <v>18188</v>
      </c>
      <c r="Q76" s="162">
        <v>18188</v>
      </c>
      <c r="R76" s="162">
        <v>10967</v>
      </c>
      <c r="S76" s="162">
        <v>16281</v>
      </c>
      <c r="T76" s="162">
        <v>47807</v>
      </c>
      <c r="U76" s="162">
        <v>59722</v>
      </c>
      <c r="V76" s="12"/>
    </row>
    <row r="77" spans="1:22" s="11" customFormat="1">
      <c r="A77" s="10"/>
      <c r="E77" s="154"/>
      <c r="F77" s="74"/>
      <c r="G77" s="74"/>
      <c r="H77" s="74"/>
      <c r="I77" s="74"/>
      <c r="J77" s="74"/>
      <c r="K77" s="74"/>
      <c r="L77" s="74"/>
      <c r="M77" s="74"/>
      <c r="N77" s="74"/>
      <c r="O77" s="74"/>
      <c r="P77" s="74"/>
      <c r="Q77" s="74"/>
      <c r="R77" s="74"/>
      <c r="S77" s="74"/>
      <c r="T77" s="74"/>
      <c r="U77" s="74"/>
      <c r="V77" s="12"/>
    </row>
    <row r="78" spans="1:22" s="9" customFormat="1" ht="13.5" thickBot="1">
      <c r="A78" s="8">
        <v>48</v>
      </c>
      <c r="B78" s="9" t="s">
        <v>31</v>
      </c>
      <c r="E78" s="154"/>
      <c r="F78" s="168">
        <v>568492</v>
      </c>
      <c r="G78" s="168">
        <v>597515</v>
      </c>
      <c r="H78" s="168">
        <v>761858</v>
      </c>
      <c r="I78" s="168">
        <v>742443</v>
      </c>
      <c r="J78" s="168">
        <v>778011</v>
      </c>
      <c r="K78" s="168">
        <v>819842</v>
      </c>
      <c r="L78" s="168">
        <v>874511</v>
      </c>
      <c r="M78" s="168">
        <v>891855</v>
      </c>
      <c r="N78" s="168">
        <v>936840</v>
      </c>
      <c r="O78" s="168">
        <v>1005019</v>
      </c>
      <c r="P78" s="168">
        <v>1072028</v>
      </c>
      <c r="Q78" s="168">
        <v>1137863</v>
      </c>
      <c r="R78" s="168">
        <v>1158975</v>
      </c>
      <c r="S78" s="168">
        <f>SUM(S74:S76)</f>
        <v>1226052</v>
      </c>
      <c r="T78" s="168">
        <f>SUM(T74:T76)</f>
        <v>1273157</v>
      </c>
      <c r="U78" s="168">
        <f>SUM(U74:U76)</f>
        <v>1338806</v>
      </c>
      <c r="V78" s="417"/>
    </row>
    <row r="79" spans="1:22" ht="18" customHeight="1" thickTop="1">
      <c r="A79" s="8">
        <v>49</v>
      </c>
      <c r="B79" s="3" t="s">
        <v>30</v>
      </c>
      <c r="F79" s="32">
        <f>F54/F78</f>
        <v>4.8051687622693018E-2</v>
      </c>
      <c r="G79" s="32">
        <f t="shared" ref="G79:R79" si="0">G54/G78</f>
        <v>0.10795938940446513</v>
      </c>
      <c r="H79" s="32">
        <f t="shared" si="0"/>
        <v>8.1531606334195206E-2</v>
      </c>
      <c r="I79" s="32">
        <f t="shared" si="0"/>
        <v>9.1978265071500739E-2</v>
      </c>
      <c r="J79" s="32">
        <f t="shared" si="0"/>
        <v>7.1269241781789394E-2</v>
      </c>
      <c r="K79" s="32">
        <f t="shared" si="0"/>
        <v>6.8436995335226222E-2</v>
      </c>
      <c r="L79" s="32">
        <f t="shared" si="0"/>
        <v>5.8669908218855239E-2</v>
      </c>
      <c r="M79" s="32">
        <f t="shared" si="0"/>
        <v>6.9174342718266987E-2</v>
      </c>
      <c r="N79" s="32">
        <f t="shared" si="0"/>
        <v>7.3616754408436874E-2</v>
      </c>
      <c r="O79" s="32">
        <f t="shared" si="0"/>
        <v>6.9727586344138767E-2</v>
      </c>
      <c r="P79" s="32">
        <f t="shared" si="0"/>
        <v>7.1700524951960151E-2</v>
      </c>
      <c r="Q79" s="32">
        <f t="shared" si="0"/>
        <v>6.5644859170216424E-2</v>
      </c>
      <c r="R79" s="32">
        <f t="shared" si="0"/>
        <v>7.1575500960935276E-2</v>
      </c>
      <c r="S79" s="32">
        <f t="shared" ref="S79:U79" si="1">S54/S78</f>
        <v>7.5246400642060854E-2</v>
      </c>
      <c r="T79" s="32">
        <f t="shared" si="1"/>
        <v>7.9411258784266192E-2</v>
      </c>
      <c r="U79" s="32">
        <f t="shared" si="1"/>
        <v>7.2795461030201541E-2</v>
      </c>
    </row>
    <row r="83" spans="1:15" s="5" customFormat="1">
      <c r="A83" s="59"/>
      <c r="E83" s="154"/>
      <c r="F83" s="4"/>
      <c r="K83" s="4"/>
      <c r="N83" s="51"/>
      <c r="O83" s="4"/>
    </row>
    <row r="84" spans="1:15">
      <c r="D84" s="34"/>
    </row>
  </sheetData>
  <pageMargins left="0.7" right="0.51" top="0.23" bottom="0.2" header="0.51" footer="0.5"/>
  <pageSetup scale="55" firstPageNumber="4" fitToWidth="3" orientation="landscape" r:id="rId1"/>
  <headerFooter scaleWithDoc="0" alignWithMargins="0">
    <oddFooter>&amp;C&amp;F / &amp;A</oddFooter>
  </headerFooter>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sheetPr>
  <dimension ref="A1:Z54"/>
  <sheetViews>
    <sheetView workbookViewId="0">
      <selection sqref="A1:Q1"/>
    </sheetView>
  </sheetViews>
  <sheetFormatPr defaultColWidth="8.85546875" defaultRowHeight="12.75"/>
  <cols>
    <col min="1" max="1" width="34.7109375" style="154" customWidth="1"/>
    <col min="2" max="3" width="0" style="154" hidden="1" customWidth="1"/>
    <col min="4" max="4" width="5.5703125" style="154" hidden="1" customWidth="1"/>
    <col min="5" max="7" width="13.42578125" style="7" hidden="1" customWidth="1"/>
    <col min="8" max="9" width="13.42578125" style="7" customWidth="1"/>
    <col min="10" max="10" width="13.42578125" style="27" customWidth="1"/>
    <col min="11" max="15" width="13.42578125" style="7" customWidth="1"/>
    <col min="16" max="16" width="12.85546875" style="7" customWidth="1"/>
    <col min="17" max="17" width="12.28515625" style="7" customWidth="1"/>
    <col min="18" max="18" width="12.85546875" style="154" customWidth="1"/>
    <col min="19" max="19" width="13.42578125" style="384" customWidth="1"/>
    <col min="20" max="20" width="13.42578125" style="27" customWidth="1"/>
    <col min="21" max="16384" width="8.85546875" style="154"/>
  </cols>
  <sheetData>
    <row r="1" spans="1:21">
      <c r="A1" s="786" t="s">
        <v>4</v>
      </c>
      <c r="B1" s="786"/>
      <c r="C1" s="786"/>
      <c r="D1" s="786"/>
      <c r="E1" s="786"/>
      <c r="F1" s="786"/>
      <c r="G1" s="786"/>
      <c r="H1" s="786"/>
      <c r="I1" s="786"/>
      <c r="J1" s="786"/>
      <c r="K1" s="786"/>
      <c r="L1" s="786"/>
      <c r="M1" s="786"/>
      <c r="N1" s="786"/>
      <c r="O1" s="786"/>
      <c r="P1" s="786"/>
      <c r="Q1" s="786"/>
    </row>
    <row r="2" spans="1:21">
      <c r="A2" s="787" t="s">
        <v>5</v>
      </c>
      <c r="B2" s="787"/>
      <c r="C2" s="787"/>
      <c r="D2" s="787"/>
      <c r="E2" s="787"/>
      <c r="F2" s="787"/>
      <c r="G2" s="787"/>
      <c r="H2" s="787"/>
      <c r="I2" s="787"/>
      <c r="J2" s="787"/>
      <c r="K2" s="787"/>
      <c r="L2" s="787"/>
      <c r="M2" s="787"/>
      <c r="N2" s="787"/>
      <c r="O2" s="787"/>
      <c r="P2" s="787"/>
      <c r="Q2" s="787"/>
    </row>
    <row r="3" spans="1:21">
      <c r="D3" s="42"/>
    </row>
    <row r="4" spans="1:21">
      <c r="D4" s="42"/>
      <c r="E4" s="788" t="s">
        <v>27</v>
      </c>
      <c r="F4" s="788"/>
      <c r="G4" s="788"/>
      <c r="H4" s="788"/>
      <c r="I4" s="788"/>
      <c r="J4" s="788"/>
      <c r="K4" s="788"/>
      <c r="L4" s="788"/>
      <c r="M4" s="788"/>
      <c r="N4" s="788"/>
      <c r="O4" s="788"/>
      <c r="P4" s="788"/>
      <c r="Q4" s="788"/>
    </row>
    <row r="5" spans="1:21">
      <c r="D5" s="42"/>
      <c r="E5" s="789" t="s">
        <v>133</v>
      </c>
      <c r="F5" s="790"/>
      <c r="G5" s="790"/>
      <c r="H5" s="790"/>
      <c r="I5" s="790"/>
      <c r="J5" s="790"/>
      <c r="K5" s="790"/>
      <c r="L5" s="790"/>
      <c r="M5" s="790"/>
      <c r="N5" s="790"/>
      <c r="O5" s="790"/>
      <c r="P5" s="790"/>
      <c r="Q5" s="790"/>
      <c r="S5" s="63"/>
      <c r="T5" s="63" t="s">
        <v>354</v>
      </c>
    </row>
    <row r="6" spans="1:21">
      <c r="D6" s="43"/>
      <c r="E6" s="174">
        <v>2000</v>
      </c>
      <c r="F6" s="109">
        <v>2001</v>
      </c>
      <c r="G6" s="109">
        <v>2002</v>
      </c>
      <c r="H6" s="109">
        <v>2003</v>
      </c>
      <c r="I6" s="109">
        <v>2004</v>
      </c>
      <c r="J6" s="109">
        <v>2005</v>
      </c>
      <c r="K6" s="109">
        <v>2006</v>
      </c>
      <c r="L6" s="109">
        <v>2007</v>
      </c>
      <c r="M6" s="109">
        <v>2008</v>
      </c>
      <c r="N6" s="109">
        <v>2009</v>
      </c>
      <c r="O6" s="109">
        <v>2010</v>
      </c>
      <c r="P6" s="175">
        <v>2011</v>
      </c>
      <c r="Q6" s="175">
        <v>2012</v>
      </c>
      <c r="R6" s="175">
        <v>2013</v>
      </c>
      <c r="S6" s="175">
        <v>2014</v>
      </c>
      <c r="T6" s="418">
        <v>9.2014999999999993</v>
      </c>
    </row>
    <row r="7" spans="1:21">
      <c r="A7" s="154" t="s">
        <v>7</v>
      </c>
      <c r="D7" s="1"/>
      <c r="E7" s="96">
        <v>0.66290000000000004</v>
      </c>
      <c r="F7" s="96">
        <v>0.67479999999999996</v>
      </c>
      <c r="G7" s="96">
        <v>0.64119999999999999</v>
      </c>
      <c r="H7" s="96">
        <v>0.65480000000000005</v>
      </c>
      <c r="I7" s="96">
        <v>0.65159999999999996</v>
      </c>
      <c r="J7" s="96">
        <v>0.65369999999999995</v>
      </c>
      <c r="K7" s="96">
        <v>0.6583</v>
      </c>
      <c r="L7" s="96">
        <v>0.64590000000000003</v>
      </c>
      <c r="M7" s="96">
        <v>0.64419999999999999</v>
      </c>
      <c r="N7" s="96">
        <v>0.64870000000000005</v>
      </c>
      <c r="O7" s="96">
        <v>0.65159999999999996</v>
      </c>
      <c r="P7" s="176">
        <v>0.65239999999999998</v>
      </c>
      <c r="Q7" s="176">
        <v>0.65010000000000001</v>
      </c>
      <c r="R7" s="176">
        <v>0.65190000000000003</v>
      </c>
      <c r="S7" s="176">
        <v>0.64710000000000001</v>
      </c>
      <c r="T7" s="419">
        <v>0.64710000000000001</v>
      </c>
    </row>
    <row r="8" spans="1:21">
      <c r="E8" s="176"/>
      <c r="F8" s="176"/>
      <c r="G8" s="176"/>
      <c r="H8" s="176"/>
      <c r="I8" s="176"/>
      <c r="J8" s="176"/>
      <c r="K8" s="176"/>
      <c r="L8" s="176"/>
      <c r="M8" s="176"/>
      <c r="N8" s="176"/>
      <c r="O8" s="176"/>
      <c r="P8" s="176"/>
      <c r="Q8" s="176"/>
      <c r="R8" s="176"/>
      <c r="S8" s="176"/>
      <c r="T8" s="419"/>
    </row>
    <row r="9" spans="1:21">
      <c r="A9" s="154" t="s">
        <v>8</v>
      </c>
      <c r="D9" s="44"/>
      <c r="E9" s="110">
        <v>135976.0367</v>
      </c>
      <c r="F9" s="110">
        <v>90880</v>
      </c>
      <c r="G9" s="110">
        <v>31728</v>
      </c>
      <c r="H9" s="110">
        <v>35221</v>
      </c>
      <c r="I9" s="110">
        <v>40439</v>
      </c>
      <c r="J9" s="110">
        <v>44689.546799999996</v>
      </c>
      <c r="K9" s="110">
        <v>35381</v>
      </c>
      <c r="L9" s="110">
        <v>34954</v>
      </c>
      <c r="M9" s="110">
        <v>46849</v>
      </c>
      <c r="N9" s="110">
        <v>30933.259500000004</v>
      </c>
      <c r="O9" s="110">
        <v>132773.274</v>
      </c>
      <c r="P9" s="110">
        <v>52603.011999999995</v>
      </c>
      <c r="Q9" s="110">
        <v>54547.940699999999</v>
      </c>
      <c r="R9" s="110">
        <v>75350</v>
      </c>
      <c r="S9" s="110">
        <v>60998</v>
      </c>
      <c r="T9" s="326" t="e">
        <f>#REF!</f>
        <v>#REF!</v>
      </c>
    </row>
    <row r="10" spans="1:21">
      <c r="A10" s="154" t="s">
        <v>9</v>
      </c>
      <c r="D10" s="45"/>
      <c r="E10" s="111">
        <v>300.2937</v>
      </c>
      <c r="F10" s="111">
        <v>281</v>
      </c>
      <c r="G10" s="111">
        <v>38</v>
      </c>
      <c r="H10" s="111">
        <v>297</v>
      </c>
      <c r="I10" s="111">
        <v>238</v>
      </c>
      <c r="J10" s="111">
        <v>124.85669999999999</v>
      </c>
      <c r="K10" s="111">
        <v>153</v>
      </c>
      <c r="L10" s="111">
        <v>200</v>
      </c>
      <c r="M10" s="111">
        <v>198</v>
      </c>
      <c r="N10" s="111">
        <v>247.15470000000002</v>
      </c>
      <c r="O10" s="111">
        <v>183.75119999999998</v>
      </c>
      <c r="P10" s="111">
        <v>330.76679999999999</v>
      </c>
      <c r="Q10" s="111">
        <v>303.5967</v>
      </c>
      <c r="R10" s="111">
        <v>282</v>
      </c>
      <c r="S10" s="111">
        <v>307</v>
      </c>
      <c r="T10" s="316" t="e">
        <f>#REF!</f>
        <v>#REF!</v>
      </c>
    </row>
    <row r="11" spans="1:21">
      <c r="A11" s="154" t="s">
        <v>10</v>
      </c>
      <c r="D11" s="45"/>
      <c r="E11" s="111">
        <v>43.751400000000004</v>
      </c>
      <c r="F11" s="111">
        <v>0</v>
      </c>
      <c r="G11" s="111">
        <v>30</v>
      </c>
      <c r="H11" s="111">
        <v>16</v>
      </c>
      <c r="I11" s="111">
        <v>16</v>
      </c>
      <c r="J11" s="111">
        <v>12.420299999999999</v>
      </c>
      <c r="K11" s="111">
        <v>14</v>
      </c>
      <c r="L11" s="111">
        <v>14</v>
      </c>
      <c r="M11" s="111">
        <v>16</v>
      </c>
      <c r="N11" s="111">
        <v>18.8123</v>
      </c>
      <c r="O11" s="111">
        <v>0</v>
      </c>
      <c r="P11" s="111">
        <v>0</v>
      </c>
      <c r="Q11" s="111">
        <v>0</v>
      </c>
      <c r="R11" s="111">
        <v>0</v>
      </c>
      <c r="S11" s="111">
        <v>0</v>
      </c>
      <c r="T11" s="316" t="e">
        <f>#REF!</f>
        <v>#REF!</v>
      </c>
    </row>
    <row r="12" spans="1:21">
      <c r="A12" s="260" t="s">
        <v>11</v>
      </c>
      <c r="D12" s="46"/>
      <c r="E12" s="181">
        <v>10967.6805</v>
      </c>
      <c r="F12" s="181">
        <v>11862</v>
      </c>
      <c r="G12" s="181">
        <v>25225</v>
      </c>
      <c r="H12" s="181">
        <v>46826</v>
      </c>
      <c r="I12" s="181">
        <v>31</v>
      </c>
      <c r="J12" s="181">
        <v>41.836799999999997</v>
      </c>
      <c r="K12" s="181">
        <v>31</v>
      </c>
      <c r="L12" s="181">
        <v>7</v>
      </c>
      <c r="M12" s="181">
        <v>2</v>
      </c>
      <c r="N12" s="181">
        <v>93.412800000000004</v>
      </c>
      <c r="O12" s="181">
        <v>456.11999999999995</v>
      </c>
      <c r="P12" s="181">
        <v>1420.9271999999999</v>
      </c>
      <c r="Q12" s="181">
        <v>1122.7227</v>
      </c>
      <c r="R12" s="181">
        <v>0</v>
      </c>
      <c r="S12" s="181">
        <v>2592</v>
      </c>
      <c r="T12" s="325" t="e">
        <f>#REF!</f>
        <v>#REF!</v>
      </c>
      <c r="U12" s="285" t="s">
        <v>395</v>
      </c>
    </row>
    <row r="13" spans="1:21" s="179" customFormat="1">
      <c r="A13" s="179" t="s">
        <v>228</v>
      </c>
      <c r="D13" s="46"/>
      <c r="E13" s="181"/>
      <c r="F13" s="181"/>
      <c r="G13" s="181"/>
      <c r="H13" s="181"/>
      <c r="I13" s="181"/>
      <c r="J13" s="181"/>
      <c r="K13" s="181"/>
      <c r="L13" s="181"/>
      <c r="M13" s="181"/>
      <c r="N13" s="181"/>
      <c r="O13" s="181"/>
      <c r="P13" s="181"/>
      <c r="Q13" s="181">
        <v>63</v>
      </c>
      <c r="R13" s="181">
        <v>0</v>
      </c>
      <c r="S13" s="181">
        <v>163</v>
      </c>
      <c r="T13" s="325" t="e">
        <f>#REF!</f>
        <v>#REF!</v>
      </c>
      <c r="U13" s="285" t="s">
        <v>395</v>
      </c>
    </row>
    <row r="14" spans="1:21">
      <c r="A14" s="154" t="s">
        <v>12</v>
      </c>
      <c r="D14" s="46"/>
      <c r="E14" s="182">
        <f>SUM(E9:E12)</f>
        <v>147287.7623</v>
      </c>
      <c r="F14" s="182">
        <f t="shared" ref="F14:Q14" si="0">SUM(F9:F12)</f>
        <v>103023</v>
      </c>
      <c r="G14" s="182">
        <f t="shared" si="0"/>
        <v>57021</v>
      </c>
      <c r="H14" s="182">
        <f t="shared" si="0"/>
        <v>82360</v>
      </c>
      <c r="I14" s="182">
        <f t="shared" si="0"/>
        <v>40724</v>
      </c>
      <c r="J14" s="182">
        <f t="shared" si="0"/>
        <v>44868.660599999988</v>
      </c>
      <c r="K14" s="182">
        <f t="shared" si="0"/>
        <v>35579</v>
      </c>
      <c r="L14" s="182">
        <f t="shared" si="0"/>
        <v>35175</v>
      </c>
      <c r="M14" s="182">
        <f t="shared" si="0"/>
        <v>47065</v>
      </c>
      <c r="N14" s="182">
        <f t="shared" si="0"/>
        <v>31292.639300000003</v>
      </c>
      <c r="O14" s="182">
        <f t="shared" si="0"/>
        <v>133413.1452</v>
      </c>
      <c r="P14" s="182">
        <f t="shared" si="0"/>
        <v>54354.705999999991</v>
      </c>
      <c r="Q14" s="182">
        <f t="shared" si="0"/>
        <v>55974.2601</v>
      </c>
      <c r="R14" s="182">
        <f>SUM(R9:R13)</f>
        <v>75632</v>
      </c>
      <c r="S14" s="182">
        <v>64060</v>
      </c>
      <c r="T14" s="420" t="e">
        <f>SUM(T9:T13)</f>
        <v>#REF!</v>
      </c>
    </row>
    <row r="15" spans="1:21">
      <c r="D15" s="46"/>
      <c r="E15" s="111"/>
      <c r="F15" s="111"/>
      <c r="G15" s="111"/>
      <c r="H15" s="111"/>
      <c r="I15" s="111"/>
      <c r="J15" s="111"/>
      <c r="K15" s="111"/>
      <c r="L15" s="111"/>
      <c r="M15" s="111"/>
      <c r="N15" s="111"/>
      <c r="O15" s="111"/>
      <c r="P15" s="111"/>
      <c r="Q15" s="111"/>
      <c r="R15" s="111"/>
      <c r="S15" s="111"/>
      <c r="T15" s="316"/>
    </row>
    <row r="16" spans="1:21">
      <c r="D16" s="46"/>
      <c r="E16" s="111"/>
      <c r="F16" s="111"/>
      <c r="G16" s="111"/>
      <c r="H16" s="111"/>
      <c r="I16" s="111"/>
      <c r="J16" s="111"/>
      <c r="K16" s="111"/>
      <c r="L16" s="111"/>
      <c r="M16" s="111"/>
      <c r="N16" s="111"/>
      <c r="O16" s="111"/>
      <c r="P16" s="111"/>
      <c r="Q16" s="111"/>
      <c r="R16" s="111"/>
      <c r="S16" s="111"/>
      <c r="T16" s="316"/>
    </row>
    <row r="17" spans="1:26">
      <c r="A17" s="154" t="s">
        <v>13</v>
      </c>
      <c r="D17" s="46"/>
      <c r="E17" s="111">
        <v>18358.352600000002</v>
      </c>
      <c r="F17" s="111">
        <v>10164</v>
      </c>
      <c r="G17" s="111">
        <v>9430</v>
      </c>
      <c r="H17" s="111">
        <v>12014</v>
      </c>
      <c r="I17" s="111">
        <v>12358</v>
      </c>
      <c r="J17" s="111">
        <v>12956.9877</v>
      </c>
      <c r="K17" s="111">
        <v>15914</v>
      </c>
      <c r="L17" s="111">
        <v>16710</v>
      </c>
      <c r="M17" s="111">
        <v>18086</v>
      </c>
      <c r="N17" s="111">
        <v>16203.228600000002</v>
      </c>
      <c r="O17" s="111">
        <v>19974.797999999999</v>
      </c>
      <c r="P17" s="111">
        <v>21546.8148</v>
      </c>
      <c r="Q17" s="111">
        <v>16459.231800000001</v>
      </c>
      <c r="R17" s="111">
        <v>18925</v>
      </c>
      <c r="S17" s="111">
        <v>17743</v>
      </c>
      <c r="T17" s="316" t="e">
        <f>#REF!</f>
        <v>#REF!</v>
      </c>
    </row>
    <row r="18" spans="1:26">
      <c r="A18" s="154" t="s">
        <v>14</v>
      </c>
      <c r="D18" s="46"/>
      <c r="E18" s="111">
        <v>0</v>
      </c>
      <c r="F18" s="111">
        <v>0</v>
      </c>
      <c r="G18" s="111">
        <v>0</v>
      </c>
      <c r="H18" s="111">
        <v>0</v>
      </c>
      <c r="I18" s="111">
        <v>0</v>
      </c>
      <c r="J18" s="111">
        <v>0</v>
      </c>
      <c r="K18" s="111">
        <v>0</v>
      </c>
      <c r="L18" s="111">
        <v>0</v>
      </c>
      <c r="M18" s="111">
        <v>0</v>
      </c>
      <c r="N18" s="111">
        <v>0</v>
      </c>
      <c r="O18" s="111">
        <v>0</v>
      </c>
      <c r="P18" s="111">
        <v>0</v>
      </c>
      <c r="Q18" s="111">
        <v>0</v>
      </c>
      <c r="R18" s="111">
        <v>0</v>
      </c>
      <c r="S18" s="111">
        <v>0</v>
      </c>
      <c r="T18" s="316" t="e">
        <f>#REF!</f>
        <v>#REF!</v>
      </c>
    </row>
    <row r="19" spans="1:26">
      <c r="A19" s="154" t="s">
        <v>15</v>
      </c>
      <c r="D19" s="46"/>
      <c r="E19" s="111">
        <v>23060.302300000003</v>
      </c>
      <c r="F19" s="111">
        <v>3582</v>
      </c>
      <c r="G19" s="111">
        <v>8111</v>
      </c>
      <c r="H19" s="111">
        <v>15447</v>
      </c>
      <c r="I19" s="111">
        <v>45629</v>
      </c>
      <c r="J19" s="111">
        <v>55227.190799999997</v>
      </c>
      <c r="K19" s="111">
        <v>47155</v>
      </c>
      <c r="L19" s="111">
        <v>43656</v>
      </c>
      <c r="M19" s="111">
        <v>52704</v>
      </c>
      <c r="N19" s="111">
        <v>15927.531100000002</v>
      </c>
      <c r="O19" s="111">
        <v>74448.55799999999</v>
      </c>
      <c r="P19" s="111">
        <v>62923.979999999996</v>
      </c>
      <c r="Q19" s="111">
        <v>50012.192999999999</v>
      </c>
      <c r="R19" s="111">
        <v>60338</v>
      </c>
      <c r="S19" s="111">
        <v>36097</v>
      </c>
      <c r="T19" s="316" t="e">
        <f>#REF!</f>
        <v>#REF!</v>
      </c>
    </row>
    <row r="20" spans="1:26">
      <c r="A20" s="154" t="s">
        <v>16</v>
      </c>
      <c r="D20" s="46"/>
      <c r="E20" s="111">
        <v>548.88120000000004</v>
      </c>
      <c r="F20" s="111">
        <v>528</v>
      </c>
      <c r="G20" s="111">
        <v>392</v>
      </c>
      <c r="H20" s="111">
        <v>528</v>
      </c>
      <c r="I20" s="111">
        <v>490</v>
      </c>
      <c r="J20" s="111">
        <v>497.46569999999997</v>
      </c>
      <c r="K20" s="111">
        <v>450</v>
      </c>
      <c r="L20" s="111">
        <v>420</v>
      </c>
      <c r="M20" s="111">
        <v>421</v>
      </c>
      <c r="N20" s="111">
        <v>464.46920000000006</v>
      </c>
      <c r="O20" s="111">
        <v>555.81479999999999</v>
      </c>
      <c r="P20" s="111">
        <v>635.43759999999997</v>
      </c>
      <c r="Q20" s="111">
        <v>673.50360000000001</v>
      </c>
      <c r="R20" s="111">
        <v>671</v>
      </c>
      <c r="S20" s="111">
        <v>636</v>
      </c>
      <c r="T20" s="316" t="e">
        <f>#REF!</f>
        <v>#REF!</v>
      </c>
    </row>
    <row r="21" spans="1:26">
      <c r="A21" s="154" t="s">
        <v>17</v>
      </c>
      <c r="D21" s="46"/>
      <c r="E21" s="111">
        <v>180040.32550000001</v>
      </c>
      <c r="F21" s="111">
        <v>131649</v>
      </c>
      <c r="G21" s="111">
        <v>50729</v>
      </c>
      <c r="H21" s="111">
        <v>53591</v>
      </c>
      <c r="I21" s="111">
        <v>51029</v>
      </c>
      <c r="J21" s="111">
        <v>55379.502899999992</v>
      </c>
      <c r="K21" s="111">
        <v>79145</v>
      </c>
      <c r="L21" s="111">
        <v>65642</v>
      </c>
      <c r="M21" s="111">
        <v>72581</v>
      </c>
      <c r="N21" s="111">
        <v>104870.13940000001</v>
      </c>
      <c r="O21" s="111">
        <v>142281.42119999998</v>
      </c>
      <c r="P21" s="111">
        <v>91141.584799999997</v>
      </c>
      <c r="Q21" s="111">
        <v>101282.32950000001</v>
      </c>
      <c r="R21" s="111">
        <v>109035</v>
      </c>
      <c r="S21" s="111">
        <v>116641</v>
      </c>
      <c r="T21" s="316" t="e">
        <f>#REF!</f>
        <v>#REF!</v>
      </c>
    </row>
    <row r="22" spans="1:26">
      <c r="A22" s="154" t="s">
        <v>18</v>
      </c>
      <c r="D22" s="46"/>
      <c r="E22" s="111">
        <v>0</v>
      </c>
      <c r="F22" s="111">
        <v>0</v>
      </c>
      <c r="G22" s="111">
        <v>85</v>
      </c>
      <c r="H22" s="111">
        <v>87</v>
      </c>
      <c r="I22" s="111">
        <v>87</v>
      </c>
      <c r="J22" s="111">
        <v>86.942099999999996</v>
      </c>
      <c r="K22" s="111">
        <v>115</v>
      </c>
      <c r="L22" s="111">
        <v>100</v>
      </c>
      <c r="M22" s="111">
        <v>113</v>
      </c>
      <c r="N22" s="111">
        <v>103.792</v>
      </c>
      <c r="O22" s="111">
        <v>104.256</v>
      </c>
      <c r="P22" s="111">
        <v>104.384</v>
      </c>
      <c r="Q22" s="111">
        <v>104.01600000000001</v>
      </c>
      <c r="R22" s="111">
        <v>104</v>
      </c>
      <c r="S22" s="111">
        <v>0</v>
      </c>
      <c r="T22" s="316" t="e">
        <f>#REF!</f>
        <v>#REF!</v>
      </c>
    </row>
    <row r="23" spans="1:26">
      <c r="A23" s="154" t="s">
        <v>19</v>
      </c>
      <c r="D23" s="46"/>
      <c r="E23" s="111">
        <v>3013.5434</v>
      </c>
      <c r="F23" s="111">
        <v>3056</v>
      </c>
      <c r="G23" s="111">
        <v>3059</v>
      </c>
      <c r="H23" s="111">
        <v>3066</v>
      </c>
      <c r="I23" s="111">
        <v>4385</v>
      </c>
      <c r="J23" s="111">
        <v>2320.6349999999998</v>
      </c>
      <c r="K23" s="111">
        <v>0</v>
      </c>
      <c r="L23" s="111">
        <v>0</v>
      </c>
      <c r="M23" s="111">
        <v>0</v>
      </c>
      <c r="N23" s="111">
        <v>0</v>
      </c>
      <c r="O23" s="111">
        <v>0</v>
      </c>
      <c r="P23" s="111">
        <v>0</v>
      </c>
      <c r="Q23" s="111">
        <v>0</v>
      </c>
      <c r="R23" s="111">
        <v>0</v>
      </c>
      <c r="S23" s="111">
        <v>0</v>
      </c>
      <c r="T23" s="316" t="e">
        <f>#REF!</f>
        <v>#REF!</v>
      </c>
    </row>
    <row r="24" spans="1:26">
      <c r="A24" s="154" t="s">
        <v>20</v>
      </c>
      <c r="D24" s="46"/>
      <c r="E24" s="111">
        <v>109.3785</v>
      </c>
      <c r="F24" s="111">
        <v>171</v>
      </c>
      <c r="G24" s="111">
        <v>150</v>
      </c>
      <c r="H24" s="111">
        <v>173</v>
      </c>
      <c r="I24" s="111">
        <v>99</v>
      </c>
      <c r="J24" s="111">
        <v>141.19919999999999</v>
      </c>
      <c r="K24" s="111">
        <v>0</v>
      </c>
      <c r="L24" s="111">
        <v>0</v>
      </c>
      <c r="M24" s="111">
        <v>0</v>
      </c>
      <c r="N24" s="111">
        <v>0</v>
      </c>
      <c r="O24" s="111">
        <v>0</v>
      </c>
      <c r="P24" s="111">
        <v>0</v>
      </c>
      <c r="Q24" s="111">
        <v>0</v>
      </c>
      <c r="R24" s="111">
        <v>0</v>
      </c>
      <c r="S24" s="111">
        <v>0</v>
      </c>
      <c r="T24" s="316" t="e">
        <f>#REF!</f>
        <v>#REF!</v>
      </c>
    </row>
    <row r="25" spans="1:26">
      <c r="A25" s="154" t="s">
        <v>21</v>
      </c>
      <c r="D25" s="46"/>
      <c r="E25" s="111">
        <v>1984.7226000000001</v>
      </c>
      <c r="F25" s="111">
        <v>25</v>
      </c>
      <c r="G25" s="111">
        <v>46700</v>
      </c>
      <c r="H25" s="111">
        <v>63438</v>
      </c>
      <c r="I25" s="111">
        <v>51</v>
      </c>
      <c r="J25" s="111">
        <v>73.868099999999998</v>
      </c>
      <c r="K25" s="111">
        <v>291</v>
      </c>
      <c r="L25" s="111">
        <v>243</v>
      </c>
      <c r="M25" s="111">
        <v>297</v>
      </c>
      <c r="N25" s="111">
        <v>307.48380000000003</v>
      </c>
      <c r="O25" s="111">
        <v>465.89399999999995</v>
      </c>
      <c r="P25" s="111">
        <v>820.7192</v>
      </c>
      <c r="Q25" s="111">
        <v>891.93719999999996</v>
      </c>
      <c r="R25" s="111">
        <v>711</v>
      </c>
      <c r="S25" s="111">
        <v>376</v>
      </c>
      <c r="T25" s="316" t="e">
        <f>#REF!</f>
        <v>#REF!</v>
      </c>
    </row>
    <row r="26" spans="1:26" s="179" customFormat="1">
      <c r="A26" s="179" t="s">
        <v>229</v>
      </c>
      <c r="D26" s="46"/>
      <c r="E26" s="111"/>
      <c r="F26" s="111"/>
      <c r="G26" s="111"/>
      <c r="H26" s="111"/>
      <c r="I26" s="111"/>
      <c r="J26" s="111"/>
      <c r="K26" s="111"/>
      <c r="L26" s="111"/>
      <c r="M26" s="111"/>
      <c r="N26" s="111"/>
      <c r="O26" s="111"/>
      <c r="P26" s="111"/>
      <c r="Q26" s="111">
        <v>0</v>
      </c>
      <c r="R26" s="111">
        <v>0</v>
      </c>
      <c r="S26" s="111">
        <v>2396</v>
      </c>
      <c r="T26" s="316" t="e">
        <f>#REF!</f>
        <v>#REF!</v>
      </c>
    </row>
    <row r="27" spans="1:26">
      <c r="A27" s="154" t="s">
        <v>22</v>
      </c>
      <c r="D27" s="46"/>
      <c r="E27" s="111">
        <v>7669.7530000000006</v>
      </c>
      <c r="F27" s="111">
        <v>7010</v>
      </c>
      <c r="G27" s="111">
        <v>5723</v>
      </c>
      <c r="H27" s="111">
        <v>5938</v>
      </c>
      <c r="I27" s="111">
        <v>8671</v>
      </c>
      <c r="J27" s="111">
        <v>6436.3301999999994</v>
      </c>
      <c r="K27" s="111">
        <v>9054</v>
      </c>
      <c r="L27" s="111">
        <v>8948</v>
      </c>
      <c r="M27" s="111">
        <v>8782</v>
      </c>
      <c r="N27" s="111">
        <v>8661.4423999999999</v>
      </c>
      <c r="O27" s="111">
        <v>11537.8812</v>
      </c>
      <c r="P27" s="111">
        <v>11410.475999999999</v>
      </c>
      <c r="Q27" s="111">
        <v>11410.555200000001</v>
      </c>
      <c r="R27" s="111">
        <v>11687</v>
      </c>
      <c r="S27" s="111">
        <v>12228</v>
      </c>
      <c r="T27" s="316" t="e">
        <f>#REF!</f>
        <v>#REF!</v>
      </c>
    </row>
    <row r="28" spans="1:26" ht="15.6" customHeight="1">
      <c r="A28" s="7"/>
      <c r="B28" s="7"/>
      <c r="C28" s="7"/>
      <c r="D28" s="181"/>
      <c r="E28" s="111"/>
      <c r="F28" s="111"/>
      <c r="G28" s="111"/>
      <c r="H28" s="111"/>
      <c r="I28" s="111"/>
      <c r="J28" s="111"/>
      <c r="K28" s="111"/>
      <c r="L28" s="111"/>
      <c r="M28" s="111"/>
      <c r="N28" s="111"/>
      <c r="O28" s="111"/>
      <c r="P28" s="111"/>
      <c r="Q28" s="111"/>
      <c r="R28" s="111"/>
      <c r="S28" s="111"/>
      <c r="T28" s="316"/>
      <c r="U28" s="111"/>
      <c r="V28" s="7"/>
      <c r="W28" s="7"/>
      <c r="X28" s="7"/>
      <c r="Y28" s="7"/>
      <c r="Z28" s="7"/>
    </row>
    <row r="29" spans="1:26">
      <c r="A29" s="154" t="s">
        <v>23</v>
      </c>
      <c r="D29" s="46"/>
      <c r="E29" s="113">
        <f>SUM(E17:E28)</f>
        <v>234785.2591</v>
      </c>
      <c r="F29" s="113">
        <f t="shared" ref="F29:Q29" si="1">SUM(F17:F28)</f>
        <v>156185</v>
      </c>
      <c r="G29" s="113">
        <f t="shared" si="1"/>
        <v>124379</v>
      </c>
      <c r="H29" s="113">
        <f t="shared" si="1"/>
        <v>154282</v>
      </c>
      <c r="I29" s="113">
        <f t="shared" si="1"/>
        <v>122799</v>
      </c>
      <c r="J29" s="113">
        <f t="shared" si="1"/>
        <v>133120.12169999999</v>
      </c>
      <c r="K29" s="113">
        <f t="shared" si="1"/>
        <v>152124</v>
      </c>
      <c r="L29" s="113">
        <f t="shared" si="1"/>
        <v>135719</v>
      </c>
      <c r="M29" s="113">
        <f t="shared" si="1"/>
        <v>152984</v>
      </c>
      <c r="N29" s="113">
        <f t="shared" si="1"/>
        <v>146538.0865</v>
      </c>
      <c r="O29" s="113">
        <f t="shared" si="1"/>
        <v>249368.62319999994</v>
      </c>
      <c r="P29" s="113">
        <f t="shared" si="1"/>
        <v>188583.39639999997</v>
      </c>
      <c r="Q29" s="113">
        <f t="shared" si="1"/>
        <v>180833.76630000002</v>
      </c>
      <c r="R29" s="113">
        <f t="shared" ref="R29:T29" si="2">SUM(R17:R28)</f>
        <v>201471</v>
      </c>
      <c r="S29" s="113">
        <v>186117</v>
      </c>
      <c r="T29" s="421" t="e">
        <f t="shared" si="2"/>
        <v>#REF!</v>
      </c>
    </row>
    <row r="30" spans="1:26">
      <c r="E30" s="176"/>
      <c r="F30" s="176"/>
      <c r="G30" s="176"/>
      <c r="H30" s="176"/>
      <c r="I30" s="176"/>
      <c r="J30" s="176"/>
      <c r="K30" s="176"/>
      <c r="L30" s="176"/>
      <c r="M30" s="176"/>
      <c r="N30" s="176"/>
      <c r="O30" s="176"/>
      <c r="P30" s="176"/>
      <c r="Q30" s="176"/>
      <c r="R30" s="176"/>
      <c r="S30" s="176"/>
      <c r="T30" s="419"/>
    </row>
    <row r="31" spans="1:26">
      <c r="A31" s="154" t="s">
        <v>24</v>
      </c>
      <c r="D31" s="45"/>
      <c r="E31" s="111">
        <f>E14-E29</f>
        <v>-87497.496799999994</v>
      </c>
      <c r="F31" s="111">
        <f t="shared" ref="F31:Q31" si="3">F14-F29</f>
        <v>-53162</v>
      </c>
      <c r="G31" s="111">
        <f t="shared" si="3"/>
        <v>-67358</v>
      </c>
      <c r="H31" s="111">
        <f t="shared" si="3"/>
        <v>-71922</v>
      </c>
      <c r="I31" s="111">
        <f t="shared" si="3"/>
        <v>-82075</v>
      </c>
      <c r="J31" s="111">
        <f t="shared" si="3"/>
        <v>-88251.4611</v>
      </c>
      <c r="K31" s="111">
        <f t="shared" si="3"/>
        <v>-116545</v>
      </c>
      <c r="L31" s="111">
        <f t="shared" si="3"/>
        <v>-100544</v>
      </c>
      <c r="M31" s="111">
        <f t="shared" si="3"/>
        <v>-105919</v>
      </c>
      <c r="N31" s="111">
        <f t="shared" si="3"/>
        <v>-115245.4472</v>
      </c>
      <c r="O31" s="111">
        <f t="shared" si="3"/>
        <v>-115955.47799999994</v>
      </c>
      <c r="P31" s="111">
        <f t="shared" si="3"/>
        <v>-134228.69039999996</v>
      </c>
      <c r="Q31" s="111">
        <f t="shared" si="3"/>
        <v>-124859.50620000002</v>
      </c>
      <c r="R31" s="111">
        <f t="shared" ref="R31:T31" si="4">R14-R29</f>
        <v>-125839</v>
      </c>
      <c r="S31" s="111">
        <v>-122057</v>
      </c>
      <c r="T31" s="316" t="e">
        <f t="shared" si="4"/>
        <v>#REF!</v>
      </c>
    </row>
    <row r="32" spans="1:26">
      <c r="D32" s="45"/>
      <c r="E32" s="111"/>
      <c r="F32" s="111"/>
      <c r="G32" s="111"/>
      <c r="H32" s="111"/>
      <c r="I32" s="111"/>
      <c r="J32" s="111"/>
      <c r="K32" s="111"/>
      <c r="L32" s="111"/>
      <c r="M32" s="111"/>
      <c r="N32" s="111"/>
      <c r="O32" s="111"/>
      <c r="P32" s="111"/>
      <c r="Q32" s="111"/>
      <c r="R32" s="111"/>
      <c r="S32" s="111"/>
      <c r="T32" s="316"/>
    </row>
    <row r="33" spans="1:20">
      <c r="A33" s="154" t="s">
        <v>25</v>
      </c>
      <c r="C33" s="47">
        <v>0.35</v>
      </c>
      <c r="D33" s="48"/>
      <c r="E33" s="112">
        <f>E31*0.35</f>
        <v>-30624.123879999996</v>
      </c>
      <c r="F33" s="112">
        <f t="shared" ref="F33:Q33" si="5">F31*0.35</f>
        <v>-18606.699999999997</v>
      </c>
      <c r="G33" s="112">
        <f t="shared" si="5"/>
        <v>-23575.3</v>
      </c>
      <c r="H33" s="112">
        <f t="shared" si="5"/>
        <v>-25172.699999999997</v>
      </c>
      <c r="I33" s="112">
        <f t="shared" si="5"/>
        <v>-28726.249999999996</v>
      </c>
      <c r="J33" s="112">
        <f t="shared" si="5"/>
        <v>-30888.011384999998</v>
      </c>
      <c r="K33" s="112">
        <f t="shared" si="5"/>
        <v>-40790.75</v>
      </c>
      <c r="L33" s="112">
        <f t="shared" si="5"/>
        <v>-35190.399999999994</v>
      </c>
      <c r="M33" s="112">
        <f t="shared" si="5"/>
        <v>-37071.649999999994</v>
      </c>
      <c r="N33" s="112">
        <f t="shared" si="5"/>
        <v>-40335.906519999997</v>
      </c>
      <c r="O33" s="112">
        <f t="shared" si="5"/>
        <v>-40584.417299999979</v>
      </c>
      <c r="P33" s="112">
        <f t="shared" si="5"/>
        <v>-46980.041639999981</v>
      </c>
      <c r="Q33" s="112">
        <f t="shared" si="5"/>
        <v>-43700.827170000004</v>
      </c>
      <c r="R33" s="112">
        <f t="shared" ref="R33:T33" si="6">R31*0.35</f>
        <v>-44043.649999999994</v>
      </c>
      <c r="S33" s="112">
        <v>-42719.95</v>
      </c>
      <c r="T33" s="422" t="e">
        <f t="shared" si="6"/>
        <v>#REF!</v>
      </c>
    </row>
    <row r="34" spans="1:20">
      <c r="D34" s="48"/>
      <c r="E34" s="110"/>
      <c r="F34" s="110"/>
      <c r="G34" s="110"/>
      <c r="H34" s="110"/>
      <c r="I34" s="110"/>
      <c r="J34" s="110"/>
      <c r="K34" s="110"/>
      <c r="L34" s="110"/>
      <c r="M34" s="110"/>
      <c r="N34" s="110"/>
      <c r="O34" s="110"/>
      <c r="P34" s="110"/>
      <c r="Q34" s="110"/>
      <c r="R34" s="110"/>
      <c r="S34" s="110"/>
      <c r="T34" s="326"/>
    </row>
    <row r="35" spans="1:20">
      <c r="A35" s="154" t="s">
        <v>26</v>
      </c>
      <c r="D35" s="45"/>
      <c r="E35" s="177">
        <f>E31-E33</f>
        <v>-56873.372919999994</v>
      </c>
      <c r="F35" s="177">
        <f t="shared" ref="F35:Q35" si="7">F31-F33</f>
        <v>-34555.300000000003</v>
      </c>
      <c r="G35" s="177">
        <f t="shared" si="7"/>
        <v>-43782.7</v>
      </c>
      <c r="H35" s="177">
        <f t="shared" si="7"/>
        <v>-46749.3</v>
      </c>
      <c r="I35" s="177">
        <f t="shared" si="7"/>
        <v>-53348.75</v>
      </c>
      <c r="J35" s="177">
        <f t="shared" si="7"/>
        <v>-57363.449715000002</v>
      </c>
      <c r="K35" s="177">
        <f t="shared" si="7"/>
        <v>-75754.25</v>
      </c>
      <c r="L35" s="177">
        <f t="shared" si="7"/>
        <v>-65353.600000000006</v>
      </c>
      <c r="M35" s="177">
        <f t="shared" si="7"/>
        <v>-68847.350000000006</v>
      </c>
      <c r="N35" s="177">
        <f t="shared" si="7"/>
        <v>-74909.540680000006</v>
      </c>
      <c r="O35" s="177">
        <f t="shared" si="7"/>
        <v>-75371.060699999973</v>
      </c>
      <c r="P35" s="177">
        <f t="shared" si="7"/>
        <v>-87248.648759999982</v>
      </c>
      <c r="Q35" s="177">
        <f t="shared" si="7"/>
        <v>-81158.679030000014</v>
      </c>
      <c r="R35" s="177">
        <f t="shared" ref="R35:T35" si="8">R31-R33</f>
        <v>-81795.350000000006</v>
      </c>
      <c r="S35" s="177">
        <v>-79337.05</v>
      </c>
      <c r="T35" s="423" t="e">
        <f t="shared" si="8"/>
        <v>#REF!</v>
      </c>
    </row>
    <row r="36" spans="1:20">
      <c r="E36" s="111"/>
      <c r="F36" s="111"/>
      <c r="J36" s="7"/>
      <c r="R36" s="7"/>
      <c r="S36" s="7"/>
    </row>
    <row r="37" spans="1:20">
      <c r="J37" s="7"/>
      <c r="R37" s="7"/>
      <c r="S37" s="7"/>
    </row>
    <row r="38" spans="1:20">
      <c r="J38" s="7"/>
      <c r="R38" s="7"/>
      <c r="S38" s="7"/>
    </row>
    <row r="39" spans="1:20">
      <c r="E39" s="97"/>
      <c r="F39" s="97"/>
      <c r="G39" s="97"/>
      <c r="H39" s="97"/>
      <c r="I39" s="97"/>
      <c r="J39" s="97"/>
      <c r="K39" s="97"/>
      <c r="L39" s="97"/>
      <c r="M39" s="97"/>
      <c r="N39" s="97"/>
      <c r="O39" s="97"/>
    </row>
    <row r="40" spans="1:20">
      <c r="E40" s="97"/>
      <c r="F40" s="97"/>
      <c r="G40" s="97"/>
      <c r="H40" s="97"/>
      <c r="I40" s="97"/>
      <c r="J40" s="97"/>
      <c r="K40" s="97"/>
      <c r="L40" s="97"/>
      <c r="M40" s="97"/>
      <c r="N40" s="97"/>
      <c r="O40" s="97"/>
      <c r="P40" s="178"/>
    </row>
    <row r="41" spans="1:20">
      <c r="E41" s="97"/>
      <c r="F41" s="97"/>
      <c r="G41" s="97"/>
      <c r="H41" s="97"/>
      <c r="I41" s="97"/>
      <c r="J41" s="97"/>
      <c r="K41" s="97"/>
      <c r="L41" s="97"/>
      <c r="M41" s="97"/>
      <c r="N41" s="97"/>
      <c r="O41" s="97"/>
      <c r="P41" s="178"/>
    </row>
    <row r="42" spans="1:20">
      <c r="E42" s="98"/>
      <c r="F42" s="98"/>
      <c r="G42" s="98"/>
      <c r="H42" s="98"/>
      <c r="I42" s="98"/>
      <c r="J42" s="98"/>
      <c r="K42" s="98"/>
      <c r="L42" s="98"/>
      <c r="M42" s="98"/>
      <c r="N42" s="98"/>
      <c r="O42" s="98"/>
    </row>
    <row r="44" spans="1:20">
      <c r="J44" s="174"/>
    </row>
    <row r="45" spans="1:20">
      <c r="J45" s="174"/>
    </row>
    <row r="54" spans="1:22">
      <c r="A54" s="314" t="s">
        <v>393</v>
      </c>
      <c r="B54" s="314"/>
      <c r="C54" s="314"/>
      <c r="D54" s="46"/>
      <c r="E54" s="283"/>
      <c r="F54" s="283"/>
      <c r="G54" s="283"/>
      <c r="H54" s="283"/>
      <c r="I54" s="283"/>
      <c r="J54" s="315">
        <f>ROUND(9555*J33,0)</f>
        <v>-295134949</v>
      </c>
      <c r="K54" s="315">
        <f>ROUND(12757*K33,0)</f>
        <v>-520367598</v>
      </c>
      <c r="L54" s="315">
        <f>ROUND(14241*L33,0)</f>
        <v>-501146486</v>
      </c>
      <c r="M54" s="315">
        <f>ROUND(15869*M33,0)</f>
        <v>-588290014</v>
      </c>
      <c r="N54" s="315">
        <f>ROUND(16051*N33,0)</f>
        <v>-647431636</v>
      </c>
      <c r="O54" s="315">
        <f>ROUND(15132*O33,0)</f>
        <v>-614123403</v>
      </c>
      <c r="P54" s="315">
        <f>ROUND(16369*P33,0)</f>
        <v>-769016302</v>
      </c>
      <c r="Q54" s="315">
        <f>ROUND(21605*Q33,0)</f>
        <v>-944156371</v>
      </c>
      <c r="R54" s="315">
        <f>ROUND(17902*R33,0)</f>
        <v>-788469422</v>
      </c>
      <c r="S54" s="315">
        <v>-800700023</v>
      </c>
      <c r="T54" s="316" t="e">
        <f>ROUND(18743*T33,0)</f>
        <v>#REF!</v>
      </c>
      <c r="U54" s="283" t="e">
        <f>#REF!+#REF!</f>
        <v>#REF!</v>
      </c>
      <c r="V54" s="314" t="s">
        <v>394</v>
      </c>
    </row>
  </sheetData>
  <mergeCells count="4">
    <mergeCell ref="A1:Q1"/>
    <mergeCell ref="A2:Q2"/>
    <mergeCell ref="E4:Q4"/>
    <mergeCell ref="E5:Q5"/>
  </mergeCells>
  <pageMargins left="0.28000000000000003" right="0.21" top="1" bottom="1" header="0.5" footer="0.5"/>
  <pageSetup scale="65" orientation="landscape" r:id="rId1"/>
  <headerFooter alignWithMargins="0">
    <oddFooter>&amp;C&amp;F / &amp;A</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6"/>
    <pageSetUpPr fitToPage="1"/>
  </sheetPr>
  <dimension ref="A1:U26"/>
  <sheetViews>
    <sheetView workbookViewId="0"/>
  </sheetViews>
  <sheetFormatPr defaultColWidth="9.140625" defaultRowHeight="15"/>
  <cols>
    <col min="1" max="4" width="9.140625" style="124"/>
    <col min="5" max="5" width="11.5703125" style="124" bestFit="1" customWidth="1"/>
    <col min="6" max="14" width="10.5703125" style="124" bestFit="1" customWidth="1"/>
    <col min="15" max="15" width="11.5703125" style="124" bestFit="1" customWidth="1"/>
    <col min="16" max="19" width="10.5703125" style="124" bestFit="1" customWidth="1"/>
    <col min="20" max="20" width="10.5703125" style="261" bestFit="1" customWidth="1"/>
    <col min="21" max="16384" width="9.140625" style="124"/>
  </cols>
  <sheetData>
    <row r="1" spans="1:21">
      <c r="A1" s="124" t="s">
        <v>189</v>
      </c>
    </row>
    <row r="2" spans="1:21">
      <c r="P2" s="125"/>
      <c r="Q2" s="125"/>
      <c r="R2" s="125"/>
      <c r="S2" s="63"/>
      <c r="T2" s="63" t="s">
        <v>354</v>
      </c>
    </row>
    <row r="3" spans="1:21">
      <c r="D3" s="126"/>
      <c r="E3" s="127">
        <v>2000</v>
      </c>
      <c r="F3" s="128">
        <v>2001</v>
      </c>
      <c r="G3" s="128">
        <v>2002</v>
      </c>
      <c r="H3" s="128">
        <v>2003</v>
      </c>
      <c r="I3" s="128">
        <v>2004</v>
      </c>
      <c r="J3" s="128">
        <v>2005</v>
      </c>
      <c r="K3" s="128">
        <v>2006</v>
      </c>
      <c r="L3" s="128">
        <v>2007</v>
      </c>
      <c r="M3" s="128">
        <v>2008</v>
      </c>
      <c r="N3" s="128">
        <v>2009</v>
      </c>
      <c r="O3" s="128">
        <v>2010</v>
      </c>
      <c r="P3" s="128">
        <v>2011</v>
      </c>
      <c r="Q3" s="128">
        <v>2012</v>
      </c>
      <c r="R3" s="128">
        <v>2013</v>
      </c>
      <c r="S3" s="128">
        <v>2014</v>
      </c>
      <c r="T3" s="128">
        <v>9.2014999999999993</v>
      </c>
    </row>
    <row r="4" spans="1:21">
      <c r="A4" s="124" t="s">
        <v>7</v>
      </c>
      <c r="D4" s="129"/>
      <c r="E4" s="130">
        <v>0.66290000000000004</v>
      </c>
      <c r="F4" s="130">
        <v>0.67479999999999996</v>
      </c>
      <c r="G4" s="130">
        <v>0.64119999999999999</v>
      </c>
      <c r="H4" s="130">
        <v>0.65480000000000005</v>
      </c>
      <c r="I4" s="130">
        <v>0.65159999999999996</v>
      </c>
      <c r="J4" s="130">
        <v>0.65369999999999995</v>
      </c>
      <c r="K4" s="130">
        <v>0.6583</v>
      </c>
      <c r="L4" s="130">
        <v>0.64590000000000003</v>
      </c>
      <c r="M4" s="130">
        <v>0.64419999999999999</v>
      </c>
      <c r="N4" s="130">
        <v>0.64870000000000005</v>
      </c>
      <c r="O4" s="130">
        <v>0.65159999999999996</v>
      </c>
      <c r="P4" s="131">
        <v>0.65239999999999998</v>
      </c>
      <c r="Q4" s="131">
        <v>0.65010000000000001</v>
      </c>
      <c r="R4" s="131">
        <v>0.65190000000000003</v>
      </c>
      <c r="S4" s="131">
        <v>0.64710000000000001</v>
      </c>
      <c r="T4" s="131">
        <v>0.64710000000000001</v>
      </c>
    </row>
    <row r="5" spans="1:21">
      <c r="A5" s="124" t="s">
        <v>190</v>
      </c>
      <c r="E5" s="131"/>
      <c r="F5" s="131"/>
      <c r="G5" s="131"/>
      <c r="H5" s="131"/>
      <c r="I5" s="131"/>
      <c r="J5" s="131"/>
      <c r="K5" s="131"/>
      <c r="L5" s="131"/>
      <c r="M5" s="131"/>
      <c r="N5" s="131"/>
      <c r="O5" s="131"/>
      <c r="P5" s="131"/>
      <c r="Q5" s="131"/>
      <c r="R5" s="131"/>
      <c r="S5" s="131"/>
      <c r="T5" s="131"/>
    </row>
    <row r="6" spans="1:21">
      <c r="A6" s="124" t="s">
        <v>8</v>
      </c>
      <c r="D6" s="132"/>
      <c r="E6" s="133">
        <v>135976.0367</v>
      </c>
      <c r="F6" s="133">
        <v>90880</v>
      </c>
      <c r="G6" s="133">
        <v>31728</v>
      </c>
      <c r="H6" s="133">
        <v>35221</v>
      </c>
      <c r="I6" s="133">
        <v>40439</v>
      </c>
      <c r="J6" s="133">
        <v>44689.546799999996</v>
      </c>
      <c r="K6" s="133">
        <v>35381</v>
      </c>
      <c r="L6" s="133">
        <v>34954</v>
      </c>
      <c r="M6" s="133">
        <v>46849</v>
      </c>
      <c r="N6" s="133">
        <v>30933.259500000004</v>
      </c>
      <c r="O6" s="133">
        <v>132773.274</v>
      </c>
      <c r="P6" s="133">
        <v>52603.011999999995</v>
      </c>
      <c r="Q6" s="133">
        <v>54547.940699999999</v>
      </c>
      <c r="R6" s="110">
        <v>75350</v>
      </c>
      <c r="S6" s="110">
        <f>'PS Consolidated'!S9</f>
        <v>60998</v>
      </c>
      <c r="T6" s="110" t="e">
        <f>'PS Consolidated'!T9</f>
        <v>#REF!</v>
      </c>
    </row>
    <row r="7" spans="1:21">
      <c r="A7" s="124" t="s">
        <v>9</v>
      </c>
      <c r="D7" s="134"/>
      <c r="E7" s="135">
        <v>300.2937</v>
      </c>
      <c r="F7" s="135">
        <v>281</v>
      </c>
      <c r="G7" s="135">
        <v>38</v>
      </c>
      <c r="H7" s="135">
        <v>297</v>
      </c>
      <c r="I7" s="135">
        <v>238</v>
      </c>
      <c r="J7" s="135">
        <v>124.85669999999999</v>
      </c>
      <c r="K7" s="135">
        <v>153</v>
      </c>
      <c r="L7" s="135">
        <v>200</v>
      </c>
      <c r="M7" s="135">
        <v>198</v>
      </c>
      <c r="N7" s="135">
        <v>247.15470000000002</v>
      </c>
      <c r="O7" s="135">
        <v>183.75119999999998</v>
      </c>
      <c r="P7" s="135">
        <v>330.76679999999999</v>
      </c>
      <c r="Q7" s="135">
        <v>303.5967</v>
      </c>
      <c r="R7" s="135">
        <v>282</v>
      </c>
      <c r="S7" s="135">
        <f>475*S4</f>
        <v>307.3725</v>
      </c>
      <c r="T7" s="135">
        <f>418*T4</f>
        <v>270.48779999999999</v>
      </c>
    </row>
    <row r="8" spans="1:21">
      <c r="A8" s="124" t="s">
        <v>10</v>
      </c>
      <c r="D8" s="134"/>
      <c r="E8" s="135">
        <v>43.751400000000004</v>
      </c>
      <c r="F8" s="135">
        <v>0</v>
      </c>
      <c r="G8" s="135">
        <v>30</v>
      </c>
      <c r="H8" s="135">
        <v>16</v>
      </c>
      <c r="I8" s="135">
        <v>16</v>
      </c>
      <c r="J8" s="135">
        <v>12.420299999999999</v>
      </c>
      <c r="K8" s="135">
        <v>14</v>
      </c>
      <c r="L8" s="135">
        <v>14</v>
      </c>
      <c r="M8" s="135">
        <v>16</v>
      </c>
      <c r="N8" s="135">
        <v>18.8123</v>
      </c>
      <c r="O8" s="135">
        <v>0</v>
      </c>
      <c r="P8" s="135">
        <v>0</v>
      </c>
      <c r="Q8" s="135">
        <v>0</v>
      </c>
      <c r="R8" s="135">
        <v>0</v>
      </c>
      <c r="S8" s="135">
        <v>0</v>
      </c>
      <c r="T8" s="135">
        <v>0</v>
      </c>
    </row>
    <row r="9" spans="1:21">
      <c r="A9" s="124" t="s">
        <v>11</v>
      </c>
      <c r="D9" s="136"/>
      <c r="E9" s="137">
        <v>10967.6805</v>
      </c>
      <c r="F9" s="137">
        <v>11862</v>
      </c>
      <c r="G9" s="137">
        <v>25225</v>
      </c>
      <c r="H9" s="137">
        <v>46826</v>
      </c>
      <c r="I9" s="137">
        <v>31</v>
      </c>
      <c r="J9" s="137">
        <v>41.836799999999997</v>
      </c>
      <c r="K9" s="137">
        <v>31</v>
      </c>
      <c r="L9" s="137">
        <v>7</v>
      </c>
      <c r="M9" s="137">
        <v>2</v>
      </c>
      <c r="N9" s="137">
        <v>93.412800000000004</v>
      </c>
      <c r="O9" s="137">
        <v>456.11999999999995</v>
      </c>
      <c r="P9" s="137">
        <v>1420.9271999999999</v>
      </c>
      <c r="Q9" s="137">
        <f>'PS Consolidated'!Q12+'PS Consolidated'!Q13</f>
        <v>1185.7227</v>
      </c>
      <c r="R9" s="137">
        <f>'PS Consolidated'!R12+'PS Consolidated'!R13</f>
        <v>0</v>
      </c>
      <c r="S9" s="137">
        <f>'PS Consolidated'!S12+'PS Consolidated'!S13</f>
        <v>2755</v>
      </c>
      <c r="T9" s="137" t="e">
        <f>'PS Consolidated'!T12+'PS Consolidated'!T13</f>
        <v>#REF!</v>
      </c>
    </row>
    <row r="10" spans="1:21">
      <c r="A10" s="124" t="s">
        <v>12</v>
      </c>
      <c r="D10" s="136"/>
      <c r="E10" s="135">
        <f t="shared" ref="E10:R10" si="0">SUM(E6:E9)</f>
        <v>147287.7623</v>
      </c>
      <c r="F10" s="135">
        <f t="shared" si="0"/>
        <v>103023</v>
      </c>
      <c r="G10" s="135">
        <f t="shared" si="0"/>
        <v>57021</v>
      </c>
      <c r="H10" s="135">
        <f t="shared" si="0"/>
        <v>82360</v>
      </c>
      <c r="I10" s="135">
        <f t="shared" si="0"/>
        <v>40724</v>
      </c>
      <c r="J10" s="135">
        <f t="shared" si="0"/>
        <v>44868.660599999988</v>
      </c>
      <c r="K10" s="135">
        <f t="shared" si="0"/>
        <v>35579</v>
      </c>
      <c r="L10" s="135">
        <f t="shared" si="0"/>
        <v>35175</v>
      </c>
      <c r="M10" s="135">
        <f t="shared" si="0"/>
        <v>47065</v>
      </c>
      <c r="N10" s="135">
        <f t="shared" si="0"/>
        <v>31292.639300000003</v>
      </c>
      <c r="O10" s="135">
        <f t="shared" si="0"/>
        <v>133413.1452</v>
      </c>
      <c r="P10" s="135">
        <f t="shared" si="0"/>
        <v>54354.705999999991</v>
      </c>
      <c r="Q10" s="135">
        <f t="shared" si="0"/>
        <v>56037.2601</v>
      </c>
      <c r="R10" s="135">
        <f t="shared" si="0"/>
        <v>75632</v>
      </c>
      <c r="S10" s="135">
        <f t="shared" ref="S10:T10" si="1">SUM(S6:S9)</f>
        <v>64060.372499999998</v>
      </c>
      <c r="T10" s="135" t="e">
        <f t="shared" si="1"/>
        <v>#REF!</v>
      </c>
    </row>
    <row r="11" spans="1:21">
      <c r="R11" s="261"/>
      <c r="S11" s="261"/>
    </row>
    <row r="12" spans="1:21">
      <c r="A12" s="124" t="s">
        <v>191</v>
      </c>
      <c r="R12" s="261"/>
      <c r="S12" s="261"/>
    </row>
    <row r="13" spans="1:21">
      <c r="A13" s="124" t="s">
        <v>192</v>
      </c>
      <c r="E13" s="138">
        <f>'CBR Hist'!F15</f>
        <v>137117</v>
      </c>
      <c r="F13" s="138">
        <f>'CBR Hist'!G15</f>
        <v>91388</v>
      </c>
      <c r="G13" s="138">
        <f>'CBR Hist'!H15</f>
        <v>29918</v>
      </c>
      <c r="H13" s="138">
        <f>'CBR Hist'!I15</f>
        <v>35252</v>
      </c>
      <c r="I13" s="138">
        <f>'CBR Hist'!J15</f>
        <v>40460</v>
      </c>
      <c r="J13" s="138">
        <f>'CBR Hist'!K15</f>
        <v>44718</v>
      </c>
      <c r="K13" s="138">
        <f>'CBR Hist'!L15</f>
        <v>35380</v>
      </c>
      <c r="L13" s="138">
        <f>'CBR Hist'!M15</f>
        <v>34954</v>
      </c>
      <c r="M13" s="138">
        <f>'CBR Hist'!N15</f>
        <v>46848</v>
      </c>
      <c r="N13" s="138">
        <f>'CBR Hist'!O15</f>
        <v>31491</v>
      </c>
      <c r="O13" s="138">
        <f>'CBR Hist'!P15</f>
        <v>133479</v>
      </c>
      <c r="P13" s="138">
        <f>'CBR Hist'!Q15</f>
        <v>52604</v>
      </c>
      <c r="Q13" s="138">
        <f>'CBR Hist'!R15</f>
        <v>54549</v>
      </c>
      <c r="R13" s="139">
        <f>'CBR Hist'!S15+1</f>
        <v>75350</v>
      </c>
      <c r="S13" s="139">
        <f>'CBR Hist'!T15</f>
        <v>60998</v>
      </c>
      <c r="T13" s="139">
        <f>'CBR Hist'!U15</f>
        <v>49505</v>
      </c>
    </row>
    <row r="14" spans="1:21">
      <c r="A14" s="124" t="s">
        <v>1</v>
      </c>
      <c r="E14" s="138">
        <f>'CBR Hist'!F17</f>
        <v>13062</v>
      </c>
      <c r="F14" s="138">
        <f>'CBR Hist'!G17</f>
        <v>14305</v>
      </c>
      <c r="G14" s="138">
        <f>'CBR Hist'!H17</f>
        <v>34274</v>
      </c>
      <c r="H14" s="138">
        <f>'CBR Hist'!I17</f>
        <v>57244</v>
      </c>
      <c r="I14" s="138">
        <f>'CBR Hist'!J17</f>
        <v>8587</v>
      </c>
      <c r="J14" s="138">
        <f>'CBR Hist'!K17</f>
        <v>10259</v>
      </c>
      <c r="K14" s="138">
        <f>'CBR Hist'!L17</f>
        <v>10178</v>
      </c>
      <c r="L14" s="138">
        <f>'CBR Hist'!M17</f>
        <v>10170</v>
      </c>
      <c r="M14" s="138">
        <f>'CBR Hist'!N17</f>
        <v>10927</v>
      </c>
      <c r="N14" s="138">
        <f>'CBR Hist'!O17</f>
        <v>9395</v>
      </c>
      <c r="O14" s="138">
        <f>'CBR Hist'!P17</f>
        <v>11786</v>
      </c>
      <c r="P14" s="138">
        <f>'CBR Hist'!Q17</f>
        <v>13666</v>
      </c>
      <c r="Q14" s="138">
        <f>'CBR Hist'!R17</f>
        <v>13089</v>
      </c>
      <c r="R14" s="139">
        <f>'CBR Hist'!S17</f>
        <v>13408</v>
      </c>
      <c r="S14" s="139">
        <f>'CBR Hist'!T17</f>
        <v>17163</v>
      </c>
      <c r="T14" s="139">
        <f>'CBR Hist'!U17</f>
        <v>16920</v>
      </c>
    </row>
    <row r="15" spans="1:21">
      <c r="R15" s="261"/>
      <c r="S15" s="261"/>
    </row>
    <row r="16" spans="1:21">
      <c r="A16" s="183" t="s">
        <v>227</v>
      </c>
      <c r="E16" s="138">
        <v>7824</v>
      </c>
      <c r="F16" s="138">
        <v>9892</v>
      </c>
      <c r="G16" s="138">
        <f>ROUND(11097*G4,0)</f>
        <v>7115</v>
      </c>
      <c r="H16" s="138">
        <f>ROUND(11559*H4,0)</f>
        <v>7569</v>
      </c>
      <c r="I16" s="138">
        <f>ROUND(8476*I4,0)</f>
        <v>5523</v>
      </c>
      <c r="J16" s="139">
        <f>ROUND(10033*J4,0)+78</f>
        <v>6637</v>
      </c>
      <c r="K16" s="139">
        <f>ROUND(10539*K4,0)+86</f>
        <v>7024</v>
      </c>
      <c r="L16" s="139">
        <f>ROUND(10488*L4,0)+102</f>
        <v>6876</v>
      </c>
      <c r="M16" s="139">
        <f>ROUND(9486*M4,0)+102</f>
        <v>6213</v>
      </c>
      <c r="N16" s="139">
        <f>ROUND(9315*N4,0)+90</f>
        <v>6133</v>
      </c>
      <c r="O16" s="139">
        <f>ROUND(12659*O4,0)+84</f>
        <v>8333</v>
      </c>
      <c r="P16" s="97">
        <f>ROUND((13812)*P4,0)+91</f>
        <v>9102</v>
      </c>
      <c r="Q16" s="97">
        <f>ROUND((12594)*Q4,0)+98</f>
        <v>8285</v>
      </c>
      <c r="R16" s="97">
        <f>ROUND((14822)*R4,0)</f>
        <v>9662</v>
      </c>
      <c r="S16" s="97">
        <f>ROUND((16264)*S4,0)+98</f>
        <v>10622</v>
      </c>
      <c r="T16" s="97" t="e">
        <f>#REF!*T4+#REF!</f>
        <v>#REF!</v>
      </c>
      <c r="U16" s="310"/>
    </row>
    <row r="17" spans="1:20">
      <c r="A17" s="183" t="s">
        <v>230</v>
      </c>
      <c r="E17" s="140">
        <f>E9-E16</f>
        <v>3143.6805000000004</v>
      </c>
      <c r="F17" s="140">
        <f>F9-F16</f>
        <v>1970</v>
      </c>
      <c r="G17" s="140">
        <f>G9</f>
        <v>25225</v>
      </c>
      <c r="H17" s="140">
        <f>H9</f>
        <v>46826</v>
      </c>
      <c r="I17" s="140">
        <f>I9</f>
        <v>31</v>
      </c>
      <c r="J17" s="140">
        <f t="shared" ref="J17:Q17" si="2">J9</f>
        <v>41.836799999999997</v>
      </c>
      <c r="K17" s="140">
        <f t="shared" si="2"/>
        <v>31</v>
      </c>
      <c r="L17" s="140">
        <f t="shared" si="2"/>
        <v>7</v>
      </c>
      <c r="M17" s="140">
        <f>M9+1623</f>
        <v>1625</v>
      </c>
      <c r="N17" s="140">
        <f>N9+89</f>
        <v>182.4128</v>
      </c>
      <c r="O17" s="140">
        <f t="shared" si="2"/>
        <v>456.11999999999995</v>
      </c>
      <c r="P17" s="140">
        <f t="shared" si="2"/>
        <v>1420.9271999999999</v>
      </c>
      <c r="Q17" s="140">
        <f t="shared" si="2"/>
        <v>1185.7227</v>
      </c>
      <c r="R17" s="262">
        <f>R9</f>
        <v>0</v>
      </c>
      <c r="S17" s="262">
        <f>S9</f>
        <v>2755</v>
      </c>
      <c r="T17" s="262" t="e">
        <f>T9</f>
        <v>#REF!</v>
      </c>
    </row>
    <row r="18" spans="1:20">
      <c r="A18" s="183"/>
      <c r="E18" s="140"/>
      <c r="F18" s="140"/>
      <c r="G18" s="140"/>
      <c r="H18" s="140"/>
      <c r="I18" s="140"/>
      <c r="J18" s="140"/>
      <c r="K18" s="140"/>
      <c r="L18" s="140"/>
      <c r="M18" s="140"/>
      <c r="N18" s="140"/>
      <c r="O18" s="140"/>
      <c r="P18" s="140"/>
      <c r="Q18" s="140"/>
      <c r="R18" s="262"/>
      <c r="S18" s="262"/>
      <c r="T18" s="262"/>
    </row>
    <row r="19" spans="1:20">
      <c r="A19" s="203" t="s">
        <v>285</v>
      </c>
      <c r="E19" s="140">
        <f t="shared" ref="E19:R19" si="3">E17+E7+E8</f>
        <v>3487.7256000000007</v>
      </c>
      <c r="F19" s="140">
        <f t="shared" si="3"/>
        <v>2251</v>
      </c>
      <c r="G19" s="140">
        <f t="shared" si="3"/>
        <v>25293</v>
      </c>
      <c r="H19" s="140">
        <f t="shared" si="3"/>
        <v>47139</v>
      </c>
      <c r="I19" s="140">
        <f t="shared" si="3"/>
        <v>285</v>
      </c>
      <c r="J19" s="140">
        <f t="shared" si="3"/>
        <v>179.11379999999997</v>
      </c>
      <c r="K19" s="140">
        <f t="shared" si="3"/>
        <v>198</v>
      </c>
      <c r="L19" s="140">
        <f t="shared" si="3"/>
        <v>221</v>
      </c>
      <c r="M19" s="140">
        <f t="shared" si="3"/>
        <v>1839</v>
      </c>
      <c r="N19" s="140">
        <f t="shared" si="3"/>
        <v>448.37979999999999</v>
      </c>
      <c r="O19" s="140">
        <f t="shared" si="3"/>
        <v>639.87119999999993</v>
      </c>
      <c r="P19" s="140">
        <f t="shared" si="3"/>
        <v>1751.694</v>
      </c>
      <c r="Q19" s="140">
        <f t="shared" si="3"/>
        <v>1489.3194000000001</v>
      </c>
      <c r="R19" s="262">
        <f t="shared" si="3"/>
        <v>282</v>
      </c>
      <c r="S19" s="262">
        <f>S17+S7+S8</f>
        <v>3062.3724999999999</v>
      </c>
      <c r="T19" s="262" t="e">
        <f>T17+T7+T8</f>
        <v>#REF!</v>
      </c>
    </row>
    <row r="20" spans="1:20">
      <c r="R20" s="261"/>
      <c r="S20" s="261"/>
    </row>
    <row r="21" spans="1:20">
      <c r="A21" s="124" t="s">
        <v>193</v>
      </c>
      <c r="E21" s="140">
        <f>E14-E9-E7-E8</f>
        <v>1750.2743999999996</v>
      </c>
      <c r="F21" s="140">
        <f>F14-F9-F7-F8</f>
        <v>2162</v>
      </c>
      <c r="G21" s="140">
        <f t="shared" ref="G21:Q21" si="4">G14-G16-G17-G7-G8</f>
        <v>1866</v>
      </c>
      <c r="H21" s="140">
        <f t="shared" si="4"/>
        <v>2536</v>
      </c>
      <c r="I21" s="140">
        <f t="shared" si="4"/>
        <v>2779</v>
      </c>
      <c r="J21" s="140">
        <f t="shared" si="4"/>
        <v>3442.8861999999999</v>
      </c>
      <c r="K21" s="140">
        <f t="shared" si="4"/>
        <v>2956</v>
      </c>
      <c r="L21" s="140">
        <f t="shared" si="4"/>
        <v>3073</v>
      </c>
      <c r="M21" s="140">
        <f t="shared" si="4"/>
        <v>2875</v>
      </c>
      <c r="N21" s="140">
        <f t="shared" si="4"/>
        <v>2813.6201999999998</v>
      </c>
      <c r="O21" s="140">
        <f t="shared" si="4"/>
        <v>2813.1288</v>
      </c>
      <c r="P21" s="140">
        <f t="shared" si="4"/>
        <v>2812.306</v>
      </c>
      <c r="Q21" s="140">
        <f t="shared" si="4"/>
        <v>3314.6805999999997</v>
      </c>
      <c r="R21" s="262">
        <f>R14-R16-R17-R7-R8</f>
        <v>3464</v>
      </c>
      <c r="S21" s="262">
        <f>S14-S16-S17-S7-S8</f>
        <v>3478.6275000000001</v>
      </c>
      <c r="T21" s="262" t="e">
        <f>T14-T16-T17-T7-T8</f>
        <v>#REF!</v>
      </c>
    </row>
    <row r="23" spans="1:20">
      <c r="A23" s="184" t="s">
        <v>231</v>
      </c>
      <c r="E23" s="140" t="str">
        <f t="shared" ref="E23:R23" si="5">IF(E7+E8+E16+E17+E21=E14,"","footing error")</f>
        <v/>
      </c>
      <c r="F23" s="140" t="str">
        <f t="shared" si="5"/>
        <v/>
      </c>
      <c r="G23" s="140" t="str">
        <f t="shared" si="5"/>
        <v/>
      </c>
      <c r="H23" s="140" t="str">
        <f t="shared" si="5"/>
        <v/>
      </c>
      <c r="I23" s="140" t="str">
        <f t="shared" si="5"/>
        <v/>
      </c>
      <c r="J23" s="140" t="str">
        <f t="shared" si="5"/>
        <v/>
      </c>
      <c r="K23" s="140" t="str">
        <f t="shared" si="5"/>
        <v/>
      </c>
      <c r="L23" s="140" t="str">
        <f t="shared" si="5"/>
        <v/>
      </c>
      <c r="M23" s="140" t="str">
        <f t="shared" si="5"/>
        <v/>
      </c>
      <c r="N23" s="140" t="str">
        <f t="shared" si="5"/>
        <v/>
      </c>
      <c r="O23" s="140" t="str">
        <f t="shared" si="5"/>
        <v/>
      </c>
      <c r="P23" s="140" t="str">
        <f t="shared" si="5"/>
        <v/>
      </c>
      <c r="Q23" s="140" t="str">
        <f t="shared" si="5"/>
        <v/>
      </c>
      <c r="R23" s="140" t="str">
        <f t="shared" si="5"/>
        <v/>
      </c>
      <c r="S23" s="140" t="str">
        <f t="shared" ref="S23:T23" si="6">IF(S7+S8+S16+S17+S21=S14,"","footing error")</f>
        <v/>
      </c>
      <c r="T23" s="262" t="e">
        <f t="shared" si="6"/>
        <v>#REF!</v>
      </c>
    </row>
    <row r="24" spans="1:20">
      <c r="I24" s="250" t="s">
        <v>319</v>
      </c>
      <c r="M24" s="140">
        <v>1623</v>
      </c>
      <c r="N24" s="140">
        <v>89</v>
      </c>
      <c r="O24" s="140"/>
      <c r="P24" s="140"/>
    </row>
    <row r="25" spans="1:20">
      <c r="I25" s="141" t="s">
        <v>194</v>
      </c>
      <c r="M25" s="140"/>
      <c r="N25" s="140"/>
      <c r="O25" s="140">
        <v>-767</v>
      </c>
      <c r="P25" s="140"/>
    </row>
    <row r="26" spans="1:20">
      <c r="I26" s="141" t="s">
        <v>195</v>
      </c>
      <c r="M26" s="140"/>
      <c r="N26" s="140"/>
      <c r="O26" s="140"/>
      <c r="P26" s="140">
        <v>-1044</v>
      </c>
    </row>
  </sheetData>
  <pageMargins left="0.7" right="0.7" top="0.75" bottom="0.75" header="0.3" footer="0.56000000000000005"/>
  <pageSetup scale="60" orientation="landscape" r:id="rId1"/>
  <headerFooter>
    <oddFooter>&amp;C&amp;F / &amp;A</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
  <sheetViews>
    <sheetView workbookViewId="0">
      <selection activeCell="T1" sqref="T1"/>
    </sheetView>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Date1 xmlns="dc463f71-b30c-4ab2-9473-d307f9d35888">2017-10-27T07:00:00+00:00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SignificantOrder xmlns="dc463f71-b30c-4ab2-9473-d307f9d35888">false</SignificantOrder>
  </documentManagement>
</p:properti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89DF39-6998-4B98-816C-D36A535A8A94}">
  <ds:schemaRefs>
    <ds:schemaRef ds:uri="http://schemas.microsoft.com/sharepoint/v3/contenttype/forms"/>
  </ds:schemaRefs>
</ds:datastoreItem>
</file>

<file path=customXml/itemProps2.xml><?xml version="1.0" encoding="utf-8"?>
<ds:datastoreItem xmlns:ds="http://schemas.openxmlformats.org/officeDocument/2006/customXml" ds:itemID="{BA984CF9-CFCA-4FCA-959E-C9206EECFDE3}">
  <ds:schemaRefs>
    <ds:schemaRef ds:uri="http://purl.org/dc/elements/1.1/"/>
    <ds:schemaRef ds:uri="http://schemas.microsoft.com/office/2006/metadata/properties"/>
    <ds:schemaRef ds:uri="http://purl.org/dc/terms/"/>
    <ds:schemaRef ds:uri="24f70c62-691b-492e-ba59-9d389529a97e"/>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49170AE3-EA93-430C-A5F4-FBBADAA4CE83}"/>
</file>

<file path=customXml/itemProps4.xml><?xml version="1.0" encoding="utf-8"?>
<ds:datastoreItem xmlns:ds="http://schemas.openxmlformats.org/officeDocument/2006/customXml" ds:itemID="{9BAC20BB-693C-4C67-BD44-13E00BBE8F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27</vt:i4>
      </vt:variant>
    </vt:vector>
  </HeadingPairs>
  <TitlesOfParts>
    <vt:vector size="62" baseType="lpstr">
      <vt:lpstr>Plant Trends</vt:lpstr>
      <vt:lpstr>1.01) 2018 Summary</vt:lpstr>
      <vt:lpstr>1.02) 2019 Summary</vt:lpstr>
      <vt:lpstr>1.03) 2020 Summary</vt:lpstr>
      <vt:lpstr>2) ROR</vt:lpstr>
      <vt:lpstr>3.01) Attrition 2016 to 2018</vt:lpstr>
      <vt:lpstr>3.02) Attrition 2016 to 2019</vt:lpstr>
      <vt:lpstr>3.03) Attrition 2016 to 2020</vt:lpstr>
      <vt:lpstr>4.01</vt:lpstr>
      <vt:lpstr>4.02</vt:lpstr>
      <vt:lpstr>4.03</vt:lpstr>
      <vt:lpstr>4.04</vt:lpstr>
      <vt:lpstr>4.05</vt:lpstr>
      <vt:lpstr>4.06</vt:lpstr>
      <vt:lpstr>4.07</vt:lpstr>
      <vt:lpstr>4.08</vt:lpstr>
      <vt:lpstr>4.09</vt:lpstr>
      <vt:lpstr>4.10</vt:lpstr>
      <vt:lpstr>4.11</vt:lpstr>
      <vt:lpstr>4.12</vt:lpstr>
      <vt:lpstr>4.13</vt:lpstr>
      <vt:lpstr>4.14</vt:lpstr>
      <vt:lpstr>4.15</vt:lpstr>
      <vt:lpstr>4.16</vt:lpstr>
      <vt:lpstr>Cost Trends</vt:lpstr>
      <vt:lpstr>Sheet1 (2)</vt:lpstr>
      <vt:lpstr>456 Revenue</vt:lpstr>
      <vt:lpstr>CS2-Colstrip 2016 Incrmntl Exp</vt:lpstr>
      <vt:lpstr>Reg Amorts</vt:lpstr>
      <vt:lpstr>DSM</vt:lpstr>
      <vt:lpstr>ResX</vt:lpstr>
      <vt:lpstr>CBR Hist</vt:lpstr>
      <vt:lpstr>PS Consolidated</vt:lpstr>
      <vt:lpstr>Other Rev</vt:lpstr>
      <vt:lpstr>Sheet1</vt:lpstr>
      <vt:lpstr>'1.01) 2018 Summary'!Print_Area</vt:lpstr>
      <vt:lpstr>'1.02) 2019 Summary'!Print_Area</vt:lpstr>
      <vt:lpstr>'1.03) 2020 Summary'!Print_Area</vt:lpstr>
      <vt:lpstr>'2) ROR'!Print_Area</vt:lpstr>
      <vt:lpstr>'3.01) Attrition 2016 to 2018'!Print_Area</vt:lpstr>
      <vt:lpstr>'3.02) Attrition 2016 to 2019'!Print_Area</vt:lpstr>
      <vt:lpstr>'3.03) Attrition 2016 to 2020'!Print_Area</vt:lpstr>
      <vt:lpstr>'4.01'!Print_Area</vt:lpstr>
      <vt:lpstr>'4.02'!Print_Area</vt:lpstr>
      <vt:lpstr>'4.03'!Print_Area</vt:lpstr>
      <vt:lpstr>'4.04'!Print_Area</vt:lpstr>
      <vt:lpstr>'4.05'!Print_Area</vt:lpstr>
      <vt:lpstr>'4.06'!Print_Area</vt:lpstr>
      <vt:lpstr>'4.07'!Print_Area</vt:lpstr>
      <vt:lpstr>'4.08'!Print_Area</vt:lpstr>
      <vt:lpstr>'4.09'!Print_Area</vt:lpstr>
      <vt:lpstr>'4.10'!Print_Area</vt:lpstr>
      <vt:lpstr>'4.11'!Print_Area</vt:lpstr>
      <vt:lpstr>'4.12'!Print_Area</vt:lpstr>
      <vt:lpstr>'4.13'!Print_Area</vt:lpstr>
      <vt:lpstr>'4.14'!Print_Area</vt:lpstr>
      <vt:lpstr>'4.15'!Print_Area</vt:lpstr>
      <vt:lpstr>'4.16'!Print_Area</vt:lpstr>
      <vt:lpstr>'CBR Hist'!Print_Area</vt:lpstr>
      <vt:lpstr>'Cost Trends'!Print_Area</vt:lpstr>
      <vt:lpstr>'CBR Hist'!Print_Titles</vt:lpstr>
      <vt:lpstr>'Cost Trends'!Print_Titles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Electric Attrition Study</dc:title>
  <dc:creator>Steve Fenrick</dc:creator>
  <cp:lastModifiedBy>Mullins</cp:lastModifiedBy>
  <cp:lastPrinted>2017-10-25T21:59:22Z</cp:lastPrinted>
  <dcterms:created xsi:type="dcterms:W3CDTF">2012-01-25T16:30:38Z</dcterms:created>
  <dcterms:modified xsi:type="dcterms:W3CDTF">2017-10-27T15:49:57Z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3" name="_docset_NoMedatataSyncRequired">
    <vt:lpwstr>False</vt:lpwstr>
  </property>
  <property fmtid="{D5CDD505-2E9C-101B-9397-08002B2CF9AE}" pid="4" name="IsEFSEC">
    <vt:bool>false</vt:bool>
  </property>
</Properties>
</file>