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92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Sheet1!$A$1:$M$27</definedName>
  </definedNames>
  <calcPr calcId="145621" calcMode="autoNoTable"/>
</workbook>
</file>

<file path=xl/calcChain.xml><?xml version="1.0" encoding="utf-8"?>
<calcChain xmlns="http://schemas.openxmlformats.org/spreadsheetml/2006/main">
  <c r="J20" i="1" l="1"/>
  <c r="M18" i="1"/>
  <c r="J18" i="1"/>
  <c r="G17" i="1"/>
  <c r="F17" i="1"/>
  <c r="H17" i="1" s="1"/>
  <c r="M16" i="1"/>
  <c r="H16" i="1"/>
  <c r="G16" i="1"/>
  <c r="F16" i="1"/>
  <c r="M14" i="1"/>
  <c r="J14" i="1"/>
  <c r="H14" i="1"/>
  <c r="F14" i="1"/>
  <c r="H13" i="1"/>
  <c r="C13" i="1"/>
  <c r="C15" i="1" s="1"/>
  <c r="C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H12" i="1"/>
  <c r="H3" i="1"/>
  <c r="M3" i="1" s="1"/>
  <c r="H18" i="1" l="1"/>
  <c r="F18" i="1"/>
  <c r="M19" i="1"/>
  <c r="M20" i="1" s="1"/>
  <c r="C20" i="1" s="1"/>
  <c r="C21" i="1" s="1"/>
  <c r="C24" i="1" s="1"/>
</calcChain>
</file>

<file path=xl/sharedStrings.xml><?xml version="1.0" encoding="utf-8"?>
<sst xmlns="http://schemas.openxmlformats.org/spreadsheetml/2006/main" count="50" uniqueCount="35">
  <si>
    <t>Page 2 of 3</t>
  </si>
  <si>
    <t>Page 3 of 3</t>
  </si>
  <si>
    <t>PUGET SOUND ENERGY-ELECTRIC</t>
  </si>
  <si>
    <t>GENERAL RATE INCREASE</t>
  </si>
  <si>
    <t>PRO FORMA COST OF CAPITAL</t>
  </si>
  <si>
    <t>CONVERSION FACTOR</t>
  </si>
  <si>
    <t>FOR THE TWELVE MONTHS ENDED SEPTEMBER 30, 2016</t>
  </si>
  <si>
    <t>GENERAL RATE CASE</t>
  </si>
  <si>
    <t>LINE</t>
  </si>
  <si>
    <t>PRO FORMA</t>
  </si>
  <si>
    <t>COST</t>
  </si>
  <si>
    <t>COST OF</t>
  </si>
  <si>
    <t>NO.</t>
  </si>
  <si>
    <t>DESCRIPTION</t>
  </si>
  <si>
    <t xml:space="preserve"> </t>
  </si>
  <si>
    <t>CAPITAL %</t>
  </si>
  <si>
    <t>%</t>
  </si>
  <si>
    <t>CAPITAL</t>
  </si>
  <si>
    <t>RATE</t>
  </si>
  <si>
    <t>RATE BASE</t>
  </si>
  <si>
    <t>SHORT &amp; LONG TERM DEBT</t>
  </si>
  <si>
    <t>BAD DEBTS</t>
  </si>
  <si>
    <t>RATE OF RETURN</t>
  </si>
  <si>
    <t>EQUITY</t>
  </si>
  <si>
    <t>ANNUAL FILING FEE</t>
  </si>
  <si>
    <t>TOTAL COST OF CAPITAL</t>
  </si>
  <si>
    <t>OPERATING INCOME REQUIREMENT</t>
  </si>
  <si>
    <t>AFTER TAX DEBT</t>
  </si>
  <si>
    <t>SUM OF TAXES OTHER</t>
  </si>
  <si>
    <t>PRO FORMA OPERATING INCOME</t>
  </si>
  <si>
    <t>OPERATING INCOME DEFICIENCY</t>
  </si>
  <si>
    <t>TOTAL AFTER TAX COST OF CAPITAL</t>
  </si>
  <si>
    <t>FEDERAL INCOME TAX ( LINE 7  * 35% )</t>
  </si>
  <si>
    <t>REVENUE REQUIREMENT DEFICIENCY</t>
  </si>
  <si>
    <t>SALES FROM RESALE-FIRM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</si>
</sst>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Adj.&quot;\ 0.00"/>
    <numFmt numFmtId="165" formatCode="0.000000"/>
    <numFmt numFmtId="166" formatCode="0.0000%"/>
    <numFmt numFmtId="167" formatCode="#,##0;\(#,##0\)"/>
    <numFmt numFmtId="168" formatCode="_(* #,##0_);_(* \(#,##0\);_(* &quot;-&quot;??_);_(@_)"/>
    <numFmt numFmtId="169" formatCode="#,##0.0000000;\(#,##0.0000000\)"/>
    <numFmt numFmtId="170" formatCode="0.0000000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0"/>
      <name val="Helv"/>
    </font>
    <font>
      <sz val="10"/>
      <name val="Helv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2" fillId="0" borderId="1" xfId="0" applyNumberFormat="1" applyFont="1" applyFill="1" applyBorder="1" applyAlignment="1"/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fill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10" fontId="3" fillId="0" borderId="2" xfId="0" applyNumberFormat="1" applyFont="1" applyFill="1" applyBorder="1" applyAlignment="1"/>
    <xf numFmtId="10" fontId="3" fillId="0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0" fontId="7" fillId="0" borderId="0" xfId="0" applyNumberFormat="1" applyFont="1" applyFill="1" applyAlignment="1"/>
    <xf numFmtId="166" fontId="3" fillId="0" borderId="0" xfId="0" applyNumberFormat="1" applyFont="1" applyFill="1" applyAlignment="1"/>
    <xf numFmtId="165" fontId="3" fillId="0" borderId="2" xfId="0" applyNumberFormat="1" applyFont="1" applyFill="1" applyBorder="1" applyAlignment="1"/>
    <xf numFmtId="41" fontId="3" fillId="0" borderId="0" xfId="0" applyNumberFormat="1" applyFont="1" applyFill="1" applyAlignment="1"/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7" fontId="3" fillId="0" borderId="0" xfId="0" applyNumberFormat="1" applyFont="1" applyFill="1" applyAlignment="1"/>
    <xf numFmtId="10" fontId="3" fillId="0" borderId="0" xfId="0" applyNumberFormat="1" applyFont="1" applyFill="1" applyAlignment="1"/>
    <xf numFmtId="168" fontId="3" fillId="0" borderId="0" xfId="1" applyNumberFormat="1" applyFont="1" applyFill="1" applyAlignment="1">
      <alignment horizontal="right"/>
    </xf>
    <xf numFmtId="41" fontId="3" fillId="0" borderId="3" xfId="0" applyNumberFormat="1" applyFont="1" applyFill="1" applyBorder="1" applyAlignment="1"/>
    <xf numFmtId="0" fontId="0" fillId="0" borderId="0" xfId="0" applyNumberFormat="1" applyFill="1" applyAlignment="1"/>
    <xf numFmtId="9" fontId="3" fillId="0" borderId="0" xfId="0" applyNumberFormat="1" applyFont="1" applyFill="1" applyAlignment="1"/>
    <xf numFmtId="169" fontId="3" fillId="0" borderId="2" xfId="0" applyNumberFormat="1" applyFont="1" applyFill="1" applyBorder="1" applyAlignment="1" applyProtection="1">
      <protection locked="0"/>
    </xf>
    <xf numFmtId="170" fontId="3" fillId="0" borderId="4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/>
    <xf numFmtId="0" fontId="8" fillId="0" borderId="0" xfId="0" applyNumberFormat="1" applyFont="1" applyAlignment="1"/>
    <xf numFmtId="42" fontId="3" fillId="0" borderId="5" xfId="0" applyNumberFormat="1" applyFont="1" applyFill="1" applyBorder="1" applyAlignment="1"/>
    <xf numFmtId="42" fontId="9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2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/>
    <xf numFmtId="41" fontId="9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zoomScale="60" zoomScaleNormal="100" workbookViewId="0">
      <selection activeCell="E31" sqref="E31"/>
    </sheetView>
  </sheetViews>
  <sheetFormatPr defaultColWidth="15" defaultRowHeight="14.4" x14ac:dyDescent="0.3"/>
  <cols>
    <col min="1" max="1" width="4.5546875" style="2" customWidth="1"/>
    <col min="2" max="2" width="52.44140625" style="2" customWidth="1"/>
    <col min="3" max="3" width="16.109375" style="2" customWidth="1"/>
    <col min="4" max="4" width="5" style="37" bestFit="1" customWidth="1"/>
    <col min="5" max="5" width="43.44140625" style="37" bestFit="1" customWidth="1"/>
    <col min="6" max="6" width="15" style="37"/>
    <col min="7" max="7" width="10.77734375" style="37" customWidth="1"/>
    <col min="8" max="8" width="15" style="37"/>
    <col min="9" max="9" width="4" style="37" customWidth="1"/>
    <col min="10" max="10" width="56.33203125" style="37" bestFit="1" customWidth="1"/>
    <col min="11" max="11" width="3.88671875" style="37" customWidth="1"/>
    <col min="12" max="12" width="8.44140625" style="37" customWidth="1"/>
    <col min="13" max="16384" width="15" style="37"/>
  </cols>
  <sheetData>
    <row r="1" spans="1:14" s="44" customFormat="1" x14ac:dyDescent="0.3">
      <c r="A1" s="1"/>
      <c r="B1" s="2"/>
      <c r="C1" s="3"/>
      <c r="D1" s="1"/>
      <c r="E1" s="2"/>
      <c r="F1" s="2"/>
      <c r="G1" s="2"/>
      <c r="H1" s="4"/>
      <c r="I1" s="1"/>
      <c r="J1" s="2"/>
      <c r="K1" s="2"/>
      <c r="L1" s="2"/>
      <c r="M1" s="4"/>
    </row>
    <row r="2" spans="1:14" s="44" customFormat="1" ht="15" thickBot="1" x14ac:dyDescent="0.35">
      <c r="A2" s="1"/>
      <c r="B2" s="2"/>
      <c r="C2" s="3"/>
      <c r="D2" s="5"/>
      <c r="E2" s="2"/>
      <c r="F2" s="2"/>
      <c r="G2" s="2"/>
      <c r="H2" s="3" t="s">
        <v>0</v>
      </c>
      <c r="I2" s="1"/>
      <c r="J2" s="1"/>
      <c r="K2" s="1"/>
      <c r="L2" s="1"/>
      <c r="M2" s="3" t="s">
        <v>1</v>
      </c>
    </row>
    <row r="3" spans="1:14" s="44" customFormat="1" ht="16.2" thickBot="1" x14ac:dyDescent="0.35">
      <c r="A3" s="6"/>
      <c r="B3" s="7"/>
      <c r="C3" s="8">
        <v>3.01</v>
      </c>
      <c r="D3" s="2"/>
      <c r="E3" s="2"/>
      <c r="F3" s="2"/>
      <c r="G3" s="2"/>
      <c r="H3" s="8">
        <f>+C3+0.01</f>
        <v>3.0199999999999996</v>
      </c>
      <c r="I3" s="1"/>
      <c r="J3" s="1"/>
      <c r="K3" s="1"/>
      <c r="L3" s="1"/>
      <c r="M3" s="8">
        <f>+H3+0.01</f>
        <v>3.0299999999999994</v>
      </c>
    </row>
    <row r="4" spans="1:14" s="44" customFormat="1" ht="24" customHeight="1" x14ac:dyDescent="0.3">
      <c r="A4" s="9" t="s">
        <v>2</v>
      </c>
      <c r="B4" s="9"/>
      <c r="C4" s="9"/>
      <c r="D4" s="10" t="s">
        <v>2</v>
      </c>
      <c r="E4" s="7"/>
      <c r="F4" s="11"/>
      <c r="G4" s="11"/>
      <c r="H4" s="11"/>
      <c r="I4" s="10" t="s">
        <v>2</v>
      </c>
      <c r="J4" s="11"/>
      <c r="K4" s="11"/>
      <c r="L4" s="11"/>
      <c r="M4" s="11"/>
    </row>
    <row r="5" spans="1:14" s="44" customFormat="1" x14ac:dyDescent="0.3">
      <c r="A5" s="12" t="s">
        <v>3</v>
      </c>
      <c r="B5" s="7"/>
      <c r="C5" s="7"/>
      <c r="D5" s="13" t="s">
        <v>4</v>
      </c>
      <c r="E5" s="7"/>
      <c r="F5" s="11"/>
      <c r="G5" s="11"/>
      <c r="H5" s="11"/>
      <c r="I5" s="13" t="s">
        <v>5</v>
      </c>
      <c r="J5" s="11"/>
      <c r="K5" s="11"/>
      <c r="L5" s="11"/>
      <c r="M5" s="11"/>
    </row>
    <row r="6" spans="1:14" x14ac:dyDescent="0.3">
      <c r="A6" s="11" t="s">
        <v>6</v>
      </c>
      <c r="B6" s="7"/>
      <c r="C6" s="7"/>
      <c r="D6" s="11" t="s">
        <v>6</v>
      </c>
      <c r="E6" s="7"/>
      <c r="F6" s="11"/>
      <c r="G6" s="11"/>
      <c r="H6" s="11"/>
      <c r="I6" s="11" t="s">
        <v>6</v>
      </c>
      <c r="J6" s="11"/>
      <c r="K6" s="11"/>
      <c r="L6" s="11"/>
      <c r="M6" s="11"/>
    </row>
    <row r="7" spans="1:14" x14ac:dyDescent="0.3">
      <c r="A7" s="10" t="s">
        <v>7</v>
      </c>
      <c r="B7" s="14"/>
      <c r="C7" s="7"/>
      <c r="D7" s="10" t="s">
        <v>7</v>
      </c>
      <c r="E7" s="7"/>
      <c r="F7" s="11"/>
      <c r="G7" s="11"/>
      <c r="H7" s="11"/>
      <c r="I7" s="10" t="s">
        <v>7</v>
      </c>
      <c r="J7" s="11"/>
      <c r="K7" s="11"/>
      <c r="L7" s="11"/>
      <c r="M7" s="11"/>
    </row>
    <row r="8" spans="1:14" x14ac:dyDescent="0.3">
      <c r="D8" s="15"/>
      <c r="E8" s="2"/>
      <c r="F8" s="2"/>
      <c r="G8" s="16"/>
      <c r="H8" s="16"/>
      <c r="I8" s="1"/>
      <c r="J8" s="1"/>
      <c r="K8" s="1"/>
      <c r="L8" s="1"/>
      <c r="M8" s="1"/>
    </row>
    <row r="9" spans="1:14" x14ac:dyDescent="0.3">
      <c r="A9" s="16" t="s">
        <v>8</v>
      </c>
      <c r="C9" s="16"/>
      <c r="D9" s="16" t="s">
        <v>8</v>
      </c>
      <c r="E9" s="2"/>
      <c r="F9" s="16" t="s">
        <v>9</v>
      </c>
      <c r="G9" s="16" t="s">
        <v>10</v>
      </c>
      <c r="H9" s="16" t="s">
        <v>11</v>
      </c>
      <c r="I9" s="16" t="s">
        <v>8</v>
      </c>
      <c r="J9" s="1"/>
      <c r="K9" s="1"/>
      <c r="L9" s="1"/>
      <c r="M9" s="1"/>
    </row>
    <row r="10" spans="1:14" x14ac:dyDescent="0.3">
      <c r="A10" s="17" t="s">
        <v>12</v>
      </c>
      <c r="B10" s="18" t="s">
        <v>13</v>
      </c>
      <c r="C10" s="19" t="s">
        <v>14</v>
      </c>
      <c r="D10" s="17" t="s">
        <v>12</v>
      </c>
      <c r="E10" s="18" t="s">
        <v>13</v>
      </c>
      <c r="F10" s="17" t="s">
        <v>15</v>
      </c>
      <c r="G10" s="17" t="s">
        <v>16</v>
      </c>
      <c r="H10" s="17" t="s">
        <v>17</v>
      </c>
      <c r="I10" s="17" t="s">
        <v>12</v>
      </c>
      <c r="J10" s="20" t="s">
        <v>13</v>
      </c>
      <c r="K10" s="21"/>
      <c r="L10" s="21"/>
      <c r="M10" s="22" t="s">
        <v>18</v>
      </c>
    </row>
    <row r="11" spans="1:14" x14ac:dyDescent="0.3">
      <c r="D11" s="23"/>
      <c r="E11" s="23"/>
      <c r="F11" s="23"/>
      <c r="G11" s="23"/>
      <c r="H11" s="23"/>
      <c r="I11" s="2"/>
      <c r="J11" s="2"/>
      <c r="K11" s="2"/>
      <c r="L11" s="2"/>
      <c r="M11" s="24"/>
    </row>
    <row r="12" spans="1:14" ht="15" customHeight="1" x14ac:dyDescent="0.3">
      <c r="A12" s="25">
        <v>1</v>
      </c>
      <c r="B12" s="2" t="s">
        <v>19</v>
      </c>
      <c r="C12" s="26">
        <v>5097962433.1576805</v>
      </c>
      <c r="D12" s="25">
        <v>1</v>
      </c>
      <c r="E12" s="2" t="s">
        <v>20</v>
      </c>
      <c r="F12" s="27">
        <v>0.51500000000000001</v>
      </c>
      <c r="G12" s="27">
        <v>5.8058252427184473E-2</v>
      </c>
      <c r="H12" s="27">
        <f>ROUND(+F12*G12,4)</f>
        <v>2.9899999999999999E-2</v>
      </c>
      <c r="I12" s="25">
        <v>1</v>
      </c>
      <c r="J12" s="28" t="s">
        <v>21</v>
      </c>
      <c r="K12" s="2"/>
      <c r="L12" s="2"/>
      <c r="M12" s="29">
        <v>7.1570000000000002E-3</v>
      </c>
      <c r="N12" s="33"/>
    </row>
    <row r="13" spans="1:14" ht="15" customHeight="1" x14ac:dyDescent="0.3">
      <c r="A13" s="25">
        <f t="shared" ref="A13:A24" si="0">A12+1</f>
        <v>2</v>
      </c>
      <c r="B13" s="28" t="s">
        <v>22</v>
      </c>
      <c r="C13" s="30">
        <f>+H14</f>
        <v>7.7399999999999997E-2</v>
      </c>
      <c r="D13" s="25">
        <v>2</v>
      </c>
      <c r="E13" s="2" t="s">
        <v>23</v>
      </c>
      <c r="F13" s="27">
        <v>0.48499999999999999</v>
      </c>
      <c r="G13" s="27">
        <v>9.8000000000000004E-2</v>
      </c>
      <c r="H13" s="27">
        <f>ROUND(+F13*G13,4)</f>
        <v>4.7500000000000001E-2</v>
      </c>
      <c r="I13" s="25">
        <v>2</v>
      </c>
      <c r="J13" s="28" t="s">
        <v>24</v>
      </c>
      <c r="K13" s="2"/>
      <c r="L13" s="2"/>
      <c r="M13" s="29">
        <v>2E-3</v>
      </c>
      <c r="N13" s="44"/>
    </row>
    <row r="14" spans="1:14" ht="15" customHeight="1" x14ac:dyDescent="0.3">
      <c r="A14" s="25">
        <f t="shared" si="0"/>
        <v>3</v>
      </c>
      <c r="B14" s="28"/>
      <c r="D14" s="25">
        <v>3</v>
      </c>
      <c r="E14" s="2" t="s">
        <v>25</v>
      </c>
      <c r="F14" s="31">
        <f>SUM(F12:F13)</f>
        <v>1</v>
      </c>
      <c r="G14" s="32"/>
      <c r="H14" s="31">
        <f>SUM(H12:H13)</f>
        <v>7.7399999999999997E-2</v>
      </c>
      <c r="I14" s="25">
        <v>3</v>
      </c>
      <c r="J14" s="28" t="str">
        <f>"STATE UTILITY TAX ( "&amp;L14*100&amp;"% - ( LINE 1 * "&amp;L14*100&amp;"% )  )"</f>
        <v>STATE UTILITY TAX ( 3.8734% - ( LINE 1 * 3.8734% )  )</v>
      </c>
      <c r="K14" s="33"/>
      <c r="L14" s="34">
        <v>3.8733999999999998E-2</v>
      </c>
      <c r="M14" s="35">
        <f>ROUND(L14-(L14*M12),6)</f>
        <v>3.8456999999999998E-2</v>
      </c>
      <c r="N14" s="44"/>
    </row>
    <row r="15" spans="1:14" ht="15" customHeight="1" x14ac:dyDescent="0.3">
      <c r="A15" s="25">
        <f t="shared" si="0"/>
        <v>4</v>
      </c>
      <c r="B15" s="2" t="s">
        <v>26</v>
      </c>
      <c r="C15" s="36">
        <f>+C12*C13</f>
        <v>394582292.32640445</v>
      </c>
      <c r="D15" s="25">
        <v>4</v>
      </c>
      <c r="F15" s="2"/>
      <c r="G15" s="2"/>
      <c r="H15" s="38"/>
      <c r="I15" s="25">
        <v>4</v>
      </c>
      <c r="J15" s="28"/>
      <c r="K15" s="2"/>
      <c r="L15" s="2"/>
      <c r="M15" s="39"/>
      <c r="N15" s="44"/>
    </row>
    <row r="16" spans="1:14" ht="15" customHeight="1" x14ac:dyDescent="0.3">
      <c r="A16" s="25">
        <f t="shared" si="0"/>
        <v>5</v>
      </c>
      <c r="C16" s="40"/>
      <c r="D16" s="25">
        <v>5</v>
      </c>
      <c r="E16" s="2" t="s">
        <v>27</v>
      </c>
      <c r="F16" s="41">
        <f>+F12</f>
        <v>0.51500000000000001</v>
      </c>
      <c r="G16" s="41">
        <f>+G12</f>
        <v>5.8058252427184473E-2</v>
      </c>
      <c r="H16" s="27">
        <f>ROUND(H12*0.65,4)</f>
        <v>1.9400000000000001E-2</v>
      </c>
      <c r="I16" s="25">
        <v>5</v>
      </c>
      <c r="J16" s="28" t="s">
        <v>28</v>
      </c>
      <c r="K16" s="2"/>
      <c r="L16" s="2"/>
      <c r="M16" s="29">
        <f>ROUND(SUM(M12:M14),6)</f>
        <v>4.7613999999999997E-2</v>
      </c>
      <c r="N16" s="44"/>
    </row>
    <row r="17" spans="1:14" ht="15" customHeight="1" x14ac:dyDescent="0.3">
      <c r="A17" s="25">
        <f t="shared" si="0"/>
        <v>6</v>
      </c>
      <c r="B17" s="28" t="s">
        <v>29</v>
      </c>
      <c r="C17" s="42">
        <v>302305321.577317</v>
      </c>
      <c r="D17" s="25">
        <v>6</v>
      </c>
      <c r="E17" s="2" t="s">
        <v>23</v>
      </c>
      <c r="F17" s="41">
        <f>+F13</f>
        <v>0.48499999999999999</v>
      </c>
      <c r="G17" s="41">
        <f>+G13</f>
        <v>9.8000000000000004E-2</v>
      </c>
      <c r="H17" s="27">
        <f>ROUND(F17*G17,4)</f>
        <v>4.7500000000000001E-2</v>
      </c>
      <c r="I17" s="25">
        <v>6</v>
      </c>
      <c r="J17" s="2"/>
      <c r="K17" s="2"/>
      <c r="L17" s="2"/>
      <c r="M17" s="29"/>
      <c r="N17" s="44"/>
    </row>
    <row r="18" spans="1:14" ht="15" customHeight="1" x14ac:dyDescent="0.3">
      <c r="A18" s="25">
        <f t="shared" si="0"/>
        <v>7</v>
      </c>
      <c r="B18" s="28" t="s">
        <v>30</v>
      </c>
      <c r="C18" s="43">
        <f>+C15-C17+0.5</f>
        <v>92276971.249087453</v>
      </c>
      <c r="D18" s="25">
        <v>7</v>
      </c>
      <c r="E18" s="2" t="s">
        <v>31</v>
      </c>
      <c r="F18" s="31">
        <f>SUM(F16:F17)</f>
        <v>1</v>
      </c>
      <c r="G18" s="32"/>
      <c r="H18" s="31">
        <f>SUM(H16:H17)</f>
        <v>6.6900000000000001E-2</v>
      </c>
      <c r="I18" s="25">
        <v>7</v>
      </c>
      <c r="J18" s="2" t="str">
        <f>"CONVERSION FACTOR EXCLUDING FEDERAL INCOME TAX ( 1 - LINE "&amp;$I$16&amp;" )"</f>
        <v>CONVERSION FACTOR EXCLUDING FEDERAL INCOME TAX ( 1 - LINE 5 )</v>
      </c>
      <c r="K18" s="2"/>
      <c r="L18" s="2"/>
      <c r="M18" s="29">
        <f>ROUND(1-M16,6)</f>
        <v>0.95238599999999995</v>
      </c>
      <c r="N18" s="44"/>
    </row>
    <row r="19" spans="1:14" ht="15" customHeight="1" x14ac:dyDescent="0.3">
      <c r="A19" s="25">
        <f t="shared" si="0"/>
        <v>8</v>
      </c>
      <c r="C19" s="40"/>
      <c r="D19" s="25"/>
      <c r="F19" s="44"/>
      <c r="G19" s="44"/>
      <c r="H19" s="44"/>
      <c r="I19" s="25">
        <v>8</v>
      </c>
      <c r="J19" s="28" t="s">
        <v>32</v>
      </c>
      <c r="K19" s="2"/>
      <c r="L19" s="45">
        <v>0.35</v>
      </c>
      <c r="M19" s="29">
        <f>+M18*L19</f>
        <v>0.33333509999999994</v>
      </c>
      <c r="N19" s="44"/>
    </row>
    <row r="20" spans="1:14" ht="15" customHeight="1" thickBot="1" x14ac:dyDescent="0.35">
      <c r="A20" s="25">
        <f t="shared" si="0"/>
        <v>9</v>
      </c>
      <c r="B20" s="2" t="s">
        <v>5</v>
      </c>
      <c r="C20" s="46">
        <f>+M20</f>
        <v>0.61905100000000002</v>
      </c>
      <c r="D20" s="25"/>
      <c r="F20" s="2"/>
      <c r="G20" s="2"/>
      <c r="H20" s="2"/>
      <c r="I20" s="25">
        <v>9</v>
      </c>
      <c r="J20" s="28" t="str">
        <f>"CONVERSION FACTOR INCL FEDERAL INCOME TAX ( LINE "&amp;I18&amp;" - LINE "&amp;I19&amp;" ) "</f>
        <v xml:space="preserve">CONVERSION FACTOR INCL FEDERAL INCOME TAX ( LINE 7 - LINE 8 ) </v>
      </c>
      <c r="K20" s="2"/>
      <c r="L20" s="2"/>
      <c r="M20" s="47">
        <f>ROUND(M18-M19,6)</f>
        <v>0.61905100000000002</v>
      </c>
      <c r="N20" s="44"/>
    </row>
    <row r="21" spans="1:14" ht="15" customHeight="1" thickTop="1" x14ac:dyDescent="0.3">
      <c r="A21" s="25">
        <f t="shared" si="0"/>
        <v>10</v>
      </c>
      <c r="B21" s="2" t="s">
        <v>33</v>
      </c>
      <c r="C21" s="48">
        <f>ROUND(+C18/C20,0)</f>
        <v>149061986</v>
      </c>
      <c r="D21" s="25"/>
      <c r="F21" s="49"/>
      <c r="G21" s="49"/>
      <c r="H21" s="49"/>
      <c r="I21" s="49"/>
    </row>
    <row r="22" spans="1:14" ht="15" customHeight="1" x14ac:dyDescent="0.3">
      <c r="A22" s="25">
        <f t="shared" si="0"/>
        <v>11</v>
      </c>
      <c r="B22" s="28" t="s">
        <v>34</v>
      </c>
      <c r="C22" s="48">
        <v>406089.5577419175</v>
      </c>
      <c r="F22" s="49"/>
      <c r="H22" s="27"/>
      <c r="L22" s="44"/>
      <c r="M22" s="44"/>
    </row>
    <row r="23" spans="1:14" ht="15" customHeight="1" x14ac:dyDescent="0.3">
      <c r="A23" s="25">
        <f t="shared" si="0"/>
        <v>12</v>
      </c>
      <c r="B23" s="28"/>
      <c r="C23" s="43"/>
      <c r="I23" s="44"/>
    </row>
    <row r="24" spans="1:14" ht="15" customHeight="1" thickBot="1" x14ac:dyDescent="0.35">
      <c r="A24" s="25">
        <f t="shared" si="0"/>
        <v>13</v>
      </c>
      <c r="B24" s="2" t="s">
        <v>33</v>
      </c>
      <c r="C24" s="50">
        <f>+C21-C23-C22</f>
        <v>148655896.44225809</v>
      </c>
      <c r="M24" s="44"/>
    </row>
    <row r="25" spans="1:14" ht="15" thickTop="1" x14ac:dyDescent="0.3">
      <c r="A25" s="25"/>
      <c r="C25" s="51"/>
    </row>
    <row r="26" spans="1:14" x14ac:dyDescent="0.3">
      <c r="A26" s="25"/>
      <c r="B26" s="52"/>
      <c r="C26" s="37"/>
    </row>
    <row r="27" spans="1:14" x14ac:dyDescent="0.3">
      <c r="A27" s="25"/>
      <c r="C27" s="51"/>
    </row>
    <row r="28" spans="1:14" x14ac:dyDescent="0.3">
      <c r="A28" s="25"/>
      <c r="B28" s="37"/>
      <c r="C28" s="37"/>
    </row>
    <row r="29" spans="1:14" x14ac:dyDescent="0.3">
      <c r="B29" s="37"/>
      <c r="C29" s="37"/>
    </row>
    <row r="30" spans="1:14" x14ac:dyDescent="0.3">
      <c r="B30" s="37"/>
      <c r="C30" s="37"/>
    </row>
    <row r="31" spans="1:14" x14ac:dyDescent="0.3">
      <c r="B31" s="37"/>
      <c r="C31" s="37"/>
    </row>
    <row r="32" spans="1:14" x14ac:dyDescent="0.3">
      <c r="B32" s="37"/>
      <c r="C32" s="37"/>
    </row>
    <row r="33" s="37" customFormat="1" x14ac:dyDescent="0.3"/>
    <row r="34" s="37" customFormat="1" x14ac:dyDescent="0.3"/>
    <row r="35" s="37" customFormat="1" x14ac:dyDescent="0.3"/>
    <row r="36" s="37" customFormat="1" x14ac:dyDescent="0.3"/>
    <row r="37" s="37" customFormat="1" x14ac:dyDescent="0.3"/>
    <row r="38" s="37" customFormat="1" x14ac:dyDescent="0.3"/>
    <row r="39" s="37" customFormat="1" x14ac:dyDescent="0.3"/>
    <row r="40" s="37" customFormat="1" x14ac:dyDescent="0.3"/>
    <row r="41" s="37" customFormat="1" x14ac:dyDescent="0.3"/>
    <row r="42" s="37" customFormat="1" x14ac:dyDescent="0.3"/>
    <row r="43" s="37" customFormat="1" x14ac:dyDescent="0.3"/>
    <row r="44" s="37" customFormat="1" x14ac:dyDescent="0.3"/>
    <row r="45" s="37" customFormat="1" x14ac:dyDescent="0.3"/>
    <row r="46" s="37" customFormat="1" x14ac:dyDescent="0.3"/>
    <row r="47" s="37" customFormat="1" x14ac:dyDescent="0.3"/>
    <row r="48" s="37" customFormat="1" x14ac:dyDescent="0.3"/>
    <row r="49" spans="1:3" x14ac:dyDescent="0.3">
      <c r="B49" s="37"/>
      <c r="C49" s="37"/>
    </row>
    <row r="50" spans="1:3" ht="13.5" customHeight="1" x14ac:dyDescent="0.3">
      <c r="A50" s="25"/>
      <c r="B50" s="37"/>
      <c r="C50" s="37"/>
    </row>
    <row r="51" spans="1:3" x14ac:dyDescent="0.3">
      <c r="B51" s="37"/>
      <c r="C51" s="37"/>
    </row>
    <row r="52" spans="1:3" x14ac:dyDescent="0.3">
      <c r="B52" s="37"/>
      <c r="C52" s="37"/>
    </row>
    <row r="53" spans="1:3" x14ac:dyDescent="0.3">
      <c r="B53" s="37"/>
      <c r="C53" s="37"/>
    </row>
    <row r="54" spans="1:3" x14ac:dyDescent="0.3">
      <c r="B54" s="37"/>
      <c r="C54" s="37"/>
    </row>
    <row r="55" spans="1:3" x14ac:dyDescent="0.3">
      <c r="B55" s="37"/>
      <c r="C55" s="37"/>
    </row>
    <row r="56" spans="1:3" x14ac:dyDescent="0.3">
      <c r="B56" s="37"/>
      <c r="C56" s="37"/>
    </row>
    <row r="57" spans="1:3" x14ac:dyDescent="0.3">
      <c r="B57" s="37"/>
      <c r="C57" s="37"/>
    </row>
    <row r="58" spans="1:3" x14ac:dyDescent="0.3">
      <c r="B58" s="37"/>
      <c r="C58" s="37"/>
    </row>
    <row r="59" spans="1:3" x14ac:dyDescent="0.3">
      <c r="B59" s="37"/>
      <c r="C59" s="37"/>
    </row>
    <row r="60" spans="1:3" x14ac:dyDescent="0.3">
      <c r="B60" s="37"/>
      <c r="C60" s="37"/>
    </row>
    <row r="61" spans="1:3" x14ac:dyDescent="0.3">
      <c r="B61" s="37"/>
      <c r="C61" s="37"/>
    </row>
    <row r="62" spans="1:3" x14ac:dyDescent="0.3">
      <c r="B62" s="37"/>
      <c r="C62" s="37"/>
    </row>
    <row r="63" spans="1:3" x14ac:dyDescent="0.3">
      <c r="B63" s="37"/>
      <c r="C63" s="37"/>
    </row>
    <row r="64" spans="1:3" x14ac:dyDescent="0.3">
      <c r="B64" s="37"/>
      <c r="C64" s="37"/>
    </row>
    <row r="65" spans="1:3" x14ac:dyDescent="0.3">
      <c r="B65" s="37"/>
      <c r="C65" s="37"/>
    </row>
    <row r="66" spans="1:3" x14ac:dyDescent="0.3">
      <c r="B66" s="37"/>
      <c r="C66" s="37"/>
    </row>
    <row r="67" spans="1:3" x14ac:dyDescent="0.3">
      <c r="B67" s="37"/>
      <c r="C67" s="37"/>
    </row>
    <row r="68" spans="1:3" x14ac:dyDescent="0.3">
      <c r="B68" s="37"/>
      <c r="C68" s="37"/>
    </row>
    <row r="69" spans="1:3" x14ac:dyDescent="0.3">
      <c r="B69" s="37"/>
      <c r="C69" s="37"/>
    </row>
    <row r="70" spans="1:3" x14ac:dyDescent="0.3">
      <c r="B70" s="37"/>
      <c r="C70" s="37"/>
    </row>
    <row r="71" spans="1:3" x14ac:dyDescent="0.3">
      <c r="B71" s="37"/>
      <c r="C71" s="37"/>
    </row>
    <row r="72" spans="1:3" x14ac:dyDescent="0.3">
      <c r="B72" s="37"/>
      <c r="C72" s="37"/>
    </row>
    <row r="73" spans="1:3" x14ac:dyDescent="0.3">
      <c r="B73" s="37"/>
      <c r="C73" s="37"/>
    </row>
    <row r="74" spans="1:3" x14ac:dyDescent="0.3">
      <c r="B74" s="37"/>
      <c r="C74" s="37"/>
    </row>
    <row r="75" spans="1:3" x14ac:dyDescent="0.3">
      <c r="A75" s="25"/>
      <c r="B75" s="37"/>
      <c r="C75" s="37"/>
    </row>
    <row r="76" spans="1:3" x14ac:dyDescent="0.3">
      <c r="A76" s="25"/>
      <c r="B76" s="37"/>
      <c r="C76" s="37"/>
    </row>
    <row r="77" spans="1:3" x14ac:dyDescent="0.3">
      <c r="A77" s="25"/>
      <c r="B77" s="37"/>
      <c r="C77" s="37"/>
    </row>
    <row r="78" spans="1:3" x14ac:dyDescent="0.3">
      <c r="A78" s="53"/>
      <c r="B78" s="37"/>
      <c r="C78" s="37"/>
    </row>
    <row r="79" spans="1:3" ht="15.6" x14ac:dyDescent="0.3">
      <c r="A79" s="54"/>
      <c r="B79" s="37"/>
      <c r="C79" s="37"/>
    </row>
    <row r="80" spans="1:3" x14ac:dyDescent="0.3">
      <c r="A80" s="55"/>
      <c r="B80" s="37"/>
      <c r="C80" s="37"/>
    </row>
    <row r="81" spans="1:3" x14ac:dyDescent="0.3">
      <c r="A81" s="55"/>
      <c r="B81" s="37"/>
      <c r="C81" s="37"/>
    </row>
    <row r="82" spans="1:3" x14ac:dyDescent="0.3">
      <c r="A82" s="56"/>
      <c r="B82" s="37"/>
      <c r="C82" s="37"/>
    </row>
    <row r="83" spans="1:3" x14ac:dyDescent="0.3">
      <c r="A83" s="55"/>
      <c r="B83" s="37"/>
      <c r="C83" s="37"/>
    </row>
    <row r="84" spans="1:3" x14ac:dyDescent="0.3">
      <c r="A84" s="38"/>
      <c r="B84" s="37"/>
      <c r="C84" s="37"/>
    </row>
    <row r="85" spans="1:3" x14ac:dyDescent="0.3">
      <c r="A85" s="57"/>
      <c r="B85" s="37"/>
      <c r="C85" s="37"/>
    </row>
    <row r="86" spans="1:3" x14ac:dyDescent="0.3">
      <c r="A86" s="57"/>
      <c r="B86" s="37"/>
      <c r="C86" s="37"/>
    </row>
    <row r="87" spans="1:3" x14ac:dyDescent="0.3">
      <c r="A87" s="38"/>
      <c r="B87" s="37"/>
      <c r="C87" s="37"/>
    </row>
    <row r="88" spans="1:3" x14ac:dyDescent="0.3">
      <c r="A88" s="58"/>
      <c r="B88" s="37"/>
      <c r="C88" s="37"/>
    </row>
    <row r="89" spans="1:3" x14ac:dyDescent="0.3">
      <c r="A89" s="58"/>
      <c r="B89" s="37"/>
      <c r="C89" s="37"/>
    </row>
    <row r="90" spans="1:3" x14ac:dyDescent="0.3">
      <c r="A90" s="58"/>
      <c r="B90" s="37"/>
      <c r="C90" s="37"/>
    </row>
    <row r="91" spans="1:3" x14ac:dyDescent="0.3">
      <c r="A91" s="58"/>
      <c r="B91" s="37"/>
      <c r="C91" s="37"/>
    </row>
    <row r="92" spans="1:3" x14ac:dyDescent="0.3">
      <c r="A92" s="58"/>
      <c r="B92" s="37"/>
      <c r="C92" s="37"/>
    </row>
    <row r="93" spans="1:3" x14ac:dyDescent="0.3">
      <c r="A93" s="58"/>
      <c r="B93" s="37"/>
      <c r="C93" s="37"/>
    </row>
    <row r="94" spans="1:3" x14ac:dyDescent="0.3">
      <c r="A94" s="58"/>
      <c r="B94" s="37"/>
      <c r="C94" s="37"/>
    </row>
    <row r="95" spans="1:3" x14ac:dyDescent="0.3">
      <c r="A95" s="58"/>
      <c r="B95" s="37"/>
      <c r="C95" s="37"/>
    </row>
    <row r="96" spans="1:3" x14ac:dyDescent="0.3">
      <c r="A96" s="58"/>
      <c r="B96" s="37"/>
      <c r="C96" s="37"/>
    </row>
    <row r="97" spans="1:3" x14ac:dyDescent="0.3">
      <c r="A97" s="58"/>
      <c r="B97" s="37"/>
      <c r="C97" s="37"/>
    </row>
    <row r="98" spans="1:3" x14ac:dyDescent="0.3">
      <c r="A98" s="58"/>
      <c r="B98" s="37"/>
      <c r="C98" s="37"/>
    </row>
    <row r="99" spans="1:3" x14ac:dyDescent="0.3">
      <c r="A99" s="58"/>
      <c r="B99" s="37"/>
      <c r="C99" s="37"/>
    </row>
    <row r="100" spans="1:3" x14ac:dyDescent="0.3">
      <c r="A100" s="58"/>
      <c r="B100" s="37"/>
      <c r="C100" s="37"/>
    </row>
    <row r="101" spans="1:3" x14ac:dyDescent="0.3">
      <c r="A101" s="58"/>
      <c r="B101" s="37"/>
      <c r="C101" s="37"/>
    </row>
    <row r="102" spans="1:3" x14ac:dyDescent="0.3">
      <c r="A102" s="38"/>
      <c r="B102" s="37"/>
      <c r="C102" s="37"/>
    </row>
    <row r="103" spans="1:3" x14ac:dyDescent="0.3">
      <c r="A103" s="58"/>
      <c r="B103" s="37"/>
      <c r="C103" s="37"/>
    </row>
    <row r="104" spans="1:3" x14ac:dyDescent="0.3">
      <c r="A104" s="58"/>
      <c r="B104" s="37"/>
      <c r="C104" s="37"/>
    </row>
    <row r="105" spans="1:3" x14ac:dyDescent="0.3">
      <c r="A105" s="58"/>
      <c r="B105" s="59"/>
      <c r="C105" s="38"/>
    </row>
    <row r="106" spans="1:3" x14ac:dyDescent="0.3">
      <c r="A106" s="58"/>
      <c r="B106" s="38"/>
      <c r="C106" s="48"/>
    </row>
    <row r="107" spans="1:3" x14ac:dyDescent="0.3">
      <c r="A107" s="58"/>
      <c r="B107" s="38"/>
      <c r="C107" s="38"/>
    </row>
    <row r="108" spans="1:3" x14ac:dyDescent="0.3">
      <c r="A108" s="58"/>
      <c r="B108" s="59"/>
      <c r="C108" s="48"/>
    </row>
    <row r="109" spans="1:3" x14ac:dyDescent="0.3">
      <c r="A109" s="58"/>
      <c r="B109" s="59"/>
      <c r="C109" s="48"/>
    </row>
    <row r="110" spans="1:3" x14ac:dyDescent="0.3">
      <c r="A110" s="58"/>
      <c r="B110" s="38"/>
      <c r="C110" s="38"/>
    </row>
    <row r="111" spans="1:3" x14ac:dyDescent="0.3">
      <c r="A111" s="58"/>
      <c r="B111" s="38"/>
      <c r="C111" s="60"/>
    </row>
    <row r="112" spans="1:3" x14ac:dyDescent="0.3">
      <c r="A112" s="58"/>
      <c r="B112" s="38"/>
      <c r="C112" s="61"/>
    </row>
    <row r="113" spans="1:3" x14ac:dyDescent="0.3">
      <c r="A113" s="58"/>
      <c r="B113" s="59"/>
      <c r="C113" s="38"/>
    </row>
    <row r="114" spans="1:3" x14ac:dyDescent="0.3">
      <c r="A114" s="58"/>
      <c r="B114" s="59"/>
      <c r="C114" s="38"/>
    </row>
    <row r="115" spans="1:3" x14ac:dyDescent="0.3">
      <c r="A115" s="58"/>
      <c r="B115" s="38"/>
      <c r="C115" s="38"/>
    </row>
    <row r="116" spans="1:3" x14ac:dyDescent="0.3">
      <c r="A116" s="58"/>
      <c r="B116" s="38"/>
      <c r="C116" s="38"/>
    </row>
    <row r="117" spans="1:3" x14ac:dyDescent="0.3">
      <c r="A117" s="58"/>
    </row>
  </sheetData>
  <mergeCells count="1">
    <mergeCell ref="A4:C4"/>
  </mergeCells>
  <pageMargins left="0.7" right="0.7" top="0.75" bottom="0.75" header="0.3" footer="0.3"/>
  <pageSetup orientation="portrait" r:id="rId1"/>
  <colBreaks count="2" manualBreakCount="2">
    <brk id="3" max="26" man="1"/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E6E3788-F7D9-4B80-93EB-DE21CA952155}"/>
</file>

<file path=customXml/itemProps2.xml><?xml version="1.0" encoding="utf-8"?>
<ds:datastoreItem xmlns:ds="http://schemas.openxmlformats.org/officeDocument/2006/customXml" ds:itemID="{24675EB5-55C4-4ED7-AC28-DE606BDE7D4C}"/>
</file>

<file path=customXml/itemProps3.xml><?xml version="1.0" encoding="utf-8"?>
<ds:datastoreItem xmlns:ds="http://schemas.openxmlformats.org/officeDocument/2006/customXml" ds:itemID="{E3F3505C-3AD1-40DB-A30D-13C756084EDC}"/>
</file>

<file path=customXml/itemProps4.xml><?xml version="1.0" encoding="utf-8"?>
<ds:datastoreItem xmlns:ds="http://schemas.openxmlformats.org/officeDocument/2006/customXml" ds:itemID="{A28897F1-FAB7-40CF-A136-AED084685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Thomas</dc:creator>
  <cp:lastModifiedBy>Ryan Thomas</cp:lastModifiedBy>
  <dcterms:created xsi:type="dcterms:W3CDTF">2017-01-09T16:06:33Z</dcterms:created>
  <dcterms:modified xsi:type="dcterms:W3CDTF">2017-01-09T16:08:45Z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