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thomrc\AppData\Local\Box\Box Edit\Documents\OZcEiArxSkqZNFj8SrpFlA==\"/>
    </mc:Choice>
  </mc:AlternateContent>
  <xr:revisionPtr revIDLastSave="0" documentId="13_ncr:1_{00625E0E-6B46-4779-A10A-E3CDC4B6158B}" xr6:coauthVersionLast="47" xr6:coauthVersionMax="47" xr10:uidLastSave="{00000000-0000-0000-0000-000000000000}"/>
  <bookViews>
    <workbookView xWindow="20052" yWindow="-24" windowWidth="20376" windowHeight="12216" tabRatio="883" firstSheet="1" activeTab="2" xr2:uid="{00000000-000D-0000-FFFF-FFFF00000000}"/>
  </bookViews>
  <sheets>
    <sheet name="Comparison" sheetId="73" state="hidden" r:id="rId1"/>
    <sheet name="Cost of Capital" sheetId="83" r:id="rId2"/>
    <sheet name="Pg 2 CapStructure" sheetId="1" r:id="rId3"/>
    <sheet name="Pg 3 STD Cost Rate" sheetId="2" r:id="rId4"/>
    <sheet name="Pg 4 STD OS &amp; Comm Fees" sheetId="21" r:id="rId5"/>
    <sheet name="Pg 5 STD Amort" sheetId="71" r:id="rId6"/>
    <sheet name="Pg 6 LTD Cost " sheetId="7" r:id="rId7"/>
    <sheet name="Pg 7 Reacquired Debt" sheetId="29" r:id="rId8"/>
    <sheet name="Interest Only LTD Cost" sheetId="82" state="hidden" r:id="rId9"/>
    <sheet name="BS-Unamortized" sheetId="79" state="hidden" r:id="rId10"/>
    <sheet name="FERC Rpt" sheetId="72" state="hidden" r:id="rId11"/>
    <sheet name="Appendix --&gt;" sheetId="74" state="hidden" r:id="rId12"/>
    <sheet name="Sheet1" sheetId="80" state="hidden" r:id="rId13"/>
    <sheet name="A1  CofCap-PreMerger Costs" sheetId="75" state="hidden" r:id="rId14"/>
    <sheet name="A2  STD Cost Rate-Prior Fac" sheetId="76" state="hidden" r:id="rId15"/>
    <sheet name="A3  STD Int &amp; Fees-Prior Fac" sheetId="77" state="hidden" r:id="rId16"/>
    <sheet name="A4  STD Amort-Prior Fac" sheetId="78" state="hidden" r:id="rId17"/>
    <sheet name="FERC Presentation" sheetId="81" state="hidden" r:id="rId18"/>
  </sheets>
  <externalReferences>
    <externalReference r:id="rId19"/>
    <externalReference r:id="rId20"/>
    <externalReference r:id="rId21"/>
    <externalReference r:id="rId22"/>
  </externalReferences>
  <definedNames>
    <definedName name="\A" localSheetId="10">'FERC Rpt'!#REF!</definedName>
    <definedName name="_C_._DOWN_TERM_">'[1]CST STD!'!#REF!</definedName>
    <definedName name="_CALC_" localSheetId="10">'FERC Rpt'!#REF!</definedName>
    <definedName name="_DOWN___COUPON_">'[1]CST STD!'!#REF!</definedName>
    <definedName name="_END__DOWN__DOW">'[1]CST STD!'!#REF!</definedName>
    <definedName name="_Fill" localSheetId="10" hidden="1">'FERC Rpt'!$B$1:$M$1</definedName>
    <definedName name="_GOTO_TABLE__PR">'[1]CST STD!'!#REF!</definedName>
    <definedName name="_HOME__GOTO_YIE">'[1]CST STD!'!#REF!</definedName>
    <definedName name="_LET_YIELD__IRR">'[1]CST STD!'!#REF!</definedName>
    <definedName name="_PPRA1.H33_AGP" localSheetId="10">'FERC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0">'FERC Rpt'!$AC$2</definedName>
    <definedName name="_xlnm.Database">#REF!</definedName>
    <definedName name="P">#REF!</definedName>
    <definedName name="pagea">#REF!</definedName>
    <definedName name="pageb">#REF!</definedName>
    <definedName name="_xlnm.Print_Area" localSheetId="13">'A1  CofCap-PreMerger Costs'!$A$1:$F$24</definedName>
    <definedName name="_xlnm.Print_Area" localSheetId="14">'A2  STD Cost Rate-Prior Fac'!$A$2:$G$36</definedName>
    <definedName name="_xlnm.Print_Area" localSheetId="15" xml:space="preserve">                        'A3  STD Int &amp; Fees-Prior Fac'!$A$1:$L$40</definedName>
    <definedName name="_xlnm.Print_Area" localSheetId="16">'A4  STD Amort-Prior Fac'!$A$1:$G$30</definedName>
    <definedName name="_xlnm.Print_Area" localSheetId="0" xml:space="preserve">      Comparison!$A$33:$K$79</definedName>
    <definedName name="_xlnm.Print_Area" localSheetId="1">'Cost of Capital'!$A$1:$G$49</definedName>
    <definedName name="_xlnm.Print_Area" localSheetId="10">'FERC Rpt'!$A$1:$G$36</definedName>
    <definedName name="_xlnm.Print_Area" localSheetId="2">'Pg 2 CapStructure'!$A$1:$Q$44</definedName>
    <definedName name="_xlnm.Print_Area" localSheetId="3">'Pg 3 STD Cost Rate'!$A$1:$G$29</definedName>
    <definedName name="_xlnm.Print_Area" localSheetId="4">'Pg 4 STD OS &amp; Comm Fees'!$A$1:$K$36</definedName>
    <definedName name="_xlnm.Print_Area" localSheetId="5">'Pg 5 STD Amort'!$A$1:$H$35</definedName>
    <definedName name="_xlnm.Print_Area" localSheetId="6">'Pg 6 LTD Cost '!$A$1:$V$37</definedName>
    <definedName name="_xlnm.Print_Area" localSheetId="7">'Pg 7 Reacquired Debt'!$A$1:$J$42</definedName>
    <definedName name="_xlnm.Print_Titles" localSheetId="11">'Appendix --&gt;'!$B:$E,'Appendix --&gt;'!$1:$2</definedName>
    <definedName name="_xlnm.Print_Titles" localSheetId="7">'Pg 7 Reacquired Debt'!$1:$7</definedName>
    <definedName name="TABLE">'[1]CST STD!'!#REF!</definedName>
    <definedName name="tblAmount">OFFSET([3]Amount_Data!$E$2,0,0,COUNTA([3]Amount_Data!$A:$A)-1-COUNTIF([3]Amount_Data!$A:$A,TODAY()),COUNTA([3]Amount_Data!$2:$2)-4)</definedName>
    <definedName name="Total_Annual_Charge">[2]BONDRATE!#REF!</definedName>
    <definedName name="Total_OS_Amount">[2]BONDRATE!#REF!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0" i="1" l="1"/>
  <c r="F25" i="7" l="1"/>
  <c r="H25" i="7"/>
  <c r="X25" i="7" s="1"/>
  <c r="F29" i="71"/>
  <c r="I25" i="7" l="1"/>
  <c r="N40" i="1"/>
  <c r="M40" i="1"/>
  <c r="K42" i="1"/>
  <c r="J42" i="1"/>
  <c r="H42" i="1"/>
  <c r="G42" i="1"/>
  <c r="C42" i="1"/>
  <c r="L40" i="1"/>
  <c r="K40" i="1"/>
  <c r="J40" i="1"/>
  <c r="I40" i="1"/>
  <c r="H40" i="1"/>
  <c r="G40" i="1"/>
  <c r="F40" i="1"/>
  <c r="E40" i="1"/>
  <c r="D40" i="1"/>
  <c r="C40" i="1"/>
  <c r="O43" i="1" l="1"/>
  <c r="Q20" i="1" l="1"/>
  <c r="Q12" i="1" l="1"/>
  <c r="Q7" i="1"/>
  <c r="E11" i="21" l="1"/>
  <c r="H6" i="7" l="1"/>
  <c r="G27" i="71" l="1"/>
  <c r="G31" i="71" l="1"/>
  <c r="F27" i="71"/>
  <c r="F31" i="71" l="1"/>
  <c r="J43" i="1"/>
  <c r="A31" i="29" l="1"/>
  <c r="A32" i="29"/>
  <c r="A33" i="29" s="1"/>
  <c r="A34" i="29" s="1"/>
  <c r="A36" i="29"/>
  <c r="A37" i="29" s="1"/>
  <c r="A38" i="29" s="1"/>
  <c r="A39" i="29" s="1"/>
  <c r="A41" i="29"/>
  <c r="H24" i="7"/>
  <c r="X24" i="7" s="1"/>
  <c r="F24" i="7"/>
  <c r="I24" i="7" l="1"/>
  <c r="E16" i="2"/>
  <c r="C16" i="2"/>
  <c r="E13" i="2"/>
  <c r="C13" i="2"/>
  <c r="D13" i="2" l="1"/>
  <c r="F23" i="7" l="1"/>
  <c r="Q9" i="1" l="1"/>
  <c r="M43" i="1"/>
  <c r="I24" i="29"/>
  <c r="E27" i="71"/>
  <c r="E31" i="71" s="1"/>
  <c r="C27" i="71"/>
  <c r="C31" i="71" s="1"/>
  <c r="C14" i="2"/>
  <c r="H23" i="7"/>
  <c r="X23" i="7" s="1"/>
  <c r="Q36" i="1"/>
  <c r="Q34" i="1"/>
  <c r="E38" i="1"/>
  <c r="D38" i="1"/>
  <c r="C38" i="1"/>
  <c r="F22" i="7"/>
  <c r="F6" i="7"/>
  <c r="B3" i="29"/>
  <c r="A2" i="7"/>
  <c r="B3" i="71"/>
  <c r="B3" i="21"/>
  <c r="B4" i="2"/>
  <c r="E26" i="21"/>
  <c r="G26" i="21"/>
  <c r="H26" i="21"/>
  <c r="J26" i="21" s="1"/>
  <c r="F13" i="21" s="1"/>
  <c r="A27" i="21"/>
  <c r="A28" i="21"/>
  <c r="A29" i="21" s="1"/>
  <c r="A30" i="21" s="1"/>
  <c r="A31" i="21" s="1"/>
  <c r="A32" i="21" s="1"/>
  <c r="A33" i="21" s="1"/>
  <c r="A34" i="21" s="1"/>
  <c r="A35" i="21" s="1"/>
  <c r="A36" i="21" s="1"/>
  <c r="E13" i="21"/>
  <c r="A14" i="21"/>
  <c r="A15" i="21" s="1"/>
  <c r="A16" i="21" s="1"/>
  <c r="H22" i="7"/>
  <c r="X22" i="7" s="1"/>
  <c r="V28" i="7"/>
  <c r="U28" i="7"/>
  <c r="T28" i="7"/>
  <c r="G27" i="21"/>
  <c r="H27" i="21" s="1"/>
  <c r="Q41" i="1"/>
  <c r="Q14" i="1"/>
  <c r="M38" i="1"/>
  <c r="N38" i="1"/>
  <c r="O38" i="1"/>
  <c r="O44" i="1" s="1"/>
  <c r="O16" i="1"/>
  <c r="N16" i="1"/>
  <c r="M16" i="1"/>
  <c r="M10" i="1"/>
  <c r="N10" i="1"/>
  <c r="O10" i="1"/>
  <c r="Q8" i="1"/>
  <c r="Q10" i="1" s="1"/>
  <c r="D16" i="2"/>
  <c r="A16" i="2"/>
  <c r="A17" i="2" s="1"/>
  <c r="A18" i="2" s="1"/>
  <c r="A19" i="2" s="1"/>
  <c r="A20" i="2" s="1"/>
  <c r="A21" i="2" s="1"/>
  <c r="A22" i="2" s="1"/>
  <c r="A23" i="2" s="1"/>
  <c r="A24" i="2" s="1"/>
  <c r="A25" i="2" s="1"/>
  <c r="A26" i="2" s="1"/>
  <c r="A27" i="2" s="1"/>
  <c r="A28" i="2" s="1"/>
  <c r="E15" i="21"/>
  <c r="E14" i="21"/>
  <c r="E27" i="21"/>
  <c r="E12" i="21"/>
  <c r="E12" i="77" s="1"/>
  <c r="E11" i="77"/>
  <c r="G11" i="77" s="1"/>
  <c r="F7" i="7"/>
  <c r="F8" i="7"/>
  <c r="F9" i="7"/>
  <c r="F10" i="7"/>
  <c r="F11" i="7"/>
  <c r="F12" i="7"/>
  <c r="F13" i="7"/>
  <c r="F14" i="7"/>
  <c r="F15" i="7"/>
  <c r="F16" i="7"/>
  <c r="F17" i="7"/>
  <c r="F18" i="7"/>
  <c r="F19" i="7"/>
  <c r="F20" i="7"/>
  <c r="F21" i="7"/>
  <c r="T5" i="7"/>
  <c r="U5" i="7"/>
  <c r="V5" i="7"/>
  <c r="C16" i="1"/>
  <c r="D16" i="1"/>
  <c r="E16" i="1"/>
  <c r="F16" i="1"/>
  <c r="H16" i="1"/>
  <c r="I16" i="1"/>
  <c r="J16" i="1"/>
  <c r="L43" i="1"/>
  <c r="K43" i="1"/>
  <c r="L16" i="1"/>
  <c r="K16" i="1"/>
  <c r="Q42" i="1"/>
  <c r="I43" i="1"/>
  <c r="I38" i="1"/>
  <c r="H43" i="1"/>
  <c r="G43" i="1"/>
  <c r="F43" i="1"/>
  <c r="G16" i="1"/>
  <c r="E43" i="1"/>
  <c r="A9" i="83"/>
  <c r="A10" i="83"/>
  <c r="A11" i="83" s="1"/>
  <c r="A12" i="83" s="1"/>
  <c r="A13" i="83" s="1"/>
  <c r="A14" i="83" s="1"/>
  <c r="A15" i="83" s="1"/>
  <c r="A16" i="83" s="1"/>
  <c r="A17" i="83" s="1"/>
  <c r="S5" i="7"/>
  <c r="R5" i="7"/>
  <c r="Q5" i="7"/>
  <c r="P5" i="7"/>
  <c r="O5" i="7"/>
  <c r="N5" i="7"/>
  <c r="M5" i="7"/>
  <c r="L5" i="7"/>
  <c r="K5" i="7"/>
  <c r="J5" i="7"/>
  <c r="K38" i="1"/>
  <c r="J38" i="1"/>
  <c r="H38" i="1"/>
  <c r="G38" i="1"/>
  <c r="F38" i="1"/>
  <c r="K10" i="1"/>
  <c r="J10" i="1"/>
  <c r="I10"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F26" i="82"/>
  <c r="I26" i="82" s="1"/>
  <c r="H25" i="82"/>
  <c r="Y25" i="82" s="1"/>
  <c r="F25" i="82"/>
  <c r="H24" i="82"/>
  <c r="Y24" i="82" s="1"/>
  <c r="F24" i="82"/>
  <c r="H23" i="82"/>
  <c r="Y23" i="82" s="1"/>
  <c r="F23" i="82"/>
  <c r="H22" i="82"/>
  <c r="F22" i="82"/>
  <c r="H21" i="82"/>
  <c r="Y21" i="82" s="1"/>
  <c r="F21" i="82"/>
  <c r="H20" i="82"/>
  <c r="Y20" i="82" s="1"/>
  <c r="F20" i="82"/>
  <c r="H19" i="82"/>
  <c r="F19" i="82"/>
  <c r="H18" i="82"/>
  <c r="Y18" i="82" s="1"/>
  <c r="F18" i="82"/>
  <c r="I18" i="82" s="1"/>
  <c r="H17" i="82"/>
  <c r="F17" i="82"/>
  <c r="H16" i="82"/>
  <c r="F16" i="82"/>
  <c r="H15" i="82"/>
  <c r="F15" i="82"/>
  <c r="H14" i="82"/>
  <c r="F14" i="82"/>
  <c r="I14" i="82" s="1"/>
  <c r="H13" i="82"/>
  <c r="Y13" i="82" s="1"/>
  <c r="F13" i="82"/>
  <c r="H12" i="82"/>
  <c r="Y12" i="82" s="1"/>
  <c r="F12" i="82"/>
  <c r="H11" i="82"/>
  <c r="Y11" i="82" s="1"/>
  <c r="F11" i="82"/>
  <c r="I11" i="82" s="1"/>
  <c r="H10" i="82"/>
  <c r="Y10" i="82" s="1"/>
  <c r="F10" i="82"/>
  <c r="H9" i="82"/>
  <c r="F9" i="82"/>
  <c r="H8" i="82"/>
  <c r="F8" i="82"/>
  <c r="H7" i="82"/>
  <c r="Y7" i="82"/>
  <c r="F7" i="82"/>
  <c r="I7" i="82" s="1"/>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1" i="7"/>
  <c r="X21" i="7" s="1"/>
  <c r="F25" i="81"/>
  <c r="L38" i="1"/>
  <c r="C25" i="81" s="1"/>
  <c r="L10" i="1"/>
  <c r="F27" i="80"/>
  <c r="F26" i="80"/>
  <c r="F25" i="80"/>
  <c r="F24" i="80"/>
  <c r="F23" i="80"/>
  <c r="F22" i="80"/>
  <c r="F21" i="80"/>
  <c r="F20" i="80"/>
  <c r="F19" i="80"/>
  <c r="F18" i="80"/>
  <c r="F17" i="80"/>
  <c r="F16" i="80"/>
  <c r="F15" i="80"/>
  <c r="F14" i="80"/>
  <c r="F13" i="80"/>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s="1"/>
  <c r="H26" i="80"/>
  <c r="X26" i="80"/>
  <c r="H25" i="80"/>
  <c r="H24" i="80"/>
  <c r="X24" i="80" s="1"/>
  <c r="H23" i="80"/>
  <c r="X23" i="80" s="1"/>
  <c r="H22" i="80"/>
  <c r="I22" i="80" s="1"/>
  <c r="H21" i="80"/>
  <c r="X21" i="80"/>
  <c r="H20" i="80"/>
  <c r="X20" i="80" s="1"/>
  <c r="H19" i="80"/>
  <c r="I19" i="80"/>
  <c r="H18" i="80"/>
  <c r="X18" i="80" s="1"/>
  <c r="H17" i="80"/>
  <c r="X17" i="80" s="1"/>
  <c r="H16" i="80"/>
  <c r="H15" i="80"/>
  <c r="X15" i="80" s="1"/>
  <c r="H14" i="80"/>
  <c r="X14" i="80" s="1"/>
  <c r="H13" i="80"/>
  <c r="X13" i="80" s="1"/>
  <c r="H12" i="80"/>
  <c r="I12" i="80" s="1"/>
  <c r="X12" i="80"/>
  <c r="H11" i="80"/>
  <c r="X11" i="80" s="1"/>
  <c r="H10" i="80"/>
  <c r="I10" i="80" s="1"/>
  <c r="H9" i="80"/>
  <c r="X9" i="80" s="1"/>
  <c r="H8" i="80"/>
  <c r="I8" i="80" s="1"/>
  <c r="H7" i="80"/>
  <c r="X7" i="80"/>
  <c r="H6" i="80"/>
  <c r="X6" i="80" s="1"/>
  <c r="A6" i="80"/>
  <c r="A7" i="80"/>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c r="A21" i="21"/>
  <c r="A22" i="21" s="1"/>
  <c r="A23" i="21" s="1"/>
  <c r="A24" i="21" s="1"/>
  <c r="A25" i="21" s="1"/>
  <c r="E13" i="77"/>
  <c r="G13" i="77"/>
  <c r="S42" i="79"/>
  <c r="S43" i="79"/>
  <c r="S41" i="79"/>
  <c r="C8" i="73"/>
  <c r="D7" i="73"/>
  <c r="G13" i="73"/>
  <c r="H11" i="7"/>
  <c r="X11" i="7" s="1"/>
  <c r="H10" i="7"/>
  <c r="I10" i="7" s="1"/>
  <c r="D21" i="29"/>
  <c r="C15" i="2"/>
  <c r="C24" i="73"/>
  <c r="D24" i="73" s="1"/>
  <c r="D23" i="73"/>
  <c r="G29" i="73"/>
  <c r="G57" i="73"/>
  <c r="F53" i="73" s="1"/>
  <c r="F54" i="73"/>
  <c r="D55" i="73"/>
  <c r="G61" i="73" s="1"/>
  <c r="D56" i="73"/>
  <c r="G62" i="73"/>
  <c r="D54" i="73"/>
  <c r="D53" i="73"/>
  <c r="D57" i="73" s="1"/>
  <c r="B57" i="73"/>
  <c r="H20" i="7"/>
  <c r="H19" i="7"/>
  <c r="X19" i="7" s="1"/>
  <c r="H18" i="7"/>
  <c r="X18" i="7" s="1"/>
  <c r="B3" i="78"/>
  <c r="C11" i="77"/>
  <c r="C13" i="76" s="1"/>
  <c r="C13" i="77"/>
  <c r="E14" i="77"/>
  <c r="G14" i="77" s="1"/>
  <c r="C14" i="77"/>
  <c r="C16" i="76"/>
  <c r="H29" i="77"/>
  <c r="J29" i="77" s="1"/>
  <c r="H28" i="77"/>
  <c r="J28" i="77" s="1"/>
  <c r="B3" i="77"/>
  <c r="E23" i="77"/>
  <c r="E24" i="77"/>
  <c r="J24" i="77" s="1"/>
  <c r="H14" i="77" s="1"/>
  <c r="B5" i="76"/>
  <c r="B5" i="75"/>
  <c r="E19" i="75"/>
  <c r="I25" i="29"/>
  <c r="H17" i="7"/>
  <c r="X17" i="7" s="1"/>
  <c r="H16" i="7"/>
  <c r="X16" i="7" s="1"/>
  <c r="H7" i="7"/>
  <c r="X7" i="7" s="1"/>
  <c r="H8" i="7"/>
  <c r="X8" i="7"/>
  <c r="H9" i="7"/>
  <c r="X9" i="7" s="1"/>
  <c r="H12" i="7"/>
  <c r="H13" i="7"/>
  <c r="H14" i="7"/>
  <c r="I14" i="7" s="1"/>
  <c r="H15" i="7"/>
  <c r="X15" i="7" s="1"/>
  <c r="A9" i="78"/>
  <c r="A10" i="78" s="1"/>
  <c r="A11" i="78" s="1"/>
  <c r="A12" i="78" s="1"/>
  <c r="A13" i="78" s="1"/>
  <c r="A14" i="78" s="1"/>
  <c r="A15" i="78" s="1"/>
  <c r="A16" i="78" s="1"/>
  <c r="A17" i="78" s="1"/>
  <c r="A18" i="78" s="1"/>
  <c r="A19" i="78" s="1"/>
  <c r="A20" i="78" s="1"/>
  <c r="A21" i="78" s="1"/>
  <c r="A22" i="78" s="1"/>
  <c r="A23" i="78" s="1"/>
  <c r="A24" i="78" s="1"/>
  <c r="A25" i="78" s="1"/>
  <c r="C25" i="78"/>
  <c r="D25" i="78"/>
  <c r="E25" i="78" s="1"/>
  <c r="E21" i="76" s="1"/>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4" i="77" s="1"/>
  <c r="A9" i="76"/>
  <c r="A10" i="76"/>
  <c r="A11" i="76" s="1"/>
  <c r="A12" i="76" s="1"/>
  <c r="A13" i="76" s="1"/>
  <c r="A14" i="76" s="1"/>
  <c r="A15" i="76" s="1"/>
  <c r="A16" i="76" s="1"/>
  <c r="A17" i="76" s="1"/>
  <c r="A18" i="76" s="1"/>
  <c r="A19" i="76" s="1"/>
  <c r="A20" i="76" s="1"/>
  <c r="A21" i="76" s="1"/>
  <c r="A22" i="76" s="1"/>
  <c r="A23" i="76" s="1"/>
  <c r="A24" i="76" s="1"/>
  <c r="A25" i="76" s="1"/>
  <c r="A26" i="76" s="1"/>
  <c r="A27" i="76" s="1"/>
  <c r="A28" i="76" s="1"/>
  <c r="A10" i="75"/>
  <c r="A11" i="75"/>
  <c r="A12" i="75"/>
  <c r="A13" i="75" s="1"/>
  <c r="A14" i="75" s="1"/>
  <c r="A15" i="75" s="1"/>
  <c r="A16" i="75" s="1"/>
  <c r="A17" i="75" s="1"/>
  <c r="A18" i="75" s="1"/>
  <c r="A19" i="75" s="1"/>
  <c r="A20" i="75" s="1"/>
  <c r="A21" i="75" s="1"/>
  <c r="A22" i="75" s="1"/>
  <c r="A23" i="75" s="1"/>
  <c r="A24" i="75" s="1"/>
  <c r="D20" i="29"/>
  <c r="D19" i="29"/>
  <c r="D18" i="29"/>
  <c r="H13" i="29"/>
  <c r="H12" i="29"/>
  <c r="D40" i="73"/>
  <c r="G46" i="73" s="1"/>
  <c r="D39" i="73"/>
  <c r="G45" i="73"/>
  <c r="D38" i="73"/>
  <c r="D37" i="73"/>
  <c r="B108" i="73"/>
  <c r="B109" i="73"/>
  <c r="B124" i="73"/>
  <c r="G127" i="73" s="1"/>
  <c r="D124" i="73"/>
  <c r="D125" i="73"/>
  <c r="G131" i="73"/>
  <c r="B126" i="73"/>
  <c r="D126" i="73" s="1"/>
  <c r="D123" i="73"/>
  <c r="G109" i="73"/>
  <c r="F106" i="73" s="1"/>
  <c r="D107" i="73"/>
  <c r="G113" i="73"/>
  <c r="D106" i="73"/>
  <c r="D105" i="73"/>
  <c r="G41" i="73"/>
  <c r="F38" i="73" s="1"/>
  <c r="B41" i="73"/>
  <c r="D69" i="73"/>
  <c r="G73" i="73"/>
  <c r="F69" i="73" s="1"/>
  <c r="D70" i="73"/>
  <c r="D71" i="73"/>
  <c r="G77" i="73"/>
  <c r="D72" i="73"/>
  <c r="G78" i="73" s="1"/>
  <c r="B73" i="73"/>
  <c r="D87" i="73"/>
  <c r="G91" i="73"/>
  <c r="D88" i="73"/>
  <c r="D89" i="73"/>
  <c r="G95" i="73"/>
  <c r="D90" i="73"/>
  <c r="G96" i="73"/>
  <c r="B91" i="73"/>
  <c r="F25" i="72"/>
  <c r="S28" i="7"/>
  <c r="C14" i="81" s="1"/>
  <c r="X29" i="7"/>
  <c r="A6" i="21"/>
  <c r="A7" i="21"/>
  <c r="A8" i="21" s="1"/>
  <c r="A9" i="21" s="1"/>
  <c r="A10" i="21"/>
  <c r="A11" i="21" s="1"/>
  <c r="A12" i="21" s="1"/>
  <c r="A9" i="7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6" i="1"/>
  <c r="A7" i="1" s="1"/>
  <c r="A8" i="1" s="1"/>
  <c r="A9" i="1" s="1"/>
  <c r="A10" i="1" s="1"/>
  <c r="A12" i="1" s="1"/>
  <c r="A14" i="1" s="1"/>
  <c r="A16" i="1" s="1"/>
  <c r="A18" i="1" s="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9" i="2"/>
  <c r="A10" i="2" s="1"/>
  <c r="A11" i="2" s="1"/>
  <c r="A12" i="2" s="1"/>
  <c r="A13" i="2" s="1"/>
  <c r="A14" i="2" s="1"/>
  <c r="Q28" i="7"/>
  <c r="R28" i="7"/>
  <c r="P28" i="7"/>
  <c r="O28" i="7"/>
  <c r="N28" i="7"/>
  <c r="M28" i="7"/>
  <c r="L28" i="7"/>
  <c r="K28" i="7"/>
  <c r="J28" i="7"/>
  <c r="M43" i="7"/>
  <c r="N43" i="7"/>
  <c r="O43" i="7"/>
  <c r="P43" i="7"/>
  <c r="Q43" i="7"/>
  <c r="R43" i="7"/>
  <c r="S43" i="7"/>
  <c r="J43" i="7"/>
  <c r="K43" i="7"/>
  <c r="L43" i="7"/>
  <c r="D13" i="29"/>
  <c r="D12" i="29"/>
  <c r="D21" i="73"/>
  <c r="G25" i="73"/>
  <c r="F22" i="73" s="1"/>
  <c r="F21" i="73"/>
  <c r="B25" i="73"/>
  <c r="D22" i="73"/>
  <c r="E14" i="2"/>
  <c r="D14" i="2" s="1"/>
  <c r="D16" i="21"/>
  <c r="C12" i="77"/>
  <c r="C14" i="76"/>
  <c r="C16" i="21"/>
  <c r="I7" i="80"/>
  <c r="I14" i="80"/>
  <c r="I15" i="80"/>
  <c r="I27" i="80"/>
  <c r="I24" i="82"/>
  <c r="Y19" i="82"/>
  <c r="E17" i="75"/>
  <c r="C6" i="73"/>
  <c r="D43" i="1"/>
  <c r="I26" i="80"/>
  <c r="X19" i="80"/>
  <c r="D108" i="73"/>
  <c r="G114" i="73" s="1"/>
  <c r="C17" i="2"/>
  <c r="F32" i="7" s="1"/>
  <c r="I9" i="80"/>
  <c r="I17" i="80"/>
  <c r="I23" i="82"/>
  <c r="I8" i="7"/>
  <c r="G132" i="73"/>
  <c r="X10" i="80"/>
  <c r="I20" i="80"/>
  <c r="I27" i="82"/>
  <c r="I19" i="82"/>
  <c r="Y22" i="82"/>
  <c r="F13" i="77"/>
  <c r="Y14" i="82"/>
  <c r="Y16" i="82"/>
  <c r="Y26" i="82"/>
  <c r="B127" i="73"/>
  <c r="I10" i="82"/>
  <c r="C15" i="75"/>
  <c r="C21" i="75" s="1"/>
  <c r="X22" i="80"/>
  <c r="I15" i="82"/>
  <c r="Y15" i="82"/>
  <c r="C43" i="1"/>
  <c r="C17" i="75"/>
  <c r="C19" i="75"/>
  <c r="D17" i="75"/>
  <c r="B6" i="73"/>
  <c r="D15" i="75"/>
  <c r="D21" i="75" s="1"/>
  <c r="B5" i="73"/>
  <c r="B9" i="73" s="1"/>
  <c r="B8" i="73"/>
  <c r="D19" i="75"/>
  <c r="C5" i="73"/>
  <c r="F17" i="75" l="1"/>
  <c r="D129" i="73"/>
  <c r="D132" i="73" s="1"/>
  <c r="D14" i="77"/>
  <c r="E16" i="76" s="1"/>
  <c r="D16" i="76" s="1"/>
  <c r="G24" i="77"/>
  <c r="G55" i="73"/>
  <c r="G56" i="73" s="1"/>
  <c r="G60" i="73" s="1"/>
  <c r="G63" i="73" s="1"/>
  <c r="F30" i="80"/>
  <c r="I21" i="80"/>
  <c r="I23" i="80"/>
  <c r="I16" i="82"/>
  <c r="I32" i="29"/>
  <c r="I18" i="7"/>
  <c r="I6" i="7"/>
  <c r="F28" i="7"/>
  <c r="F34" i="7" s="1"/>
  <c r="I19" i="7"/>
  <c r="G31" i="21"/>
  <c r="J31" i="21" s="1"/>
  <c r="G32" i="21"/>
  <c r="J32" i="21" s="1"/>
  <c r="J27" i="21"/>
  <c r="J28" i="21" s="1"/>
  <c r="C22" i="1"/>
  <c r="C24" i="1" s="1"/>
  <c r="J30" i="77"/>
  <c r="H15" i="77" s="1"/>
  <c r="C44" i="1"/>
  <c r="C46" i="1" s="1"/>
  <c r="J22" i="1"/>
  <c r="J27" i="1" s="1"/>
  <c r="J44" i="1"/>
  <c r="J46" i="1" s="1"/>
  <c r="D27" i="71"/>
  <c r="H27" i="71" s="1"/>
  <c r="F44" i="1"/>
  <c r="F46" i="1" s="1"/>
  <c r="C14" i="72"/>
  <c r="C19" i="72" s="1"/>
  <c r="C40" i="72" s="1"/>
  <c r="I11" i="7"/>
  <c r="I9" i="7"/>
  <c r="I21" i="7"/>
  <c r="G30" i="73"/>
  <c r="D27" i="73"/>
  <c r="D30" i="73" s="1"/>
  <c r="F123" i="73"/>
  <c r="D5" i="73"/>
  <c r="D9" i="73" s="1"/>
  <c r="I13" i="80"/>
  <c r="X14" i="7"/>
  <c r="I22" i="82"/>
  <c r="I24" i="80"/>
  <c r="I25" i="82"/>
  <c r="D73" i="73"/>
  <c r="I18" i="80"/>
  <c r="G9" i="73"/>
  <c r="F6" i="73" s="1"/>
  <c r="F124" i="73"/>
  <c r="F37" i="73"/>
  <c r="G39" i="73" s="1"/>
  <c r="G40" i="73" s="1"/>
  <c r="G44" i="73" s="1"/>
  <c r="G47" i="73" s="1"/>
  <c r="I17" i="7"/>
  <c r="I15" i="7"/>
  <c r="G23" i="77"/>
  <c r="H23" i="77" s="1"/>
  <c r="J23" i="77" s="1"/>
  <c r="I29" i="80"/>
  <c r="X29" i="80" s="1"/>
  <c r="I7" i="7"/>
  <c r="I12" i="82"/>
  <c r="E17" i="2"/>
  <c r="G32" i="7" s="1"/>
  <c r="H32" i="7" s="1"/>
  <c r="E14" i="83" s="1"/>
  <c r="D6" i="73"/>
  <c r="D25" i="73"/>
  <c r="D75" i="73"/>
  <c r="D78" i="73" s="1"/>
  <c r="F19" i="75"/>
  <c r="C15" i="76"/>
  <c r="I21" i="82"/>
  <c r="D91" i="73"/>
  <c r="D13" i="77"/>
  <c r="E15" i="76" s="1"/>
  <c r="D15" i="76" s="1"/>
  <c r="D8" i="73"/>
  <c r="G14" i="73" s="1"/>
  <c r="I13" i="82"/>
  <c r="X8" i="80"/>
  <c r="L22" i="1"/>
  <c r="L28" i="1" s="1"/>
  <c r="I9" i="82"/>
  <c r="J25" i="77"/>
  <c r="H13" i="77"/>
  <c r="H16" i="77" s="1"/>
  <c r="E19" i="76" s="1"/>
  <c r="X10" i="7"/>
  <c r="Y17" i="82"/>
  <c r="I17" i="82"/>
  <c r="X20" i="7"/>
  <c r="I20" i="7"/>
  <c r="I11" i="80"/>
  <c r="D127" i="73"/>
  <c r="I25" i="80"/>
  <c r="X25" i="80"/>
  <c r="D111" i="73"/>
  <c r="D114" i="73" s="1"/>
  <c r="D109" i="73"/>
  <c r="F30" i="82"/>
  <c r="I6" i="82"/>
  <c r="D93" i="73"/>
  <c r="D96" i="73" s="1"/>
  <c r="X6" i="7"/>
  <c r="X12" i="7"/>
  <c r="I12" i="7"/>
  <c r="C17" i="76"/>
  <c r="C23" i="76" s="1"/>
  <c r="Y8" i="82"/>
  <c r="I8" i="82"/>
  <c r="D43" i="73"/>
  <c r="D46" i="73" s="1"/>
  <c r="D41" i="73"/>
  <c r="F87" i="73"/>
  <c r="F88" i="73"/>
  <c r="F70" i="73"/>
  <c r="G71" i="73" s="1"/>
  <c r="G72" i="73" s="1"/>
  <c r="G76" i="73" s="1"/>
  <c r="G79" i="73" s="1"/>
  <c r="I16" i="80"/>
  <c r="X16" i="80"/>
  <c r="X13" i="7"/>
  <c r="I13" i="7"/>
  <c r="F5" i="73"/>
  <c r="G7" i="73" s="1"/>
  <c r="G8" i="73" s="1"/>
  <c r="G12" i="73" s="1"/>
  <c r="G15" i="73" s="1"/>
  <c r="G23" i="73"/>
  <c r="G24" i="73" s="1"/>
  <c r="G28" i="73" s="1"/>
  <c r="G31" i="73" s="1"/>
  <c r="Y9" i="82"/>
  <c r="D59" i="73"/>
  <c r="D62" i="73" s="1"/>
  <c r="I6" i="80"/>
  <c r="I22" i="7"/>
  <c r="I20" i="82"/>
  <c r="F105" i="73"/>
  <c r="G107" i="73" s="1"/>
  <c r="G108" i="73" s="1"/>
  <c r="G112" i="73" s="1"/>
  <c r="G115" i="73" s="1"/>
  <c r="I16" i="7"/>
  <c r="K44" i="1"/>
  <c r="K46" i="1" s="1"/>
  <c r="H44" i="1"/>
  <c r="H46" i="1" s="1"/>
  <c r="D44" i="1"/>
  <c r="D46" i="1" s="1"/>
  <c r="I44" i="1"/>
  <c r="I46" i="1" s="1"/>
  <c r="K22" i="1"/>
  <c r="K25" i="1" s="1"/>
  <c r="Q16" i="1"/>
  <c r="E44" i="1"/>
  <c r="E46" i="1" s="1"/>
  <c r="M22" i="1"/>
  <c r="M28" i="1" s="1"/>
  <c r="D11" i="77"/>
  <c r="E13" i="76" s="1"/>
  <c r="N22" i="1"/>
  <c r="N25" i="1" s="1"/>
  <c r="I23" i="7"/>
  <c r="C19" i="81"/>
  <c r="E16" i="21"/>
  <c r="C16" i="77"/>
  <c r="C23" i="2"/>
  <c r="O46" i="1"/>
  <c r="O22" i="1"/>
  <c r="O28" i="1" s="1"/>
  <c r="C14" i="83"/>
  <c r="M44" i="1"/>
  <c r="M46" i="1" s="1"/>
  <c r="Q38" i="1"/>
  <c r="G44" i="1"/>
  <c r="G46" i="1" s="1"/>
  <c r="D22" i="1"/>
  <c r="D25" i="1" s="1"/>
  <c r="H22" i="1"/>
  <c r="H27" i="1" s="1"/>
  <c r="G22" i="1"/>
  <c r="G24" i="1" s="1"/>
  <c r="L44" i="1"/>
  <c r="L46" i="1" s="1"/>
  <c r="C25" i="72"/>
  <c r="F22" i="1"/>
  <c r="E22" i="1"/>
  <c r="E24" i="1" s="1"/>
  <c r="C28" i="83"/>
  <c r="I22" i="1"/>
  <c r="I28" i="1" s="1"/>
  <c r="X26" i="7" l="1"/>
  <c r="D11" i="73"/>
  <c r="D14" i="73" s="1"/>
  <c r="G30" i="7"/>
  <c r="F30" i="7"/>
  <c r="H30" i="7"/>
  <c r="C28" i="1"/>
  <c r="J33" i="21"/>
  <c r="F15" i="21" s="1"/>
  <c r="F17" i="2"/>
  <c r="I27" i="7"/>
  <c r="X27" i="7" s="1"/>
  <c r="X28" i="7" s="1"/>
  <c r="J28" i="1"/>
  <c r="J25" i="1"/>
  <c r="J24" i="1"/>
  <c r="D31" i="71"/>
  <c r="E21" i="2"/>
  <c r="F21" i="2" s="1"/>
  <c r="L27" i="1"/>
  <c r="K27" i="1"/>
  <c r="L24" i="1"/>
  <c r="E37" i="82"/>
  <c r="C16" i="83"/>
  <c r="C26" i="83" s="1"/>
  <c r="C30" i="83" s="1"/>
  <c r="D17" i="2"/>
  <c r="L25" i="1"/>
  <c r="G125" i="73"/>
  <c r="G126" i="73" s="1"/>
  <c r="G130" i="73" s="1"/>
  <c r="G133" i="73" s="1"/>
  <c r="K28" i="1"/>
  <c r="G12" i="77"/>
  <c r="D12" i="77" s="1"/>
  <c r="E14" i="76" s="1"/>
  <c r="D14" i="76" s="1"/>
  <c r="I30" i="82"/>
  <c r="H30" i="82" s="1"/>
  <c r="K24" i="1"/>
  <c r="K26" i="1" s="1"/>
  <c r="X28" i="80"/>
  <c r="X30" i="80" s="1"/>
  <c r="Y30" i="80" s="1"/>
  <c r="Y28" i="82"/>
  <c r="Y30" i="82" s="1"/>
  <c r="Z30" i="82" s="1"/>
  <c r="I30" i="80"/>
  <c r="H30" i="80" s="1"/>
  <c r="G89" i="73"/>
  <c r="G90" i="73" s="1"/>
  <c r="G94" i="73" s="1"/>
  <c r="G97" i="73" s="1"/>
  <c r="E36" i="80"/>
  <c r="F14" i="21"/>
  <c r="M24" i="1"/>
  <c r="M27" i="1"/>
  <c r="M25" i="1"/>
  <c r="H25" i="1"/>
  <c r="N27" i="1"/>
  <c r="N28" i="1"/>
  <c r="N24" i="1"/>
  <c r="N26" i="1" s="1"/>
  <c r="G25" i="1"/>
  <c r="G26" i="1" s="1"/>
  <c r="D24" i="1"/>
  <c r="D26" i="1" s="1"/>
  <c r="O25" i="1"/>
  <c r="D28" i="1"/>
  <c r="D27" i="1"/>
  <c r="D13" i="76"/>
  <c r="C12" i="72"/>
  <c r="C12" i="81"/>
  <c r="O27" i="1"/>
  <c r="O24" i="1"/>
  <c r="H24" i="1"/>
  <c r="H28" i="1"/>
  <c r="Q22" i="1"/>
  <c r="I27" i="1"/>
  <c r="C27" i="1"/>
  <c r="C41" i="72"/>
  <c r="C42" i="72" s="1"/>
  <c r="G28" i="1"/>
  <c r="G27" i="1"/>
  <c r="C25" i="1"/>
  <c r="E25" i="1"/>
  <c r="E26" i="1" s="1"/>
  <c r="I25" i="1"/>
  <c r="E27" i="1"/>
  <c r="F25" i="1"/>
  <c r="F27" i="1"/>
  <c r="E28" i="1"/>
  <c r="I24" i="1"/>
  <c r="F28" i="1"/>
  <c r="F24" i="1"/>
  <c r="I28" i="7" l="1"/>
  <c r="H28" i="7" s="1"/>
  <c r="F16" i="21"/>
  <c r="E19" i="2" s="1"/>
  <c r="F19" i="2" s="1"/>
  <c r="J26" i="1"/>
  <c r="J30" i="1" s="1"/>
  <c r="D16" i="83"/>
  <c r="D28" i="83"/>
  <c r="F28" i="83" s="1"/>
  <c r="D14" i="83"/>
  <c r="F14" i="83" s="1"/>
  <c r="D18" i="83"/>
  <c r="D26" i="83" s="1"/>
  <c r="Q25" i="1"/>
  <c r="Q24" i="1"/>
  <c r="E14" i="72"/>
  <c r="E19" i="72" s="1"/>
  <c r="F19" i="72" s="1"/>
  <c r="Y28" i="7"/>
  <c r="L26" i="1"/>
  <c r="L30" i="1" s="1"/>
  <c r="E23" i="2"/>
  <c r="E12" i="72" s="1"/>
  <c r="E14" i="81"/>
  <c r="E19" i="81" s="1"/>
  <c r="F19" i="81" s="1"/>
  <c r="K30" i="1"/>
  <c r="D16" i="77"/>
  <c r="G16" i="77" s="1"/>
  <c r="E17" i="76"/>
  <c r="E23" i="76" s="1"/>
  <c r="F23" i="76" s="1"/>
  <c r="E15" i="75" s="1"/>
  <c r="F15" i="75" s="1"/>
  <c r="F21" i="75" s="1"/>
  <c r="M26" i="1"/>
  <c r="M30" i="1" s="1"/>
  <c r="H26" i="1"/>
  <c r="H30" i="1" s="1"/>
  <c r="O26" i="1"/>
  <c r="O30" i="1" s="1"/>
  <c r="N30" i="1"/>
  <c r="D30" i="1"/>
  <c r="G34" i="7"/>
  <c r="E16" i="83"/>
  <c r="C21" i="72"/>
  <c r="C21" i="81"/>
  <c r="I34" i="29"/>
  <c r="I36" i="29" s="1"/>
  <c r="F24" i="83" s="1"/>
  <c r="Q28" i="1"/>
  <c r="Q27" i="1"/>
  <c r="I26" i="1"/>
  <c r="I30" i="1" s="1"/>
  <c r="H33" i="71"/>
  <c r="F18" i="21"/>
  <c r="G30" i="1"/>
  <c r="E30" i="1"/>
  <c r="F26" i="1"/>
  <c r="F30" i="1" s="1"/>
  <c r="C26" i="1"/>
  <c r="C30" i="1" s="1"/>
  <c r="Q26" i="1" l="1"/>
  <c r="F14" i="72"/>
  <c r="E21" i="72"/>
  <c r="F21" i="72" s="1"/>
  <c r="F16" i="83"/>
  <c r="F18" i="83" s="1"/>
  <c r="H34" i="7"/>
  <c r="E18" i="83" s="1"/>
  <c r="H35" i="71"/>
  <c r="F22" i="83" s="1"/>
  <c r="F20" i="21"/>
  <c r="F20" i="83" s="1"/>
  <c r="E12" i="81"/>
  <c r="F12" i="81" s="1"/>
  <c r="F12" i="72"/>
  <c r="F23" i="2"/>
  <c r="F14" i="81"/>
  <c r="D17" i="76"/>
  <c r="C27" i="81"/>
  <c r="D21" i="81" s="1"/>
  <c r="C27" i="72"/>
  <c r="Q30" i="1"/>
  <c r="D30" i="83"/>
  <c r="F26" i="83" l="1"/>
  <c r="E21" i="81"/>
  <c r="F21" i="81" s="1"/>
  <c r="G21" i="81" s="1"/>
  <c r="D25" i="81"/>
  <c r="G25" i="81" s="1"/>
  <c r="D19" i="81"/>
  <c r="G19" i="81" s="1"/>
  <c r="D12" i="81"/>
  <c r="G12" i="81" s="1"/>
  <c r="D23" i="81"/>
  <c r="G23" i="81" s="1"/>
  <c r="D17" i="81"/>
  <c r="G17" i="81" s="1"/>
  <c r="D14" i="81"/>
  <c r="G14" i="81" s="1"/>
  <c r="D25" i="72"/>
  <c r="G25" i="72" s="1"/>
  <c r="D23" i="72"/>
  <c r="G23" i="72" s="1"/>
  <c r="D14" i="72"/>
  <c r="G14" i="72" s="1"/>
  <c r="D21" i="72"/>
  <c r="D17" i="72"/>
  <c r="G17" i="72" s="1"/>
  <c r="D12" i="72"/>
  <c r="G12" i="72" s="1"/>
  <c r="D19" i="72"/>
  <c r="G19" i="72" s="1"/>
  <c r="F30" i="83" l="1"/>
  <c r="E26" i="83"/>
  <c r="G21" i="72"/>
  <c r="G27" i="72" s="1"/>
  <c r="D27" i="72"/>
  <c r="D27" i="81"/>
  <c r="G27" i="81"/>
  <c r="Q40" i="1"/>
  <c r="N43" i="1"/>
  <c r="N44" i="1" s="1"/>
  <c r="N46" i="1" l="1"/>
  <c r="Q44" i="1"/>
  <c r="Q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Puget Sound Energy</author>
    <author>jsant</author>
  </authors>
  <commentList>
    <comment ref="B7" authorId="0" shapeId="0" xr:uid="{00000000-0006-0000-0200-000001000000}">
      <text>
        <r>
          <rPr>
            <b/>
            <sz val="9"/>
            <color indexed="81"/>
            <rFont val="Tahoma"/>
            <family val="2"/>
          </rPr>
          <t>Puget Sound Energy:</t>
        </r>
        <r>
          <rPr>
            <sz val="9"/>
            <color indexed="81"/>
            <rFont val="Tahoma"/>
            <family val="2"/>
          </rPr>
          <t xml:space="preserve">
Source: financial Package</t>
        </r>
      </text>
    </comment>
    <comment ref="B12" authorId="0" shapeId="0" xr:uid="{00000000-0006-0000-0200-000002000000}">
      <text>
        <r>
          <rPr>
            <b/>
            <sz val="9"/>
            <color indexed="81"/>
            <rFont val="Tahoma"/>
            <family val="2"/>
          </rPr>
          <t>Puget Sound Energy:</t>
        </r>
        <r>
          <rPr>
            <sz val="9"/>
            <color indexed="81"/>
            <rFont val="Tahoma"/>
            <family val="2"/>
          </rPr>
          <t xml:space="preserve">
Source Financial Package</t>
        </r>
      </text>
    </comment>
    <comment ref="B34" authorId="1" shapeId="0" xr:uid="{00000000-0006-0000-0200-000003000000}">
      <text>
        <r>
          <rPr>
            <sz val="8"/>
            <color indexed="81"/>
            <rFont val="Tahoma"/>
            <family val="2"/>
          </rPr>
          <t>Positive numbers are credits to equity, negative numbers are debits.</t>
        </r>
        <r>
          <rPr>
            <sz val="8"/>
            <color indexed="81"/>
            <rFont val="Tahoma"/>
            <family val="2"/>
          </rPr>
          <t xml:space="preserve">
</t>
        </r>
      </text>
    </comment>
    <comment ref="B40" authorId="0" shapeId="0" xr:uid="{00000000-0006-0000-0200-000006000000}">
      <text>
        <r>
          <rPr>
            <b/>
            <sz val="9"/>
            <color indexed="81"/>
            <rFont val="Tahoma"/>
            <family val="2"/>
          </rPr>
          <t>Puget Sound Energy:</t>
        </r>
        <r>
          <rPr>
            <sz val="9"/>
            <color indexed="81"/>
            <rFont val="Tahoma"/>
            <family val="2"/>
          </rPr>
          <t xml:space="preserve">
Source: Financial Package: retained earnings adjustment - derivative gain (loss) in retained earnings.</t>
        </r>
      </text>
    </comment>
    <comment ref="B41" authorId="0" shapeId="0" xr:uid="{00000000-0006-0000-0200-000008000000}">
      <text>
        <r>
          <rPr>
            <b/>
            <sz val="9"/>
            <color indexed="81"/>
            <rFont val="Tahoma"/>
            <family val="2"/>
          </rPr>
          <t>Puget Sound Energy:</t>
        </r>
        <r>
          <rPr>
            <sz val="9"/>
            <color indexed="81"/>
            <rFont val="Tahoma"/>
            <family val="2"/>
          </rPr>
          <t xml:space="preserve">
Source: GL: OCI-Derivatives</t>
        </r>
      </text>
    </comment>
    <comment ref="B42" authorId="0" shapeId="0" xr:uid="{00000000-0006-0000-0200-00000A000000}">
      <text>
        <r>
          <rPr>
            <b/>
            <sz val="9"/>
            <color indexed="81"/>
            <rFont val="Tahoma"/>
            <family val="2"/>
          </rPr>
          <t>Puget Sound Energy:
Source: GL: OCI Other + OCI Pension</t>
        </r>
      </text>
    </comment>
    <comment ref="B44" authorId="1" shapeId="0" xr:uid="{00000000-0006-0000-0200-00000C00000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C9" authorId="0" shapeId="0" xr:uid="{00000000-0006-0000-0400-000001000000}">
      <text>
        <r>
          <rPr>
            <sz val="8"/>
            <color indexed="81"/>
            <rFont val="Tahoma"/>
            <family val="2"/>
          </rPr>
          <t xml:space="preserve">Based on daily balances outstanding
</t>
        </r>
      </text>
    </comment>
    <comment ref="F9" authorId="0" shapeId="0" xr:uid="{00000000-0006-0000-0400-000002000000}">
      <text>
        <r>
          <rPr>
            <sz val="8"/>
            <color indexed="81"/>
            <rFont val="Tahoma"/>
            <family val="2"/>
          </rPr>
          <t>Includes Credit Facility and Letter of Credit Fees.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I32" authorId="0" shapeId="0" xr:uid="{00000000-0006-0000-0700-00000100000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B14" authorId="0" shapeId="0" xr:uid="{00000000-0006-0000-0A00-00000100000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xr:uid="{00000000-0006-0000-0A00-00000200000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xr:uid="{00000000-0006-0000-0A00-00000300000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xr:uid="{00000000-0006-0000-0A00-000004000000}">
      <text>
        <r>
          <rPr>
            <sz val="8"/>
            <color indexed="81"/>
            <rFont val="Tahoma"/>
            <family val="2"/>
          </rPr>
          <t>Includes Manditorily Redeemable Preferred Stock.</t>
        </r>
        <r>
          <rPr>
            <sz val="8"/>
            <color indexed="81"/>
            <rFont val="Tahoma"/>
            <family val="2"/>
          </rPr>
          <t xml:space="preserve">
</t>
        </r>
      </text>
    </comment>
    <comment ref="C17" authorId="0" shapeId="0" xr:uid="{00000000-0006-0000-0A00-00000500000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xr:uid="{00000000-0006-0000-0A00-000006000000}">
      <text>
        <r>
          <rPr>
            <sz val="8"/>
            <color indexed="81"/>
            <rFont val="Tahoma"/>
            <family val="2"/>
          </rPr>
          <t xml:space="preserve">Check the detail behind the total long term debt to ensure it is properly pulling from other work.
</t>
        </r>
      </text>
    </comment>
    <comment ref="B25" authorId="0" shapeId="0" xr:uid="{00000000-0006-0000-0A00-00000700000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E15" authorId="0" shapeId="0" xr:uid="{00000000-0006-0000-0D00-000001000000}">
      <text>
        <r>
          <rPr>
            <sz val="8"/>
            <color indexed="81"/>
            <rFont val="Tahoma"/>
            <family val="2"/>
          </rPr>
          <t>Short-term cost priced as if under Pre-Merger facilities.</t>
        </r>
        <r>
          <rPr>
            <sz val="8"/>
            <color indexed="81"/>
            <rFont val="Tahoma"/>
            <family val="2"/>
          </rPr>
          <t xml:space="preserve">
</t>
        </r>
      </text>
    </comment>
    <comment ref="E17" authorId="0" shapeId="0" xr:uid="{00000000-0006-0000-0D00-00000200000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jsant</author>
    <author>Jim Sant</author>
  </authors>
  <commentList>
    <comment ref="C10" authorId="0" shapeId="0" xr:uid="{00000000-0006-0000-0F00-000001000000}">
      <text>
        <r>
          <rPr>
            <sz val="8"/>
            <color indexed="81"/>
            <rFont val="Tahoma"/>
            <family val="2"/>
          </rPr>
          <t xml:space="preserve">Based on daily balances outstanding
</t>
        </r>
      </text>
    </comment>
    <comment ref="H10" authorId="0" shapeId="0" xr:uid="{00000000-0006-0000-0F00-000002000000}">
      <text>
        <r>
          <rPr>
            <sz val="8"/>
            <color indexed="81"/>
            <rFont val="Tahoma"/>
            <family val="2"/>
          </rPr>
          <t>Includes Credit Facility and Letter of Credit Fees.</t>
        </r>
        <r>
          <rPr>
            <sz val="8"/>
            <color indexed="81"/>
            <rFont val="Tahoma"/>
            <family val="2"/>
          </rPr>
          <t xml:space="preserve">
</t>
        </r>
      </text>
    </comment>
    <comment ref="F11" authorId="0" shapeId="0" xr:uid="{00000000-0006-0000-0F00-000003000000}">
      <text>
        <r>
          <rPr>
            <sz val="8"/>
            <color indexed="81"/>
            <rFont val="Tahoma"/>
            <family val="2"/>
          </rPr>
          <t>CP cost would be what the market would bear under pre or post-merger scenario. No adjustment need be made.</t>
        </r>
      </text>
    </comment>
    <comment ref="G12" authorId="1" shapeId="0" xr:uid="{00000000-0006-0000-0F00-000004000000}">
      <text>
        <r>
          <rPr>
            <sz val="8"/>
            <color indexed="81"/>
            <rFont val="Tahoma"/>
            <family val="2"/>
          </rPr>
          <t>Different Formula: 
Assumes takes on weighted average of the other borrowings on which its rate is based.</t>
        </r>
      </text>
    </comment>
    <comment ref="G23" authorId="0" shapeId="0" xr:uid="{00000000-0006-0000-0F00-00000500000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xr:uid="{00000000-0006-0000-0F00-00000600000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xr:uid="{00000000-0006-0000-0F00-00000700000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B14" authorId="0" shapeId="0" xr:uid="{00000000-0006-0000-1100-00000100000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xr:uid="{00000000-0006-0000-1100-00000200000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xr:uid="{00000000-0006-0000-1100-00000300000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xr:uid="{00000000-0006-0000-1100-000004000000}">
      <text>
        <r>
          <rPr>
            <sz val="8"/>
            <color indexed="81"/>
            <rFont val="Tahoma"/>
            <family val="2"/>
          </rPr>
          <t>Includes Manditorily Redeemable Preferred Stock.</t>
        </r>
        <r>
          <rPr>
            <sz val="8"/>
            <color indexed="81"/>
            <rFont val="Tahoma"/>
            <family val="2"/>
          </rPr>
          <t xml:space="preserve">
</t>
        </r>
      </text>
    </comment>
    <comment ref="C17" authorId="0" shapeId="0" xr:uid="{00000000-0006-0000-1100-00000500000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xr:uid="{00000000-0006-0000-1100-000006000000}">
      <text>
        <r>
          <rPr>
            <sz val="8"/>
            <color indexed="81"/>
            <rFont val="Tahoma"/>
            <family val="2"/>
          </rPr>
          <t xml:space="preserve">Check the detail behind the total long term debt to ensure it is properly pulling from other work.
</t>
        </r>
      </text>
    </comment>
    <comment ref="B25" authorId="0" shapeId="0" xr:uid="{00000000-0006-0000-1100-00000700000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<sst xmlns="http://schemas.openxmlformats.org/spreadsheetml/2006/main" count="883" uniqueCount="323">
  <si>
    <r>
      <t xml:space="preserve">Capital Structure Actuals </t>
    </r>
    <r>
      <rPr>
        <b/>
        <sz val="10"/>
        <color indexed="12"/>
        <rFont val="Arial"/>
        <family val="2"/>
      </rPr>
      <t>12/31/13</t>
    </r>
  </si>
  <si>
    <t>Weighted Average Cost of Capital</t>
  </si>
  <si>
    <t>Structure</t>
  </si>
  <si>
    <t>Cost</t>
  </si>
  <si>
    <t>WACC</t>
  </si>
  <si>
    <t>Short Term Debt</t>
  </si>
  <si>
    <t>Long Term Debt</t>
  </si>
  <si>
    <t>Preferred</t>
  </si>
  <si>
    <t>Weighted Avg Cost of Debt - Pretax</t>
  </si>
  <si>
    <t>Common</t>
  </si>
  <si>
    <t>Weighted Avg Cost of Debt - after tax</t>
  </si>
  <si>
    <t>Total ROR</t>
  </si>
  <si>
    <t>Total Debt in Cap Structure</t>
  </si>
  <si>
    <t>After-Tax Cost of Capital</t>
  </si>
  <si>
    <t>Components of After Tax WACC</t>
  </si>
  <si>
    <t>After Tax Debt</t>
  </si>
  <si>
    <t>After Tax Preferred</t>
  </si>
  <si>
    <t>Pre tax WACC</t>
  </si>
  <si>
    <t>After Tax Equity</t>
  </si>
  <si>
    <r>
      <t xml:space="preserve">Capital Structure Actuals </t>
    </r>
    <r>
      <rPr>
        <b/>
        <sz val="10"/>
        <color indexed="12"/>
        <rFont val="Arial"/>
        <family val="2"/>
      </rPr>
      <t>12/31/12</t>
    </r>
  </si>
  <si>
    <r>
      <t xml:space="preserve">Capital Structure Actuals </t>
    </r>
    <r>
      <rPr>
        <b/>
        <sz val="10"/>
        <color indexed="12"/>
        <rFont val="Arial"/>
        <family val="2"/>
      </rPr>
      <t>12/31/11</t>
    </r>
  </si>
  <si>
    <r>
      <t xml:space="preserve">Capital Structure Actuals </t>
    </r>
    <r>
      <rPr>
        <b/>
        <sz val="10"/>
        <color indexed="12"/>
        <rFont val="Arial"/>
        <family val="2"/>
      </rPr>
      <t>12/31/10</t>
    </r>
  </si>
  <si>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</si>
  <si>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</si>
  <si>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Approved  </t>
    </r>
    <r>
      <rPr>
        <b/>
        <sz val="10"/>
        <color indexed="13"/>
        <rFont val="Arial"/>
        <family val="2"/>
      </rPr>
      <t>4.7.10</t>
    </r>
  </si>
  <si>
    <t>Total Allowed ROR</t>
  </si>
  <si>
    <r>
      <t xml:space="preserve">Capital Structure Approved  </t>
    </r>
    <r>
      <rPr>
        <b/>
        <sz val="10"/>
        <color indexed="13"/>
        <rFont val="Arial"/>
        <family val="2"/>
      </rPr>
      <t>11.1.08</t>
    </r>
  </si>
  <si>
    <t>PUGET SOUND ENERGY, INC.</t>
  </si>
  <si>
    <t>Utility Capital Structure</t>
  </si>
  <si>
    <t>Cost of Capital and Rate of Return</t>
  </si>
  <si>
    <t>For The 12 Months Ending June 30, 2023</t>
  </si>
  <si>
    <t>(A)</t>
  </si>
  <si>
    <t>(B)</t>
  </si>
  <si>
    <t>(C)</t>
  </si>
  <si>
    <t>(D)</t>
  </si>
  <si>
    <t>(E)</t>
  </si>
  <si>
    <t xml:space="preserve"> </t>
  </si>
  <si>
    <t>Weighted</t>
  </si>
  <si>
    <t>Cost of</t>
  </si>
  <si>
    <t>Description</t>
  </si>
  <si>
    <t>Amount (i)</t>
  </si>
  <si>
    <t>Ratio</t>
  </si>
  <si>
    <t>Capital</t>
  </si>
  <si>
    <t>Blended Cost of Interest (Short Term &amp; Long Term)</t>
  </si>
  <si>
    <t>Commitment Fees</t>
  </si>
  <si>
    <t>Amortization of Short-Term Debt Issue Cost</t>
  </si>
  <si>
    <t>Amortization of Reacquired Debt</t>
  </si>
  <si>
    <t>Total Debt</t>
  </si>
  <si>
    <t>Common Stock</t>
  </si>
  <si>
    <t>Total</t>
  </si>
  <si>
    <r>
      <t>(i)</t>
    </r>
    <r>
      <rPr>
        <sz val="9"/>
        <rFont val="Arial"/>
        <family val="2"/>
      </rPr>
      <t xml:space="preserve"> - Average of Month-End Balances</t>
    </r>
  </si>
  <si>
    <t>PUGET SOUND ENERGY, INC</t>
  </si>
  <si>
    <t>Utility Capital Structure Calculation</t>
  </si>
  <si>
    <t>June 30, 2022 Through June 30, 2023</t>
  </si>
  <si>
    <t>Average of Month-End Balances</t>
  </si>
  <si>
    <t>(F)</t>
  </si>
  <si>
    <t>(G)</t>
  </si>
  <si>
    <t>(H)</t>
  </si>
  <si>
    <t>(I)</t>
  </si>
  <si>
    <t>(J)</t>
  </si>
  <si>
    <t>(K)</t>
  </si>
  <si>
    <t>(L)</t>
  </si>
  <si>
    <t>(M)</t>
  </si>
  <si>
    <t>(N)</t>
  </si>
  <si>
    <t>(O)</t>
  </si>
  <si>
    <t>($ thousands)</t>
  </si>
  <si>
    <t>Avg of  Mo-end Balances</t>
  </si>
  <si>
    <t>Commercial Paper</t>
  </si>
  <si>
    <t>Intercompany Loan with PE</t>
  </si>
  <si>
    <t>Bank Credit Facilities</t>
  </si>
  <si>
    <t>Short-term debt</t>
  </si>
  <si>
    <t>Long-term Bonds</t>
  </si>
  <si>
    <t>Jr. Subordinated Notes</t>
  </si>
  <si>
    <t>Total Preferred</t>
  </si>
  <si>
    <t>Regulated Common Equity</t>
  </si>
  <si>
    <t>Total Capital</t>
  </si>
  <si>
    <t>Long-term debt</t>
  </si>
  <si>
    <t xml:space="preserve">      Total Debt</t>
  </si>
  <si>
    <t xml:space="preserve">     Total</t>
  </si>
  <si>
    <t>Consol. Common Equity</t>
  </si>
  <si>
    <t>Subsidiary R.E.</t>
  </si>
  <si>
    <t xml:space="preserve">   Puget Western</t>
  </si>
  <si>
    <t xml:space="preserve">   HEDC</t>
  </si>
  <si>
    <t xml:space="preserve">       Total Subsidiary R.E.</t>
  </si>
  <si>
    <t>Other Comprehensive Income Adjustments (OCI) and Derivative Accounting</t>
  </si>
  <si>
    <t>Derivative Impacts through Income</t>
  </si>
  <si>
    <t>OCI - Derivatives</t>
  </si>
  <si>
    <t xml:space="preserve">OCI - Other </t>
  </si>
  <si>
    <t>Total OCI Adj</t>
  </si>
  <si>
    <t>Variance</t>
  </si>
  <si>
    <t>Puget Sound Energy, Inc.</t>
  </si>
  <si>
    <t>Cost of Short-Term Debt</t>
  </si>
  <si>
    <t>Weighted Amt</t>
  </si>
  <si>
    <t>Interest</t>
  </si>
  <si>
    <t>Annual</t>
  </si>
  <si>
    <t>Outstanding (i)</t>
  </si>
  <si>
    <t>Rate</t>
  </si>
  <si>
    <t>Charge</t>
  </si>
  <si>
    <t>Demand Promissory Note</t>
  </si>
  <si>
    <t>$650mm Liquidity  Facility</t>
  </si>
  <si>
    <t>$800mm Liquidity  Facility</t>
  </si>
  <si>
    <t>Interest Charges &amp; Avg Borrowing Rate</t>
  </si>
  <si>
    <t>(ii)</t>
  </si>
  <si>
    <t>12 Month Short Term Debt Issue Costs Amortization</t>
  </si>
  <si>
    <t>(iii)</t>
  </si>
  <si>
    <t>Total Short-Term Debt/Cost</t>
  </si>
  <si>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</si>
  <si>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r>
      <t xml:space="preserve">(ii) </t>
    </r>
    <r>
      <rPr>
        <sz val="9"/>
        <rFont val="Arial"/>
        <family val="2"/>
      </rPr>
      <t xml:space="preserve"> See Pg 4 STD OS &amp; Comm Fees </t>
    </r>
    <r>
      <rPr>
        <sz val="8"/>
        <rFont val="Arial"/>
        <family val="2"/>
      </rPr>
      <t>(includes any LC Fees)</t>
    </r>
  </si>
  <si>
    <r>
      <t xml:space="preserve">(iii) </t>
    </r>
    <r>
      <rPr>
        <sz val="9"/>
        <rFont val="Arial"/>
        <family val="2"/>
      </rPr>
      <t xml:space="preserve"> See Pg 5 STD Amort</t>
    </r>
  </si>
  <si>
    <t>PUGET SOUND ENERGY</t>
  </si>
  <si>
    <t>SHORT TERM DEBT RATE</t>
  </si>
  <si>
    <t>Weighted Avg. Outstandings and Rates and Total Commitment Fees</t>
  </si>
  <si>
    <t>Wtd. Avg.</t>
  </si>
  <si>
    <t>Period</t>
  </si>
  <si>
    <t>Commitment</t>
  </si>
  <si>
    <t>Outstandings</t>
  </si>
  <si>
    <t>Rate (365)</t>
  </si>
  <si>
    <t>Fees</t>
  </si>
  <si>
    <t>Letters of Credit</t>
  </si>
  <si>
    <t>Totals</t>
  </si>
  <si>
    <t>Total Capitalization</t>
  </si>
  <si>
    <t>Weighted Cost of Short Term Debt Commitment Fees</t>
  </si>
  <si>
    <t>Bank Facility Fees</t>
  </si>
  <si>
    <t>Commitment Fee Calculation</t>
  </si>
  <si>
    <t xml:space="preserve">Wgtd Avg </t>
  </si>
  <si>
    <t>Utilized</t>
  </si>
  <si>
    <t>Unutilized</t>
  </si>
  <si>
    <t>Beginning Date</t>
  </si>
  <si>
    <t>Ending Date</t>
  </si>
  <si>
    <t>Days</t>
  </si>
  <si>
    <t>(Drawn)</t>
  </si>
  <si>
    <t>Fee %</t>
  </si>
  <si>
    <t>Fee $</t>
  </si>
  <si>
    <t>Bank Facility Commitment Fees</t>
  </si>
  <si>
    <t>Letters of Credit (LC) Fees</t>
  </si>
  <si>
    <t>Facility</t>
  </si>
  <si>
    <t>W. Avg Amount</t>
  </si>
  <si>
    <t>Goldendale; Klickitat PUD Transmission</t>
  </si>
  <si>
    <t>Wells Fargo (not within facility)</t>
  </si>
  <si>
    <t>ICE NGX Collateral</t>
  </si>
  <si>
    <t>TD (not within facility)</t>
  </si>
  <si>
    <t>Total Fees</t>
  </si>
  <si>
    <t>Commitment fees are calculated for actual days elapsed on the basis of a 360 day year.</t>
  </si>
  <si>
    <t>AMORTIZATION OF  SHORT TERM DEBT ISSUE COSTS</t>
  </si>
  <si>
    <t>$650 million</t>
  </si>
  <si>
    <t>$800 million</t>
  </si>
  <si>
    <t>Liquidity Fac</t>
  </si>
  <si>
    <t>Liquidity Refinance</t>
  </si>
  <si>
    <t>TOTAL</t>
  </si>
  <si>
    <t>SAP #</t>
  </si>
  <si>
    <t>AMORTIZATION</t>
  </si>
  <si>
    <t>Beginning Balance</t>
  </si>
  <si>
    <t>As of: 6/30/22</t>
  </si>
  <si>
    <t>Total Amortization for 12 months ended 6/30/23</t>
  </si>
  <si>
    <t>Costs transferred in</t>
  </si>
  <si>
    <t>Costs transferred out</t>
  </si>
  <si>
    <t>Ending Balance</t>
  </si>
  <si>
    <t>Weighted Cost of Short Term Debt Issuance Cost Amortization</t>
  </si>
  <si>
    <t>Puget Sound Energy, Inc.  Cost of Long Term Debt ($in 000's)</t>
  </si>
  <si>
    <t>(P)</t>
  </si>
  <si>
    <t>(Q)</t>
  </si>
  <si>
    <t>(R)</t>
  </si>
  <si>
    <t>(S)</t>
  </si>
  <si>
    <t>(T)</t>
  </si>
  <si>
    <t>(U)</t>
  </si>
  <si>
    <t>(V)</t>
  </si>
  <si>
    <t>FERC end of Period Cost</t>
  </si>
  <si>
    <t>Type</t>
  </si>
  <si>
    <t>Interest Rate</t>
  </si>
  <si>
    <t>Issue Date</t>
  </si>
  <si>
    <t>Mat. Date</t>
  </si>
  <si>
    <t>W. Avg. Amt O/S</t>
  </si>
  <si>
    <t>Net Proceeds (i)</t>
  </si>
  <si>
    <t>Cost Rate (ii)</t>
  </si>
  <si>
    <t>Annual Charge</t>
  </si>
  <si>
    <t>Wgt Cost Rate</t>
  </si>
  <si>
    <t>MTN-C</t>
  </si>
  <si>
    <t>MTN-A</t>
  </si>
  <si>
    <t>MTN-B</t>
  </si>
  <si>
    <t>PCB</t>
  </si>
  <si>
    <t>SN</t>
  </si>
  <si>
    <t>Annual Charge from Reacquired Debt Schedule</t>
  </si>
  <si>
    <t>TOTAL LONG TERM DEBT</t>
  </si>
  <si>
    <t>TOTAL LONG TERM DEBT without Reaquired Debt Amort</t>
  </si>
  <si>
    <t>Short Term Debt Cost of Interest</t>
  </si>
  <si>
    <t>Blended Cost of Interest (ST&amp;LT Debt)</t>
  </si>
  <si>
    <r>
      <t>(i)</t>
    </r>
    <r>
      <rPr>
        <sz val="8"/>
        <rFont val="Arial"/>
        <family val="2"/>
      </rPr>
      <t xml:space="preserve"> Net proceeds are the net proceeds per $100 face amount and are the proceeds less underwriter's fees and issuance expenses.</t>
    </r>
  </si>
  <si>
    <r>
      <t>(ii)</t>
    </r>
    <r>
      <rPr>
        <sz val="8"/>
        <rFont val="Arial"/>
        <family val="2"/>
      </rPr>
      <t xml:space="preserve"> Yield to Maturity based on Net Proceeds</t>
    </r>
  </si>
  <si>
    <t>Schedule of Annual Charges on Reacquired Debt</t>
  </si>
  <si>
    <t>Internal Checkpoints Only</t>
  </si>
  <si>
    <t>Issue</t>
  </si>
  <si>
    <t>Maturity</t>
  </si>
  <si>
    <t>Redemption</t>
  </si>
  <si>
    <t>Refinance</t>
  </si>
  <si>
    <t>Maturity Date</t>
  </si>
  <si>
    <t>Months</t>
  </si>
  <si>
    <t>Date</t>
  </si>
  <si>
    <t>for Amort.</t>
  </si>
  <si>
    <t>Amortization (i)</t>
  </si>
  <si>
    <t>SAP  #</t>
  </si>
  <si>
    <t>Remaining at:</t>
  </si>
  <si>
    <t>monthly</t>
  </si>
  <si>
    <t>Mos. X monthly</t>
  </si>
  <si>
    <t>Bal Sheet #</t>
  </si>
  <si>
    <t>Diff</t>
  </si>
  <si>
    <t>8.231% Capital Trust I (Call)</t>
  </si>
  <si>
    <t>JrSubN 6.974%</t>
  </si>
  <si>
    <t>9.14% PP</t>
  </si>
  <si>
    <t>20 Yr 6.740%</t>
  </si>
  <si>
    <t>WNG 8.4%</t>
  </si>
  <si>
    <t>WNG 8.39%</t>
  </si>
  <si>
    <t>WNG 8.25%</t>
  </si>
  <si>
    <t>WNG 7.19%</t>
  </si>
  <si>
    <t>9.625% PP</t>
  </si>
  <si>
    <t>30 Yr 7.350%</t>
  </si>
  <si>
    <t>8.231% Capital Trust I (Tender)</t>
  </si>
  <si>
    <t>PCB Series 1991A</t>
  </si>
  <si>
    <t>2003 PCB's</t>
  </si>
  <si>
    <t>PCB Series 1991B</t>
  </si>
  <si>
    <t>PCB Series 1992</t>
  </si>
  <si>
    <t>PCB Series 1993</t>
  </si>
  <si>
    <t>PCB Series 2003</t>
  </si>
  <si>
    <t>2013 PCB's</t>
  </si>
  <si>
    <t>$200mm VRN</t>
  </si>
  <si>
    <t>30 Yr 5.483%</t>
  </si>
  <si>
    <t>8.40% Capital Trust II</t>
  </si>
  <si>
    <t>30 Yr 6.724%</t>
  </si>
  <si>
    <t>$25M 9.57% Gas FMB's</t>
  </si>
  <si>
    <t>40 Yr 4.70%</t>
  </si>
  <si>
    <t>SN 5.197%</t>
  </si>
  <si>
    <t>30 Yr 4.30%</t>
  </si>
  <si>
    <t>SN 6.75%</t>
  </si>
  <si>
    <t xml:space="preserve">Total Amortization on Reacquired Debt </t>
  </si>
  <si>
    <t>Weighted Cost of Reaquired Debt</t>
  </si>
  <si>
    <t>(i) Applicable monthly amortization during the 12 month reporting period;</t>
  </si>
  <si>
    <r>
      <t xml:space="preserve">  </t>
    </r>
    <r>
      <rPr>
        <sz val="9"/>
        <rFont val="Arial"/>
        <family val="2"/>
      </rPr>
      <t xml:space="preserve">  Amortization is over life of replacement issue or remaining life of called bond if no replacement issue.</t>
    </r>
  </si>
  <si>
    <t>Net Proceeds</t>
  </si>
  <si>
    <t>Cost Rate</t>
  </si>
  <si>
    <t>JrSubN</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</si>
  <si>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</si>
  <si>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As of 12/31/2013</t>
  </si>
  <si>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</si>
  <si>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</si>
  <si>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</si>
  <si>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</si>
  <si>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</si>
  <si>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</si>
  <si>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</si>
  <si>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</si>
  <si>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</si>
  <si>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</si>
  <si>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</si>
  <si>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</si>
  <si>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</si>
  <si>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</si>
  <si>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</si>
  <si>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</si>
  <si>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</si>
  <si>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</si>
  <si>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</si>
  <si>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</si>
  <si>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</si>
  <si>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As of 6/30/2014</t>
  </si>
  <si>
    <t>2014 PSE Operating Facility Unamortized</t>
  </si>
  <si>
    <t>2014 PSE Hedging Facility Unamortized C</t>
  </si>
  <si>
    <t>As of 6/30/2013</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</si>
  <si>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</si>
  <si>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</si>
  <si>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</si>
  <si>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</si>
  <si>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</si>
  <si>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</si>
  <si>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</si>
  <si>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</si>
  <si>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</si>
  <si>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</si>
  <si>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</si>
  <si>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</si>
  <si>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</si>
  <si>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</si>
  <si>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</si>
  <si>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</si>
  <si>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</si>
  <si>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 xml:space="preserve">COMMON STOCK (i) (iv) - </t>
    </r>
    <r>
      <rPr>
        <b/>
        <i/>
        <sz val="9"/>
        <rFont val="Arial"/>
        <family val="2"/>
      </rPr>
      <t>Utility Equity</t>
    </r>
  </si>
  <si>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</si>
  <si>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</si>
  <si>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</si>
  <si>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(iv)</t>
    </r>
    <r>
      <rPr>
        <sz val="8"/>
        <rFont val="Arial"/>
        <family val="2"/>
      </rPr>
      <t xml:space="preserve"> -  Utility equity includes PSE book equity less PSE subsidiaries (PWI) as of period end</t>
    </r>
  </si>
  <si>
    <t>LONG TERM DEBT</t>
  </si>
  <si>
    <t>COMMON STOCK</t>
  </si>
  <si>
    <t>Appendix</t>
  </si>
  <si>
    <t>APPENDIX A</t>
  </si>
  <si>
    <t>ADJUSTED FOR COSTS FROM PRE-MERGER CREDIT FACILITIES</t>
  </si>
  <si>
    <r>
      <t>(i)</t>
    </r>
    <r>
      <rPr>
        <sz val="10"/>
        <rFont val="Arial"/>
        <family val="2"/>
      </rPr>
      <t xml:space="preserve"> - Average of Month-End Balances</t>
    </r>
  </si>
  <si>
    <t>Appendix A - Cost of Pre-Merger Facilities</t>
  </si>
  <si>
    <t>$400mm Liquidity Facility</t>
  </si>
  <si>
    <t>$400mm Capex  Facility</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</si>
  <si>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</si>
  <si>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</si>
  <si>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</si>
  <si>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</si>
  <si>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</si>
  <si>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</si>
  <si>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r>
      <t xml:space="preserve">Adjustment </t>
    </r>
    <r>
      <rPr>
        <i/>
        <u/>
        <sz val="9"/>
        <rFont val="Arial"/>
        <family val="2"/>
      </rPr>
      <t>(a)</t>
    </r>
  </si>
  <si>
    <t>Credit Facility</t>
  </si>
  <si>
    <t>W. Avg Annual</t>
  </si>
  <si>
    <t>Pre-Merger Facilities</t>
  </si>
  <si>
    <t>$500mm Credit Facility</t>
  </si>
  <si>
    <t>$200mm AR Sec  Facility</t>
  </si>
  <si>
    <t>NA</t>
  </si>
  <si>
    <t>BPA Transmission</t>
  </si>
  <si>
    <t>Liquidity Facility (Barclays)</t>
  </si>
  <si>
    <t>Adjustment to Pre-Merger Interest Rates</t>
  </si>
  <si>
    <t>Pre-Merger Fac Spread</t>
  </si>
  <si>
    <t>New Fac Spread</t>
  </si>
  <si>
    <t>Interest Rate Adjustment</t>
  </si>
  <si>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</si>
  <si>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</si>
  <si>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</si>
  <si>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</si>
  <si>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</si>
  <si>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</si>
  <si>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Total Amortization for 12 months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</si>
</sst>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quot;$&quot;#,###.000,;\(&quot;$&quot;#,###.000,\)"/>
    <numFmt numFmtId="184" formatCode="&quot;$&quot;#,##0\ ;\(&quot;$&quot;#,##0\)"/>
    <numFmt numFmtId="185" formatCode="#,###.00,;\(#,###.00,\)"/>
    <numFmt numFmtId="186" formatCode="0.000000%"/>
    <numFmt numFmtId="187" formatCode="0.0_);[Red]\(0.0\)"/>
    <numFmt numFmtId="188" formatCode="_(* #,##0.000_);_(* \(#,##0.000\);_(* &quot;-&quot;??_);_(@_)"/>
    <numFmt numFmtId="189" formatCode="[$-409]mmm\-yy;@"/>
  </numFmts>
  <fonts count="87">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10"/>
      <color theme="1"/>
      <name val="Arial"/>
      <family val="2"/>
    </font>
    <font>
      <sz val="9"/>
      <color theme="1"/>
      <name val="Arial"/>
      <family val="2"/>
    </font>
    <font>
      <sz val="9"/>
      <color indexed="81"/>
      <name val="Tahoma"/>
      <family val="2"/>
    </font>
    <font>
      <b/>
      <sz val="9"/>
      <color indexed="81"/>
      <name val="Tahoma"/>
      <family val="2"/>
    </font>
    <font>
      <sz val="10"/>
      <color indexed="10"/>
      <name val="Arial"/>
      <family val="2"/>
    </font>
    <font>
      <b/>
      <sz val="9"/>
      <color rgb="FFFF0000"/>
      <name val="Arial"/>
      <family val="2"/>
    </font>
    <font>
      <sz val="8"/>
      <color rgb="FFFF0000"/>
      <name val="Arial"/>
      <family val="2"/>
    </font>
    <font>
      <sz val="10"/>
      <color rgb="FFFF0000"/>
      <name val="Times New Roman"/>
      <family val="1"/>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5">
    <xf numFmtId="37" fontId="0" fillId="0" borderId="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7" fillId="16" borderId="1" applyNumberFormat="0" applyAlignment="0" applyProtection="0"/>
    <xf numFmtId="0" fontId="57" fillId="16" borderId="1" applyNumberFormat="0" applyAlignment="0" applyProtection="0"/>
    <xf numFmtId="0" fontId="58" fillId="17" borderId="2" applyNumberFormat="0" applyAlignment="0" applyProtection="0"/>
    <xf numFmtId="0" fontId="58"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4" fontId="14" fillId="0" borderId="0" applyFont="0" applyFill="0" applyBorder="0" applyAlignment="0" applyProtection="0"/>
    <xf numFmtId="0" fontId="14"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0" borderId="3"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7" borderId="1" applyNumberFormat="0" applyAlignment="0" applyProtection="0"/>
    <xf numFmtId="0" fontId="64" fillId="7" borderId="1" applyNumberFormat="0" applyAlignment="0" applyProtection="0"/>
    <xf numFmtId="0" fontId="65" fillId="0" borderId="6" applyNumberFormat="0" applyFill="0" applyAlignment="0" applyProtection="0"/>
    <xf numFmtId="0" fontId="65" fillId="0" borderId="6" applyNumberFormat="0" applyFill="0" applyAlignment="0" applyProtection="0"/>
    <xf numFmtId="177" fontId="25" fillId="0" borderId="0"/>
    <xf numFmtId="0" fontId="66" fillId="7" borderId="0" applyNumberFormat="0" applyBorder="0" applyAlignment="0" applyProtection="0"/>
    <xf numFmtId="0" fontId="66"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4" fillId="0" borderId="0"/>
    <xf numFmtId="0" fontId="48"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7" fillId="16" borderId="8" applyNumberFormat="0" applyAlignment="0" applyProtection="0"/>
    <xf numFmtId="0" fontId="67"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69" fillId="0" borderId="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22">
    <xf numFmtId="37" fontId="0" fillId="0" borderId="0" xfId="0"/>
    <xf numFmtId="0" fontId="5" fillId="0" borderId="0" xfId="88" applyFont="1"/>
    <xf numFmtId="0" fontId="5" fillId="0" borderId="0" xfId="88" applyFont="1" applyFill="1"/>
    <xf numFmtId="37" fontId="5" fillId="0" borderId="0" xfId="91" applyFont="1" applyAlignment="1" applyProtection="1">
      <alignment horizontal="center"/>
    </xf>
    <xf numFmtId="37" fontId="5" fillId="0" borderId="0" xfId="91" applyFont="1" applyProtection="1"/>
    <xf numFmtId="37" fontId="5" fillId="0" borderId="0" xfId="91" applyFont="1"/>
    <xf numFmtId="37" fontId="6" fillId="0" borderId="0" xfId="0" applyFont="1" applyAlignment="1">
      <alignment horizontal="centerContinuous"/>
    </xf>
    <xf numFmtId="37" fontId="5" fillId="0" borderId="0" xfId="91" applyFont="1" applyAlignment="1">
      <alignment horizontal="centerContinuous"/>
    </xf>
    <xf numFmtId="37" fontId="5" fillId="0" borderId="0" xfId="91" applyFont="1" applyAlignment="1" applyProtection="1">
      <alignment horizontal="left"/>
    </xf>
    <xf numFmtId="10" fontId="5" fillId="0" borderId="0" xfId="91" applyNumberFormat="1" applyFont="1" applyProtection="1"/>
    <xf numFmtId="37" fontId="5" fillId="0" borderId="0" xfId="91" applyNumberFormat="1" applyFont="1" applyProtection="1"/>
    <xf numFmtId="37" fontId="5" fillId="0" borderId="0" xfId="91" applyFont="1" applyAlignment="1">
      <alignment horizontal="center"/>
    </xf>
    <xf numFmtId="15" fontId="5" fillId="0" borderId="0" xfId="91" applyNumberFormat="1" applyFont="1" applyProtection="1"/>
    <xf numFmtId="7" fontId="5" fillId="0" borderId="0" xfId="91" applyNumberFormat="1" applyFont="1" applyProtection="1"/>
    <xf numFmtId="168" fontId="5" fillId="0" borderId="0" xfId="91" applyNumberFormat="1" applyFont="1" applyProtection="1"/>
    <xf numFmtId="1" fontId="5" fillId="0" borderId="0" xfId="95" applyNumberFormat="1" applyFont="1" applyProtection="1"/>
    <xf numFmtId="10" fontId="5" fillId="0" borderId="0" xfId="95" applyFont="1"/>
    <xf numFmtId="10" fontId="5" fillId="0" borderId="0" xfId="95" applyFont="1" applyAlignment="1">
      <alignment horizontal="centerContinuous"/>
    </xf>
    <xf numFmtId="1" fontId="5" fillId="0" borderId="0" xfId="95" applyNumberFormat="1" applyFont="1" applyAlignment="1" applyProtection="1">
      <alignment horizontal="center"/>
    </xf>
    <xf numFmtId="37" fontId="5" fillId="0" borderId="0" xfId="0" applyFont="1"/>
    <xf numFmtId="5" fontId="5" fillId="0" borderId="0" xfId="95" applyNumberFormat="1" applyFont="1" applyProtection="1"/>
    <xf numFmtId="165" fontId="5" fillId="0" borderId="0" xfId="95" applyNumberFormat="1" applyFont="1" applyProtection="1"/>
    <xf numFmtId="10" fontId="5" fillId="0" borderId="0" xfId="95" applyNumberFormat="1" applyFont="1" applyProtection="1"/>
    <xf numFmtId="37" fontId="5" fillId="0" borderId="0" xfId="92" applyFont="1"/>
    <xf numFmtId="37" fontId="5" fillId="0" borderId="0" xfId="92" applyFont="1" applyAlignment="1" applyProtection="1">
      <alignment horizontal="center"/>
    </xf>
    <xf numFmtId="37" fontId="7" fillId="0" borderId="0" xfId="92" applyFont="1" applyAlignment="1">
      <alignment horizontal="center"/>
    </xf>
    <xf numFmtId="5" fontId="5" fillId="0" borderId="0" xfId="92" applyNumberFormat="1" applyFont="1"/>
    <xf numFmtId="37" fontId="8" fillId="0" borderId="0" xfId="92" applyFont="1"/>
    <xf numFmtId="37" fontId="8" fillId="0" borderId="0" xfId="92" applyFont="1" applyFill="1"/>
    <xf numFmtId="15" fontId="5" fillId="0" borderId="0" xfId="92" applyNumberFormat="1" applyFont="1" applyProtection="1"/>
    <xf numFmtId="0" fontId="5" fillId="0" borderId="0" xfId="96" applyFont="1" applyAlignment="1" applyProtection="1">
      <alignment horizontal="left"/>
    </xf>
    <xf numFmtId="0" fontId="10" fillId="0" borderId="0" xfId="96" applyFont="1"/>
    <xf numFmtId="0" fontId="6" fillId="0" borderId="0" xfId="96" applyFont="1"/>
    <xf numFmtId="5" fontId="6" fillId="0" borderId="0" xfId="96" applyNumberFormat="1" applyFont="1" applyProtection="1"/>
    <xf numFmtId="37" fontId="3" fillId="0" borderId="0" xfId="91"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2" applyFont="1" applyFill="1" applyAlignment="1">
      <alignment horizontal="center"/>
    </xf>
    <xf numFmtId="5" fontId="8" fillId="0" borderId="0" xfId="92" applyNumberFormat="1" applyFont="1" applyFill="1"/>
    <xf numFmtId="37" fontId="8" fillId="0" borderId="0" xfId="92"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2" applyNumberFormat="1" applyFont="1" applyFill="1" applyProtection="1"/>
    <xf numFmtId="37" fontId="12" fillId="0" borderId="0" xfId="92" applyFont="1" applyFill="1" applyAlignment="1" applyProtection="1">
      <alignment horizontal="center"/>
    </xf>
    <xf numFmtId="10" fontId="8" fillId="0" borderId="0" xfId="92" applyNumberFormat="1" applyFont="1" applyFill="1" applyProtection="1"/>
    <xf numFmtId="168" fontId="8" fillId="0" borderId="0" xfId="92" applyNumberFormat="1" applyFont="1" applyFill="1" applyAlignment="1" applyProtection="1">
      <alignment horizontal="fill"/>
    </xf>
    <xf numFmtId="166" fontId="5" fillId="0" borderId="0" xfId="92" applyNumberFormat="1" applyFont="1" applyFill="1"/>
    <xf numFmtId="0" fontId="16" fillId="0" borderId="0" xfId="96" applyFont="1"/>
    <xf numFmtId="0" fontId="17" fillId="0" borderId="0" xfId="96" quotePrefix="1" applyFont="1" applyFill="1" applyAlignment="1" applyProtection="1">
      <alignment horizontal="center"/>
    </xf>
    <xf numFmtId="0" fontId="16" fillId="0" borderId="0" xfId="96" applyFont="1" applyFill="1"/>
    <xf numFmtId="0" fontId="18" fillId="0" borderId="0" xfId="96" applyFont="1" applyFill="1" applyAlignment="1" applyProtection="1">
      <alignment horizontal="center"/>
    </xf>
    <xf numFmtId="14" fontId="16" fillId="0" borderId="0" xfId="96" applyNumberFormat="1" applyFont="1" applyFill="1"/>
    <xf numFmtId="0" fontId="24" fillId="0" borderId="10" xfId="96" applyFont="1" applyFill="1" applyBorder="1" applyAlignment="1" applyProtection="1">
      <alignment horizontal="center" wrapText="1"/>
    </xf>
    <xf numFmtId="0" fontId="23" fillId="0" borderId="10" xfId="96" applyFont="1" applyFill="1" applyBorder="1" applyAlignment="1">
      <alignment horizontal="center"/>
    </xf>
    <xf numFmtId="7" fontId="16" fillId="0" borderId="0" xfId="96" applyNumberFormat="1" applyFont="1" applyFill="1"/>
    <xf numFmtId="0" fontId="18" fillId="0" borderId="0" xfId="96" quotePrefix="1" applyFont="1" applyFill="1" applyAlignment="1" applyProtection="1">
      <alignment horizontal="left"/>
    </xf>
    <xf numFmtId="37" fontId="15" fillId="0" borderId="0" xfId="91" applyFont="1"/>
    <xf numFmtId="37" fontId="15" fillId="0" borderId="0" xfId="91" applyFont="1" applyAlignment="1" applyProtection="1">
      <alignment horizontal="center"/>
    </xf>
    <xf numFmtId="37" fontId="26" fillId="0" borderId="0" xfId="91" applyFont="1" applyAlignment="1" applyProtection="1">
      <alignment horizontal="center"/>
    </xf>
    <xf numFmtId="5" fontId="28" fillId="0" borderId="0" xfId="91" applyNumberFormat="1" applyFont="1"/>
    <xf numFmtId="5" fontId="28" fillId="0" borderId="0" xfId="91" applyNumberFormat="1" applyFont="1" applyProtection="1"/>
    <xf numFmtId="37" fontId="15" fillId="0" borderId="11" xfId="91" applyFont="1" applyBorder="1" applyAlignment="1" applyProtection="1">
      <alignment horizontal="left"/>
    </xf>
    <xf numFmtId="5" fontId="15" fillId="0" borderId="12" xfId="91" applyNumberFormat="1" applyFont="1" applyBorder="1" applyProtection="1"/>
    <xf numFmtId="5" fontId="15" fillId="0" borderId="12" xfId="91" applyNumberFormat="1" applyFont="1" applyBorder="1"/>
    <xf numFmtId="5" fontId="29" fillId="0" borderId="0" xfId="91" applyNumberFormat="1" applyFont="1" applyFill="1" applyProtection="1"/>
    <xf numFmtId="5" fontId="29" fillId="0" borderId="0" xfId="91" applyNumberFormat="1" applyFont="1" applyProtection="1"/>
    <xf numFmtId="5" fontId="29" fillId="0" borderId="0" xfId="91" applyNumberFormat="1" applyFont="1"/>
    <xf numFmtId="170" fontId="29" fillId="0" borderId="0" xfId="55" applyNumberFormat="1" applyFont="1"/>
    <xf numFmtId="5" fontId="30" fillId="0" borderId="0" xfId="91" applyNumberFormat="1" applyFont="1"/>
    <xf numFmtId="5" fontId="30" fillId="0" borderId="0" xfId="91"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3" fillId="0" borderId="0" xfId="88" applyNumberFormat="1" applyFont="1" applyFill="1" applyProtection="1"/>
    <xf numFmtId="175" fontId="33" fillId="0" borderId="0" xfId="88" applyNumberFormat="1" applyFont="1" applyFill="1" applyProtection="1"/>
    <xf numFmtId="164" fontId="33" fillId="0" borderId="0" xfId="88" applyNumberFormat="1" applyFont="1" applyFill="1" applyBorder="1" applyProtection="1"/>
    <xf numFmtId="175" fontId="33" fillId="0" borderId="0" xfId="88" applyNumberFormat="1" applyFont="1" applyFill="1" applyBorder="1" applyProtection="1"/>
    <xf numFmtId="17" fontId="19" fillId="0" borderId="0" xfId="88" applyNumberFormat="1" applyFont="1" applyFill="1" applyAlignment="1" applyProtection="1">
      <alignment horizontal="center"/>
    </xf>
    <xf numFmtId="0" fontId="18" fillId="0" borderId="0" xfId="88" applyFont="1" applyAlignment="1">
      <alignment horizontal="centerContinuous"/>
    </xf>
    <xf numFmtId="10" fontId="15" fillId="0" borderId="0" xfId="95" applyFont="1" applyAlignment="1">
      <alignment horizontal="centerContinuous"/>
    </xf>
    <xf numFmtId="10" fontId="15" fillId="0" borderId="0" xfId="95" applyFont="1" applyAlignment="1">
      <alignment horizontal="center"/>
    </xf>
    <xf numFmtId="10" fontId="15" fillId="0" borderId="0" xfId="95" applyFont="1" applyAlignment="1" applyProtection="1">
      <alignment horizontal="center"/>
    </xf>
    <xf numFmtId="10" fontId="26" fillId="0" borderId="0" xfId="95" applyFont="1" applyAlignment="1" applyProtection="1">
      <alignment horizontal="center"/>
    </xf>
    <xf numFmtId="10" fontId="15" fillId="0" borderId="0" xfId="95" applyFont="1" applyAlignment="1" applyProtection="1">
      <alignment horizontal="left"/>
    </xf>
    <xf numFmtId="10" fontId="15" fillId="0" borderId="0" xfId="95" applyFont="1"/>
    <xf numFmtId="0" fontId="18" fillId="0" borderId="0" xfId="96" quotePrefix="1" applyFont="1" applyFill="1" applyBorder="1" applyAlignment="1" applyProtection="1">
      <alignment horizontal="left"/>
    </xf>
    <xf numFmtId="0" fontId="24" fillId="0" borderId="10" xfId="96" applyFont="1" applyFill="1" applyBorder="1" applyAlignment="1" applyProtection="1">
      <alignment horizontal="left"/>
    </xf>
    <xf numFmtId="168" fontId="16" fillId="0" borderId="0" xfId="96" applyNumberFormat="1" applyFont="1" applyFill="1" applyAlignment="1">
      <alignment horizontal="left"/>
    </xf>
    <xf numFmtId="15" fontId="16" fillId="0" borderId="0" xfId="96" applyNumberFormat="1" applyFont="1" applyFill="1" applyAlignment="1">
      <alignment horizontal="center"/>
    </xf>
    <xf numFmtId="174" fontId="16" fillId="0" borderId="0" xfId="96" applyNumberFormat="1" applyFont="1" applyFill="1"/>
    <xf numFmtId="15" fontId="32" fillId="0" borderId="0" xfId="96" applyNumberFormat="1" applyFont="1" applyBorder="1" applyAlignment="1">
      <alignment horizontal="left"/>
    </xf>
    <xf numFmtId="0" fontId="22" fillId="0" borderId="0" xfId="96" applyFont="1"/>
    <xf numFmtId="0" fontId="32" fillId="0" borderId="0" xfId="96" quotePrefix="1" applyFont="1" applyAlignment="1">
      <alignment horizontal="left"/>
    </xf>
    <xf numFmtId="37" fontId="32" fillId="0" borderId="0" xfId="0" applyFont="1" applyBorder="1"/>
    <xf numFmtId="37" fontId="22" fillId="0" borderId="0" xfId="0" applyFont="1" applyBorder="1"/>
    <xf numFmtId="0" fontId="34" fillId="0" borderId="0" xfId="88" applyFont="1" applyAlignment="1" applyProtection="1">
      <alignment horizontal="center" wrapText="1"/>
    </xf>
    <xf numFmtId="172" fontId="18" fillId="0" borderId="0" xfId="96"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1" applyFont="1" applyAlignment="1" applyProtection="1">
      <alignment horizontal="center"/>
    </xf>
    <xf numFmtId="37" fontId="25" fillId="0" borderId="0" xfId="93" applyFont="1" applyBorder="1" applyAlignment="1" applyProtection="1">
      <alignment horizontal="left"/>
    </xf>
    <xf numFmtId="1" fontId="16" fillId="0" borderId="0" xfId="95" applyNumberFormat="1" applyFont="1" applyAlignment="1" applyProtection="1">
      <alignment horizontal="center"/>
    </xf>
    <xf numFmtId="37" fontId="18" fillId="0" borderId="0" xfId="91" applyFont="1" applyAlignment="1" applyProtection="1">
      <alignment horizontal="left"/>
    </xf>
    <xf numFmtId="37" fontId="25" fillId="0" borderId="0" xfId="92" applyNumberFormat="1" applyFont="1" applyAlignment="1">
      <alignment horizontal="center"/>
    </xf>
    <xf numFmtId="37" fontId="36" fillId="0" borderId="0" xfId="92" applyFont="1"/>
    <xf numFmtId="37" fontId="24" fillId="0" borderId="0" xfId="92" applyNumberFormat="1" applyFont="1"/>
    <xf numFmtId="37" fontId="25" fillId="0" borderId="0" xfId="92" applyNumberFormat="1" applyFont="1"/>
    <xf numFmtId="37" fontId="25" fillId="0" borderId="0" xfId="0" applyNumberFormat="1" applyFont="1"/>
    <xf numFmtId="171" fontId="25" fillId="0" borderId="0" xfId="0" applyNumberFormat="1" applyFont="1"/>
    <xf numFmtId="37" fontId="24" fillId="0" borderId="0" xfId="92" applyNumberFormat="1" applyFont="1" applyAlignment="1" applyProtection="1">
      <alignment horizontal="left"/>
    </xf>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6" fillId="0" borderId="0" xfId="88" applyFont="1" applyFill="1" applyAlignment="1">
      <alignment horizontal="centerContinuous"/>
    </xf>
    <xf numFmtId="0" fontId="36"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2" applyNumberFormat="1" applyFont="1" applyAlignment="1" applyProtection="1">
      <alignment horizontal="centerContinuous"/>
    </xf>
    <xf numFmtId="37" fontId="25" fillId="0" borderId="0" xfId="92" applyNumberFormat="1" applyFont="1" applyAlignment="1">
      <alignment horizontal="centerContinuous"/>
    </xf>
    <xf numFmtId="37" fontId="25" fillId="0" borderId="0" xfId="0" applyNumberFormat="1" applyFont="1" applyAlignment="1">
      <alignment horizontal="centerContinuous"/>
    </xf>
    <xf numFmtId="166" fontId="25" fillId="0" borderId="0" xfId="92"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2"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3" fillId="0" borderId="19" xfId="88" applyNumberFormat="1" applyFont="1" applyFill="1" applyBorder="1" applyProtection="1"/>
    <xf numFmtId="164" fontId="33" fillId="0" borderId="19" xfId="88" applyNumberFormat="1" applyFont="1" applyFill="1" applyBorder="1" applyProtection="1"/>
    <xf numFmtId="175" fontId="33" fillId="0" borderId="20" xfId="88" applyNumberFormat="1" applyFont="1" applyFill="1" applyBorder="1" applyProtection="1"/>
    <xf numFmtId="5" fontId="28" fillId="0" borderId="0" xfId="95" applyNumberFormat="1" applyFont="1" applyBorder="1" applyAlignment="1" applyProtection="1"/>
    <xf numFmtId="5" fontId="35" fillId="0" borderId="0" xfId="95" applyNumberFormat="1" applyFont="1" applyBorder="1" applyAlignment="1" applyProtection="1"/>
    <xf numFmtId="10" fontId="35" fillId="0" borderId="0" xfId="95" applyFont="1" applyBorder="1" applyAlignment="1"/>
    <xf numFmtId="5" fontId="33" fillId="0" borderId="0" xfId="88" applyNumberFormat="1" applyFont="1" applyFill="1" applyProtection="1"/>
    <xf numFmtId="37" fontId="25" fillId="0" borderId="0" xfId="92" applyNumberFormat="1" applyFont="1" applyAlignment="1">
      <alignment horizontal="right"/>
    </xf>
    <xf numFmtId="37" fontId="38" fillId="0" borderId="0" xfId="91" applyFont="1" applyAlignment="1" applyProtection="1">
      <alignment horizontal="center"/>
    </xf>
    <xf numFmtId="10" fontId="25" fillId="0" borderId="0" xfId="0" applyNumberFormat="1" applyFont="1"/>
    <xf numFmtId="37" fontId="16" fillId="0" borderId="15" xfId="0" applyFont="1" applyBorder="1" applyAlignment="1">
      <alignment horizontal="centerContinuous"/>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1" applyNumberFormat="1" applyFont="1" applyProtection="1"/>
    <xf numFmtId="37" fontId="25" fillId="0" borderId="0" xfId="91" applyFont="1" applyAlignment="1" applyProtection="1">
      <alignment horizontal="center"/>
    </xf>
    <xf numFmtId="1" fontId="25" fillId="0" borderId="0" xfId="95" applyNumberFormat="1" applyFont="1" applyAlignment="1" applyProtection="1">
      <alignment horizontal="center"/>
    </xf>
    <xf numFmtId="10" fontId="5" fillId="0" borderId="0" xfId="95" applyFont="1" applyBorder="1"/>
    <xf numFmtId="1" fontId="16" fillId="0" borderId="0" xfId="95" applyNumberFormat="1" applyFont="1" applyFill="1" applyAlignment="1" applyProtection="1">
      <alignment horizontal="center"/>
    </xf>
    <xf numFmtId="164" fontId="33" fillId="0" borderId="22" xfId="88" applyNumberFormat="1" applyFont="1" applyFill="1" applyBorder="1" applyProtection="1"/>
    <xf numFmtId="17" fontId="43" fillId="0" borderId="0" xfId="88" applyNumberFormat="1" applyFont="1" applyFill="1" applyAlignment="1" applyProtection="1">
      <alignment horizontal="center"/>
    </xf>
    <xf numFmtId="175" fontId="42" fillId="0" borderId="0" xfId="88" applyNumberFormat="1" applyFont="1" applyFill="1" applyBorder="1" applyProtection="1"/>
    <xf numFmtId="164" fontId="25" fillId="0" borderId="0" xfId="88" applyNumberFormat="1" applyFont="1" applyFill="1" applyBorder="1" applyProtection="1"/>
    <xf numFmtId="0" fontId="18" fillId="0" borderId="0" xfId="96" quotePrefix="1" applyFont="1" applyFill="1" applyBorder="1" applyAlignment="1" applyProtection="1">
      <alignment horizontal="centerContinuous" vertical="center" wrapText="1"/>
    </xf>
    <xf numFmtId="172" fontId="43" fillId="0" borderId="0" xfId="96" quotePrefix="1" applyNumberFormat="1" applyFont="1" applyFill="1" applyBorder="1" applyAlignment="1" applyProtection="1">
      <alignment horizontal="centerContinuous" vertical="center" wrapText="1"/>
    </xf>
    <xf numFmtId="168" fontId="16" fillId="0" borderId="0" xfId="102" applyNumberFormat="1" applyFont="1"/>
    <xf numFmtId="178" fontId="16" fillId="0" borderId="0" xfId="102"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29" fillId="0" borderId="0" xfId="91" applyNumberFormat="1" applyFont="1" applyProtection="1"/>
    <xf numFmtId="168" fontId="29" fillId="0" borderId="0" xfId="91"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2" applyNumberFormat="1" applyFont="1" applyFill="1" applyBorder="1" applyProtection="1"/>
    <xf numFmtId="10" fontId="15" fillId="18" borderId="23" xfId="91" applyNumberFormat="1" applyFont="1" applyFill="1" applyBorder="1" applyAlignment="1" applyProtection="1">
      <alignment horizontal="center"/>
    </xf>
    <xf numFmtId="175" fontId="34" fillId="18" borderId="23" xfId="88" applyNumberFormat="1" applyFont="1" applyFill="1" applyBorder="1" applyProtection="1"/>
    <xf numFmtId="164" fontId="34" fillId="18" borderId="23" xfId="88" applyNumberFormat="1" applyFont="1" applyFill="1" applyBorder="1" applyProtection="1"/>
    <xf numFmtId="37" fontId="16" fillId="0" borderId="0" xfId="0" applyFont="1" applyBorder="1" applyAlignment="1">
      <alignment horizontal="center"/>
    </xf>
    <xf numFmtId="37" fontId="12" fillId="0" borderId="0" xfId="92" applyFont="1" applyAlignment="1">
      <alignment horizontal="center"/>
    </xf>
    <xf numFmtId="37" fontId="37" fillId="0" borderId="0" xfId="0" applyFont="1" applyAlignment="1">
      <alignment horizontal="right"/>
    </xf>
    <xf numFmtId="0" fontId="24" fillId="0" borderId="0" xfId="96" applyFont="1" applyFill="1" applyBorder="1" applyAlignment="1" applyProtection="1">
      <alignment horizontal="center" wrapText="1"/>
    </xf>
    <xf numFmtId="37" fontId="24" fillId="0" borderId="0" xfId="0" applyFont="1" applyFill="1" applyBorder="1"/>
    <xf numFmtId="0" fontId="46" fillId="0" borderId="0" xfId="96" applyFont="1"/>
    <xf numFmtId="0" fontId="9" fillId="0" borderId="0" xfId="88" applyFont="1" applyFill="1" applyBorder="1"/>
    <xf numFmtId="37" fontId="9" fillId="0" borderId="0" xfId="88" applyNumberFormat="1" applyFont="1" applyFill="1" applyBorder="1"/>
    <xf numFmtId="10" fontId="35" fillId="0" borderId="0" xfId="95"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2" applyNumberFormat="1" applyFont="1" applyAlignment="1" applyProtection="1">
      <alignment horizontal="centerContinuous"/>
    </xf>
    <xf numFmtId="0" fontId="18" fillId="0" borderId="0" xfId="96" applyFont="1" applyFill="1" applyAlignment="1" applyProtection="1">
      <alignment horizontal="left"/>
    </xf>
    <xf numFmtId="0" fontId="6" fillId="0" borderId="0" xfId="96" applyFont="1" applyFill="1"/>
    <xf numFmtId="1" fontId="16" fillId="0" borderId="0" xfId="96" applyNumberFormat="1" applyFont="1" applyFill="1" applyAlignment="1" applyProtection="1">
      <alignment horizontal="center"/>
    </xf>
    <xf numFmtId="0" fontId="6" fillId="0" borderId="0" xfId="96" applyFont="1" applyAlignment="1">
      <alignment horizontal="center"/>
    </xf>
    <xf numFmtId="37" fontId="5" fillId="0" borderId="0" xfId="95" applyNumberFormat="1" applyFont="1"/>
    <xf numFmtId="37" fontId="20" fillId="0" borderId="0" xfId="0" applyFont="1"/>
    <xf numFmtId="37" fontId="16" fillId="0" borderId="0" xfId="0" applyFont="1" applyAlignment="1">
      <alignment horizontal="center"/>
    </xf>
    <xf numFmtId="167" fontId="5" fillId="0" borderId="0" xfId="95" applyNumberFormat="1" applyFont="1"/>
    <xf numFmtId="10" fontId="8" fillId="0" borderId="0" xfId="95" applyFont="1"/>
    <xf numFmtId="14" fontId="16" fillId="0" borderId="16" xfId="0" applyNumberFormat="1" applyFont="1" applyFill="1" applyBorder="1"/>
    <xf numFmtId="10" fontId="35" fillId="0" borderId="0" xfId="95" applyNumberFormat="1" applyFont="1" applyFill="1" applyBorder="1" applyAlignment="1" applyProtection="1"/>
    <xf numFmtId="10" fontId="24" fillId="0" borderId="0" xfId="92" applyNumberFormat="1" applyFont="1" applyFill="1" applyBorder="1" applyProtection="1"/>
    <xf numFmtId="175" fontId="34" fillId="0" borderId="19" xfId="88" applyNumberFormat="1" applyFont="1" applyFill="1" applyBorder="1" applyProtection="1"/>
    <xf numFmtId="164" fontId="34" fillId="0" borderId="24" xfId="88" applyNumberFormat="1" applyFont="1" applyFill="1" applyBorder="1" applyProtection="1"/>
    <xf numFmtId="0" fontId="24" fillId="0" borderId="0" xfId="96" applyFont="1" applyFill="1" applyAlignment="1" applyProtection="1">
      <alignment horizontal="center"/>
    </xf>
    <xf numFmtId="0" fontId="24" fillId="0" borderId="0" xfId="96" applyFont="1" applyFill="1" applyAlignment="1">
      <alignment horizontal="center"/>
    </xf>
    <xf numFmtId="10" fontId="44" fillId="0" borderId="0" xfId="95" applyFont="1" applyBorder="1"/>
    <xf numFmtId="37" fontId="5" fillId="0" borderId="0" xfId="95" applyNumberFormat="1" applyFont="1" applyBorder="1"/>
    <xf numFmtId="182" fontId="27" fillId="0" borderId="0" xfId="95" applyNumberFormat="1" applyFont="1" applyBorder="1" applyAlignment="1">
      <alignment horizontal="center"/>
    </xf>
    <xf numFmtId="10" fontId="27" fillId="0" borderId="0" xfId="95" applyFont="1" applyBorder="1" applyAlignment="1" applyProtection="1"/>
    <xf numFmtId="181" fontId="40" fillId="0" borderId="0" xfId="95"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3" fillId="0" borderId="0" xfId="88" applyNumberFormat="1" applyFont="1" applyFill="1" applyProtection="1"/>
    <xf numFmtId="37" fontId="24" fillId="0" borderId="0" xfId="91"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6" applyFont="1" applyAlignment="1" applyProtection="1">
      <alignment horizontal="left"/>
    </xf>
    <xf numFmtId="181" fontId="15" fillId="0" borderId="0" xfId="95" applyNumberFormat="1" applyFont="1" applyBorder="1" applyAlignment="1" applyProtection="1">
      <alignment horizontal="centerContinuous" vertical="center" wrapText="1"/>
    </xf>
    <xf numFmtId="181" fontId="18" fillId="0" borderId="0" xfId="92" applyNumberFormat="1" applyFont="1" applyFill="1" applyAlignment="1" applyProtection="1">
      <alignment horizontal="centerContinuous"/>
    </xf>
    <xf numFmtId="168" fontId="16" fillId="0" borderId="0" xfId="0" applyNumberFormat="1" applyFont="1" applyFill="1" applyBorder="1" applyAlignment="1">
      <alignment horizontal="center"/>
    </xf>
    <xf numFmtId="5" fontId="36" fillId="0" borderId="0" xfId="92" applyNumberFormat="1" applyFont="1" applyFill="1"/>
    <xf numFmtId="5" fontId="5" fillId="0" borderId="0" xfId="92" applyNumberFormat="1" applyFont="1" applyFill="1"/>
    <xf numFmtId="175" fontId="25" fillId="0" borderId="0" xfId="88" applyNumberFormat="1" applyFont="1" applyFill="1" applyProtection="1"/>
    <xf numFmtId="175" fontId="24" fillId="0" borderId="0" xfId="88" applyNumberFormat="1" applyFont="1" applyFill="1" applyProtection="1"/>
    <xf numFmtId="37" fontId="45" fillId="0" borderId="0" xfId="0" applyFont="1"/>
    <xf numFmtId="175" fontId="25" fillId="0" borderId="0" xfId="88" applyNumberFormat="1" applyFont="1" applyFill="1" applyBorder="1" applyProtection="1"/>
    <xf numFmtId="37" fontId="25" fillId="0" borderId="0" xfId="0" applyFont="1" applyFill="1" applyBorder="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2" applyNumberFormat="1" applyFont="1" applyAlignment="1" applyProtection="1"/>
    <xf numFmtId="17" fontId="25" fillId="0" borderId="0" xfId="92" applyNumberFormat="1" applyFont="1" applyProtection="1"/>
    <xf numFmtId="17" fontId="25" fillId="0" borderId="0" xfId="92"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5" fillId="0" borderId="0" xfId="92" applyFont="1" applyFill="1"/>
    <xf numFmtId="37" fontId="25" fillId="0" borderId="0" xfId="0" applyNumberFormat="1" applyFont="1" applyFill="1"/>
    <xf numFmtId="15" fontId="16" fillId="0" borderId="0" xfId="96" applyNumberFormat="1" applyFont="1" applyFill="1" applyAlignment="1">
      <alignment horizontal="right"/>
    </xf>
    <xf numFmtId="5" fontId="16" fillId="0" borderId="0" xfId="96" applyNumberFormat="1" applyFont="1" applyFill="1"/>
    <xf numFmtId="168" fontId="16" fillId="0" borderId="0" xfId="96" applyNumberFormat="1" applyFont="1" applyFill="1" applyAlignment="1" applyProtection="1">
      <alignment horizontal="left"/>
    </xf>
    <xf numFmtId="15" fontId="16" fillId="0" borderId="0" xfId="96" applyNumberFormat="1" applyFont="1" applyFill="1" applyAlignment="1" applyProtection="1">
      <alignment horizontal="center"/>
    </xf>
    <xf numFmtId="5" fontId="20" fillId="0" borderId="0" xfId="96" applyNumberFormat="1" applyFont="1" applyFill="1"/>
    <xf numFmtId="5" fontId="18" fillId="0" borderId="25" xfId="96" applyNumberFormat="1" applyFont="1" applyFill="1" applyBorder="1" applyAlignment="1" applyProtection="1">
      <alignment horizontal="right"/>
    </xf>
    <xf numFmtId="43" fontId="42" fillId="0" borderId="0" xfId="88" applyNumberFormat="1" applyFont="1" applyFill="1" applyProtection="1"/>
    <xf numFmtId="164" fontId="33" fillId="0" borderId="26" xfId="88" applyNumberFormat="1" applyFont="1" applyFill="1" applyBorder="1" applyProtection="1"/>
    <xf numFmtId="164" fontId="33" fillId="0" borderId="25" xfId="88" applyNumberFormat="1" applyFont="1" applyFill="1" applyBorder="1" applyProtection="1"/>
    <xf numFmtId="165" fontId="33" fillId="0" borderId="0" xfId="88" applyNumberFormat="1" applyFont="1" applyFill="1" applyProtection="1"/>
    <xf numFmtId="165" fontId="33" fillId="0" borderId="19" xfId="88" applyNumberFormat="1" applyFont="1" applyFill="1" applyBorder="1" applyProtection="1"/>
    <xf numFmtId="165" fontId="33" fillId="0" borderId="10" xfId="88" applyNumberFormat="1" applyFont="1" applyFill="1" applyBorder="1" applyProtection="1"/>
    <xf numFmtId="165" fontId="33" fillId="0" borderId="20" xfId="88" applyNumberFormat="1" applyFont="1" applyFill="1" applyBorder="1" applyProtection="1"/>
    <xf numFmtId="0" fontId="33" fillId="0" borderId="0" xfId="88" applyFont="1" applyFill="1"/>
    <xf numFmtId="37" fontId="24" fillId="0" borderId="0" xfId="91" applyFont="1" applyFill="1" applyAlignment="1" applyProtection="1">
      <alignment horizontal="center"/>
    </xf>
    <xf numFmtId="165" fontId="33" fillId="0" borderId="0" xfId="88" applyNumberFormat="1" applyFont="1" applyFill="1"/>
    <xf numFmtId="0" fontId="33" fillId="0" borderId="19" xfId="88" applyFont="1" applyFill="1" applyBorder="1"/>
    <xf numFmtId="165" fontId="33" fillId="0" borderId="27" xfId="88" applyNumberFormat="1" applyFont="1" applyFill="1" applyBorder="1" applyProtection="1"/>
    <xf numFmtId="165" fontId="33" fillId="0" borderId="28" xfId="88" applyNumberFormat="1" applyFont="1" applyFill="1" applyBorder="1" applyProtection="1"/>
    <xf numFmtId="164" fontId="42" fillId="0" borderId="0" xfId="88" applyNumberFormat="1" applyFont="1" applyFill="1" applyBorder="1" applyProtection="1"/>
    <xf numFmtId="164" fontId="25" fillId="0" borderId="12" xfId="88" applyNumberFormat="1" applyFont="1" applyFill="1" applyBorder="1" applyProtection="1"/>
    <xf numFmtId="37" fontId="12" fillId="0" borderId="0" xfId="92" applyFont="1" applyAlignment="1">
      <alignment horizontal="right"/>
    </xf>
    <xf numFmtId="181" fontId="16" fillId="0" borderId="0" xfId="0" applyNumberFormat="1" applyFont="1" applyBorder="1" applyAlignment="1">
      <alignment horizontal="left"/>
    </xf>
    <xf numFmtId="5" fontId="45" fillId="0" borderId="0" xfId="59" applyNumberFormat="1" applyFont="1" applyFill="1" applyBorder="1"/>
    <xf numFmtId="180" fontId="45" fillId="0" borderId="0" xfId="0" applyNumberFormat="1" applyFont="1" applyFill="1" applyBorder="1"/>
    <xf numFmtId="169" fontId="45" fillId="0" borderId="0" xfId="0" applyNumberFormat="1" applyFont="1" applyFill="1" applyBorder="1"/>
    <xf numFmtId="10" fontId="45" fillId="0" borderId="0" xfId="0" applyNumberFormat="1" applyFont="1" applyFill="1" applyBorder="1" applyAlignment="1">
      <alignment horizontal="center"/>
    </xf>
    <xf numFmtId="37" fontId="0" fillId="0" borderId="0" xfId="0" applyFill="1" applyBorder="1"/>
    <xf numFmtId="5" fontId="29" fillId="0" borderId="26" xfId="91" applyNumberFormat="1" applyFont="1" applyBorder="1"/>
    <xf numFmtId="168" fontId="29" fillId="0" borderId="26" xfId="91"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6" quotePrefix="1" applyFont="1" applyFill="1" applyBorder="1" applyAlignment="1" applyProtection="1">
      <alignment horizontal="centerContinuous" vertical="center" wrapText="1"/>
    </xf>
    <xf numFmtId="181" fontId="15" fillId="0" borderId="0" xfId="96" quotePrefix="1" applyNumberFormat="1" applyFont="1" applyFill="1" applyBorder="1" applyAlignment="1" applyProtection="1">
      <alignment horizontal="centerContinuous" vertical="center" wrapText="1"/>
    </xf>
    <xf numFmtId="37" fontId="47" fillId="0" borderId="0" xfId="0" applyFont="1" applyBorder="1" applyAlignment="1">
      <alignment horizontal="center"/>
    </xf>
    <xf numFmtId="10" fontId="28" fillId="0" borderId="0" xfId="95" applyNumberFormat="1" applyFont="1" applyFill="1" applyAlignment="1" applyProtection="1"/>
    <xf numFmtId="10" fontId="33" fillId="0" borderId="0" xfId="102" applyNumberFormat="1" applyFont="1" applyFill="1" applyBorder="1" applyProtection="1"/>
    <xf numFmtId="10" fontId="33" fillId="0" borderId="10" xfId="88" applyNumberFormat="1" applyFont="1" applyFill="1" applyBorder="1" applyProtection="1"/>
    <xf numFmtId="183" fontId="33" fillId="0" borderId="0" xfId="88" applyNumberFormat="1" applyFont="1" applyFill="1" applyBorder="1" applyProtection="1"/>
    <xf numFmtId="175" fontId="37" fillId="0" borderId="0" xfId="88" applyNumberFormat="1" applyFont="1" applyFill="1" applyBorder="1" applyProtection="1"/>
    <xf numFmtId="0" fontId="31" fillId="0" borderId="0" xfId="88" applyFont="1" applyBorder="1" applyAlignment="1" applyProtection="1">
      <alignment horizontal="centerContinuous" vertical="center" wrapText="1"/>
    </xf>
    <xf numFmtId="10" fontId="31" fillId="0" borderId="0" xfId="95" applyFont="1" applyBorder="1" applyAlignment="1" applyProtection="1">
      <alignment horizontal="centerContinuous" vertical="center" wrapText="1"/>
    </xf>
    <xf numFmtId="172" fontId="31" fillId="0" borderId="0" xfId="95" applyNumberFormat="1" applyFont="1" applyBorder="1" applyAlignment="1" applyProtection="1">
      <alignment horizontal="centerContinuous" vertical="center" wrapText="1"/>
    </xf>
    <xf numFmtId="180" fontId="47"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37" fontId="15" fillId="0" borderId="0" xfId="91" applyFont="1" applyBorder="1" applyAlignment="1" applyProtection="1">
      <alignment horizontal="center"/>
    </xf>
    <xf numFmtId="37" fontId="39"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28" fillId="0" borderId="0" xfId="95" applyNumberFormat="1" applyFont="1" applyAlignment="1" applyProtection="1"/>
    <xf numFmtId="37" fontId="25" fillId="0" borderId="0" xfId="92" applyNumberFormat="1" applyFont="1" applyBorder="1" applyAlignment="1">
      <alignment horizontal="center"/>
    </xf>
    <xf numFmtId="37" fontId="24" fillId="0" borderId="0" xfId="92"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2" fillId="0" borderId="0" xfId="0" applyNumberFormat="1" applyFont="1"/>
    <xf numFmtId="168" fontId="45" fillId="0" borderId="0" xfId="102" applyNumberFormat="1" applyFont="1" applyFill="1" applyBorder="1"/>
    <xf numFmtId="168" fontId="16" fillId="0" borderId="0" xfId="102" applyNumberFormat="1" applyFont="1" applyFill="1" applyBorder="1" applyAlignment="1">
      <alignment horizontal="left"/>
    </xf>
    <xf numFmtId="169" fontId="45"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2" applyNumberFormat="1" applyFont="1" applyFill="1" applyBorder="1" applyAlignment="1">
      <alignment horizontal="center"/>
    </xf>
    <xf numFmtId="5" fontId="18" fillId="0" borderId="25" xfId="55" applyNumberFormat="1" applyFont="1" applyFill="1" applyBorder="1"/>
    <xf numFmtId="10" fontId="18" fillId="0" borderId="0" xfId="95" applyFont="1" applyAlignment="1" applyProtection="1">
      <alignment horizontal="left"/>
    </xf>
    <xf numFmtId="176" fontId="42" fillId="0" borderId="0" xfId="88" applyNumberFormat="1" applyFont="1" applyFill="1" applyProtection="1"/>
    <xf numFmtId="164" fontId="42" fillId="0" borderId="0" xfId="88" applyNumberFormat="1" applyFont="1" applyFill="1" applyProtection="1"/>
    <xf numFmtId="175" fontId="42" fillId="0" borderId="0" xfId="88" applyNumberFormat="1" applyFont="1" applyFill="1" applyProtection="1"/>
    <xf numFmtId="0" fontId="42" fillId="0" borderId="0" xfId="88" applyFont="1" applyFill="1"/>
    <xf numFmtId="5" fontId="45" fillId="0" borderId="0" xfId="55" applyNumberFormat="1" applyFont="1" applyFill="1" applyBorder="1"/>
    <xf numFmtId="168" fontId="45" fillId="0" borderId="0" xfId="0" applyNumberFormat="1" applyFont="1" applyFill="1" applyBorder="1" applyAlignment="1">
      <alignment horizontal="center"/>
    </xf>
    <xf numFmtId="37" fontId="18" fillId="0" borderId="0" xfId="91"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6" applyNumberFormat="1" applyFont="1" applyFill="1" applyBorder="1" applyAlignment="1">
      <alignment horizontal="center"/>
    </xf>
    <xf numFmtId="37" fontId="45" fillId="0" borderId="0" xfId="0" applyNumberFormat="1" applyFont="1"/>
    <xf numFmtId="37" fontId="16" fillId="0" borderId="0" xfId="0" applyNumberFormat="1" applyFont="1"/>
    <xf numFmtId="37" fontId="45" fillId="0" borderId="0" xfId="0" applyNumberFormat="1" applyFont="1" applyFill="1"/>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5" fillId="0" borderId="0" xfId="0" applyNumberFormat="1" applyFont="1" applyBorder="1" applyAlignment="1">
      <alignment horizontal="left" indent="1"/>
    </xf>
    <xf numFmtId="37" fontId="16" fillId="0" borderId="0" xfId="0" applyFont="1" applyAlignment="1">
      <alignment horizontal="right"/>
    </xf>
    <xf numFmtId="0" fontId="31" fillId="0" borderId="0" xfId="88" applyFont="1" applyAlignment="1" applyProtection="1">
      <alignment horizontal="centerContinuous"/>
    </xf>
    <xf numFmtId="1" fontId="49" fillId="0" borderId="0" xfId="95" applyNumberFormat="1" applyFont="1" applyAlignment="1" applyProtection="1">
      <alignment horizontal="centerContinuous"/>
    </xf>
    <xf numFmtId="1" fontId="4" fillId="0" borderId="0" xfId="95" applyNumberFormat="1" applyProtection="1"/>
    <xf numFmtId="10" fontId="4" fillId="0" borderId="0" xfId="95"/>
    <xf numFmtId="10" fontId="15" fillId="0" borderId="0" xfId="95" applyFont="1" applyAlignment="1" applyProtection="1">
      <alignment horizontal="centerContinuous"/>
    </xf>
    <xf numFmtId="10" fontId="49" fillId="0" borderId="0" xfId="95" applyFont="1" applyAlignment="1">
      <alignment horizontal="centerContinuous"/>
    </xf>
    <xf numFmtId="0" fontId="48" fillId="0" borderId="0" xfId="90" applyAlignment="1">
      <alignment horizontal="centerContinuous"/>
    </xf>
    <xf numFmtId="10" fontId="4" fillId="0" borderId="0" xfId="95" applyAlignment="1" applyProtection="1">
      <alignment horizontal="left"/>
    </xf>
    <xf numFmtId="172" fontId="40" fillId="0" borderId="0" xfId="95" applyNumberFormat="1" applyFont="1" applyBorder="1" applyAlignment="1" applyProtection="1">
      <alignment horizontal="centerContinuous" vertical="center" wrapText="1"/>
    </xf>
    <xf numFmtId="10" fontId="49" fillId="0" borderId="0" xfId="95" applyFont="1" applyBorder="1" applyAlignment="1">
      <alignment horizontal="centerContinuous" vertical="center" wrapText="1"/>
    </xf>
    <xf numFmtId="1" fontId="49" fillId="0" borderId="0" xfId="95" applyNumberFormat="1" applyFont="1" applyProtection="1"/>
    <xf numFmtId="10" fontId="49" fillId="0" borderId="0" xfId="95" applyFont="1"/>
    <xf numFmtId="0" fontId="48" fillId="0" borderId="0" xfId="90"/>
    <xf numFmtId="10" fontId="49" fillId="0" borderId="0" xfId="95" applyFont="1" applyAlignment="1">
      <alignment horizontal="right"/>
    </xf>
    <xf numFmtId="10" fontId="15" fillId="0" borderId="0" xfId="95" applyFont="1" applyAlignment="1">
      <alignment horizontal="right"/>
    </xf>
    <xf numFmtId="10" fontId="15" fillId="0" borderId="0" xfId="95" applyFont="1" applyAlignment="1" applyProtection="1">
      <alignment horizontal="right"/>
    </xf>
    <xf numFmtId="10" fontId="15" fillId="0" borderId="0" xfId="95" applyFont="1" applyFill="1" applyAlignment="1" applyProtection="1">
      <alignment horizontal="left" indent="1"/>
    </xf>
    <xf numFmtId="5" fontId="29" fillId="0" borderId="0" xfId="95" applyNumberFormat="1" applyFont="1" applyProtection="1"/>
    <xf numFmtId="165" fontId="29" fillId="0" borderId="0" xfId="95" applyNumberFormat="1" applyFont="1" applyProtection="1"/>
    <xf numFmtId="5" fontId="29" fillId="0" borderId="0" xfId="95" applyNumberFormat="1" applyFont="1" applyAlignment="1" applyProtection="1">
      <alignment horizontal="right"/>
    </xf>
    <xf numFmtId="10" fontId="29" fillId="0" borderId="0" xfId="95" applyFont="1" applyBorder="1" applyProtection="1"/>
    <xf numFmtId="10" fontId="29" fillId="0" borderId="0" xfId="95" applyFont="1" applyProtection="1"/>
    <xf numFmtId="10" fontId="25" fillId="0" borderId="0" xfId="95" applyFont="1" applyFill="1" applyAlignment="1" applyProtection="1">
      <alignment horizontal="left" indent="2"/>
    </xf>
    <xf numFmtId="5" fontId="33" fillId="0" borderId="0" xfId="95" applyNumberFormat="1" applyFont="1" applyProtection="1"/>
    <xf numFmtId="165" fontId="33" fillId="0" borderId="0" xfId="95" applyNumberFormat="1" applyFont="1" applyProtection="1"/>
    <xf numFmtId="5" fontId="33" fillId="0" borderId="0" xfId="95" applyNumberFormat="1" applyFont="1" applyAlignment="1" applyProtection="1">
      <alignment horizontal="right"/>
    </xf>
    <xf numFmtId="10" fontId="33" fillId="0" borderId="0" xfId="95" applyFont="1" applyBorder="1" applyProtection="1"/>
    <xf numFmtId="10" fontId="33" fillId="0" borderId="0" xfId="95" applyFont="1" applyProtection="1"/>
    <xf numFmtId="43" fontId="42" fillId="0" borderId="0" xfId="95" applyNumberFormat="1" applyFont="1" applyProtection="1"/>
    <xf numFmtId="5" fontId="42" fillId="0" borderId="0" xfId="95" applyNumberFormat="1" applyFont="1" applyAlignment="1" applyProtection="1">
      <alignment horizontal="right"/>
    </xf>
    <xf numFmtId="10" fontId="15" fillId="0" borderId="0" xfId="95" applyFont="1" applyAlignment="1" applyProtection="1">
      <alignment horizontal="left" indent="1"/>
    </xf>
    <xf numFmtId="10" fontId="29" fillId="0" borderId="0" xfId="95" applyNumberFormat="1" applyFont="1" applyFill="1" applyBorder="1" applyProtection="1"/>
    <xf numFmtId="10" fontId="29" fillId="0" borderId="0" xfId="95" applyFont="1" applyAlignment="1" applyProtection="1">
      <alignment horizontal="left"/>
    </xf>
    <xf numFmtId="5" fontId="29" fillId="19" borderId="12" xfId="95" applyNumberFormat="1" applyFont="1" applyFill="1" applyBorder="1" applyProtection="1"/>
    <xf numFmtId="165" fontId="29" fillId="0" borderId="12" xfId="95" applyNumberFormat="1" applyFont="1" applyBorder="1" applyProtection="1"/>
    <xf numFmtId="5" fontId="29" fillId="0" borderId="12" xfId="95" applyNumberFormat="1" applyFont="1" applyBorder="1" applyProtection="1"/>
    <xf numFmtId="10" fontId="29" fillId="19" borderId="12" xfId="95" applyFont="1" applyFill="1" applyBorder="1" applyProtection="1"/>
    <xf numFmtId="10" fontId="29" fillId="0" borderId="12" xfId="95" applyFont="1" applyBorder="1" applyProtection="1"/>
    <xf numFmtId="10" fontId="29" fillId="0" borderId="0" xfId="95" applyFont="1"/>
    <xf numFmtId="5" fontId="27" fillId="19" borderId="0" xfId="95" applyNumberFormat="1" applyFont="1" applyFill="1" applyProtection="1"/>
    <xf numFmtId="5" fontId="27" fillId="0" borderId="0" xfId="95" applyNumberFormat="1" applyFont="1" applyAlignment="1" applyProtection="1">
      <alignment horizontal="right"/>
    </xf>
    <xf numFmtId="5" fontId="29" fillId="0" borderId="12" xfId="95" applyNumberFormat="1" applyFont="1" applyBorder="1" applyAlignment="1" applyProtection="1">
      <alignment horizontal="right"/>
    </xf>
    <xf numFmtId="10" fontId="29" fillId="0" borderId="0" xfId="95" applyFont="1" applyAlignment="1" applyProtection="1">
      <alignment horizontal="fill"/>
    </xf>
    <xf numFmtId="165" fontId="29" fillId="0" borderId="0" xfId="95" applyNumberFormat="1" applyFont="1" applyAlignment="1" applyProtection="1">
      <alignment horizontal="fill"/>
    </xf>
    <xf numFmtId="5" fontId="50" fillId="0" borderId="0" xfId="95" applyNumberFormat="1" applyFont="1" applyBorder="1" applyProtection="1"/>
    <xf numFmtId="165" fontId="50" fillId="0" borderId="0" xfId="95" applyNumberFormat="1" applyFont="1" applyBorder="1" applyProtection="1"/>
    <xf numFmtId="5" fontId="51" fillId="0" borderId="0" xfId="95" applyNumberFormat="1" applyFont="1" applyBorder="1" applyProtection="1"/>
    <xf numFmtId="10" fontId="50" fillId="0" borderId="0" xfId="95" applyFont="1" applyBorder="1"/>
    <xf numFmtId="10" fontId="50" fillId="0" borderId="0" xfId="95" applyFont="1" applyBorder="1" applyProtection="1"/>
    <xf numFmtId="10" fontId="29" fillId="0" borderId="0" xfId="95" applyFont="1" applyAlignment="1">
      <alignment horizontal="right"/>
    </xf>
    <xf numFmtId="10" fontId="24" fillId="0" borderId="0" xfId="95" quotePrefix="1" applyFont="1" applyAlignment="1" applyProtection="1">
      <alignment horizontal="left"/>
    </xf>
    <xf numFmtId="10" fontId="34" fillId="0" borderId="0" xfId="95" quotePrefix="1" applyFont="1" applyAlignment="1">
      <alignment horizontal="left"/>
    </xf>
    <xf numFmtId="10" fontId="24" fillId="0" borderId="0" xfId="95" applyFont="1"/>
    <xf numFmtId="1" fontId="49" fillId="0" borderId="0" xfId="95" applyNumberFormat="1" applyFont="1" applyAlignment="1" applyProtection="1">
      <alignment horizontal="center"/>
    </xf>
    <xf numFmtId="5" fontId="4" fillId="0" borderId="0" xfId="95" applyNumberFormat="1" applyProtection="1"/>
    <xf numFmtId="165" fontId="4" fillId="0" borderId="0" xfId="95" applyNumberFormat="1" applyProtection="1"/>
    <xf numFmtId="165" fontId="4" fillId="0" borderId="0" xfId="95" applyNumberFormat="1" applyAlignment="1" applyProtection="1">
      <alignment horizontal="right"/>
    </xf>
    <xf numFmtId="10" fontId="4" fillId="0" borderId="0" xfId="95" applyNumberFormat="1" applyProtection="1"/>
    <xf numFmtId="10" fontId="4" fillId="0" borderId="0" xfId="95" applyNumberFormat="1" applyAlignment="1" applyProtection="1">
      <alignment horizontal="right"/>
    </xf>
    <xf numFmtId="10" fontId="4" fillId="0" borderId="0" xfId="95" applyAlignment="1">
      <alignment horizontal="right"/>
    </xf>
    <xf numFmtId="37" fontId="24" fillId="0" borderId="0" xfId="91" applyFont="1" applyAlignment="1" applyProtection="1">
      <alignment horizontal="left"/>
    </xf>
    <xf numFmtId="37" fontId="24" fillId="0" borderId="10" xfId="92" applyNumberFormat="1" applyFont="1" applyBorder="1" applyAlignment="1" applyProtection="1">
      <alignment horizontal="center" wrapText="1"/>
    </xf>
    <xf numFmtId="175" fontId="34" fillId="0" borderId="12" xfId="88" applyNumberFormat="1" applyFont="1" applyFill="1" applyBorder="1" applyProtection="1"/>
    <xf numFmtId="10" fontId="24" fillId="20" borderId="23" xfId="92" applyNumberFormat="1" applyFont="1" applyFill="1" applyBorder="1" applyProtection="1"/>
    <xf numFmtId="10" fontId="27" fillId="19" borderId="0" xfId="95" applyFont="1" applyFill="1" applyBorder="1" applyProtection="1"/>
    <xf numFmtId="0" fontId="15" fillId="18" borderId="0" xfId="97" applyFont="1" applyFill="1"/>
    <xf numFmtId="0" fontId="2" fillId="0" borderId="0" xfId="97"/>
    <xf numFmtId="0" fontId="28" fillId="0" borderId="0" xfId="97" applyFont="1" applyAlignment="1">
      <alignment horizontal="center"/>
    </xf>
    <xf numFmtId="10" fontId="15" fillId="21" borderId="0" xfId="97" applyNumberFormat="1" applyFont="1" applyFill="1"/>
    <xf numFmtId="10" fontId="15" fillId="21" borderId="0" xfId="102" applyNumberFormat="1" applyFont="1" applyFill="1"/>
    <xf numFmtId="0" fontId="15" fillId="0" borderId="0" xfId="97" applyFont="1"/>
    <xf numFmtId="10" fontId="15" fillId="21" borderId="23" xfId="102" applyNumberFormat="1" applyFont="1" applyFill="1" applyBorder="1"/>
    <xf numFmtId="10" fontId="2" fillId="0" borderId="0" xfId="102" applyNumberFormat="1"/>
    <xf numFmtId="0" fontId="2" fillId="18" borderId="0" xfId="97" applyFill="1"/>
    <xf numFmtId="0" fontId="15" fillId="22" borderId="0" xfId="97" applyFont="1" applyFill="1"/>
    <xf numFmtId="185" fontId="42" fillId="0" borderId="0" xfId="88" applyNumberFormat="1" applyFont="1" applyFill="1" applyBorder="1" applyProtection="1"/>
    <xf numFmtId="187" fontId="45" fillId="0" borderId="0" xfId="96" applyNumberFormat="1" applyFont="1" applyFill="1"/>
    <xf numFmtId="0" fontId="71" fillId="0" borderId="0" xfId="96" applyFont="1" applyAlignment="1">
      <alignment horizontal="center"/>
    </xf>
    <xf numFmtId="15" fontId="45" fillId="0" borderId="0" xfId="96" applyNumberFormat="1" applyFont="1" applyFill="1" applyAlignment="1">
      <alignment horizontal="center"/>
    </xf>
    <xf numFmtId="15" fontId="71" fillId="23" borderId="0" xfId="96" applyNumberFormat="1" applyFont="1" applyFill="1" applyAlignment="1">
      <alignment horizontal="right"/>
    </xf>
    <xf numFmtId="5" fontId="45" fillId="23" borderId="0" xfId="89" applyNumberFormat="1" applyFont="1" applyFill="1" applyBorder="1" applyProtection="1"/>
    <xf numFmtId="5" fontId="16" fillId="0" borderId="0" xfId="89" applyNumberFormat="1" applyFont="1" applyBorder="1" applyProtection="1"/>
    <xf numFmtId="0" fontId="45" fillId="0" borderId="0" xfId="96" applyFont="1" applyAlignment="1">
      <alignment horizontal="left"/>
    </xf>
    <xf numFmtId="0" fontId="40" fillId="0" borderId="0" xfId="96" applyFont="1"/>
    <xf numFmtId="37" fontId="72" fillId="0" borderId="0" xfId="94" applyFont="1" applyBorder="1" applyAlignment="1">
      <alignment horizontal="centerContinuous" vertical="center" wrapText="1"/>
    </xf>
    <xf numFmtId="37" fontId="72" fillId="0" borderId="0" xfId="94" applyFont="1"/>
    <xf numFmtId="37" fontId="16" fillId="0" borderId="0" xfId="94"/>
    <xf numFmtId="37" fontId="16" fillId="0" borderId="0" xfId="94" applyFill="1"/>
    <xf numFmtId="10" fontId="73" fillId="0" borderId="30" xfId="95" applyFont="1" applyBorder="1" applyAlignment="1">
      <alignment horizontal="centerContinuous" vertical="center" wrapText="1"/>
    </xf>
    <xf numFmtId="10" fontId="31" fillId="0" borderId="26" xfId="95" applyFont="1" applyBorder="1" applyAlignment="1" applyProtection="1">
      <alignment horizontal="centerContinuous" vertical="center" wrapText="1"/>
    </xf>
    <xf numFmtId="10" fontId="31" fillId="0" borderId="31" xfId="95" applyFont="1" applyBorder="1" applyAlignment="1" applyProtection="1">
      <alignment horizontal="centerContinuous" vertical="center" wrapText="1"/>
    </xf>
    <xf numFmtId="10" fontId="31" fillId="0" borderId="32" xfId="95" applyFont="1" applyBorder="1" applyAlignment="1" applyProtection="1">
      <alignment horizontal="centerContinuous" vertical="center" wrapText="1"/>
    </xf>
    <xf numFmtId="0" fontId="74" fillId="0" borderId="0" xfId="96" quotePrefix="1" applyFont="1" applyFill="1" applyBorder="1" applyAlignment="1" applyProtection="1">
      <alignment horizontal="centerContinuous" vertical="center" wrapText="1"/>
    </xf>
    <xf numFmtId="37" fontId="75" fillId="0" borderId="0" xfId="91" applyFont="1" applyBorder="1" applyAlignment="1">
      <alignment horizontal="centerContinuous" vertical="center" wrapText="1"/>
    </xf>
    <xf numFmtId="37" fontId="16" fillId="0" borderId="0" xfId="91" applyFont="1" applyAlignment="1" applyProtection="1">
      <alignment horizontal="left"/>
    </xf>
    <xf numFmtId="37" fontId="76" fillId="0" borderId="0" xfId="0" applyFont="1" applyFill="1"/>
    <xf numFmtId="37" fontId="39"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2"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39" fillId="0" borderId="29" xfId="0" applyFont="1" applyBorder="1"/>
    <xf numFmtId="37" fontId="16" fillId="0" borderId="16" xfId="0" applyFont="1" applyBorder="1"/>
    <xf numFmtId="168" fontId="16" fillId="0" borderId="0" xfId="102" applyNumberFormat="1" applyFont="1" applyBorder="1"/>
    <xf numFmtId="37" fontId="18" fillId="0" borderId="16" xfId="0" applyFont="1" applyBorder="1"/>
    <xf numFmtId="168" fontId="16" fillId="0" borderId="26" xfId="102"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6" applyNumberFormat="1" applyFont="1" applyFill="1" applyBorder="1" applyAlignment="1">
      <alignment horizontal="center"/>
    </xf>
    <xf numFmtId="174" fontId="24" fillId="0" borderId="0" xfId="96"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2"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5" fontId="16" fillId="0" borderId="0" xfId="59" applyNumberFormat="1" applyFont="1" applyFill="1" applyBorder="1" applyAlignment="1">
      <alignment horizontal="center"/>
    </xf>
    <xf numFmtId="0" fontId="0" fillId="0" borderId="0" xfId="0" applyNumberFormat="1"/>
    <xf numFmtId="37" fontId="0" fillId="24" borderId="0" xfId="0" applyFill="1"/>
    <xf numFmtId="0" fontId="0" fillId="24" borderId="0" xfId="0" applyNumberFormat="1" applyFill="1"/>
    <xf numFmtId="10" fontId="27" fillId="0" borderId="0" xfId="95" applyNumberFormat="1" applyFont="1" applyFill="1" applyBorder="1" applyAlignment="1" applyProtection="1"/>
    <xf numFmtId="37" fontId="13" fillId="0" borderId="0" xfId="0" applyFont="1"/>
    <xf numFmtId="5" fontId="6" fillId="0" borderId="0" xfId="96" applyNumberFormat="1" applyFont="1"/>
    <xf numFmtId="7" fontId="4" fillId="0" borderId="0" xfId="95" applyNumberFormat="1"/>
    <xf numFmtId="7" fontId="4" fillId="0" borderId="10" xfId="95" applyNumberFormat="1" applyBorder="1" applyProtection="1"/>
    <xf numFmtId="10" fontId="79" fillId="0" borderId="0" xfId="95" applyNumberFormat="1" applyFont="1" applyFill="1" applyAlignment="1" applyProtection="1"/>
    <xf numFmtId="10" fontId="9" fillId="0" borderId="0" xfId="102" applyNumberFormat="1" applyFont="1"/>
    <xf numFmtId="5" fontId="45" fillId="0" borderId="0" xfId="59" applyNumberFormat="1" applyFont="1" applyFill="1"/>
    <xf numFmtId="175" fontId="34" fillId="0" borderId="10" xfId="88" applyNumberFormat="1" applyFont="1" applyFill="1" applyBorder="1" applyProtection="1"/>
    <xf numFmtId="37" fontId="80" fillId="0" borderId="0" xfId="0" applyFont="1"/>
    <xf numFmtId="37" fontId="0" fillId="0" borderId="0" xfId="0" applyNumberFormat="1" applyFont="1"/>
    <xf numFmtId="10" fontId="21" fillId="0" borderId="0" xfId="102" applyNumberFormat="1" applyFont="1" applyFill="1" applyBorder="1"/>
    <xf numFmtId="10" fontId="16" fillId="0" borderId="0" xfId="102" applyNumberFormat="1" applyFont="1"/>
    <xf numFmtId="10" fontId="16" fillId="0" borderId="0" xfId="102" applyNumberFormat="1" applyFont="1" applyFill="1"/>
    <xf numFmtId="186" fontId="44" fillId="0" borderId="0" xfId="95" applyNumberFormat="1" applyFont="1" applyBorder="1"/>
    <xf numFmtId="5" fontId="19" fillId="0" borderId="0" xfId="59" applyNumberFormat="1" applyFont="1" applyFill="1" applyBorder="1"/>
    <xf numFmtId="37" fontId="18" fillId="0" borderId="16" xfId="0" applyFont="1" applyFill="1" applyBorder="1"/>
    <xf numFmtId="10" fontId="25" fillId="0" borderId="0" xfId="103" applyNumberFormat="1" applyFont="1" applyFill="1"/>
    <xf numFmtId="37" fontId="24" fillId="0" borderId="0" xfId="87" applyNumberFormat="1" applyFont="1" applyFill="1" applyBorder="1"/>
    <xf numFmtId="0" fontId="16" fillId="0" borderId="0" xfId="96" applyNumberFormat="1" applyFont="1" applyFill="1"/>
    <xf numFmtId="5" fontId="18" fillId="0" borderId="0" xfId="96" applyNumberFormat="1" applyFont="1" applyFill="1" applyAlignment="1">
      <alignment horizontal="right"/>
    </xf>
    <xf numFmtId="37" fontId="16" fillId="0" borderId="0" xfId="0" applyFont="1" applyBorder="1" applyAlignment="1">
      <alignment horizontal="right"/>
    </xf>
    <xf numFmtId="170" fontId="16" fillId="0" borderId="25" xfId="59" applyNumberFormat="1" applyFont="1" applyBorder="1"/>
    <xf numFmtId="5" fontId="18" fillId="0" borderId="0" xfId="55" applyNumberFormat="1" applyFont="1" applyFill="1" applyBorder="1"/>
    <xf numFmtId="168" fontId="16" fillId="0" borderId="0" xfId="102" applyNumberFormat="1" applyFont="1" applyFill="1" applyBorder="1" applyAlignment="1">
      <alignment horizontal="center"/>
    </xf>
    <xf numFmtId="175" fontId="34" fillId="0" borderId="0" xfId="88" applyNumberFormat="1" applyFont="1" applyFill="1" applyBorder="1" applyProtection="1"/>
    <xf numFmtId="10" fontId="0" fillId="0" borderId="0" xfId="102" applyNumberFormat="1" applyFont="1"/>
    <xf numFmtId="10" fontId="22" fillId="0" borderId="0" xfId="102" applyNumberFormat="1" applyFont="1"/>
    <xf numFmtId="168" fontId="5" fillId="0" borderId="0" xfId="102" applyNumberFormat="1" applyFont="1"/>
    <xf numFmtId="37" fontId="25" fillId="0" borderId="0" xfId="92"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4" fontId="5" fillId="0" borderId="0" xfId="92" applyNumberFormat="1" applyFont="1"/>
    <xf numFmtId="10" fontId="9" fillId="0" borderId="0" xfId="102" applyNumberFormat="1" applyFont="1" applyFill="1"/>
    <xf numFmtId="10" fontId="2" fillId="0" borderId="0" xfId="95" applyNumberFormat="1" applyFont="1" applyFill="1" applyBorder="1" applyAlignment="1" applyProtection="1"/>
    <xf numFmtId="0" fontId="25" fillId="0" borderId="0" xfId="88" applyFont="1" applyFill="1" applyBorder="1" applyAlignment="1" applyProtection="1">
      <alignment horizontal="left" indent="1"/>
    </xf>
    <xf numFmtId="164" fontId="34" fillId="0" borderId="23" xfId="88" applyNumberFormat="1" applyFont="1" applyFill="1" applyBorder="1" applyProtection="1"/>
    <xf numFmtId="0" fontId="5" fillId="0" borderId="0" xfId="88" applyFont="1" applyFill="1" applyBorder="1"/>
    <xf numFmtId="37" fontId="25" fillId="0" borderId="0" xfId="92" applyNumberFormat="1" applyFont="1" applyFill="1" applyBorder="1" applyAlignment="1">
      <alignment horizontal="center"/>
    </xf>
    <xf numFmtId="37" fontId="25" fillId="0" borderId="0" xfId="92" applyNumberFormat="1" applyFont="1" applyFill="1" applyAlignment="1" applyProtection="1"/>
    <xf numFmtId="17" fontId="25" fillId="0" borderId="0" xfId="92" applyNumberFormat="1" applyFont="1" applyFill="1" applyProtection="1"/>
    <xf numFmtId="17" fontId="25" fillId="0" borderId="0" xfId="92" applyNumberFormat="1" applyFont="1" applyFill="1" applyAlignment="1" applyProtection="1">
      <alignment horizontal="center"/>
    </xf>
    <xf numFmtId="5" fontId="16" fillId="0" borderId="0" xfId="89" applyNumberFormat="1" applyFont="1" applyFill="1" applyBorder="1" applyProtection="1"/>
    <xf numFmtId="5" fontId="45" fillId="0" borderId="0" xfId="89" applyNumberFormat="1" applyFont="1" applyFill="1" applyBorder="1" applyProtection="1"/>
    <xf numFmtId="187" fontId="70" fillId="0" borderId="0" xfId="96" applyNumberFormat="1" applyFont="1" applyFill="1"/>
    <xf numFmtId="164" fontId="9" fillId="0" borderId="0" xfId="88" applyNumberFormat="1" applyFont="1" applyFill="1" applyBorder="1"/>
    <xf numFmtId="0" fontId="24" fillId="0" borderId="0" xfId="88" applyFont="1" applyAlignment="1" applyProtection="1">
      <alignment horizontal="right"/>
    </xf>
    <xf numFmtId="189" fontId="42"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6" applyNumberFormat="1" applyFont="1" applyFill="1"/>
    <xf numFmtId="0" fontId="10" fillId="0" borderId="0" xfId="96" applyFont="1" applyFill="1"/>
    <xf numFmtId="1" fontId="42" fillId="0" borderId="0" xfId="88" applyNumberFormat="1" applyFont="1" applyFill="1" applyBorder="1" applyProtection="1"/>
    <xf numFmtId="0" fontId="7" fillId="0" borderId="0" xfId="88" applyFont="1" applyBorder="1"/>
    <xf numFmtId="37" fontId="83" fillId="0" borderId="0" xfId="92" applyFont="1" applyFill="1" applyAlignment="1">
      <alignment horizontal="right"/>
    </xf>
    <xf numFmtId="166" fontId="85" fillId="0" borderId="0" xfId="92" applyNumberFormat="1" applyFont="1" applyFill="1" applyAlignment="1">
      <alignment horizontal="centerContinuous"/>
    </xf>
    <xf numFmtId="166" fontId="85" fillId="0" borderId="0" xfId="0" applyNumberFormat="1" applyFont="1" applyFill="1" applyAlignment="1">
      <alignment horizontal="centerContinuous"/>
    </xf>
    <xf numFmtId="166" fontId="85" fillId="0" borderId="0" xfId="92" applyNumberFormat="1" applyFont="1" applyFill="1" applyAlignment="1" applyProtection="1">
      <alignment horizontal="centerContinuous"/>
    </xf>
    <xf numFmtId="17" fontId="84" fillId="0" borderId="0" xfId="88" applyNumberFormat="1" applyFont="1" applyFill="1" applyAlignment="1" applyProtection="1">
      <alignment horizontal="center"/>
    </xf>
    <xf numFmtId="166" fontId="86" fillId="0" borderId="0" xfId="92" applyNumberFormat="1" applyFont="1" applyFill="1"/>
    <xf numFmtId="9" fontId="42" fillId="0" borderId="0" xfId="102" applyFont="1" applyFill="1" applyBorder="1" applyProtection="1"/>
    <xf numFmtId="168" fontId="0" fillId="0" borderId="0" xfId="102" applyNumberFormat="1" applyFont="1"/>
    <xf numFmtId="37" fontId="18" fillId="0" borderId="12" xfId="0" applyFont="1" applyFill="1" applyBorder="1"/>
    <xf numFmtId="181" fontId="18" fillId="0" borderId="0" xfId="0" applyNumberFormat="1" applyFont="1" applyBorder="1" applyAlignment="1">
      <alignment horizontal="left"/>
    </xf>
    <xf numFmtId="175" fontId="0" fillId="0" borderId="0" xfId="88" applyNumberFormat="1" applyFont="1" applyFill="1" applyProtection="1"/>
    <xf numFmtId="37" fontId="18" fillId="0" borderId="16" xfId="0" applyFont="1" applyFill="1" applyBorder="1" applyAlignment="1">
      <alignment horizontal="left"/>
    </xf>
    <xf numFmtId="37" fontId="18" fillId="0" borderId="0" xfId="0" applyFont="1" applyFill="1" applyBorder="1" applyAlignment="1">
      <alignment horizontal="left"/>
    </xf>
    <xf numFmtId="0" fontId="2" fillId="18" borderId="0" xfId="97" applyFont="1" applyFill="1"/>
    <xf numFmtId="0" fontId="2" fillId="0" borderId="0" xfId="97" applyFont="1"/>
    <xf numFmtId="10" fontId="2" fillId="0" borderId="0" xfId="102" applyNumberFormat="1" applyFont="1"/>
    <xf numFmtId="10" fontId="2" fillId="0" borderId="0" xfId="102" applyNumberFormat="1" applyFont="1" applyFill="1"/>
    <xf numFmtId="10" fontId="2" fillId="0" borderId="26" xfId="102" applyNumberFormat="1" applyFont="1" applyBorder="1"/>
    <xf numFmtId="9" fontId="2" fillId="0" borderId="26" xfId="102" applyFont="1" applyBorder="1"/>
    <xf numFmtId="10" fontId="2" fillId="0" borderId="0" xfId="97" applyNumberFormat="1" applyFont="1"/>
    <xf numFmtId="10" fontId="2" fillId="0" borderId="0" xfId="97" applyNumberFormat="1" applyFont="1" applyFill="1"/>
    <xf numFmtId="10" fontId="2" fillId="0" borderId="26" xfId="97" applyNumberFormat="1" applyFont="1" applyBorder="1"/>
    <xf numFmtId="0" fontId="2" fillId="22" borderId="0" xfId="97" applyFont="1" applyFill="1"/>
    <xf numFmtId="10" fontId="2" fillId="0" borderId="0" xfId="95" applyFont="1"/>
    <xf numFmtId="10" fontId="2" fillId="0" borderId="0" xfId="95" applyFont="1" applyAlignment="1">
      <alignment horizontal="center"/>
    </xf>
    <xf numFmtId="10" fontId="2" fillId="0" borderId="0" xfId="95" applyFont="1" applyAlignment="1" applyProtection="1">
      <alignment horizontal="left"/>
    </xf>
    <xf numFmtId="5" fontId="2" fillId="0" borderId="0" xfId="55" applyNumberFormat="1" applyFont="1" applyAlignment="1" applyProtection="1"/>
    <xf numFmtId="10" fontId="2" fillId="0" borderId="0" xfId="95" applyNumberFormat="1" applyFont="1" applyAlignment="1" applyProtection="1"/>
    <xf numFmtId="10" fontId="2" fillId="0" borderId="0" xfId="95" applyFont="1" applyFill="1" applyAlignment="1" applyProtection="1"/>
    <xf numFmtId="5" fontId="2" fillId="0" borderId="0" xfId="95" applyNumberFormat="1" applyFont="1" applyAlignment="1" applyProtection="1"/>
    <xf numFmtId="10" fontId="2" fillId="0" borderId="0" xfId="95" applyFont="1" applyAlignment="1" applyProtection="1"/>
    <xf numFmtId="10" fontId="2" fillId="0" borderId="0" xfId="95" applyFont="1" applyBorder="1" applyAlignment="1" applyProtection="1"/>
    <xf numFmtId="5" fontId="2" fillId="0" borderId="0" xfId="95" applyNumberFormat="1" applyFont="1" applyAlignment="1"/>
    <xf numFmtId="10" fontId="2" fillId="0" borderId="0" xfId="95" applyNumberFormat="1" applyFont="1" applyAlignment="1"/>
    <xf numFmtId="10" fontId="2" fillId="0" borderId="0" xfId="95" applyFont="1" applyFill="1" applyBorder="1" applyAlignment="1" applyProtection="1"/>
    <xf numFmtId="37" fontId="2" fillId="0" borderId="0" xfId="95" applyNumberFormat="1" applyFont="1" applyBorder="1" applyAlignment="1">
      <alignment horizontal="center"/>
    </xf>
    <xf numFmtId="165" fontId="2" fillId="0" borderId="0" xfId="95" applyNumberFormat="1" applyFont="1" applyBorder="1" applyAlignment="1" applyProtection="1"/>
    <xf numFmtId="188" fontId="2" fillId="0" borderId="0" xfId="55" applyNumberFormat="1" applyFont="1" applyBorder="1" applyAlignment="1"/>
    <xf numFmtId="10" fontId="2" fillId="0" borderId="0" xfId="95" applyFont="1" applyBorder="1"/>
    <xf numFmtId="10" fontId="2" fillId="0" borderId="0" xfId="95" applyNumberFormat="1" applyFont="1" applyBorder="1" applyAlignment="1" applyProtection="1"/>
    <xf numFmtId="38" fontId="2" fillId="0" borderId="0" xfId="95" applyNumberFormat="1" applyFont="1"/>
    <xf numFmtId="5" fontId="2" fillId="0" borderId="0" xfId="95" applyNumberFormat="1" applyFont="1"/>
    <xf numFmtId="37" fontId="2" fillId="0" borderId="0" xfId="91" applyFont="1"/>
    <xf numFmtId="37" fontId="2" fillId="0" borderId="0" xfId="91" applyFont="1" applyAlignment="1" applyProtection="1">
      <alignment horizontal="left"/>
    </xf>
    <xf numFmtId="37" fontId="2" fillId="0" borderId="0" xfId="91" applyFont="1" applyAlignment="1" applyProtection="1">
      <alignment horizontal="fill"/>
    </xf>
    <xf numFmtId="37" fontId="2" fillId="0" borderId="0" xfId="91" applyFont="1" applyAlignment="1" applyProtection="1">
      <alignment horizontal="center"/>
    </xf>
    <xf numFmtId="5" fontId="2" fillId="0" borderId="0" xfId="91" applyNumberFormat="1" applyFont="1" applyFill="1" applyProtection="1"/>
    <xf numFmtId="5" fontId="2" fillId="0" borderId="0" xfId="91" applyNumberFormat="1" applyFont="1" applyProtection="1"/>
    <xf numFmtId="10" fontId="2" fillId="0" borderId="0" xfId="91" applyNumberFormat="1" applyFont="1" applyProtection="1"/>
    <xf numFmtId="37" fontId="2" fillId="0" borderId="0" xfId="91" applyNumberFormat="1" applyFont="1" applyProtection="1"/>
    <xf numFmtId="37" fontId="2" fillId="0" borderId="0" xfId="91" applyFont="1" applyAlignment="1">
      <alignment horizontal="left" indent="1"/>
    </xf>
    <xf numFmtId="5" fontId="2" fillId="0" borderId="26" xfId="91" applyNumberFormat="1" applyFont="1" applyBorder="1" applyProtection="1"/>
    <xf numFmtId="5" fontId="2" fillId="0" borderId="0" xfId="91" applyNumberFormat="1" applyFont="1"/>
    <xf numFmtId="10" fontId="2" fillId="0" borderId="0" xfId="91" applyNumberFormat="1" applyFont="1"/>
    <xf numFmtId="37" fontId="25" fillId="0" borderId="0" xfId="0" applyFont="1" applyFill="1" applyBorder="1" applyAlignment="1">
      <alignment horizontal="center"/>
    </xf>
    <xf numFmtId="37" fontId="16" fillId="0" borderId="0" xfId="0" applyNumberFormat="1" applyFont="1" applyBorder="1"/>
    <xf numFmtId="37" fontId="2" fillId="0" borderId="0" xfId="0" applyFont="1"/>
    <xf numFmtId="10" fontId="2" fillId="0" borderId="0" xfId="95" applyFont="1" applyAlignment="1" applyProtection="1">
      <alignment horizontal="right"/>
    </xf>
    <xf numFmtId="10" fontId="2" fillId="0" borderId="0" xfId="95" applyFont="1" applyAlignment="1" applyProtection="1">
      <alignment horizontal="left" indent="1"/>
    </xf>
    <xf numFmtId="10" fontId="2" fillId="19" borderId="12" xfId="95" applyFont="1" applyFill="1" applyBorder="1" applyProtection="1"/>
    <xf numFmtId="37" fontId="2" fillId="0" borderId="0" xfId="95" applyNumberFormat="1" applyFont="1"/>
    <xf numFmtId="10" fontId="2" fillId="0" borderId="0" xfId="95" applyFont="1" applyAlignment="1">
      <alignment horizontal="right"/>
    </xf>
    <xf numFmtId="10" fontId="2" fillId="0" borderId="10" xfId="95" applyFont="1" applyBorder="1" applyAlignment="1">
      <alignment horizontal="centerContinuous" vertical="center" wrapText="1"/>
    </xf>
    <xf numFmtId="10" fontId="2" fillId="0" borderId="33" xfId="95" applyFont="1" applyBorder="1" applyAlignment="1">
      <alignment horizontal="centerContinuous" vertical="center" wrapText="1"/>
    </xf>
    <xf numFmtId="10" fontId="2" fillId="0" borderId="0" xfId="102" applyNumberFormat="1" applyFont="1" applyAlignment="1" applyProtection="1"/>
    <xf numFmtId="10" fontId="2" fillId="0" borderId="0" xfId="95" applyNumberFormat="1" applyFont="1" applyFill="1" applyAlignment="1" applyProtection="1"/>
    <xf numFmtId="10" fontId="2" fillId="0" borderId="0" xfId="95" applyFont="1" applyAlignment="1"/>
    <xf numFmtId="10" fontId="2" fillId="0" borderId="0" xfId="95" applyFont="1" applyBorder="1" applyAlignment="1" applyProtection="1">
      <alignment horizontal="center"/>
    </xf>
    <xf numFmtId="10" fontId="2" fillId="0" borderId="0" xfId="95" applyFont="1" applyBorder="1" applyAlignment="1"/>
    <xf numFmtId="37" fontId="25" fillId="0" borderId="0" xfId="0" applyFont="1" applyFill="1" applyAlignment="1">
      <alignment horizontal="center"/>
    </xf>
    <xf numFmtId="0" fontId="24" fillId="0" borderId="0" xfId="88" applyFont="1" applyAlignment="1" applyProtection="1">
      <alignment horizontal="center"/>
    </xf>
    <xf numFmtId="0" fontId="41"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39" fillId="0" borderId="29" xfId="0" applyFont="1" applyFill="1" applyBorder="1" applyAlignment="1">
      <alignment horizontal="left"/>
    </xf>
    <xf numFmtId="37" fontId="39" fillId="0" borderId="15" xfId="0" applyFont="1" applyFill="1" applyBorder="1" applyAlignment="1">
      <alignment horizontal="left"/>
    </xf>
    <xf numFmtId="181" fontId="18" fillId="0" borderId="0" xfId="96" applyNumberFormat="1" applyFont="1" applyFill="1" applyAlignment="1">
      <alignment horizontal="left"/>
    </xf>
  </cellXfs>
  <cellStyles count="11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Comma 3" xfId="57" xr:uid="{00000000-0005-0000-0000-000038000000}"/>
    <cellStyle name="Comma 4" xfId="112" xr:uid="{00000000-0005-0000-0000-000039000000}"/>
    <cellStyle name="Comma0" xfId="58" xr:uid="{00000000-0005-0000-0000-00003A000000}"/>
    <cellStyle name="Currency" xfId="59" builtinId="4"/>
    <cellStyle name="Currency 2" xfId="60" xr:uid="{00000000-0005-0000-0000-00003C000000}"/>
    <cellStyle name="Currency 3" xfId="61" xr:uid="{00000000-0005-0000-0000-00003D000000}"/>
    <cellStyle name="Currency 4" xfId="113" xr:uid="{00000000-0005-0000-0000-00003E000000}"/>
    <cellStyle name="Currency0" xfId="62" xr:uid="{00000000-0005-0000-0000-00003F000000}"/>
    <cellStyle name="Date" xfId="63" xr:uid="{00000000-0005-0000-0000-000040000000}"/>
    <cellStyle name="Explanatory Text" xfId="64" builtinId="53" customBuiltin="1"/>
    <cellStyle name="Explanatory Text 2" xfId="65" xr:uid="{00000000-0005-0000-0000-000042000000}"/>
    <cellStyle name="Good" xfId="66" builtinId="26" customBuiltin="1"/>
    <cellStyle name="Good 2" xfId="67" xr:uid="{00000000-0005-0000-0000-000044000000}"/>
    <cellStyle name="Heading 1" xfId="68" builtinId="16" customBuiltin="1"/>
    <cellStyle name="Heading 1 2" xfId="69" xr:uid="{00000000-0005-0000-0000-000046000000}"/>
    <cellStyle name="Heading 2" xfId="70" builtinId="17" customBuiltin="1"/>
    <cellStyle name="Heading 2 2" xfId="71" xr:uid="{00000000-0005-0000-0000-000048000000}"/>
    <cellStyle name="Heading 3" xfId="72" builtinId="18" customBuiltin="1"/>
    <cellStyle name="Heading 3 2" xfId="73" xr:uid="{00000000-0005-0000-0000-00004A000000}"/>
    <cellStyle name="Heading 4" xfId="74" builtinId="19" customBuiltin="1"/>
    <cellStyle name="Heading 4 2" xfId="75" xr:uid="{00000000-0005-0000-0000-00004C000000}"/>
    <cellStyle name="Input" xfId="76" builtinId="20" customBuiltin="1"/>
    <cellStyle name="Input 2" xfId="77" xr:uid="{00000000-0005-0000-0000-00004E000000}"/>
    <cellStyle name="Linked Cell" xfId="78" builtinId="24" customBuiltin="1"/>
    <cellStyle name="Linked Cell 2" xfId="79" xr:uid="{00000000-0005-0000-0000-000050000000}"/>
    <cellStyle name="Lisa" xfId="80" xr:uid="{00000000-0005-0000-0000-000051000000}"/>
    <cellStyle name="Neutral" xfId="81" builtinId="28" customBuiltin="1"/>
    <cellStyle name="Neutral 2" xfId="82" xr:uid="{00000000-0005-0000-0000-000053000000}"/>
    <cellStyle name="Normal" xfId="0" builtinId="0"/>
    <cellStyle name="Normal 2" xfId="83" xr:uid="{00000000-0005-0000-0000-000055000000}"/>
    <cellStyle name="Normal 2 2" xfId="84" xr:uid="{00000000-0005-0000-0000-000056000000}"/>
    <cellStyle name="Normal 2 2 2" xfId="85" xr:uid="{00000000-0005-0000-0000-000057000000}"/>
    <cellStyle name="Normal 2 3" xfId="86" xr:uid="{00000000-0005-0000-0000-000058000000}"/>
    <cellStyle name="Normal 3" xfId="87" xr:uid="{00000000-0005-0000-0000-000059000000}"/>
    <cellStyle name="Normal 4" xfId="111" xr:uid="{00000000-0005-0000-0000-00005A000000}"/>
    <cellStyle name="Normal_AMACAPST" xfId="88" xr:uid="{00000000-0005-0000-0000-00005B000000}"/>
    <cellStyle name="Normal_AMORTONR" xfId="89" xr:uid="{00000000-0005-0000-0000-00005C000000}"/>
    <cellStyle name="Normal_COC DEC 00 Company" xfId="90" xr:uid="{00000000-0005-0000-0000-00005D000000}"/>
    <cellStyle name="Normal_COSTOF" xfId="91" xr:uid="{00000000-0005-0000-0000-00005E000000}"/>
    <cellStyle name="Normal_COSTOFD" xfId="92" xr:uid="{00000000-0005-0000-0000-00005F000000}"/>
    <cellStyle name="Normal_COSTOFPR" xfId="93" xr:uid="{00000000-0005-0000-0000-000060000000}"/>
    <cellStyle name="Normal_DEG-5C WACC Rate Yr beginning Jun-11 DRAFT2" xfId="94" xr:uid="{00000000-0005-0000-0000-000061000000}"/>
    <cellStyle name="Normal_RATEOFRE" xfId="95" xr:uid="{00000000-0005-0000-0000-000062000000}"/>
    <cellStyle name="Normal_SCHEDULE" xfId="96" xr:uid="{00000000-0005-0000-0000-000063000000}"/>
    <cellStyle name="Normal_WACC" xfId="97" xr:uid="{00000000-0005-0000-0000-000064000000}"/>
    <cellStyle name="Note" xfId="98" builtinId="10" customBuiltin="1"/>
    <cellStyle name="Note 2" xfId="99" xr:uid="{00000000-0005-0000-0000-000066000000}"/>
    <cellStyle name="Output" xfId="100" builtinId="21" customBuiltin="1"/>
    <cellStyle name="Output 2" xfId="101" xr:uid="{00000000-0005-0000-0000-000068000000}"/>
    <cellStyle name="Percent" xfId="102" builtinId="5"/>
    <cellStyle name="Percent 2" xfId="103" xr:uid="{00000000-0005-0000-0000-00006A000000}"/>
    <cellStyle name="Percent 3" xfId="104" xr:uid="{00000000-0005-0000-0000-00006B000000}"/>
    <cellStyle name="Percent 4" xfId="114" xr:uid="{00000000-0005-0000-0000-00006C000000}"/>
    <cellStyle name="Title" xfId="105" builtinId="15" customBuiltin="1"/>
    <cellStyle name="Title 2" xfId="106" xr:uid="{00000000-0005-0000-0000-00006E000000}"/>
    <cellStyle name="Total" xfId="107" builtinId="25" customBuiltin="1"/>
    <cellStyle name="Total 2" xfId="108" xr:uid="{00000000-0005-0000-0000-000070000000}"/>
    <cellStyle name="Warning Text" xfId="109" builtinId="11" customBuiltin="1"/>
    <cellStyle name="Warning Text 2" xfId="110" xr:uid="{00000000-0005-0000-0000-00007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a:extLst>
            <a:ext uri="{FF2B5EF4-FFF2-40B4-BE49-F238E27FC236}">
              <a16:creationId xmlns:a16="http://schemas.microsoft.com/office/drawing/2014/main" id="{00000000-0008-0000-0A00-000001F8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PAYMENT%20PROCESSING\Wong%20Matthew\Reports\DailyPaymentTotals_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3"/>
  <sheetViews>
    <sheetView workbookViewId="0">
      <selection activeCell="F26" sqref="F26"/>
    </sheetView>
  </sheetViews>
  <sheetFormatPr defaultColWidth="10.7109375" defaultRowHeight="13.2"/>
  <cols>
    <col min="1" max="1" width="27.42578125" style="419" customWidth="1"/>
    <col min="2" max="2" width="12.85546875" style="419" customWidth="1"/>
    <col min="3" max="3" width="12.140625" style="419" customWidth="1"/>
    <col min="4" max="4" width="14.28515625" style="419" bestFit="1" customWidth="1"/>
    <col min="5" max="16384" width="10.7109375" style="419"/>
  </cols>
  <sheetData>
    <row r="1" spans="1:10">
      <c r="A1" s="418" t="s">
        <v>0</v>
      </c>
      <c r="B1" s="558"/>
      <c r="C1" s="558"/>
      <c r="D1" s="558"/>
      <c r="E1" s="558"/>
      <c r="F1" s="558"/>
      <c r="G1" s="558"/>
      <c r="H1" s="558"/>
      <c r="I1" s="558"/>
      <c r="J1" s="558"/>
    </row>
    <row r="2" spans="1:10">
      <c r="A2" s="559" t="s">
        <v>1</v>
      </c>
      <c r="B2" s="559"/>
      <c r="C2" s="559"/>
      <c r="D2" s="559"/>
      <c r="E2" s="559"/>
      <c r="F2" s="559"/>
      <c r="G2" s="559"/>
      <c r="H2" s="559"/>
      <c r="I2" s="559"/>
      <c r="J2" s="559"/>
    </row>
    <row r="3" spans="1:10">
      <c r="A3" s="559"/>
      <c r="B3" s="560"/>
      <c r="C3" s="560"/>
      <c r="D3" s="559"/>
      <c r="E3" s="559"/>
      <c r="F3" s="559"/>
      <c r="G3" s="559"/>
      <c r="H3" s="559"/>
      <c r="I3" s="559"/>
      <c r="J3" s="559"/>
    </row>
    <row r="4" spans="1:10">
      <c r="A4" s="559"/>
      <c r="B4" s="420" t="s">
        <v>2</v>
      </c>
      <c r="C4" s="420" t="s">
        <v>3</v>
      </c>
      <c r="D4" s="420" t="s">
        <v>4</v>
      </c>
      <c r="E4" s="559"/>
      <c r="F4" s="559"/>
      <c r="G4" s="559"/>
      <c r="H4" s="559"/>
      <c r="I4" s="559"/>
      <c r="J4" s="559"/>
    </row>
    <row r="5" spans="1:10">
      <c r="A5" s="559" t="s">
        <v>5</v>
      </c>
      <c r="B5" s="560" t="e">
        <f>#REF!</f>
        <v>#REF!</v>
      </c>
      <c r="C5" s="560" t="e">
        <f>#REF!</f>
        <v>#REF!</v>
      </c>
      <c r="D5" s="560" t="e">
        <f>ROUND(B5*C5,5)</f>
        <v>#REF!</v>
      </c>
      <c r="E5" s="559"/>
      <c r="F5" s="560" t="e">
        <f>B5/G9*C5</f>
        <v>#REF!</v>
      </c>
      <c r="G5" s="559"/>
      <c r="H5" s="559"/>
      <c r="I5" s="559"/>
      <c r="J5" s="559"/>
    </row>
    <row r="6" spans="1:10">
      <c r="A6" s="559" t="s">
        <v>6</v>
      </c>
      <c r="B6" s="561" t="e">
        <f>#REF!</f>
        <v>#REF!</v>
      </c>
      <c r="C6" s="561" t="e">
        <f>#REF!</f>
        <v>#REF!</v>
      </c>
      <c r="D6" s="560" t="e">
        <f>ROUND(B6*C6,5)</f>
        <v>#REF!</v>
      </c>
      <c r="E6" s="559"/>
      <c r="F6" s="560" t="e">
        <f>B6/G9*C6</f>
        <v>#REF!</v>
      </c>
      <c r="G6" s="559"/>
      <c r="H6" s="559"/>
      <c r="I6" s="559"/>
      <c r="J6" s="559"/>
    </row>
    <row r="7" spans="1:10">
      <c r="A7" s="559" t="s">
        <v>7</v>
      </c>
      <c r="B7" s="560">
        <v>0</v>
      </c>
      <c r="C7" s="560">
        <v>0</v>
      </c>
      <c r="D7" s="560">
        <f>ROUND(B7*C7,5)</f>
        <v>0</v>
      </c>
      <c r="E7" s="559"/>
      <c r="F7" s="559"/>
      <c r="G7" s="421" t="e">
        <f>SUM(F5:F6)</f>
        <v>#REF!</v>
      </c>
      <c r="H7" s="559" t="s">
        <v>8</v>
      </c>
      <c r="I7" s="559"/>
      <c r="J7" s="559"/>
    </row>
    <row r="8" spans="1:10" ht="13.8" thickBot="1">
      <c r="A8" s="559" t="s">
        <v>9</v>
      </c>
      <c r="B8" s="560" t="e">
        <f>#REF!</f>
        <v>#REF!</v>
      </c>
      <c r="C8" s="560" t="e">
        <f>#REF!</f>
        <v>#REF!</v>
      </c>
      <c r="D8" s="560" t="e">
        <f>ROUND(B8*C8,5)</f>
        <v>#REF!</v>
      </c>
      <c r="E8" s="559"/>
      <c r="F8" s="559"/>
      <c r="G8" s="422" t="e">
        <f>G7*0.65</f>
        <v>#REF!</v>
      </c>
      <c r="H8" s="559" t="s">
        <v>10</v>
      </c>
      <c r="I8" s="559"/>
      <c r="J8" s="559"/>
    </row>
    <row r="9" spans="1:10" ht="13.8" thickBot="1">
      <c r="A9" s="423" t="s">
        <v>11</v>
      </c>
      <c r="B9" s="562" t="e">
        <f>SUM(B5:B8)</f>
        <v>#REF!</v>
      </c>
      <c r="C9" s="563"/>
      <c r="D9" s="424" t="e">
        <f>SUM(D5:D8)</f>
        <v>#REF!</v>
      </c>
      <c r="E9" s="559"/>
      <c r="F9" s="559"/>
      <c r="G9" s="564" t="e">
        <f>SUM(B5:B6)</f>
        <v>#REF!</v>
      </c>
      <c r="H9" s="559" t="s">
        <v>12</v>
      </c>
      <c r="I9" s="559"/>
      <c r="J9" s="559"/>
    </row>
    <row r="10" spans="1:10" ht="13.8" thickBot="1">
      <c r="A10" s="559"/>
      <c r="B10" s="559"/>
      <c r="C10" s="559"/>
      <c r="D10" s="559"/>
      <c r="E10" s="559"/>
      <c r="F10" s="559"/>
      <c r="I10" s="559"/>
      <c r="J10" s="559"/>
    </row>
    <row r="11" spans="1:10" ht="13.8" thickBot="1">
      <c r="A11" s="423" t="s">
        <v>13</v>
      </c>
      <c r="B11" s="559"/>
      <c r="C11" s="559"/>
      <c r="D11" s="424" t="e">
        <f>(D6+D5)*0.65+D7+D8</f>
        <v>#REF!</v>
      </c>
      <c r="E11" s="559"/>
      <c r="F11" s="559"/>
      <c r="G11" s="559"/>
      <c r="H11" s="423" t="s">
        <v>14</v>
      </c>
      <c r="I11" s="559"/>
      <c r="J11" s="559"/>
    </row>
    <row r="12" spans="1:10">
      <c r="A12" s="559"/>
      <c r="B12" s="559"/>
      <c r="C12" s="559"/>
      <c r="D12" s="559"/>
      <c r="E12" s="559"/>
      <c r="G12" s="425" t="e">
        <f>G9*G8</f>
        <v>#REF!</v>
      </c>
      <c r="H12" s="419" t="s">
        <v>15</v>
      </c>
      <c r="I12" s="559"/>
      <c r="J12" s="559"/>
    </row>
    <row r="13" spans="1:10">
      <c r="A13" s="559"/>
      <c r="B13" s="559"/>
      <c r="C13" s="559"/>
      <c r="D13" s="559"/>
      <c r="E13" s="559"/>
      <c r="F13" s="559"/>
      <c r="G13" s="564">
        <f>D7</f>
        <v>0</v>
      </c>
      <c r="H13" s="419" t="s">
        <v>16</v>
      </c>
      <c r="I13" s="559"/>
      <c r="J13" s="559"/>
    </row>
    <row r="14" spans="1:10">
      <c r="A14" s="559" t="s">
        <v>17</v>
      </c>
      <c r="B14" s="559"/>
      <c r="C14" s="559"/>
      <c r="D14" s="565" t="e">
        <f>D11/0.65</f>
        <v>#REF!</v>
      </c>
      <c r="E14" s="559"/>
      <c r="F14" s="559"/>
      <c r="G14" s="564" t="e">
        <f>D8</f>
        <v>#REF!</v>
      </c>
      <c r="H14" s="419" t="s">
        <v>18</v>
      </c>
      <c r="I14" s="559"/>
      <c r="J14" s="559"/>
    </row>
    <row r="15" spans="1:10">
      <c r="A15" s="559"/>
      <c r="B15" s="559"/>
      <c r="C15" s="559"/>
      <c r="D15" s="559"/>
      <c r="E15" s="559"/>
      <c r="F15" s="560"/>
      <c r="G15" s="566" t="e">
        <f>SUM(G12:G14)</f>
        <v>#REF!</v>
      </c>
      <c r="H15" s="559"/>
      <c r="I15" s="559"/>
      <c r="J15" s="559"/>
    </row>
    <row r="17" spans="1:10">
      <c r="A17" s="418" t="s">
        <v>19</v>
      </c>
      <c r="B17" s="558"/>
      <c r="C17" s="558"/>
      <c r="D17" s="558"/>
      <c r="E17" s="558"/>
      <c r="F17" s="558"/>
      <c r="G17" s="558"/>
      <c r="H17" s="558"/>
      <c r="I17" s="558"/>
      <c r="J17" s="558"/>
    </row>
    <row r="18" spans="1:10">
      <c r="A18" s="559" t="s">
        <v>1</v>
      </c>
      <c r="B18" s="559"/>
      <c r="C18" s="559"/>
      <c r="D18" s="559"/>
      <c r="E18" s="559"/>
      <c r="F18" s="559"/>
      <c r="G18" s="559"/>
      <c r="H18" s="559"/>
      <c r="I18" s="559"/>
      <c r="J18" s="559"/>
    </row>
    <row r="19" spans="1:10">
      <c r="A19" s="559"/>
      <c r="B19" s="560"/>
      <c r="C19" s="560"/>
      <c r="D19" s="559"/>
      <c r="E19" s="559"/>
      <c r="F19" s="559"/>
      <c r="G19" s="559"/>
      <c r="H19" s="559"/>
      <c r="I19" s="559"/>
      <c r="J19" s="559"/>
    </row>
    <row r="20" spans="1:10">
      <c r="A20" s="559"/>
      <c r="B20" s="420" t="s">
        <v>2</v>
      </c>
      <c r="C20" s="420" t="s">
        <v>3</v>
      </c>
      <c r="D20" s="420" t="s">
        <v>4</v>
      </c>
      <c r="E20" s="559"/>
      <c r="F20" s="559"/>
      <c r="G20" s="559"/>
      <c r="H20" s="559"/>
      <c r="I20" s="559"/>
      <c r="J20" s="559"/>
    </row>
    <row r="21" spans="1:10">
      <c r="A21" s="559" t="s">
        <v>5</v>
      </c>
      <c r="B21" s="560">
        <v>1.26E-2</v>
      </c>
      <c r="C21" s="560">
        <v>6.4899999999999999E-2</v>
      </c>
      <c r="D21" s="560">
        <f>ROUND(B21*C21,5)</f>
        <v>8.1999999999999998E-4</v>
      </c>
      <c r="E21" s="559"/>
      <c r="F21" s="560">
        <f>B21/G25*C21</f>
        <v>1.5817021276595747E-3</v>
      </c>
      <c r="G21" s="559"/>
      <c r="H21" s="559"/>
      <c r="I21" s="559"/>
      <c r="J21" s="559"/>
    </row>
    <row r="22" spans="1:10">
      <c r="A22" s="559" t="s">
        <v>6</v>
      </c>
      <c r="B22" s="561">
        <v>0.50439999999999996</v>
      </c>
      <c r="C22" s="561">
        <v>6.2199999999999998E-2</v>
      </c>
      <c r="D22" s="560">
        <f>ROUND(B22*C22,5)</f>
        <v>3.1370000000000002E-2</v>
      </c>
      <c r="E22" s="559"/>
      <c r="F22" s="560">
        <f>B22/G25*C22</f>
        <v>6.0684100580270794E-2</v>
      </c>
      <c r="G22" s="559"/>
      <c r="H22" s="559"/>
      <c r="I22" s="559"/>
      <c r="J22" s="559"/>
    </row>
    <row r="23" spans="1:10">
      <c r="A23" s="559" t="s">
        <v>7</v>
      </c>
      <c r="B23" s="560">
        <v>0</v>
      </c>
      <c r="C23" s="560">
        <v>0</v>
      </c>
      <c r="D23" s="560">
        <f>ROUND(B23*C23,5)</f>
        <v>0</v>
      </c>
      <c r="E23" s="559"/>
      <c r="F23" s="559"/>
      <c r="G23" s="421">
        <f>SUM(F21:F22)</f>
        <v>6.2265802707930369E-2</v>
      </c>
      <c r="H23" s="559" t="s">
        <v>8</v>
      </c>
      <c r="I23" s="559"/>
      <c r="J23" s="559"/>
    </row>
    <row r="24" spans="1:10" ht="13.8" thickBot="1">
      <c r="A24" s="559" t="s">
        <v>9</v>
      </c>
      <c r="B24" s="560">
        <v>0.48299999999999998</v>
      </c>
      <c r="C24" s="560" t="e">
        <f>#REF!</f>
        <v>#REF!</v>
      </c>
      <c r="D24" s="560" t="e">
        <f>ROUND(B24*C24,5)</f>
        <v>#REF!</v>
      </c>
      <c r="E24" s="559"/>
      <c r="F24" s="559"/>
      <c r="G24" s="422">
        <f>G23*0.65</f>
        <v>4.0472771760154742E-2</v>
      </c>
      <c r="H24" s="559" t="s">
        <v>10</v>
      </c>
      <c r="I24" s="559"/>
      <c r="J24" s="559"/>
    </row>
    <row r="25" spans="1:10" ht="13.8" thickBot="1">
      <c r="A25" s="423" t="s">
        <v>11</v>
      </c>
      <c r="B25" s="562">
        <f>SUM(B21:B24)</f>
        <v>0.99999999999999989</v>
      </c>
      <c r="C25" s="563"/>
      <c r="D25" s="424" t="e">
        <f>SUM(D21:D24)</f>
        <v>#REF!</v>
      </c>
      <c r="E25" s="559"/>
      <c r="F25" s="559"/>
      <c r="G25" s="564">
        <f>SUM(B21:B22)</f>
        <v>0.5169999999999999</v>
      </c>
      <c r="H25" s="559" t="s">
        <v>12</v>
      </c>
      <c r="I25" s="559"/>
      <c r="J25" s="559"/>
    </row>
    <row r="26" spans="1:10" ht="13.8" thickBot="1">
      <c r="A26" s="559"/>
      <c r="B26" s="559"/>
      <c r="C26" s="559"/>
      <c r="D26" s="559"/>
      <c r="E26" s="559"/>
      <c r="F26" s="559"/>
      <c r="I26" s="559"/>
      <c r="J26" s="559"/>
    </row>
    <row r="27" spans="1:10" ht="13.8" thickBot="1">
      <c r="A27" s="423" t="s">
        <v>13</v>
      </c>
      <c r="B27" s="559"/>
      <c r="C27" s="559"/>
      <c r="D27" s="424" t="e">
        <f>(D22+D21)*0.65+D23+D24</f>
        <v>#REF!</v>
      </c>
      <c r="E27" s="559"/>
      <c r="F27" s="559"/>
      <c r="G27" s="559"/>
      <c r="H27" s="423" t="s">
        <v>14</v>
      </c>
      <c r="I27" s="559"/>
      <c r="J27" s="559"/>
    </row>
    <row r="28" spans="1:10">
      <c r="A28" s="559"/>
      <c r="B28" s="559"/>
      <c r="C28" s="559"/>
      <c r="D28" s="559"/>
      <c r="E28" s="559"/>
      <c r="G28" s="425">
        <f>G25*G24</f>
        <v>2.0924422999999998E-2</v>
      </c>
      <c r="H28" s="419" t="s">
        <v>15</v>
      </c>
      <c r="I28" s="559"/>
      <c r="J28" s="559"/>
    </row>
    <row r="29" spans="1:10">
      <c r="A29" s="559"/>
      <c r="B29" s="559"/>
      <c r="C29" s="559"/>
      <c r="D29" s="559"/>
      <c r="E29" s="559"/>
      <c r="F29" s="559"/>
      <c r="G29" s="564">
        <f>D23</f>
        <v>0</v>
      </c>
      <c r="H29" s="419" t="s">
        <v>16</v>
      </c>
      <c r="I29" s="559"/>
      <c r="J29" s="559"/>
    </row>
    <row r="30" spans="1:10">
      <c r="A30" s="559" t="s">
        <v>17</v>
      </c>
      <c r="B30" s="559"/>
      <c r="C30" s="559"/>
      <c r="D30" s="565" t="e">
        <f>D27/0.65</f>
        <v>#REF!</v>
      </c>
      <c r="E30" s="559"/>
      <c r="F30" s="559"/>
      <c r="G30" s="564" t="e">
        <f>D24</f>
        <v>#REF!</v>
      </c>
      <c r="H30" s="419" t="s">
        <v>18</v>
      </c>
      <c r="I30" s="559"/>
      <c r="J30" s="559"/>
    </row>
    <row r="31" spans="1:10">
      <c r="A31" s="559"/>
      <c r="B31" s="559"/>
      <c r="C31" s="559"/>
      <c r="D31" s="559"/>
      <c r="E31" s="559"/>
      <c r="F31" s="560"/>
      <c r="G31" s="566" t="e">
        <f>SUM(G28:G30)</f>
        <v>#REF!</v>
      </c>
      <c r="H31" s="559"/>
      <c r="I31" s="559"/>
      <c r="J31" s="559"/>
    </row>
    <row r="32" spans="1:10">
      <c r="A32" s="559"/>
      <c r="B32" s="559"/>
      <c r="C32" s="559"/>
      <c r="D32" s="559"/>
      <c r="E32" s="559"/>
      <c r="F32" s="559"/>
      <c r="G32" s="559"/>
      <c r="H32" s="559"/>
      <c r="I32" s="559"/>
      <c r="J32" s="559"/>
    </row>
    <row r="33" spans="1:10">
      <c r="A33" s="418" t="s">
        <v>20</v>
      </c>
      <c r="B33" s="558"/>
      <c r="C33" s="558"/>
      <c r="D33" s="558"/>
      <c r="E33" s="558"/>
      <c r="F33" s="558"/>
      <c r="G33" s="558"/>
      <c r="H33" s="558"/>
      <c r="I33" s="558"/>
      <c r="J33" s="558"/>
    </row>
    <row r="34" spans="1:10">
      <c r="A34" s="559" t="s">
        <v>1</v>
      </c>
      <c r="B34" s="559"/>
      <c r="C34" s="559"/>
      <c r="D34" s="559"/>
      <c r="E34" s="559"/>
      <c r="F34" s="559"/>
      <c r="G34" s="559"/>
      <c r="H34" s="559"/>
      <c r="I34" s="559"/>
      <c r="J34" s="559"/>
    </row>
    <row r="35" spans="1:10">
      <c r="A35" s="559"/>
      <c r="B35" s="560"/>
      <c r="C35" s="560"/>
      <c r="D35" s="559"/>
      <c r="E35" s="559"/>
      <c r="F35" s="559"/>
      <c r="G35" s="559"/>
      <c r="H35" s="559"/>
      <c r="I35" s="559"/>
      <c r="J35" s="559"/>
    </row>
    <row r="36" spans="1:10">
      <c r="A36" s="559"/>
      <c r="B36" s="420" t="s">
        <v>2</v>
      </c>
      <c r="C36" s="420" t="s">
        <v>3</v>
      </c>
      <c r="D36" s="420" t="s">
        <v>4</v>
      </c>
      <c r="E36" s="559"/>
      <c r="F36" s="559"/>
      <c r="G36" s="559"/>
      <c r="H36" s="559"/>
      <c r="I36" s="559"/>
      <c r="J36" s="559"/>
    </row>
    <row r="37" spans="1:10">
      <c r="A37" s="559" t="s">
        <v>5</v>
      </c>
      <c r="B37" s="560">
        <v>2.23E-2</v>
      </c>
      <c r="C37" s="560">
        <v>4.3900000000000002E-2</v>
      </c>
      <c r="D37" s="560">
        <f>ROUND(B37*C37,5)</f>
        <v>9.7999999999999997E-4</v>
      </c>
      <c r="E37" s="559"/>
      <c r="F37" s="560">
        <f>B37/G41*C37</f>
        <v>1.9064654333008761E-3</v>
      </c>
      <c r="G37" s="559"/>
      <c r="H37" s="559"/>
      <c r="I37" s="559"/>
      <c r="J37" s="559"/>
    </row>
    <row r="38" spans="1:10">
      <c r="A38" s="559" t="s">
        <v>6</v>
      </c>
      <c r="B38" s="561">
        <v>0.49120000000000003</v>
      </c>
      <c r="C38" s="561">
        <v>6.3799999999999996E-2</v>
      </c>
      <c r="D38" s="560">
        <f>ROUND(B38*C38,5)</f>
        <v>3.134E-2</v>
      </c>
      <c r="E38" s="559"/>
      <c r="F38" s="560">
        <f>B38/G41*C38</f>
        <v>6.1029328140214209E-2</v>
      </c>
      <c r="G38" s="559"/>
      <c r="H38" s="559"/>
      <c r="I38" s="559"/>
      <c r="J38" s="559"/>
    </row>
    <row r="39" spans="1:10">
      <c r="A39" s="559" t="s">
        <v>7</v>
      </c>
      <c r="B39" s="560">
        <v>0</v>
      </c>
      <c r="C39" s="560">
        <v>0</v>
      </c>
      <c r="D39" s="560">
        <f>ROUND(B39*C39,5)</f>
        <v>0</v>
      </c>
      <c r="E39" s="559"/>
      <c r="F39" s="559"/>
      <c r="G39" s="421">
        <f>SUM(F37:F38)</f>
        <v>6.2935793573515086E-2</v>
      </c>
      <c r="H39" s="559" t="s">
        <v>8</v>
      </c>
      <c r="I39" s="559"/>
      <c r="J39" s="559"/>
    </row>
    <row r="40" spans="1:10" ht="13.8" thickBot="1">
      <c r="A40" s="559" t="s">
        <v>9</v>
      </c>
      <c r="B40" s="560">
        <v>0.48649999999999999</v>
      </c>
      <c r="C40" s="560">
        <v>0.10100000000000001</v>
      </c>
      <c r="D40" s="560">
        <f>ROUND(B40*C40,5)</f>
        <v>4.9140000000000003E-2</v>
      </c>
      <c r="E40" s="559"/>
      <c r="F40" s="559"/>
      <c r="G40" s="422">
        <f>G39*0.65</f>
        <v>4.0908265822784805E-2</v>
      </c>
      <c r="H40" s="559" t="s">
        <v>10</v>
      </c>
      <c r="I40" s="559"/>
      <c r="J40" s="559"/>
    </row>
    <row r="41" spans="1:10" ht="13.8" thickBot="1">
      <c r="A41" s="423" t="s">
        <v>11</v>
      </c>
      <c r="B41" s="562">
        <f>SUM(B37:B40)</f>
        <v>1</v>
      </c>
      <c r="C41" s="563"/>
      <c r="D41" s="424">
        <f>SUM(D37:D40)</f>
        <v>8.1460000000000005E-2</v>
      </c>
      <c r="E41" s="559"/>
      <c r="F41" s="559"/>
      <c r="G41" s="564">
        <f>SUM(B37:B38)</f>
        <v>0.51350000000000007</v>
      </c>
      <c r="H41" s="559" t="s">
        <v>12</v>
      </c>
      <c r="I41" s="559"/>
      <c r="J41" s="559"/>
    </row>
    <row r="42" spans="1:10" ht="13.8" thickBot="1">
      <c r="A42" s="559"/>
      <c r="B42" s="559"/>
      <c r="C42" s="559"/>
      <c r="D42" s="559"/>
      <c r="E42" s="559"/>
      <c r="F42" s="559"/>
      <c r="I42" s="559"/>
      <c r="J42" s="559"/>
    </row>
    <row r="43" spans="1:10" ht="13.8" thickBot="1">
      <c r="A43" s="423" t="s">
        <v>13</v>
      </c>
      <c r="B43" s="559"/>
      <c r="C43" s="559"/>
      <c r="D43" s="424">
        <f>(D38+D37)*0.65+D39+D40</f>
        <v>7.0148000000000002E-2</v>
      </c>
      <c r="E43" s="559"/>
      <c r="F43" s="559"/>
      <c r="G43" s="559"/>
      <c r="H43" s="423" t="s">
        <v>14</v>
      </c>
      <c r="I43" s="559"/>
      <c r="J43" s="559"/>
    </row>
    <row r="44" spans="1:10">
      <c r="A44" s="559"/>
      <c r="B44" s="559"/>
      <c r="C44" s="559"/>
      <c r="D44" s="559"/>
      <c r="E44" s="559"/>
      <c r="G44" s="425">
        <f>G41*G40</f>
        <v>2.1006394500000001E-2</v>
      </c>
      <c r="H44" s="419" t="s">
        <v>15</v>
      </c>
      <c r="I44" s="559"/>
      <c r="J44" s="559"/>
    </row>
    <row r="45" spans="1:10">
      <c r="A45" s="559"/>
      <c r="B45" s="559"/>
      <c r="C45" s="559"/>
      <c r="D45" s="559"/>
      <c r="E45" s="559"/>
      <c r="F45" s="559"/>
      <c r="G45" s="564">
        <f>D39</f>
        <v>0</v>
      </c>
      <c r="H45" s="419" t="s">
        <v>16</v>
      </c>
      <c r="I45" s="559"/>
      <c r="J45" s="559"/>
    </row>
    <row r="46" spans="1:10">
      <c r="A46" s="559" t="s">
        <v>17</v>
      </c>
      <c r="B46" s="559"/>
      <c r="C46" s="559"/>
      <c r="D46" s="565">
        <f>D43/0.65</f>
        <v>0.10792</v>
      </c>
      <c r="E46" s="559"/>
      <c r="F46" s="559"/>
      <c r="G46" s="564">
        <f>D40</f>
        <v>4.9140000000000003E-2</v>
      </c>
      <c r="H46" s="419" t="s">
        <v>18</v>
      </c>
      <c r="I46" s="559"/>
      <c r="J46" s="559"/>
    </row>
    <row r="47" spans="1:10">
      <c r="A47" s="559"/>
      <c r="B47" s="559"/>
      <c r="C47" s="559"/>
      <c r="D47" s="559"/>
      <c r="E47" s="559"/>
      <c r="F47" s="560"/>
      <c r="G47" s="566">
        <f>SUM(G44:G46)</f>
        <v>7.0146394500000001E-2</v>
      </c>
      <c r="H47" s="559"/>
      <c r="I47" s="559"/>
      <c r="J47" s="559"/>
    </row>
    <row r="48" spans="1:10">
      <c r="A48" s="559"/>
      <c r="B48" s="559"/>
      <c r="C48" s="559"/>
      <c r="D48" s="559"/>
      <c r="E48" s="559"/>
      <c r="F48" s="559"/>
      <c r="G48" s="559"/>
      <c r="H48" s="559"/>
      <c r="I48" s="559"/>
      <c r="J48" s="559"/>
    </row>
    <row r="49" spans="1:10">
      <c r="A49" s="418" t="s">
        <v>21</v>
      </c>
      <c r="B49" s="558"/>
      <c r="C49" s="558"/>
      <c r="D49" s="558"/>
      <c r="E49" s="558"/>
      <c r="F49" s="558"/>
      <c r="G49" s="558"/>
      <c r="H49" s="426"/>
      <c r="I49" s="426"/>
      <c r="J49" s="426"/>
    </row>
    <row r="50" spans="1:10">
      <c r="A50" s="559" t="s">
        <v>1</v>
      </c>
      <c r="B50" s="559"/>
      <c r="C50" s="559"/>
      <c r="D50" s="559"/>
      <c r="E50" s="559"/>
      <c r="F50" s="559"/>
      <c r="G50" s="559"/>
    </row>
    <row r="51" spans="1:10">
      <c r="A51" s="559"/>
      <c r="B51" s="559"/>
      <c r="C51" s="559"/>
      <c r="D51" s="559"/>
      <c r="E51" s="559"/>
      <c r="F51" s="559"/>
      <c r="G51" s="559"/>
    </row>
    <row r="52" spans="1:10">
      <c r="A52" s="559"/>
      <c r="B52" s="420" t="s">
        <v>2</v>
      </c>
      <c r="C52" s="420" t="s">
        <v>3</v>
      </c>
      <c r="D52" s="420" t="s">
        <v>4</v>
      </c>
      <c r="E52" s="559"/>
      <c r="F52" s="559"/>
      <c r="G52" s="559"/>
    </row>
    <row r="53" spans="1:10">
      <c r="A53" s="559" t="s">
        <v>5</v>
      </c>
      <c r="B53" s="560">
        <v>2.0500000000000001E-2</v>
      </c>
      <c r="C53" s="560">
        <v>5.11E-2</v>
      </c>
      <c r="D53" s="560">
        <f>B53*C53</f>
        <v>1.04755E-3</v>
      </c>
      <c r="E53" s="559"/>
      <c r="F53" s="560">
        <f>B53/G57*C53</f>
        <v>2.0324990298797052E-3</v>
      </c>
      <c r="G53" s="559"/>
    </row>
    <row r="54" spans="1:10">
      <c r="A54" s="559" t="s">
        <v>6</v>
      </c>
      <c r="B54" s="560">
        <v>0.49490000000000001</v>
      </c>
      <c r="C54" s="560">
        <v>6.59E-2</v>
      </c>
      <c r="D54" s="560">
        <f>B54*C54</f>
        <v>3.2613910000000003E-2</v>
      </c>
      <c r="E54" s="559"/>
      <c r="F54" s="560">
        <f>B54/G57*C54</f>
        <v>6.3278831975164929E-2</v>
      </c>
      <c r="G54" s="559"/>
    </row>
    <row r="55" spans="1:10">
      <c r="A55" s="559" t="s">
        <v>7</v>
      </c>
      <c r="B55" s="560">
        <v>0</v>
      </c>
      <c r="C55" s="560">
        <v>0</v>
      </c>
      <c r="D55" s="561">
        <f>B55*C55</f>
        <v>0</v>
      </c>
      <c r="E55" s="559"/>
      <c r="F55" s="559"/>
      <c r="G55" s="421">
        <f>SUM(F53:F54)</f>
        <v>6.5311331005044632E-2</v>
      </c>
      <c r="H55" s="559" t="s">
        <v>8</v>
      </c>
    </row>
    <row r="56" spans="1:10" ht="13.8" thickBot="1">
      <c r="A56" s="559" t="s">
        <v>9</v>
      </c>
      <c r="B56" s="560">
        <v>0.48459999999999998</v>
      </c>
      <c r="C56" s="560">
        <v>0.10100000000000001</v>
      </c>
      <c r="D56" s="561">
        <f>B56*C56</f>
        <v>4.8944599999999998E-2</v>
      </c>
      <c r="E56" s="559"/>
      <c r="F56" s="559"/>
      <c r="G56" s="422">
        <f>G55*0.65</f>
        <v>4.2452365153279013E-2</v>
      </c>
      <c r="H56" s="559" t="s">
        <v>10</v>
      </c>
    </row>
    <row r="57" spans="1:10" ht="13.8" thickBot="1">
      <c r="A57" s="423" t="s">
        <v>11</v>
      </c>
      <c r="B57" s="562">
        <f>SUM(B53:B56)</f>
        <v>1</v>
      </c>
      <c r="C57" s="563"/>
      <c r="D57" s="424">
        <f>SUM(D53:D56)</f>
        <v>8.2606060000000009E-2</v>
      </c>
      <c r="E57" s="559"/>
      <c r="F57" s="559"/>
      <c r="G57" s="564">
        <f>SUM(B53:B54)</f>
        <v>0.51539999999999997</v>
      </c>
      <c r="H57" s="559" t="s">
        <v>12</v>
      </c>
    </row>
    <row r="58" spans="1:10" ht="13.8" thickBot="1">
      <c r="A58" s="559"/>
      <c r="B58" s="559"/>
      <c r="C58" s="559"/>
      <c r="D58" s="559"/>
      <c r="E58" s="559"/>
      <c r="F58" s="559"/>
    </row>
    <row r="59" spans="1:10" ht="13.8" thickBot="1">
      <c r="A59" s="423" t="s">
        <v>13</v>
      </c>
      <c r="B59" s="559"/>
      <c r="C59" s="559"/>
      <c r="D59" s="424">
        <f>(D54+D53)*0.65+D55+D56</f>
        <v>7.0824549000000001E-2</v>
      </c>
      <c r="E59" s="559"/>
      <c r="F59" s="559"/>
      <c r="G59" s="559"/>
      <c r="H59" s="423" t="s">
        <v>14</v>
      </c>
    </row>
    <row r="60" spans="1:10">
      <c r="A60" s="559"/>
      <c r="B60" s="559"/>
      <c r="C60" s="559"/>
      <c r="D60" s="559"/>
      <c r="E60" s="559"/>
      <c r="G60" s="425">
        <f>G57*G56</f>
        <v>2.1879949000000003E-2</v>
      </c>
      <c r="H60" s="419" t="s">
        <v>15</v>
      </c>
    </row>
    <row r="61" spans="1:10">
      <c r="A61" s="559"/>
      <c r="B61" s="559"/>
      <c r="C61" s="559"/>
      <c r="D61" s="559"/>
      <c r="E61" s="559"/>
      <c r="F61" s="559"/>
      <c r="G61" s="564">
        <f>D55</f>
        <v>0</v>
      </c>
      <c r="H61" s="419" t="s">
        <v>16</v>
      </c>
    </row>
    <row r="62" spans="1:10">
      <c r="A62" s="559" t="s">
        <v>17</v>
      </c>
      <c r="B62" s="559"/>
      <c r="C62" s="559"/>
      <c r="D62" s="565">
        <f>D59/0.65</f>
        <v>0.10896084461538462</v>
      </c>
      <c r="E62" s="559"/>
      <c r="F62" s="559"/>
      <c r="G62" s="564">
        <f>D56</f>
        <v>4.8944599999999998E-2</v>
      </c>
      <c r="H62" s="419" t="s">
        <v>18</v>
      </c>
    </row>
    <row r="63" spans="1:10">
      <c r="A63" s="559"/>
      <c r="B63" s="559"/>
      <c r="C63" s="559"/>
      <c r="D63" s="559"/>
      <c r="E63" s="559"/>
      <c r="F63" s="560"/>
      <c r="G63" s="566">
        <f>SUM(G60:G62)</f>
        <v>7.0824549000000001E-2</v>
      </c>
    </row>
    <row r="65" spans="1:10">
      <c r="A65" s="418" t="s">
        <v>22</v>
      </c>
      <c r="B65" s="558"/>
      <c r="C65" s="558"/>
      <c r="D65" s="558"/>
      <c r="E65" s="558"/>
      <c r="F65" s="558"/>
      <c r="G65" s="558"/>
      <c r="H65" s="426"/>
      <c r="I65" s="426"/>
      <c r="J65" s="426"/>
    </row>
    <row r="66" spans="1:10">
      <c r="A66" s="559" t="s">
        <v>1</v>
      </c>
      <c r="B66" s="559"/>
      <c r="C66" s="559"/>
      <c r="D66" s="559"/>
      <c r="E66" s="559"/>
      <c r="F66" s="559"/>
      <c r="G66" s="559"/>
    </row>
    <row r="67" spans="1:10">
      <c r="A67" s="559"/>
      <c r="B67" s="559"/>
      <c r="C67" s="559"/>
      <c r="D67" s="559"/>
      <c r="E67" s="559"/>
      <c r="F67" s="559"/>
      <c r="G67" s="559"/>
    </row>
    <row r="68" spans="1:10">
      <c r="A68" s="559"/>
      <c r="B68" s="420" t="s">
        <v>2</v>
      </c>
      <c r="C68" s="420" t="s">
        <v>3</v>
      </c>
      <c r="D68" s="420" t="s">
        <v>4</v>
      </c>
      <c r="E68" s="559"/>
      <c r="F68" s="559"/>
      <c r="G68" s="559"/>
    </row>
    <row r="69" spans="1:10">
      <c r="A69" s="559" t="s">
        <v>5</v>
      </c>
      <c r="B69" s="560">
        <v>3.78E-2</v>
      </c>
      <c r="C69" s="560">
        <v>3.7179407155696363E-2</v>
      </c>
      <c r="D69" s="560">
        <f>B69*C69</f>
        <v>1.4053815904853226E-3</v>
      </c>
      <c r="E69" s="559"/>
      <c r="F69" s="560">
        <f>B69/G73*C69</f>
        <v>2.8547259607664484E-3</v>
      </c>
      <c r="G69" s="559"/>
    </row>
    <row r="70" spans="1:10">
      <c r="A70" s="559" t="s">
        <v>6</v>
      </c>
      <c r="B70" s="560">
        <v>0.45450000000000002</v>
      </c>
      <c r="C70" s="560">
        <v>6.8500000000000005E-2</v>
      </c>
      <c r="D70" s="560">
        <f>B70*C70</f>
        <v>3.1133250000000005E-2</v>
      </c>
      <c r="E70" s="559"/>
      <c r="F70" s="560">
        <f>B70/G73*C70</f>
        <v>6.3240402193784281E-2</v>
      </c>
      <c r="G70" s="559"/>
    </row>
    <row r="71" spans="1:10">
      <c r="A71" s="559" t="s">
        <v>7</v>
      </c>
      <c r="B71" s="560">
        <v>0</v>
      </c>
      <c r="C71" s="560">
        <v>0.48659999999999998</v>
      </c>
      <c r="D71" s="561">
        <f>B71*C71</f>
        <v>0</v>
      </c>
      <c r="E71" s="559"/>
      <c r="F71" s="559"/>
      <c r="G71" s="421">
        <f>SUM(F69:F70)</f>
        <v>6.6095128154550736E-2</v>
      </c>
      <c r="H71" s="559" t="s">
        <v>8</v>
      </c>
    </row>
    <row r="72" spans="1:10" ht="13.8" thickBot="1">
      <c r="A72" s="559" t="s">
        <v>9</v>
      </c>
      <c r="B72" s="560">
        <v>0.50770000000000004</v>
      </c>
      <c r="C72" s="560">
        <v>0.10150000000000001</v>
      </c>
      <c r="D72" s="561">
        <f>B72*C72</f>
        <v>5.1531550000000009E-2</v>
      </c>
      <c r="E72" s="559"/>
      <c r="F72" s="559"/>
      <c r="G72" s="422">
        <f>G71*0.65</f>
        <v>4.2961833300457983E-2</v>
      </c>
      <c r="H72" s="559" t="s">
        <v>10</v>
      </c>
    </row>
    <row r="73" spans="1:10" ht="13.8" thickBot="1">
      <c r="A73" s="423" t="s">
        <v>11</v>
      </c>
      <c r="B73" s="562">
        <f>SUM(B69:B72)</f>
        <v>1</v>
      </c>
      <c r="C73" s="563"/>
      <c r="D73" s="424">
        <f>SUM(D69:D72)</f>
        <v>8.4070181590485335E-2</v>
      </c>
      <c r="E73" s="559"/>
      <c r="F73" s="559"/>
      <c r="G73" s="564">
        <f>SUM(B69:B70)</f>
        <v>0.49230000000000002</v>
      </c>
      <c r="H73" s="559" t="s">
        <v>12</v>
      </c>
    </row>
    <row r="74" spans="1:10" ht="13.8" thickBot="1">
      <c r="A74" s="559"/>
      <c r="B74" s="559"/>
      <c r="C74" s="559"/>
      <c r="D74" s="559"/>
      <c r="E74" s="559"/>
      <c r="F74" s="559"/>
    </row>
    <row r="75" spans="1:10" ht="13.8" thickBot="1">
      <c r="A75" s="423" t="s">
        <v>13</v>
      </c>
      <c r="B75" s="559"/>
      <c r="C75" s="559"/>
      <c r="D75" s="424">
        <f>(D70+D69)*0.65+D71+D72</f>
        <v>7.2681660533815473E-2</v>
      </c>
      <c r="E75" s="559"/>
      <c r="F75" s="559"/>
      <c r="G75" s="559"/>
      <c r="H75" s="423" t="s">
        <v>14</v>
      </c>
    </row>
    <row r="76" spans="1:10">
      <c r="A76" s="559"/>
      <c r="B76" s="559"/>
      <c r="C76" s="559"/>
      <c r="D76" s="559"/>
      <c r="E76" s="559"/>
      <c r="G76" s="425">
        <f>G73*G72</f>
        <v>2.1150110533815467E-2</v>
      </c>
      <c r="H76" s="419" t="s">
        <v>15</v>
      </c>
    </row>
    <row r="77" spans="1:10">
      <c r="A77" s="559"/>
      <c r="B77" s="559"/>
      <c r="C77" s="559"/>
      <c r="D77" s="559"/>
      <c r="E77" s="559"/>
      <c r="F77" s="559"/>
      <c r="G77" s="564">
        <f>D71</f>
        <v>0</v>
      </c>
      <c r="H77" s="419" t="s">
        <v>16</v>
      </c>
    </row>
    <row r="78" spans="1:10">
      <c r="A78" s="559" t="s">
        <v>17</v>
      </c>
      <c r="B78" s="559"/>
      <c r="C78" s="559"/>
      <c r="D78" s="565">
        <f>D75/0.65</f>
        <v>0.11181793928279303</v>
      </c>
      <c r="E78" s="559"/>
      <c r="F78" s="559"/>
      <c r="G78" s="564">
        <f>D72</f>
        <v>5.1531550000000009E-2</v>
      </c>
      <c r="H78" s="419" t="s">
        <v>18</v>
      </c>
    </row>
    <row r="79" spans="1:10">
      <c r="A79" s="559"/>
      <c r="B79" s="559"/>
      <c r="C79" s="559"/>
      <c r="D79" s="559"/>
      <c r="E79" s="559"/>
      <c r="F79" s="560"/>
      <c r="G79" s="566">
        <f>SUM(G76:G78)</f>
        <v>7.2681660533815473E-2</v>
      </c>
    </row>
    <row r="83" spans="1:10">
      <c r="A83" s="418" t="s">
        <v>23</v>
      </c>
      <c r="B83" s="558"/>
      <c r="C83" s="558"/>
      <c r="D83" s="558"/>
      <c r="E83" s="558"/>
      <c r="F83" s="558"/>
      <c r="G83" s="558"/>
      <c r="H83" s="426"/>
      <c r="I83" s="426"/>
      <c r="J83" s="426"/>
    </row>
    <row r="84" spans="1:10">
      <c r="A84" s="559" t="s">
        <v>1</v>
      </c>
      <c r="B84" s="559"/>
      <c r="C84" s="559"/>
      <c r="D84" s="559"/>
      <c r="E84" s="559"/>
      <c r="F84" s="559"/>
      <c r="G84" s="559"/>
    </row>
    <row r="85" spans="1:10">
      <c r="A85" s="559"/>
      <c r="B85" s="559"/>
      <c r="C85" s="559"/>
      <c r="D85" s="559"/>
      <c r="E85" s="559"/>
      <c r="F85" s="559"/>
      <c r="G85" s="559"/>
    </row>
    <row r="86" spans="1:10">
      <c r="A86" s="559"/>
      <c r="B86" s="420" t="s">
        <v>2</v>
      </c>
      <c r="C86" s="420" t="s">
        <v>3</v>
      </c>
      <c r="D86" s="420" t="s">
        <v>4</v>
      </c>
      <c r="E86" s="559"/>
      <c r="F86" s="559"/>
      <c r="G86" s="559"/>
    </row>
    <row r="87" spans="1:10">
      <c r="A87" s="559" t="s">
        <v>5</v>
      </c>
      <c r="B87" s="560">
        <v>6.6000000000000003E-2</v>
      </c>
      <c r="C87" s="560">
        <v>3.8374995005847172E-2</v>
      </c>
      <c r="D87" s="560">
        <f>B87*C87</f>
        <v>2.5327496703859134E-3</v>
      </c>
      <c r="E87" s="559"/>
      <c r="F87" s="560">
        <f>B87/G91*C87</f>
        <v>4.5800174871354678E-3</v>
      </c>
      <c r="G87" s="559"/>
    </row>
    <row r="88" spans="1:10">
      <c r="A88" s="559" t="s">
        <v>6</v>
      </c>
      <c r="B88" s="560">
        <v>0.48699999999999999</v>
      </c>
      <c r="C88" s="560">
        <v>6.7900000000000002E-2</v>
      </c>
      <c r="D88" s="560">
        <f>B88*C88</f>
        <v>3.3067300000000001E-2</v>
      </c>
      <c r="E88" s="559"/>
      <c r="F88" s="560">
        <f>B88/G91*C88</f>
        <v>5.9796202531645574E-2</v>
      </c>
      <c r="G88" s="559"/>
    </row>
    <row r="89" spans="1:10">
      <c r="A89" s="559" t="s">
        <v>7</v>
      </c>
      <c r="B89" s="560">
        <v>2.9999999999999997E-4</v>
      </c>
      <c r="C89" s="560">
        <v>8.6099999999999996E-2</v>
      </c>
      <c r="D89" s="561">
        <f>B89*C89</f>
        <v>2.5829999999999995E-5</v>
      </c>
      <c r="E89" s="559"/>
      <c r="F89" s="559"/>
      <c r="G89" s="421">
        <f>SUM(F87:F88)</f>
        <v>6.4376220018781044E-2</v>
      </c>
      <c r="H89" s="559" t="s">
        <v>8</v>
      </c>
    </row>
    <row r="90" spans="1:10" ht="13.8" thickBot="1">
      <c r="A90" s="559" t="s">
        <v>9</v>
      </c>
      <c r="B90" s="560">
        <v>0.44669999999999999</v>
      </c>
      <c r="C90" s="560">
        <v>0.10150000000000001</v>
      </c>
      <c r="D90" s="561">
        <f>B90*C90</f>
        <v>4.534005E-2</v>
      </c>
      <c r="E90" s="559"/>
      <c r="F90" s="559"/>
      <c r="G90" s="422">
        <f>G89*0.65</f>
        <v>4.1844543012207677E-2</v>
      </c>
      <c r="H90" s="559" t="s">
        <v>10</v>
      </c>
    </row>
    <row r="91" spans="1:10" ht="13.8" thickBot="1">
      <c r="A91" s="423" t="s">
        <v>11</v>
      </c>
      <c r="B91" s="562">
        <f>SUM(B87:B90)</f>
        <v>0.99999999999999989</v>
      </c>
      <c r="C91" s="563"/>
      <c r="D91" s="424">
        <f>SUM(D87:D90)</f>
        <v>8.0965929670385905E-2</v>
      </c>
      <c r="E91" s="559"/>
      <c r="F91" s="559"/>
      <c r="G91" s="564">
        <f>SUM(B87:B88)</f>
        <v>0.55299999999999994</v>
      </c>
      <c r="H91" s="559" t="s">
        <v>12</v>
      </c>
    </row>
    <row r="92" spans="1:10" ht="13.8" thickBot="1">
      <c r="A92" s="559"/>
      <c r="B92" s="559"/>
      <c r="C92" s="559"/>
      <c r="D92" s="559"/>
      <c r="E92" s="559"/>
      <c r="F92" s="559"/>
    </row>
    <row r="93" spans="1:10" ht="13.8" thickBot="1">
      <c r="A93" s="423" t="s">
        <v>13</v>
      </c>
      <c r="B93" s="559"/>
      <c r="C93" s="559"/>
      <c r="D93" s="424">
        <f>(D88+D87)*0.65+D89+D90</f>
        <v>6.8505912285750842E-2</v>
      </c>
      <c r="E93" s="559"/>
      <c r="F93" s="559"/>
      <c r="G93" s="559"/>
      <c r="H93" s="423" t="s">
        <v>14</v>
      </c>
    </row>
    <row r="94" spans="1:10">
      <c r="A94" s="559"/>
      <c r="B94" s="559"/>
      <c r="C94" s="559"/>
      <c r="D94" s="559"/>
      <c r="E94" s="559"/>
      <c r="G94" s="425">
        <f>G91*G90</f>
        <v>2.3140032285750844E-2</v>
      </c>
      <c r="H94" s="419" t="s">
        <v>15</v>
      </c>
    </row>
    <row r="95" spans="1:10">
      <c r="A95" s="559"/>
      <c r="B95" s="559"/>
      <c r="C95" s="559"/>
      <c r="D95" s="559"/>
      <c r="E95" s="559"/>
      <c r="F95" s="559"/>
      <c r="G95" s="564">
        <f>D89</f>
        <v>2.5829999999999995E-5</v>
      </c>
      <c r="H95" s="419" t="s">
        <v>16</v>
      </c>
    </row>
    <row r="96" spans="1:10">
      <c r="A96" s="559" t="s">
        <v>17</v>
      </c>
      <c r="B96" s="559"/>
      <c r="C96" s="559"/>
      <c r="D96" s="565">
        <f>D93/0.65</f>
        <v>0.10539371120884744</v>
      </c>
      <c r="E96" s="559"/>
      <c r="F96" s="559"/>
      <c r="G96" s="564">
        <f>D90</f>
        <v>4.534005E-2</v>
      </c>
      <c r="H96" s="419" t="s">
        <v>18</v>
      </c>
    </row>
    <row r="97" spans="1:10">
      <c r="A97" s="559"/>
      <c r="B97" s="559"/>
      <c r="C97" s="559"/>
      <c r="D97" s="559"/>
      <c r="E97" s="559"/>
      <c r="F97" s="560"/>
      <c r="G97" s="566">
        <f>SUM(G94:G96)</f>
        <v>6.8505912285750842E-2</v>
      </c>
    </row>
    <row r="101" spans="1:10">
      <c r="A101" s="427" t="s">
        <v>24</v>
      </c>
      <c r="B101" s="567"/>
      <c r="C101" s="567"/>
      <c r="D101" s="567"/>
      <c r="E101" s="567"/>
      <c r="F101" s="567"/>
      <c r="G101" s="567"/>
      <c r="H101" s="567"/>
      <c r="I101" s="567"/>
      <c r="J101" s="567"/>
    </row>
    <row r="102" spans="1:10">
      <c r="A102" s="559" t="s">
        <v>1</v>
      </c>
      <c r="B102" s="559"/>
      <c r="C102" s="559"/>
      <c r="D102" s="559"/>
      <c r="E102" s="559"/>
      <c r="F102" s="559"/>
      <c r="G102" s="559"/>
      <c r="H102" s="559"/>
      <c r="I102" s="559"/>
      <c r="J102" s="559"/>
    </row>
    <row r="103" spans="1:10">
      <c r="A103" s="559"/>
      <c r="B103" s="560"/>
      <c r="C103" s="560"/>
      <c r="D103" s="559"/>
      <c r="E103" s="559"/>
      <c r="F103" s="559"/>
      <c r="G103" s="559"/>
      <c r="H103" s="559"/>
      <c r="I103" s="559"/>
      <c r="J103" s="559"/>
    </row>
    <row r="104" spans="1:10">
      <c r="A104" s="559"/>
      <c r="B104" s="420" t="s">
        <v>2</v>
      </c>
      <c r="C104" s="420" t="s">
        <v>3</v>
      </c>
      <c r="D104" s="420" t="s">
        <v>4</v>
      </c>
      <c r="E104" s="559"/>
      <c r="F104" s="559"/>
      <c r="G104" s="559"/>
      <c r="H104" s="559"/>
      <c r="I104" s="559"/>
      <c r="J104" s="559"/>
    </row>
    <row r="105" spans="1:10">
      <c r="A105" s="559" t="s">
        <v>5</v>
      </c>
      <c r="B105" s="561">
        <v>3.95E-2</v>
      </c>
      <c r="C105" s="561">
        <v>2.47E-2</v>
      </c>
      <c r="D105" s="560">
        <f>ROUND(B105*C105,4)</f>
        <v>1E-3</v>
      </c>
      <c r="E105" s="559"/>
      <c r="F105" s="560">
        <f>B105/G109*C105</f>
        <v>1.8067592592592595E-3</v>
      </c>
      <c r="G105" s="559"/>
      <c r="H105" s="559"/>
      <c r="I105" s="559"/>
      <c r="J105" s="559"/>
    </row>
    <row r="106" spans="1:10">
      <c r="A106" s="559" t="s">
        <v>6</v>
      </c>
      <c r="B106" s="561">
        <v>0.50049999999999994</v>
      </c>
      <c r="C106" s="561">
        <v>6.7000000000000004E-2</v>
      </c>
      <c r="D106" s="560">
        <f>ROUND(B106*C106,4)</f>
        <v>3.3500000000000002E-2</v>
      </c>
      <c r="E106" s="559"/>
      <c r="F106" s="560">
        <f>B106/G109*C106</f>
        <v>6.2099074074074084E-2</v>
      </c>
      <c r="G106" s="559"/>
      <c r="H106" s="559"/>
      <c r="I106" s="559"/>
      <c r="J106" s="559"/>
    </row>
    <row r="107" spans="1:10">
      <c r="A107" s="559" t="s">
        <v>7</v>
      </c>
      <c r="B107" s="561">
        <v>0</v>
      </c>
      <c r="C107" s="561">
        <v>0</v>
      </c>
      <c r="D107" s="560">
        <f>ROUND(B107*C107,4)</f>
        <v>0</v>
      </c>
      <c r="E107" s="559"/>
      <c r="F107" s="559"/>
      <c r="G107" s="421">
        <f>SUM(F105:F106)</f>
        <v>6.3905833333333342E-2</v>
      </c>
      <c r="H107" s="559" t="s">
        <v>8</v>
      </c>
      <c r="I107" s="559"/>
      <c r="J107" s="559"/>
    </row>
    <row r="108" spans="1:10" ht="13.8" thickBot="1">
      <c r="A108" s="559" t="s">
        <v>9</v>
      </c>
      <c r="B108" s="560">
        <f>45%+1%</f>
        <v>0.46</v>
      </c>
      <c r="C108" s="560">
        <v>0.10100000000000001</v>
      </c>
      <c r="D108" s="560">
        <f>ROUND(B108*C108,4)</f>
        <v>4.65E-2</v>
      </c>
      <c r="E108" s="559"/>
      <c r="F108" s="559"/>
      <c r="G108" s="422">
        <f>G107*0.65</f>
        <v>4.1538791666666672E-2</v>
      </c>
      <c r="H108" s="559" t="s">
        <v>10</v>
      </c>
      <c r="I108" s="559"/>
      <c r="J108" s="559"/>
    </row>
    <row r="109" spans="1:10" ht="13.8" thickBot="1">
      <c r="A109" s="423" t="s">
        <v>25</v>
      </c>
      <c r="B109" s="562">
        <f>SUM(B105:B108)</f>
        <v>1</v>
      </c>
      <c r="C109" s="563"/>
      <c r="D109" s="424">
        <f>SUM(D105:D108)</f>
        <v>8.1000000000000003E-2</v>
      </c>
      <c r="E109" s="559"/>
      <c r="F109" s="559"/>
      <c r="G109" s="564">
        <f>SUM(B105:B106)</f>
        <v>0.53999999999999992</v>
      </c>
      <c r="H109" s="559" t="s">
        <v>12</v>
      </c>
      <c r="I109" s="559"/>
      <c r="J109" s="559"/>
    </row>
    <row r="110" spans="1:10" ht="13.8" thickBot="1">
      <c r="A110" s="559"/>
      <c r="B110" s="559"/>
      <c r="C110" s="559"/>
      <c r="D110" s="559"/>
      <c r="E110" s="559"/>
      <c r="F110" s="559"/>
      <c r="I110" s="559"/>
      <c r="J110" s="559"/>
    </row>
    <row r="111" spans="1:10" ht="13.8" thickBot="1">
      <c r="A111" s="423" t="s">
        <v>13</v>
      </c>
      <c r="B111" s="559"/>
      <c r="C111" s="559"/>
      <c r="D111" s="424">
        <f>(D106+D105)*0.65+D107+D108</f>
        <v>6.8925E-2</v>
      </c>
      <c r="E111" s="559"/>
      <c r="F111" s="559"/>
      <c r="G111" s="559"/>
      <c r="H111" s="423" t="s">
        <v>14</v>
      </c>
      <c r="I111" s="559"/>
      <c r="J111" s="559"/>
    </row>
    <row r="112" spans="1:10">
      <c r="A112" s="559"/>
      <c r="B112" s="559"/>
      <c r="C112" s="559"/>
      <c r="D112" s="559"/>
      <c r="E112" s="559"/>
      <c r="G112" s="425">
        <f>G109*G108</f>
        <v>2.2430947499999999E-2</v>
      </c>
      <c r="H112" s="419" t="s">
        <v>15</v>
      </c>
      <c r="I112" s="559"/>
      <c r="J112" s="559"/>
    </row>
    <row r="113" spans="1:10">
      <c r="A113" s="559"/>
      <c r="B113" s="559"/>
      <c r="C113" s="559"/>
      <c r="D113" s="559"/>
      <c r="E113" s="559"/>
      <c r="F113" s="559"/>
      <c r="G113" s="564">
        <f>D107</f>
        <v>0</v>
      </c>
      <c r="H113" s="419" t="s">
        <v>16</v>
      </c>
      <c r="I113" s="559"/>
      <c r="J113" s="559"/>
    </row>
    <row r="114" spans="1:10">
      <c r="A114" s="559" t="s">
        <v>17</v>
      </c>
      <c r="B114" s="559"/>
      <c r="C114" s="559"/>
      <c r="D114" s="565">
        <f>D111/0.65</f>
        <v>0.10603846153846154</v>
      </c>
      <c r="E114" s="559"/>
      <c r="F114" s="559"/>
      <c r="G114" s="564">
        <f>D108</f>
        <v>4.65E-2</v>
      </c>
      <c r="H114" s="419" t="s">
        <v>18</v>
      </c>
      <c r="I114" s="559"/>
      <c r="J114" s="559"/>
    </row>
    <row r="115" spans="1:10">
      <c r="A115" s="559"/>
      <c r="B115" s="559"/>
      <c r="C115" s="559"/>
      <c r="D115" s="559"/>
      <c r="E115" s="559"/>
      <c r="F115" s="560"/>
      <c r="G115" s="566">
        <f>SUM(G112:G114)</f>
        <v>6.8930947500000006E-2</v>
      </c>
      <c r="H115" s="559"/>
      <c r="I115" s="559"/>
      <c r="J115" s="559"/>
    </row>
    <row r="116" spans="1:10">
      <c r="B116" s="561"/>
      <c r="C116" s="561"/>
    </row>
    <row r="119" spans="1:10">
      <c r="A119" s="427" t="s">
        <v>26</v>
      </c>
      <c r="B119" s="567"/>
      <c r="C119" s="567"/>
      <c r="D119" s="567"/>
      <c r="E119" s="567"/>
      <c r="F119" s="567"/>
      <c r="G119" s="567"/>
      <c r="H119" s="567"/>
      <c r="I119" s="567"/>
      <c r="J119" s="567"/>
    </row>
    <row r="120" spans="1:10">
      <c r="A120" s="559" t="s">
        <v>1</v>
      </c>
      <c r="B120" s="559"/>
      <c r="C120" s="559"/>
      <c r="D120" s="559"/>
      <c r="E120" s="559"/>
      <c r="F120" s="559"/>
      <c r="G120" s="559"/>
      <c r="H120" s="559"/>
      <c r="I120" s="559"/>
      <c r="J120" s="559"/>
    </row>
    <row r="121" spans="1:10">
      <c r="A121" s="559"/>
      <c r="B121" s="560"/>
      <c r="C121" s="560"/>
      <c r="D121" s="559"/>
      <c r="E121" s="559"/>
      <c r="F121" s="559"/>
      <c r="G121" s="559"/>
      <c r="H121" s="559"/>
      <c r="I121" s="559"/>
      <c r="J121" s="559"/>
    </row>
    <row r="122" spans="1:10">
      <c r="A122" s="559"/>
      <c r="B122" s="420" t="s">
        <v>2</v>
      </c>
      <c r="C122" s="420" t="s">
        <v>3</v>
      </c>
      <c r="D122" s="420" t="s">
        <v>4</v>
      </c>
      <c r="E122" s="559"/>
      <c r="F122" s="559"/>
      <c r="G122" s="559"/>
      <c r="H122" s="559"/>
      <c r="I122" s="559"/>
      <c r="J122" s="559"/>
    </row>
    <row r="123" spans="1:10">
      <c r="A123" s="559" t="s">
        <v>5</v>
      </c>
      <c r="B123" s="560">
        <v>4.9299999999999997E-2</v>
      </c>
      <c r="C123" s="560">
        <v>4.0899999999999999E-2</v>
      </c>
      <c r="D123" s="560">
        <f>ROUND(B123*C123,4)</f>
        <v>2E-3</v>
      </c>
      <c r="E123" s="559"/>
      <c r="F123" s="560">
        <f>B123/G127*C123</f>
        <v>3.7360941263664994E-3</v>
      </c>
      <c r="G123" s="559"/>
      <c r="H123" s="559"/>
      <c r="I123" s="559"/>
      <c r="J123" s="559"/>
    </row>
    <row r="124" spans="1:10">
      <c r="A124" s="559" t="s">
        <v>6</v>
      </c>
      <c r="B124" s="561">
        <f>50.04%-1%</f>
        <v>0.49039999999999995</v>
      </c>
      <c r="C124" s="560">
        <v>6.9000000000000006E-2</v>
      </c>
      <c r="D124" s="560">
        <f>ROUND(B124*C124,4)</f>
        <v>3.3799999999999997E-2</v>
      </c>
      <c r="E124" s="559"/>
      <c r="F124" s="560">
        <f>B124/G127*C124</f>
        <v>6.2697053918843809E-2</v>
      </c>
      <c r="G124" s="559"/>
      <c r="H124" s="559"/>
      <c r="I124" s="559"/>
      <c r="J124" s="559"/>
    </row>
    <row r="125" spans="1:10">
      <c r="A125" s="559" t="s">
        <v>7</v>
      </c>
      <c r="B125" s="560">
        <v>2.9999999999999997E-4</v>
      </c>
      <c r="C125" s="560">
        <v>8.6099999999999996E-2</v>
      </c>
      <c r="D125" s="560">
        <f>ROUND(B125*C125,4)</f>
        <v>0</v>
      </c>
      <c r="E125" s="559"/>
      <c r="F125" s="559"/>
      <c r="G125" s="421">
        <f>SUM(F123:F124)</f>
        <v>6.6433148045210305E-2</v>
      </c>
      <c r="H125" s="559" t="s">
        <v>8</v>
      </c>
      <c r="I125" s="559"/>
      <c r="J125" s="559"/>
    </row>
    <row r="126" spans="1:10" ht="13.8" thickBot="1">
      <c r="A126" s="559" t="s">
        <v>9</v>
      </c>
      <c r="B126" s="560">
        <f>45%+1%</f>
        <v>0.46</v>
      </c>
      <c r="C126" s="560">
        <v>0.10150000000000001</v>
      </c>
      <c r="D126" s="560">
        <f>ROUND(B126*C126,4)</f>
        <v>4.6699999999999998E-2</v>
      </c>
      <c r="E126" s="559"/>
      <c r="F126" s="559"/>
      <c r="G126" s="422">
        <f>G125*0.65</f>
        <v>4.3181546229386698E-2</v>
      </c>
      <c r="H126" s="559" t="s">
        <v>10</v>
      </c>
      <c r="I126" s="559"/>
      <c r="J126" s="559"/>
    </row>
    <row r="127" spans="1:10" ht="13.8" thickBot="1">
      <c r="A127" s="423" t="s">
        <v>25</v>
      </c>
      <c r="B127" s="562">
        <f>SUM(B123:B126)</f>
        <v>1</v>
      </c>
      <c r="C127" s="563"/>
      <c r="D127" s="424">
        <f>SUM(D123:D126)</f>
        <v>8.249999999999999E-2</v>
      </c>
      <c r="E127" s="559"/>
      <c r="F127" s="559"/>
      <c r="G127" s="564">
        <f>SUM(B123:B124)</f>
        <v>0.53969999999999996</v>
      </c>
      <c r="H127" s="559" t="s">
        <v>12</v>
      </c>
      <c r="I127" s="559"/>
      <c r="J127" s="559"/>
    </row>
    <row r="128" spans="1:10" ht="13.8" thickBot="1">
      <c r="A128" s="559"/>
      <c r="B128" s="559"/>
      <c r="C128" s="559"/>
      <c r="D128" s="559"/>
      <c r="E128" s="559"/>
      <c r="F128" s="559"/>
      <c r="I128" s="559"/>
      <c r="J128" s="559"/>
    </row>
    <row r="129" spans="1:10" ht="13.8" thickBot="1">
      <c r="A129" s="423" t="s">
        <v>13</v>
      </c>
      <c r="B129" s="559"/>
      <c r="C129" s="559"/>
      <c r="D129" s="424">
        <f>(D124+D123)*0.65+D125+D126</f>
        <v>6.9970000000000004E-2</v>
      </c>
      <c r="E129" s="559"/>
      <c r="F129" s="559"/>
      <c r="G129" s="559"/>
      <c r="H129" s="423" t="s">
        <v>14</v>
      </c>
      <c r="I129" s="559"/>
      <c r="J129" s="559"/>
    </row>
    <row r="130" spans="1:10">
      <c r="A130" s="559"/>
      <c r="B130" s="559"/>
      <c r="C130" s="559"/>
      <c r="D130" s="559"/>
      <c r="E130" s="559"/>
      <c r="G130" s="425">
        <f>G127*G126</f>
        <v>2.3305080499999999E-2</v>
      </c>
      <c r="H130" s="419" t="s">
        <v>15</v>
      </c>
      <c r="I130" s="559"/>
      <c r="J130" s="559"/>
    </row>
    <row r="131" spans="1:10">
      <c r="A131" s="559"/>
      <c r="B131" s="559"/>
      <c r="C131" s="559"/>
      <c r="D131" s="559"/>
      <c r="E131" s="559"/>
      <c r="F131" s="559"/>
      <c r="G131" s="564">
        <f>D125</f>
        <v>0</v>
      </c>
      <c r="H131" s="419" t="s">
        <v>16</v>
      </c>
      <c r="I131" s="559"/>
      <c r="J131" s="559"/>
    </row>
    <row r="132" spans="1:10">
      <c r="A132" s="559" t="s">
        <v>17</v>
      </c>
      <c r="B132" s="559"/>
      <c r="C132" s="559"/>
      <c r="D132" s="565">
        <f>D129/0.65</f>
        <v>0.10764615384615385</v>
      </c>
      <c r="E132" s="559"/>
      <c r="F132" s="559"/>
      <c r="G132" s="564">
        <f>D126</f>
        <v>4.6699999999999998E-2</v>
      </c>
      <c r="H132" s="419" t="s">
        <v>18</v>
      </c>
      <c r="I132" s="559"/>
      <c r="J132" s="559"/>
    </row>
    <row r="133" spans="1:10">
      <c r="A133" s="559"/>
      <c r="B133" s="559"/>
      <c r="C133" s="559"/>
      <c r="D133" s="559"/>
      <c r="E133" s="559"/>
      <c r="F133" s="560"/>
      <c r="G133" s="566">
        <f>SUM(G130:G132)</f>
        <v>7.0005080499999997E-2</v>
      </c>
      <c r="H133" s="559"/>
      <c r="I133" s="559"/>
      <c r="J133" s="559"/>
    </row>
  </sheetData>
  <phoneticPr fontId="2"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S72"/>
  <sheetViews>
    <sheetView topLeftCell="A13" workbookViewId="0">
      <selection activeCell="N64" sqref="N64"/>
    </sheetView>
  </sheetViews>
  <sheetFormatPr defaultRowHeight="13.2"/>
  <cols>
    <col min="2" max="2" width="9.28515625" style="491" customWidth="1"/>
    <col min="5" max="5" width="10.85546875" style="487" bestFit="1" customWidth="1"/>
    <col min="8" max="8" width="39" customWidth="1"/>
    <col min="9" max="10" width="9.28515625" customWidth="1"/>
    <col min="11" max="11" width="10.85546875" customWidth="1"/>
    <col min="12" max="12" width="9.28515625" customWidth="1"/>
    <col min="13" max="13" width="10.85546875" customWidth="1"/>
    <col min="14" max="17" width="9.28515625" customWidth="1"/>
  </cols>
  <sheetData>
    <row r="1" spans="2:15">
      <c r="B1" s="601" t="s">
        <v>240</v>
      </c>
    </row>
    <row r="2" spans="2:15">
      <c r="B2" s="601"/>
      <c r="C2">
        <v>1000</v>
      </c>
      <c r="E2" s="487">
        <v>18900013</v>
      </c>
      <c r="H2" t="s">
        <v>241</v>
      </c>
      <c r="K2">
        <v>52742</v>
      </c>
      <c r="M2">
        <v>52742</v>
      </c>
      <c r="O2">
        <v>0</v>
      </c>
    </row>
    <row r="3" spans="2:15">
      <c r="B3" s="601"/>
      <c r="C3">
        <v>1000</v>
      </c>
      <c r="E3" s="487">
        <v>18900173</v>
      </c>
      <c r="H3" t="s">
        <v>242</v>
      </c>
      <c r="K3">
        <v>1702874.8</v>
      </c>
      <c r="M3">
        <v>1702874.8</v>
      </c>
      <c r="O3">
        <v>0</v>
      </c>
    </row>
    <row r="4" spans="2:15">
      <c r="B4" s="601"/>
      <c r="C4">
        <v>1000</v>
      </c>
      <c r="E4" s="487">
        <v>18900183</v>
      </c>
      <c r="H4" t="s">
        <v>243</v>
      </c>
      <c r="K4">
        <v>365936.61</v>
      </c>
      <c r="M4">
        <v>365936.61</v>
      </c>
      <c r="O4">
        <v>0</v>
      </c>
    </row>
    <row r="5" spans="2:15">
      <c r="B5" s="601"/>
      <c r="C5">
        <v>1000</v>
      </c>
      <c r="E5" s="487">
        <v>18900193</v>
      </c>
      <c r="H5" t="s">
        <v>244</v>
      </c>
      <c r="K5">
        <v>3083205.61</v>
      </c>
      <c r="M5">
        <v>3083205.61</v>
      </c>
      <c r="O5">
        <v>0</v>
      </c>
    </row>
    <row r="6" spans="2:15">
      <c r="B6" s="601"/>
      <c r="C6">
        <v>1000</v>
      </c>
      <c r="E6" s="487">
        <v>18900243</v>
      </c>
      <c r="H6" t="s">
        <v>245</v>
      </c>
      <c r="K6">
        <v>15744.35</v>
      </c>
      <c r="M6">
        <v>15744.35</v>
      </c>
      <c r="O6">
        <v>0</v>
      </c>
    </row>
    <row r="7" spans="2:15">
      <c r="B7" s="601"/>
      <c r="C7">
        <v>1000</v>
      </c>
      <c r="E7" s="487">
        <v>18900253</v>
      </c>
      <c r="H7" t="s">
        <v>246</v>
      </c>
      <c r="K7">
        <v>780747.67</v>
      </c>
      <c r="M7">
        <v>780747.67</v>
      </c>
      <c r="O7">
        <v>0</v>
      </c>
    </row>
    <row r="8" spans="2:15">
      <c r="B8" s="601"/>
      <c r="C8">
        <v>1000</v>
      </c>
      <c r="E8" s="487">
        <v>18900263</v>
      </c>
      <c r="H8" t="s">
        <v>247</v>
      </c>
      <c r="K8">
        <v>593303.81999999995</v>
      </c>
      <c r="M8">
        <v>593303.81999999995</v>
      </c>
      <c r="O8">
        <v>0</v>
      </c>
    </row>
    <row r="9" spans="2:15">
      <c r="B9" s="601"/>
      <c r="C9">
        <v>1000</v>
      </c>
      <c r="E9" s="487">
        <v>18900273</v>
      </c>
      <c r="H9" t="s">
        <v>248</v>
      </c>
      <c r="K9">
        <v>1816669.69</v>
      </c>
      <c r="M9">
        <v>1816669.69</v>
      </c>
      <c r="O9">
        <v>0</v>
      </c>
    </row>
    <row r="10" spans="2:15">
      <c r="B10" s="601"/>
      <c r="C10">
        <v>1000</v>
      </c>
      <c r="E10" s="487">
        <v>18900283</v>
      </c>
      <c r="H10" t="s">
        <v>249</v>
      </c>
      <c r="K10">
        <v>554446.11</v>
      </c>
      <c r="M10">
        <v>554446.11</v>
      </c>
      <c r="O10">
        <v>0</v>
      </c>
    </row>
    <row r="11" spans="2:15">
      <c r="B11" s="601"/>
      <c r="C11">
        <v>1000</v>
      </c>
      <c r="E11" s="487">
        <v>18900293</v>
      </c>
      <c r="H11" t="s">
        <v>250</v>
      </c>
      <c r="K11">
        <v>9128.82</v>
      </c>
      <c r="M11">
        <v>9128.82</v>
      </c>
      <c r="O11">
        <v>0</v>
      </c>
    </row>
    <row r="12" spans="2:15">
      <c r="B12" s="601"/>
      <c r="C12">
        <v>1000</v>
      </c>
      <c r="E12" s="487">
        <v>18900303</v>
      </c>
      <c r="H12" t="s">
        <v>251</v>
      </c>
      <c r="K12">
        <v>21299.61</v>
      </c>
      <c r="M12">
        <v>21299.61</v>
      </c>
      <c r="O12">
        <v>0</v>
      </c>
    </row>
    <row r="13" spans="2:15">
      <c r="B13" s="601"/>
      <c r="C13">
        <v>1000</v>
      </c>
      <c r="E13" s="487">
        <v>18900323</v>
      </c>
      <c r="H13" t="s">
        <v>252</v>
      </c>
      <c r="K13">
        <v>541542.92000000004</v>
      </c>
      <c r="M13">
        <v>541542.92000000004</v>
      </c>
      <c r="O13">
        <v>0</v>
      </c>
    </row>
    <row r="14" spans="2:15">
      <c r="B14" s="601"/>
      <c r="C14">
        <v>1000</v>
      </c>
      <c r="E14" s="487">
        <v>18900353</v>
      </c>
      <c r="H14" t="s">
        <v>253</v>
      </c>
      <c r="K14">
        <v>102120.9</v>
      </c>
      <c r="M14">
        <v>102120.9</v>
      </c>
      <c r="O14">
        <v>0</v>
      </c>
    </row>
    <row r="15" spans="2:15">
      <c r="B15" s="601"/>
      <c r="C15">
        <v>1000</v>
      </c>
      <c r="E15" s="487">
        <v>18900373</v>
      </c>
      <c r="H15" t="s">
        <v>254</v>
      </c>
      <c r="K15">
        <v>4432980.76</v>
      </c>
      <c r="M15">
        <v>4432980.76</v>
      </c>
      <c r="O15">
        <v>0</v>
      </c>
    </row>
    <row r="16" spans="2:15">
      <c r="B16" s="601"/>
      <c r="C16">
        <v>1000</v>
      </c>
      <c r="E16" s="487">
        <v>18900383</v>
      </c>
      <c r="H16" t="s">
        <v>255</v>
      </c>
      <c r="K16">
        <v>652428.99</v>
      </c>
      <c r="M16">
        <v>652428.99</v>
      </c>
      <c r="O16">
        <v>0</v>
      </c>
    </row>
    <row r="17" spans="2:17">
      <c r="B17" s="601"/>
      <c r="C17">
        <v>1000</v>
      </c>
      <c r="E17" s="487">
        <v>18900393</v>
      </c>
      <c r="H17" t="s">
        <v>256</v>
      </c>
      <c r="K17">
        <v>15152963.5</v>
      </c>
      <c r="M17">
        <v>15152963.5</v>
      </c>
      <c r="O17">
        <v>0</v>
      </c>
    </row>
    <row r="18" spans="2:17">
      <c r="B18" s="601"/>
      <c r="C18" s="488">
        <v>1000</v>
      </c>
      <c r="D18" s="488"/>
      <c r="E18" s="489">
        <v>18900403</v>
      </c>
      <c r="F18" s="488"/>
      <c r="G18" s="488"/>
      <c r="H18" s="488" t="s">
        <v>257</v>
      </c>
      <c r="I18" s="488"/>
      <c r="J18" s="488"/>
      <c r="K18" s="488">
        <v>258483.07</v>
      </c>
      <c r="L18" s="488"/>
      <c r="M18" s="488">
        <v>258483.07</v>
      </c>
      <c r="N18" s="488"/>
      <c r="O18" s="488">
        <v>0</v>
      </c>
      <c r="P18" s="488"/>
      <c r="Q18" s="488"/>
    </row>
    <row r="19" spans="2:17">
      <c r="B19" s="601"/>
      <c r="C19" s="488">
        <v>1000</v>
      </c>
      <c r="D19" s="488"/>
      <c r="E19" s="489">
        <v>18900413</v>
      </c>
      <c r="F19" s="488"/>
      <c r="G19" s="488"/>
      <c r="H19" s="488" t="s">
        <v>258</v>
      </c>
      <c r="I19" s="488"/>
      <c r="J19" s="488"/>
      <c r="K19" s="488">
        <v>339527.78</v>
      </c>
      <c r="L19" s="488"/>
      <c r="M19" s="488">
        <v>339527.78</v>
      </c>
      <c r="N19" s="488"/>
      <c r="O19" s="488">
        <v>0</v>
      </c>
      <c r="P19" s="488"/>
      <c r="Q19" s="488"/>
    </row>
    <row r="20" spans="2:17">
      <c r="B20" s="601"/>
      <c r="C20" s="488">
        <v>1000</v>
      </c>
      <c r="D20" s="488"/>
      <c r="E20" s="489">
        <v>18900423</v>
      </c>
      <c r="F20" s="488"/>
      <c r="G20" s="488"/>
      <c r="H20" s="488" t="s">
        <v>259</v>
      </c>
      <c r="I20" s="488"/>
      <c r="J20" s="488"/>
      <c r="K20" s="488">
        <v>1353341.67</v>
      </c>
      <c r="L20" s="488"/>
      <c r="M20" s="488">
        <v>1353341.67</v>
      </c>
      <c r="N20" s="488"/>
      <c r="O20" s="488">
        <v>0</v>
      </c>
      <c r="P20" s="488"/>
      <c r="Q20" s="488"/>
    </row>
    <row r="21" spans="2:17">
      <c r="B21" s="601"/>
      <c r="C21">
        <v>1000</v>
      </c>
      <c r="E21" s="487">
        <v>18900433</v>
      </c>
      <c r="H21" t="s">
        <v>260</v>
      </c>
      <c r="K21">
        <v>5135043.88</v>
      </c>
      <c r="M21">
        <v>5135043.88</v>
      </c>
      <c r="O21">
        <v>0</v>
      </c>
    </row>
    <row r="22" spans="2:17">
      <c r="B22" s="601"/>
      <c r="C22">
        <v>1000</v>
      </c>
      <c r="E22" s="487">
        <v>18900533</v>
      </c>
      <c r="H22" t="s">
        <v>261</v>
      </c>
      <c r="K22">
        <v>867832.16</v>
      </c>
      <c r="M22">
        <v>867832.16</v>
      </c>
      <c r="O22">
        <v>0</v>
      </c>
    </row>
    <row r="24" spans="2:17">
      <c r="B24" s="601" t="s">
        <v>262</v>
      </c>
    </row>
    <row r="25" spans="2:17">
      <c r="B25" s="601"/>
      <c r="C25">
        <v>1000</v>
      </c>
      <c r="E25" s="487">
        <v>18900013</v>
      </c>
      <c r="H25" t="s">
        <v>241</v>
      </c>
      <c r="K25">
        <v>43574</v>
      </c>
      <c r="M25">
        <v>52742</v>
      </c>
      <c r="O25">
        <v>-9168</v>
      </c>
      <c r="Q25">
        <v>-17.399999999999999</v>
      </c>
    </row>
    <row r="26" spans="2:17">
      <c r="B26" s="601"/>
      <c r="C26">
        <v>1000</v>
      </c>
      <c r="E26" s="487">
        <v>18900173</v>
      </c>
      <c r="H26" t="s">
        <v>242</v>
      </c>
      <c r="K26">
        <v>1618434.76</v>
      </c>
      <c r="M26">
        <v>1702874.8</v>
      </c>
      <c r="O26">
        <v>-84440.04</v>
      </c>
      <c r="Q26">
        <v>-5</v>
      </c>
    </row>
    <row r="27" spans="2:17">
      <c r="B27" s="601"/>
      <c r="C27">
        <v>1000</v>
      </c>
      <c r="E27" s="487">
        <v>18900183</v>
      </c>
      <c r="H27" t="s">
        <v>243</v>
      </c>
      <c r="K27">
        <v>357393.33</v>
      </c>
      <c r="M27">
        <v>365936.61</v>
      </c>
      <c r="O27">
        <v>-8543.2800000000007</v>
      </c>
      <c r="Q27">
        <v>-2.2999999999999998</v>
      </c>
    </row>
    <row r="28" spans="2:17">
      <c r="B28" s="601"/>
      <c r="C28">
        <v>1000</v>
      </c>
      <c r="E28" s="487">
        <v>18900193</v>
      </c>
      <c r="H28" t="s">
        <v>244</v>
      </c>
      <c r="K28">
        <v>2968303.51</v>
      </c>
      <c r="M28">
        <v>3083205.61</v>
      </c>
      <c r="O28">
        <v>-114902.1</v>
      </c>
      <c r="Q28">
        <v>-3.7</v>
      </c>
    </row>
    <row r="29" spans="2:17">
      <c r="B29" s="601"/>
      <c r="C29">
        <v>1000</v>
      </c>
      <c r="E29" s="487">
        <v>18900243</v>
      </c>
      <c r="H29" t="s">
        <v>245</v>
      </c>
      <c r="K29">
        <v>13994.93</v>
      </c>
      <c r="M29">
        <v>15744.35</v>
      </c>
      <c r="O29">
        <v>-1749.42</v>
      </c>
      <c r="Q29">
        <v>-11.1</v>
      </c>
    </row>
    <row r="30" spans="2:17">
      <c r="B30" s="601"/>
      <c r="C30">
        <v>1000</v>
      </c>
      <c r="E30" s="487">
        <v>18900253</v>
      </c>
      <c r="H30" t="s">
        <v>246</v>
      </c>
      <c r="K30">
        <v>758007.43</v>
      </c>
      <c r="M30">
        <v>780747.67</v>
      </c>
      <c r="O30">
        <v>-22740.240000000002</v>
      </c>
      <c r="Q30">
        <v>-2.9</v>
      </c>
    </row>
    <row r="31" spans="2:17">
      <c r="B31" s="601"/>
      <c r="C31">
        <v>1000</v>
      </c>
      <c r="E31" s="487">
        <v>18900263</v>
      </c>
      <c r="H31" t="s">
        <v>247</v>
      </c>
      <c r="K31">
        <v>576023.1</v>
      </c>
      <c r="M31">
        <v>593303.81999999995</v>
      </c>
      <c r="O31">
        <v>-17280.72</v>
      </c>
      <c r="Q31">
        <v>-2.9</v>
      </c>
    </row>
    <row r="32" spans="2:17">
      <c r="B32" s="601"/>
      <c r="C32">
        <v>1000</v>
      </c>
      <c r="E32" s="487">
        <v>18900273</v>
      </c>
      <c r="H32" t="s">
        <v>248</v>
      </c>
      <c r="K32">
        <v>1763756.95</v>
      </c>
      <c r="M32">
        <v>1816669.69</v>
      </c>
      <c r="O32">
        <v>-52912.74</v>
      </c>
      <c r="Q32">
        <v>-2.9</v>
      </c>
    </row>
    <row r="33" spans="3:19">
      <c r="C33">
        <v>1000</v>
      </c>
      <c r="E33" s="487">
        <v>18900283</v>
      </c>
      <c r="H33" t="s">
        <v>249</v>
      </c>
      <c r="K33">
        <v>538297.23</v>
      </c>
      <c r="M33">
        <v>554446.11</v>
      </c>
      <c r="O33">
        <v>-16148.88</v>
      </c>
      <c r="Q33">
        <v>-2.9</v>
      </c>
    </row>
    <row r="34" spans="3:19">
      <c r="C34">
        <v>1000</v>
      </c>
      <c r="E34" s="487">
        <v>18900293</v>
      </c>
      <c r="H34" t="s">
        <v>250</v>
      </c>
      <c r="K34">
        <v>8558.2800000000007</v>
      </c>
      <c r="M34">
        <v>9128.82</v>
      </c>
      <c r="O34">
        <v>-570.54</v>
      </c>
      <c r="Q34">
        <v>-6.2</v>
      </c>
    </row>
    <row r="35" spans="3:19">
      <c r="C35">
        <v>1000</v>
      </c>
      <c r="E35" s="487">
        <v>18900303</v>
      </c>
      <c r="H35" t="s">
        <v>251</v>
      </c>
      <c r="K35">
        <v>19968.330000000002</v>
      </c>
      <c r="M35">
        <v>21299.61</v>
      </c>
      <c r="O35">
        <v>-1331.28</v>
      </c>
      <c r="Q35">
        <v>-6.3</v>
      </c>
    </row>
    <row r="36" spans="3:19">
      <c r="C36">
        <v>1000</v>
      </c>
      <c r="E36" s="487">
        <v>18900323</v>
      </c>
      <c r="H36" t="s">
        <v>252</v>
      </c>
      <c r="K36">
        <v>510300.08</v>
      </c>
      <c r="M36">
        <v>541542.92000000004</v>
      </c>
      <c r="O36">
        <v>-31242.84</v>
      </c>
      <c r="Q36">
        <v>-5.8</v>
      </c>
    </row>
    <row r="37" spans="3:19">
      <c r="C37">
        <v>1000</v>
      </c>
      <c r="E37" s="487">
        <v>18900353</v>
      </c>
      <c r="H37" t="s">
        <v>253</v>
      </c>
      <c r="K37">
        <v>96792.960000000006</v>
      </c>
      <c r="M37">
        <v>102120.9</v>
      </c>
      <c r="O37">
        <v>-5327.94</v>
      </c>
      <c r="Q37">
        <v>-5.2</v>
      </c>
    </row>
    <row r="38" spans="3:19">
      <c r="C38">
        <v>1000</v>
      </c>
      <c r="E38" s="487">
        <v>18900373</v>
      </c>
      <c r="H38" t="s">
        <v>254</v>
      </c>
      <c r="K38">
        <v>4334470.0599999996</v>
      </c>
      <c r="M38">
        <v>4432980.76</v>
      </c>
      <c r="O38">
        <v>-98510.7</v>
      </c>
      <c r="Q38">
        <v>-2.2000000000000002</v>
      </c>
    </row>
    <row r="39" spans="3:19">
      <c r="C39">
        <v>1000</v>
      </c>
      <c r="E39" s="487">
        <v>18900383</v>
      </c>
      <c r="H39" t="s">
        <v>255</v>
      </c>
      <c r="K39">
        <v>556951.59</v>
      </c>
      <c r="M39">
        <v>652428.99</v>
      </c>
      <c r="O39">
        <v>-95477.4</v>
      </c>
      <c r="Q39">
        <v>-14.6</v>
      </c>
    </row>
    <row r="40" spans="3:19">
      <c r="C40">
        <v>1000</v>
      </c>
      <c r="E40" s="487">
        <v>18900393</v>
      </c>
      <c r="H40" t="s">
        <v>256</v>
      </c>
      <c r="K40">
        <v>14952704.08</v>
      </c>
      <c r="M40">
        <v>15152963.5</v>
      </c>
      <c r="O40">
        <v>-200259.42</v>
      </c>
      <c r="Q40">
        <v>-1.3</v>
      </c>
    </row>
    <row r="41" spans="3:19">
      <c r="C41" s="488">
        <v>1000</v>
      </c>
      <c r="D41" s="488"/>
      <c r="E41" s="489">
        <v>18900403</v>
      </c>
      <c r="F41" s="488"/>
      <c r="G41" s="488"/>
      <c r="H41" s="488" t="s">
        <v>257</v>
      </c>
      <c r="I41" s="488"/>
      <c r="J41" s="488"/>
      <c r="K41" s="488">
        <v>226832.11</v>
      </c>
      <c r="L41" s="488"/>
      <c r="M41" s="488">
        <v>258483.07</v>
      </c>
      <c r="N41" s="488"/>
      <c r="O41" s="488">
        <v>-31650.959999999999</v>
      </c>
      <c r="P41" s="488"/>
      <c r="Q41" s="488">
        <v>-12.2</v>
      </c>
      <c r="S41">
        <f>K41-K68</f>
        <v>-35683.260000000009</v>
      </c>
    </row>
    <row r="42" spans="3:19">
      <c r="C42" s="488">
        <v>1000</v>
      </c>
      <c r="D42" s="488"/>
      <c r="E42" s="489">
        <v>18900413</v>
      </c>
      <c r="F42" s="488"/>
      <c r="G42" s="488"/>
      <c r="H42" s="488" t="s">
        <v>258</v>
      </c>
      <c r="I42" s="488"/>
      <c r="J42" s="488"/>
      <c r="K42" s="488">
        <v>297952.94</v>
      </c>
      <c r="L42" s="488"/>
      <c r="M42" s="488">
        <v>339527.78</v>
      </c>
      <c r="N42" s="488"/>
      <c r="O42" s="488">
        <v>-41574.839999999997</v>
      </c>
      <c r="P42" s="488"/>
      <c r="Q42" s="488">
        <v>-12.2</v>
      </c>
      <c r="S42">
        <f>K42-K69</f>
        <v>-59006.340000000026</v>
      </c>
    </row>
    <row r="43" spans="3:19">
      <c r="C43" s="488">
        <v>1000</v>
      </c>
      <c r="D43" s="488"/>
      <c r="E43" s="489">
        <v>18900423</v>
      </c>
      <c r="F43" s="488"/>
      <c r="G43" s="488"/>
      <c r="H43" s="488" t="s">
        <v>259</v>
      </c>
      <c r="I43" s="488"/>
      <c r="J43" s="488"/>
      <c r="K43" s="488">
        <v>1187626.3500000001</v>
      </c>
      <c r="L43" s="488"/>
      <c r="M43" s="488">
        <v>1353341.67</v>
      </c>
      <c r="N43" s="488"/>
      <c r="O43" s="488">
        <v>-165715.32</v>
      </c>
      <c r="P43" s="488"/>
      <c r="Q43" s="488">
        <v>-12.2</v>
      </c>
      <c r="S43">
        <f>K43-K70</f>
        <v>-331430.6399999999</v>
      </c>
    </row>
    <row r="44" spans="3:19">
      <c r="C44">
        <v>1000</v>
      </c>
      <c r="E44" s="487">
        <v>18900433</v>
      </c>
      <c r="H44" t="s">
        <v>260</v>
      </c>
      <c r="K44">
        <v>4985479.54</v>
      </c>
      <c r="M44">
        <v>5135043.88</v>
      </c>
      <c r="O44">
        <v>-149564.34</v>
      </c>
      <c r="Q44">
        <v>-2.9</v>
      </c>
    </row>
    <row r="45" spans="3:19">
      <c r="C45" s="488">
        <v>1000</v>
      </c>
      <c r="D45" s="488"/>
      <c r="E45" s="489">
        <v>18900443</v>
      </c>
      <c r="F45" s="488"/>
      <c r="G45" s="488"/>
      <c r="H45" s="488" t="s">
        <v>263</v>
      </c>
      <c r="I45" s="488"/>
      <c r="J45" s="488"/>
      <c r="K45" s="488">
        <v>137185.22</v>
      </c>
      <c r="L45" s="488"/>
      <c r="M45" s="488">
        <v>0</v>
      </c>
      <c r="N45" s="488"/>
      <c r="O45" s="488">
        <v>137185.22</v>
      </c>
      <c r="P45" s="488"/>
      <c r="Q45" s="488"/>
    </row>
    <row r="46" spans="3:19">
      <c r="C46" s="488">
        <v>1000</v>
      </c>
      <c r="D46" s="488"/>
      <c r="E46" s="489">
        <v>18900453</v>
      </c>
      <c r="F46" s="488"/>
      <c r="G46" s="488"/>
      <c r="H46" s="488" t="s">
        <v>264</v>
      </c>
      <c r="I46" s="488"/>
      <c r="J46" s="488"/>
      <c r="K46" s="488">
        <v>75041.440000000002</v>
      </c>
      <c r="L46" s="488"/>
      <c r="M46" s="488">
        <v>0</v>
      </c>
      <c r="N46" s="488"/>
      <c r="O46" s="488">
        <v>75041.440000000002</v>
      </c>
      <c r="P46" s="488"/>
      <c r="Q46" s="488"/>
    </row>
    <row r="47" spans="3:19">
      <c r="C47">
        <v>1000</v>
      </c>
      <c r="E47" s="487">
        <v>18900533</v>
      </c>
      <c r="H47" t="s">
        <v>261</v>
      </c>
      <c r="K47">
        <v>842555.54</v>
      </c>
      <c r="M47">
        <v>867832.16</v>
      </c>
      <c r="O47">
        <v>-25276.62</v>
      </c>
      <c r="Q47">
        <v>-2.9</v>
      </c>
    </row>
    <row r="51" spans="2:17">
      <c r="B51" s="601" t="s">
        <v>265</v>
      </c>
    </row>
    <row r="52" spans="2:17">
      <c r="B52" s="601"/>
      <c r="C52" s="487">
        <v>1000</v>
      </c>
      <c r="E52" s="487">
        <v>18900013</v>
      </c>
      <c r="H52" t="s">
        <v>241</v>
      </c>
      <c r="K52">
        <v>61910</v>
      </c>
      <c r="M52">
        <v>52742</v>
      </c>
      <c r="O52">
        <v>9168</v>
      </c>
      <c r="Q52">
        <v>17.399999999999999</v>
      </c>
    </row>
    <row r="53" spans="2:17">
      <c r="B53" s="601"/>
      <c r="C53" s="487">
        <v>1000</v>
      </c>
      <c r="E53" s="487">
        <v>18900173</v>
      </c>
      <c r="H53" t="s">
        <v>242</v>
      </c>
      <c r="K53">
        <v>1787314.84</v>
      </c>
      <c r="M53">
        <v>1702874.8</v>
      </c>
      <c r="O53">
        <v>84440.04</v>
      </c>
      <c r="Q53">
        <v>5</v>
      </c>
    </row>
    <row r="54" spans="2:17">
      <c r="B54" s="601"/>
      <c r="C54" s="487">
        <v>1000</v>
      </c>
      <c r="E54" s="487">
        <v>18900183</v>
      </c>
      <c r="H54" t="s">
        <v>243</v>
      </c>
      <c r="K54">
        <v>374479.89</v>
      </c>
      <c r="M54">
        <v>365936.61</v>
      </c>
      <c r="O54">
        <v>8543.2800000000007</v>
      </c>
      <c r="Q54">
        <v>2.2999999999999998</v>
      </c>
    </row>
    <row r="55" spans="2:17">
      <c r="B55" s="601"/>
      <c r="C55" s="487">
        <v>1000</v>
      </c>
      <c r="E55" s="487">
        <v>18900193</v>
      </c>
      <c r="H55" t="s">
        <v>244</v>
      </c>
      <c r="K55">
        <v>3198107.71</v>
      </c>
      <c r="M55">
        <v>3083205.61</v>
      </c>
      <c r="O55">
        <v>114902.1</v>
      </c>
      <c r="Q55">
        <v>3.7</v>
      </c>
    </row>
    <row r="56" spans="2:17">
      <c r="B56" s="601"/>
      <c r="C56" s="487">
        <v>1000</v>
      </c>
      <c r="E56" s="487">
        <v>18900243</v>
      </c>
      <c r="H56" t="s">
        <v>245</v>
      </c>
      <c r="K56">
        <v>17493.77</v>
      </c>
      <c r="M56">
        <v>15744.35</v>
      </c>
      <c r="O56">
        <v>1749.42</v>
      </c>
      <c r="Q56">
        <v>11.1</v>
      </c>
    </row>
    <row r="57" spans="2:17">
      <c r="B57" s="601"/>
      <c r="C57" s="487">
        <v>1000</v>
      </c>
      <c r="E57" s="487">
        <v>18900253</v>
      </c>
      <c r="H57" t="s">
        <v>246</v>
      </c>
      <c r="K57">
        <v>803487.91</v>
      </c>
      <c r="M57">
        <v>780747.67</v>
      </c>
      <c r="O57">
        <v>22740.240000000002</v>
      </c>
      <c r="Q57">
        <v>2.9</v>
      </c>
    </row>
    <row r="58" spans="2:17">
      <c r="B58" s="601"/>
      <c r="C58" s="487">
        <v>1000</v>
      </c>
      <c r="E58" s="487">
        <v>18900263</v>
      </c>
      <c r="H58" t="s">
        <v>247</v>
      </c>
      <c r="K58">
        <v>610584.54</v>
      </c>
      <c r="M58">
        <v>593303.81999999995</v>
      </c>
      <c r="O58">
        <v>17280.72</v>
      </c>
      <c r="Q58">
        <v>2.9</v>
      </c>
    </row>
    <row r="59" spans="2:17">
      <c r="B59" s="601"/>
      <c r="C59" s="487">
        <v>1000</v>
      </c>
      <c r="E59" s="487">
        <v>18900273</v>
      </c>
      <c r="H59" t="s">
        <v>248</v>
      </c>
      <c r="K59">
        <v>1869582.43</v>
      </c>
      <c r="M59">
        <v>1816669.69</v>
      </c>
      <c r="O59">
        <v>52912.74</v>
      </c>
      <c r="Q59">
        <v>2.9</v>
      </c>
    </row>
    <row r="60" spans="2:17">
      <c r="B60" s="601"/>
      <c r="C60" s="487">
        <v>1000</v>
      </c>
      <c r="E60" s="487">
        <v>18900283</v>
      </c>
      <c r="H60" t="s">
        <v>249</v>
      </c>
      <c r="K60">
        <v>570594.99</v>
      </c>
      <c r="M60">
        <v>554446.11</v>
      </c>
      <c r="O60">
        <v>16148.88</v>
      </c>
      <c r="Q60">
        <v>2.9</v>
      </c>
    </row>
    <row r="61" spans="2:17">
      <c r="B61" s="601"/>
      <c r="C61" s="487">
        <v>1000</v>
      </c>
      <c r="E61" s="487">
        <v>18900293</v>
      </c>
      <c r="H61" t="s">
        <v>250</v>
      </c>
      <c r="K61">
        <v>9699.36</v>
      </c>
      <c r="M61">
        <v>9128.82</v>
      </c>
      <c r="O61">
        <v>570.54</v>
      </c>
      <c r="Q61">
        <v>6.2</v>
      </c>
    </row>
    <row r="62" spans="2:17">
      <c r="B62" s="601"/>
      <c r="C62" s="487">
        <v>1000</v>
      </c>
      <c r="E62" s="487">
        <v>18900303</v>
      </c>
      <c r="H62" t="s">
        <v>251</v>
      </c>
      <c r="K62">
        <v>22630.89</v>
      </c>
      <c r="M62">
        <v>21299.61</v>
      </c>
      <c r="O62">
        <v>1331.28</v>
      </c>
      <c r="Q62">
        <v>6.3</v>
      </c>
    </row>
    <row r="63" spans="2:17">
      <c r="B63" s="601"/>
      <c r="C63" s="487">
        <v>1000</v>
      </c>
      <c r="E63" s="487">
        <v>18900323</v>
      </c>
      <c r="H63" t="s">
        <v>252</v>
      </c>
      <c r="K63">
        <v>572785.76</v>
      </c>
      <c r="M63">
        <v>541542.92000000004</v>
      </c>
      <c r="O63">
        <v>31242.84</v>
      </c>
      <c r="Q63">
        <v>5.8</v>
      </c>
    </row>
    <row r="64" spans="2:17">
      <c r="B64" s="601"/>
      <c r="C64" s="487">
        <v>1000</v>
      </c>
      <c r="E64" s="487">
        <v>18900353</v>
      </c>
      <c r="H64" t="s">
        <v>253</v>
      </c>
      <c r="K64">
        <v>107448.84</v>
      </c>
      <c r="M64">
        <v>102120.9</v>
      </c>
      <c r="O64">
        <v>5327.94</v>
      </c>
      <c r="Q64">
        <v>5.2</v>
      </c>
    </row>
    <row r="65" spans="3:17">
      <c r="C65" s="487">
        <v>1000</v>
      </c>
      <c r="E65" s="487">
        <v>18900373</v>
      </c>
      <c r="H65" t="s">
        <v>254</v>
      </c>
      <c r="K65">
        <v>4531491.46</v>
      </c>
      <c r="M65">
        <v>4432980.76</v>
      </c>
      <c r="O65">
        <v>98510.7</v>
      </c>
      <c r="Q65">
        <v>2.2000000000000002</v>
      </c>
    </row>
    <row r="66" spans="3:17">
      <c r="C66" s="487">
        <v>1000</v>
      </c>
      <c r="E66" s="487">
        <v>18900383</v>
      </c>
      <c r="H66" t="s">
        <v>255</v>
      </c>
      <c r="K66">
        <v>747906.39</v>
      </c>
      <c r="M66">
        <v>652428.99</v>
      </c>
      <c r="O66">
        <v>95477.4</v>
      </c>
      <c r="Q66">
        <v>14.6</v>
      </c>
    </row>
    <row r="67" spans="3:17">
      <c r="C67" s="487">
        <v>1000</v>
      </c>
      <c r="E67" s="487">
        <v>18900393</v>
      </c>
      <c r="H67" t="s">
        <v>256</v>
      </c>
      <c r="K67">
        <v>15353222.92</v>
      </c>
      <c r="M67">
        <v>15152963.5</v>
      </c>
      <c r="O67">
        <v>200259.42</v>
      </c>
      <c r="Q67">
        <v>1.3</v>
      </c>
    </row>
    <row r="68" spans="3:17">
      <c r="C68" s="489">
        <v>1000</v>
      </c>
      <c r="D68" s="488"/>
      <c r="E68" s="489">
        <v>18900403</v>
      </c>
      <c r="F68" s="488"/>
      <c r="G68" s="488"/>
      <c r="H68" s="488" t="s">
        <v>257</v>
      </c>
      <c r="I68" s="488"/>
      <c r="J68" s="488"/>
      <c r="K68" s="488">
        <v>262515.37</v>
      </c>
      <c r="L68" s="488"/>
      <c r="M68" s="488">
        <v>258483.07</v>
      </c>
      <c r="N68" s="488"/>
      <c r="O68" s="488">
        <v>4032.3</v>
      </c>
      <c r="P68" s="488"/>
      <c r="Q68" s="488">
        <v>1.6</v>
      </c>
    </row>
    <row r="69" spans="3:17">
      <c r="C69" s="489">
        <v>1000</v>
      </c>
      <c r="D69" s="488"/>
      <c r="E69" s="489">
        <v>18900413</v>
      </c>
      <c r="F69" s="488"/>
      <c r="G69" s="488"/>
      <c r="H69" s="488" t="s">
        <v>258</v>
      </c>
      <c r="I69" s="488"/>
      <c r="J69" s="488"/>
      <c r="K69" s="488">
        <v>356959.28</v>
      </c>
      <c r="L69" s="488"/>
      <c r="M69" s="488">
        <v>339527.78</v>
      </c>
      <c r="N69" s="488"/>
      <c r="O69" s="488">
        <v>17431.5</v>
      </c>
      <c r="P69" s="488"/>
      <c r="Q69" s="488">
        <v>5.0999999999999996</v>
      </c>
    </row>
    <row r="70" spans="3:17">
      <c r="C70" s="489">
        <v>1000</v>
      </c>
      <c r="D70" s="488"/>
      <c r="E70" s="489">
        <v>18900423</v>
      </c>
      <c r="F70" s="488"/>
      <c r="G70" s="488"/>
      <c r="H70" s="488" t="s">
        <v>259</v>
      </c>
      <c r="I70" s="488"/>
      <c r="J70" s="488"/>
      <c r="K70" s="488">
        <v>1519056.99</v>
      </c>
      <c r="L70" s="488"/>
      <c r="M70" s="488">
        <v>1353341.67</v>
      </c>
      <c r="N70" s="488"/>
      <c r="O70" s="488">
        <v>165715.32</v>
      </c>
      <c r="P70" s="488"/>
      <c r="Q70" s="488">
        <v>12.2</v>
      </c>
    </row>
    <row r="71" spans="3:17">
      <c r="C71" s="487">
        <v>1000</v>
      </c>
      <c r="E71" s="487">
        <v>18900433</v>
      </c>
      <c r="H71" t="s">
        <v>260</v>
      </c>
      <c r="K71">
        <v>5284608.22</v>
      </c>
      <c r="M71">
        <v>5135043.88</v>
      </c>
      <c r="O71">
        <v>149564.34</v>
      </c>
      <c r="Q71">
        <v>2.9</v>
      </c>
    </row>
    <row r="72" spans="3:17">
      <c r="C72" s="487">
        <v>1000</v>
      </c>
      <c r="E72" s="487">
        <v>18900533</v>
      </c>
      <c r="H72" t="s">
        <v>261</v>
      </c>
      <c r="K72">
        <v>893108.78</v>
      </c>
      <c r="M72">
        <v>867832.16</v>
      </c>
      <c r="O72">
        <v>25276.62</v>
      </c>
      <c r="Q72">
        <v>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B49"/>
  <sheetViews>
    <sheetView showGridLines="0" zoomScaleNormal="100" workbookViewId="0">
      <selection activeCell="D25" sqref="D25"/>
    </sheetView>
  </sheetViews>
  <sheetFormatPr defaultColWidth="13.28515625" defaultRowHeight="13.2" outlineLevelRow="1"/>
  <cols>
    <col min="1" max="1" width="2.85546875" style="356" customWidth="1"/>
    <col min="2" max="2" width="40.7109375" style="356" customWidth="1"/>
    <col min="3" max="3" width="20" style="356" bestFit="1" customWidth="1"/>
    <col min="4" max="4" width="10.7109375" style="356" customWidth="1"/>
    <col min="5" max="5" width="18.28515625" style="412" customWidth="1"/>
    <col min="6" max="6" width="10.140625" style="356" customWidth="1"/>
    <col min="7" max="7" width="11.28515625" style="356" customWidth="1"/>
    <col min="8" max="16384" width="13.28515625" style="356"/>
  </cols>
  <sheetData>
    <row r="1" spans="1:28" ht="15.6">
      <c r="A1" s="353" t="s">
        <v>27</v>
      </c>
      <c r="B1" s="354"/>
      <c r="C1" s="354"/>
      <c r="D1" s="354"/>
      <c r="E1" s="354"/>
      <c r="F1" s="354"/>
      <c r="G1" s="354"/>
      <c r="H1" s="355"/>
      <c r="I1" s="355"/>
      <c r="J1" s="355"/>
      <c r="K1" s="355"/>
      <c r="L1" s="355"/>
      <c r="M1" s="355"/>
    </row>
    <row r="2" spans="1:28" ht="15.6">
      <c r="A2" s="357" t="s">
        <v>266</v>
      </c>
      <c r="B2" s="358"/>
      <c r="C2" s="359"/>
      <c r="D2" s="358"/>
      <c r="E2" s="358"/>
      <c r="F2" s="358"/>
      <c r="G2" s="358"/>
      <c r="AB2" s="360" t="s">
        <v>267</v>
      </c>
    </row>
    <row r="3" spans="1:28">
      <c r="A3" s="361">
        <v>42004</v>
      </c>
      <c r="B3" s="361"/>
      <c r="C3" s="361"/>
      <c r="D3" s="361"/>
      <c r="E3" s="362"/>
      <c r="F3" s="362"/>
      <c r="G3" s="362"/>
    </row>
    <row r="4" spans="1:28" ht="15.6">
      <c r="A4" s="363"/>
      <c r="B4" s="364"/>
      <c r="C4" s="365"/>
      <c r="D4" s="364"/>
      <c r="E4" s="366"/>
      <c r="F4" s="364"/>
      <c r="G4" s="364"/>
    </row>
    <row r="5" spans="1:28">
      <c r="A5" s="363"/>
      <c r="B5" s="364"/>
      <c r="C5" s="364"/>
      <c r="D5" s="364"/>
      <c r="E5" s="366"/>
      <c r="F5" s="364"/>
      <c r="G5" s="364"/>
    </row>
    <row r="6" spans="1:28">
      <c r="A6" s="117"/>
      <c r="B6" s="364"/>
      <c r="C6" s="364"/>
      <c r="D6" s="364"/>
      <c r="E6" s="366"/>
      <c r="F6" s="364"/>
      <c r="G6" s="364"/>
    </row>
    <row r="7" spans="1:28">
      <c r="A7" s="117"/>
      <c r="B7" s="568" t="s">
        <v>36</v>
      </c>
      <c r="C7" s="99"/>
      <c r="D7" s="99"/>
      <c r="E7" s="367"/>
      <c r="F7" s="99"/>
      <c r="G7" s="568"/>
      <c r="H7" s="568"/>
      <c r="I7" s="568"/>
    </row>
    <row r="8" spans="1:28">
      <c r="A8" s="117"/>
      <c r="B8" s="99"/>
      <c r="C8" s="96"/>
      <c r="D8" s="99"/>
      <c r="E8" s="367"/>
      <c r="F8" s="99"/>
      <c r="G8" s="368" t="s">
        <v>268</v>
      </c>
      <c r="H8" s="568"/>
      <c r="I8" s="568"/>
    </row>
    <row r="9" spans="1:28">
      <c r="A9" s="117"/>
      <c r="B9" s="96" t="s">
        <v>269</v>
      </c>
      <c r="C9" s="96" t="s">
        <v>270</v>
      </c>
      <c r="D9" s="368" t="s">
        <v>271</v>
      </c>
      <c r="E9" s="368" t="s">
        <v>272</v>
      </c>
      <c r="F9" s="368" t="s">
        <v>273</v>
      </c>
      <c r="G9" s="368" t="s">
        <v>274</v>
      </c>
      <c r="H9" s="568"/>
      <c r="I9" s="568"/>
    </row>
    <row r="10" spans="1:28">
      <c r="A10" s="117"/>
      <c r="B10" s="570"/>
      <c r="C10" s="570"/>
      <c r="D10" s="570"/>
      <c r="E10" s="602"/>
      <c r="F10" s="570"/>
      <c r="G10" s="570"/>
      <c r="H10" s="568"/>
      <c r="I10" s="568"/>
    </row>
    <row r="11" spans="1:28">
      <c r="A11" s="117"/>
      <c r="B11" s="96"/>
      <c r="C11" s="570"/>
      <c r="D11" s="570"/>
      <c r="E11" s="602"/>
      <c r="F11" s="570"/>
      <c r="G11" s="570"/>
      <c r="H11" s="568"/>
      <c r="I11" s="568"/>
    </row>
    <row r="12" spans="1:28">
      <c r="A12" s="117"/>
      <c r="B12" s="369" t="s">
        <v>275</v>
      </c>
      <c r="C12" s="370">
        <f>'Pg 3 STD Cost Rate'!C23</f>
        <v>101912013.62</v>
      </c>
      <c r="D12" s="371">
        <f>ROUND(C12/C$27,4)</f>
        <v>1.04E-2</v>
      </c>
      <c r="E12" s="372">
        <f>'Pg 3 STD Cost Rate'!E23</f>
        <v>6923125.8799381945</v>
      </c>
      <c r="F12" s="373">
        <f>ROUND(E12/C12,4)</f>
        <v>6.7900000000000002E-2</v>
      </c>
      <c r="G12" s="374">
        <f>ROUND(+D12*F12,4)</f>
        <v>6.9999999999999999E-4</v>
      </c>
      <c r="H12" s="568"/>
      <c r="I12" s="568"/>
    </row>
    <row r="13" spans="1:28">
      <c r="A13" s="117"/>
      <c r="B13" s="369"/>
      <c r="C13" s="370"/>
      <c r="D13" s="371"/>
      <c r="E13" s="372"/>
      <c r="F13" s="373"/>
      <c r="G13" s="374"/>
      <c r="H13" s="568"/>
      <c r="I13" s="568"/>
    </row>
    <row r="14" spans="1:28" hidden="1" outlineLevel="1">
      <c r="A14" s="117"/>
      <c r="B14" s="375" t="s">
        <v>276</v>
      </c>
      <c r="C14" s="376">
        <f>'Pg 6 LTD Cost '!S28</f>
        <v>4823860000</v>
      </c>
      <c r="D14" s="377">
        <f>ROUND(C14/C$27,4)</f>
        <v>0.49180000000000001</v>
      </c>
      <c r="E14" s="378">
        <f>'Pg 6 LTD Cost '!X28</f>
        <v>268585546.92000002</v>
      </c>
      <c r="F14" s="379">
        <f>ROUND(E14/C14,4)</f>
        <v>5.57E-2</v>
      </c>
      <c r="G14" s="380">
        <f>ROUND(+D14*F14,4)</f>
        <v>2.7400000000000001E-2</v>
      </c>
      <c r="H14" s="568"/>
      <c r="I14" s="568"/>
    </row>
    <row r="15" spans="1:28" hidden="1" outlineLevel="1">
      <c r="A15" s="117"/>
      <c r="B15" s="375" t="s">
        <v>277</v>
      </c>
      <c r="C15" s="376"/>
      <c r="D15" s="377"/>
      <c r="E15" s="378"/>
      <c r="F15" s="379"/>
      <c r="G15" s="380"/>
      <c r="H15" s="568"/>
      <c r="I15" s="568"/>
    </row>
    <row r="16" spans="1:28" hidden="1" outlineLevel="1">
      <c r="A16" s="117"/>
      <c r="B16" s="375" t="s">
        <v>278</v>
      </c>
      <c r="C16" s="376"/>
      <c r="D16" s="377"/>
      <c r="E16" s="378"/>
      <c r="F16" s="379"/>
      <c r="G16" s="380"/>
      <c r="H16" s="568"/>
      <c r="I16" s="568"/>
    </row>
    <row r="17" spans="1:9" hidden="1" outlineLevel="1">
      <c r="A17" s="117"/>
      <c r="B17" s="375" t="s">
        <v>279</v>
      </c>
      <c r="C17" s="381"/>
      <c r="D17" s="377">
        <f>ROUND(C17/C$27,4)</f>
        <v>0</v>
      </c>
      <c r="E17" s="382"/>
      <c r="F17" s="379"/>
      <c r="G17" s="380">
        <f>ROUND(+D17*F17,4)</f>
        <v>0</v>
      </c>
      <c r="H17" s="568"/>
      <c r="I17" s="568"/>
    </row>
    <row r="18" spans="1:9" hidden="1" outlineLevel="1">
      <c r="A18" s="117"/>
      <c r="B18" s="603"/>
      <c r="C18" s="370"/>
      <c r="D18" s="371" t="s">
        <v>36</v>
      </c>
      <c r="E18" s="372"/>
      <c r="F18" s="373"/>
      <c r="G18" s="374"/>
      <c r="H18" s="568"/>
      <c r="I18" s="568"/>
    </row>
    <row r="19" spans="1:9" collapsed="1">
      <c r="A19" s="117"/>
      <c r="B19" s="383" t="s">
        <v>280</v>
      </c>
      <c r="C19" s="370">
        <f>SUM(C14:C18)</f>
        <v>4823860000</v>
      </c>
      <c r="D19" s="371">
        <f>ROUND(C19/C27,4)</f>
        <v>0.49180000000000001</v>
      </c>
      <c r="E19" s="370">
        <f>SUM(E14:E18)</f>
        <v>268585546.92000002</v>
      </c>
      <c r="F19" s="384">
        <f>ROUND(E19/C19,4)</f>
        <v>5.57E-2</v>
      </c>
      <c r="G19" s="374">
        <f>ROUND(+D19*F19,4)</f>
        <v>2.7400000000000001E-2</v>
      </c>
      <c r="H19" s="568"/>
      <c r="I19" s="568"/>
    </row>
    <row r="20" spans="1:9">
      <c r="A20" s="117"/>
      <c r="B20" s="570"/>
      <c r="C20" s="385"/>
      <c r="D20" s="385"/>
      <c r="E20" s="372"/>
      <c r="F20" s="385"/>
      <c r="G20" s="385"/>
      <c r="H20" s="568"/>
      <c r="I20" s="568"/>
    </row>
    <row r="21" spans="1:9">
      <c r="A21" s="117"/>
      <c r="B21" s="98" t="s">
        <v>281</v>
      </c>
      <c r="C21" s="386">
        <f>C19+C12</f>
        <v>4925772013.6199999</v>
      </c>
      <c r="D21" s="387">
        <f>ROUND(C21/$C$27,4)</f>
        <v>0.50209999999999999</v>
      </c>
      <c r="E21" s="388">
        <f>E19+E12</f>
        <v>275508672.7999382</v>
      </c>
      <c r="F21" s="389">
        <f>ROUND(E21/C21,4)</f>
        <v>5.5899999999999998E-2</v>
      </c>
      <c r="G21" s="390">
        <f>ROUND(+D21*F21,4)</f>
        <v>2.81E-2</v>
      </c>
      <c r="H21" s="568"/>
      <c r="I21" s="568"/>
    </row>
    <row r="22" spans="1:9">
      <c r="A22" s="117"/>
      <c r="B22" s="99"/>
      <c r="C22" s="391"/>
      <c r="D22" s="371"/>
      <c r="E22" s="372"/>
      <c r="F22" s="391"/>
      <c r="G22" s="391"/>
      <c r="H22" s="568"/>
      <c r="I22" s="568"/>
    </row>
    <row r="23" spans="1:9">
      <c r="A23" s="117"/>
      <c r="B23" s="98" t="s">
        <v>282</v>
      </c>
      <c r="C23" s="392">
        <v>0</v>
      </c>
      <c r="D23" s="371">
        <f>ROUND(C23/$C$27,4)</f>
        <v>0</v>
      </c>
      <c r="E23" s="393">
        <v>0</v>
      </c>
      <c r="F23" s="417">
        <v>0</v>
      </c>
      <c r="G23" s="374">
        <f>ROUND(+D23*F23,4)</f>
        <v>0</v>
      </c>
      <c r="H23" s="568"/>
      <c r="I23" s="568"/>
    </row>
    <row r="24" spans="1:9">
      <c r="A24" s="117"/>
      <c r="B24" s="99"/>
      <c r="C24" s="370"/>
      <c r="D24" s="371"/>
      <c r="E24" s="372"/>
      <c r="F24" s="391"/>
      <c r="G24" s="391"/>
      <c r="H24" s="568"/>
      <c r="I24" s="568"/>
    </row>
    <row r="25" spans="1:9">
      <c r="A25" s="117"/>
      <c r="B25" s="98" t="s">
        <v>283</v>
      </c>
      <c r="C25" s="386">
        <f>'Pg 2 CapStructure'!I34-'Pg 2 CapStructure'!L38</f>
        <v>4883753774</v>
      </c>
      <c r="D25" s="387">
        <f>ROUND(C25/$C$27,4)</f>
        <v>0.49790000000000001</v>
      </c>
      <c r="E25" s="394"/>
      <c r="F25" s="604" t="e">
        <f>#REF!</f>
        <v>#REF!</v>
      </c>
      <c r="G25" s="390" t="e">
        <f>ROUND(+D25*F25,4)</f>
        <v>#REF!</v>
      </c>
      <c r="H25" s="568"/>
      <c r="I25" s="568"/>
    </row>
    <row r="26" spans="1:9">
      <c r="A26" s="117"/>
      <c r="B26" s="99"/>
      <c r="C26" s="395"/>
      <c r="D26" s="396"/>
      <c r="E26" s="372"/>
      <c r="F26" s="391"/>
      <c r="G26" s="395"/>
      <c r="H26" s="568"/>
      <c r="I26" s="568"/>
    </row>
    <row r="27" spans="1:9">
      <c r="A27" s="117"/>
      <c r="B27" s="98" t="s">
        <v>148</v>
      </c>
      <c r="C27" s="397">
        <f>SUM(C21:C25)</f>
        <v>9809525787.6199989</v>
      </c>
      <c r="D27" s="398">
        <f>SUM(D21:D25)</f>
        <v>1</v>
      </c>
      <c r="E27" s="399"/>
      <c r="F27" s="400"/>
      <c r="G27" s="401" t="e">
        <f>SUM(G21:G25)</f>
        <v>#REF!</v>
      </c>
      <c r="H27" s="568"/>
      <c r="I27" s="568"/>
    </row>
    <row r="28" spans="1:9">
      <c r="A28" s="117"/>
      <c r="B28" s="568"/>
      <c r="C28" s="391"/>
      <c r="D28" s="391"/>
      <c r="E28" s="402"/>
      <c r="F28" s="391"/>
      <c r="G28" s="391"/>
      <c r="H28" s="568"/>
      <c r="I28" s="568"/>
    </row>
    <row r="29" spans="1:9">
      <c r="A29" s="117"/>
      <c r="B29" s="568"/>
      <c r="C29" s="391"/>
      <c r="D29" s="391"/>
      <c r="E29" s="402"/>
      <c r="F29" s="391" t="s">
        <v>36</v>
      </c>
      <c r="G29" s="391"/>
      <c r="H29" s="568"/>
      <c r="I29" s="568"/>
    </row>
    <row r="30" spans="1:9">
      <c r="A30" s="117"/>
      <c r="B30" s="568"/>
      <c r="C30" s="605"/>
      <c r="D30" s="568"/>
      <c r="E30" s="606"/>
      <c r="F30" s="568"/>
      <c r="G30" s="568"/>
      <c r="H30" s="568"/>
      <c r="I30" s="568"/>
    </row>
    <row r="31" spans="1:9">
      <c r="A31" s="117"/>
      <c r="B31" s="403" t="s">
        <v>284</v>
      </c>
      <c r="C31" s="364"/>
      <c r="D31" s="364"/>
      <c r="E31" s="366"/>
      <c r="F31" s="364"/>
      <c r="G31" s="364"/>
    </row>
    <row r="32" spans="1:9">
      <c r="A32" s="117"/>
      <c r="B32" s="404" t="s">
        <v>285</v>
      </c>
      <c r="C32" s="364"/>
      <c r="D32" s="364"/>
      <c r="E32" s="366"/>
      <c r="F32" s="364"/>
      <c r="G32" s="364"/>
    </row>
    <row r="33" spans="1:7">
      <c r="A33" s="117"/>
      <c r="B33" s="405" t="s">
        <v>286</v>
      </c>
      <c r="C33" s="364"/>
      <c r="D33" s="364"/>
      <c r="E33" s="366"/>
      <c r="F33" s="364"/>
      <c r="G33" s="364"/>
    </row>
    <row r="34" spans="1:7">
      <c r="A34" s="406"/>
      <c r="B34" s="403" t="s">
        <v>287</v>
      </c>
      <c r="C34" s="364"/>
      <c r="D34" s="364"/>
      <c r="E34" s="366"/>
      <c r="F34" s="364"/>
      <c r="G34" s="364"/>
    </row>
    <row r="35" spans="1:7">
      <c r="A35" s="406"/>
      <c r="B35" s="364"/>
      <c r="C35" s="364"/>
      <c r="D35" s="364"/>
      <c r="E35" s="366"/>
      <c r="F35" s="364"/>
      <c r="G35" s="364"/>
    </row>
    <row r="36" spans="1:7">
      <c r="A36" s="363"/>
      <c r="B36" s="364"/>
      <c r="C36" s="364"/>
      <c r="D36" s="364"/>
      <c r="E36" s="366"/>
      <c r="F36" s="364"/>
      <c r="G36" s="364"/>
    </row>
    <row r="40" spans="1:7">
      <c r="B40" s="356" t="s">
        <v>288</v>
      </c>
      <c r="C40" s="493">
        <f>C19</f>
        <v>4823860000</v>
      </c>
    </row>
    <row r="41" spans="1:7">
      <c r="B41" s="356" t="s">
        <v>289</v>
      </c>
      <c r="C41" s="494">
        <f>C25</f>
        <v>4883753774</v>
      </c>
      <c r="D41" s="408"/>
      <c r="E41" s="409"/>
    </row>
    <row r="42" spans="1:7">
      <c r="B42" s="356" t="s">
        <v>49</v>
      </c>
      <c r="C42" s="493">
        <f>SUM(C40:C41)</f>
        <v>9707613774</v>
      </c>
      <c r="D42" s="408"/>
      <c r="E42" s="409"/>
    </row>
    <row r="43" spans="1:7">
      <c r="C43" s="407"/>
      <c r="D43" s="408"/>
      <c r="E43" s="409"/>
    </row>
    <row r="44" spans="1:7">
      <c r="C44" s="407"/>
      <c r="D44" s="408"/>
      <c r="E44" s="409"/>
    </row>
    <row r="45" spans="1:7">
      <c r="C45" s="407"/>
      <c r="D45" s="408"/>
      <c r="E45" s="409"/>
    </row>
    <row r="46" spans="1:7">
      <c r="C46" s="407"/>
      <c r="D46" s="408"/>
      <c r="E46" s="409"/>
    </row>
    <row r="47" spans="1:7">
      <c r="D47" s="408"/>
      <c r="E47" s="409"/>
    </row>
    <row r="48" spans="1:7">
      <c r="C48" s="407"/>
      <c r="D48" s="408"/>
      <c r="E48" s="409"/>
    </row>
    <row r="49" spans="4:5">
      <c r="D49" s="410"/>
      <c r="E49" s="411"/>
    </row>
  </sheetData>
  <phoneticPr fontId="25"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0"/>
  <sheetViews>
    <sheetView workbookViewId="0">
      <selection activeCell="J49" sqref="J49"/>
    </sheetView>
  </sheetViews>
  <sheetFormatPr defaultColWidth="10.7109375" defaultRowHeight="11.4"/>
  <cols>
    <col min="1" max="16384" width="10.7109375" style="439"/>
  </cols>
  <sheetData>
    <row r="1" spans="1:7" s="438" customFormat="1" ht="60">
      <c r="A1" s="437" t="s">
        <v>290</v>
      </c>
      <c r="B1" s="437"/>
      <c r="C1" s="437"/>
      <c r="D1" s="437"/>
      <c r="E1" s="437"/>
      <c r="F1" s="437"/>
      <c r="G1" s="437"/>
    </row>
    <row r="10" spans="1:7">
      <c r="B10" s="440"/>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60"/>
  <sheetViews>
    <sheetView workbookViewId="0">
      <selection activeCell="J49" sqref="J49"/>
    </sheetView>
  </sheetViews>
  <sheetFormatPr defaultColWidth="8.85546875" defaultRowHeight="13.2" outlineLevelCol="1"/>
  <cols>
    <col min="1" max="1" width="3.85546875" style="25"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3" width="9.140625" style="23" customWidth="1"/>
    <col min="14" max="14" width="9.85546875" style="23" customWidth="1"/>
    <col min="15" max="15" width="9.140625" style="23" customWidth="1"/>
    <col min="16" max="16" width="9.85546875" style="23" customWidth="1"/>
    <col min="17" max="21" width="8.85546875" style="23" customWidth="1"/>
    <col min="22" max="23" width="6" style="23" customWidth="1"/>
    <col min="24" max="24" width="8.85546875" style="23" customWidth="1" outlineLevel="1"/>
    <col min="25" max="25" width="10.85546875" style="23" bestFit="1" customWidth="1" outlineLevel="1"/>
    <col min="26" max="26" width="8.85546875" style="23" customWidth="1" outlineLevel="1"/>
    <col min="27" max="16384" width="8.85546875" style="23"/>
  </cols>
  <sheetData>
    <row r="1" spans="1:25" ht="12.75" customHeight="1">
      <c r="A1" s="205" t="s">
        <v>158</v>
      </c>
      <c r="B1" s="140"/>
      <c r="C1" s="140"/>
      <c r="D1" s="139"/>
      <c r="E1" s="141"/>
      <c r="F1" s="139"/>
      <c r="G1" s="140"/>
      <c r="H1" s="140"/>
      <c r="I1" s="140"/>
    </row>
    <row r="2" spans="1:25" s="57" customFormat="1" ht="12.75" customHeight="1">
      <c r="A2" s="237" t="e">
        <f>#REF!</f>
        <v>#REF!</v>
      </c>
      <c r="B2" s="142"/>
      <c r="C2" s="142"/>
      <c r="D2" s="142"/>
      <c r="E2" s="143"/>
      <c r="F2" s="142"/>
      <c r="G2" s="144"/>
      <c r="H2" s="143"/>
      <c r="I2" s="142"/>
      <c r="J2" s="170"/>
      <c r="K2" s="170"/>
      <c r="L2" s="170"/>
      <c r="M2" s="170"/>
      <c r="N2" s="170"/>
      <c r="O2" s="170"/>
      <c r="P2" s="170"/>
      <c r="Q2" s="170"/>
      <c r="R2" s="170"/>
      <c r="S2" s="170"/>
      <c r="T2" s="170"/>
      <c r="U2" s="170"/>
    </row>
    <row r="3" spans="1:25" s="57" customFormat="1" ht="12.75" customHeight="1">
      <c r="A3" s="237"/>
      <c r="B3" s="142"/>
      <c r="C3" s="142"/>
      <c r="D3" s="142"/>
      <c r="E3" s="143"/>
      <c r="F3" s="142"/>
      <c r="G3" s="144"/>
      <c r="H3" s="143"/>
      <c r="I3" s="142"/>
      <c r="J3" s="170"/>
      <c r="K3" s="170"/>
      <c r="L3" s="170"/>
      <c r="M3" s="170"/>
      <c r="N3" s="170"/>
      <c r="O3" s="170"/>
      <c r="P3" s="170"/>
      <c r="Q3" s="170"/>
      <c r="R3" s="170"/>
      <c r="S3" s="170"/>
      <c r="T3" s="170"/>
      <c r="U3" s="170"/>
    </row>
    <row r="4" spans="1:25" ht="11.1" customHeight="1">
      <c r="A4" s="156" t="s">
        <v>31</v>
      </c>
      <c r="B4" s="156" t="s">
        <v>32</v>
      </c>
      <c r="C4" s="156" t="s">
        <v>33</v>
      </c>
      <c r="D4" s="156" t="s">
        <v>34</v>
      </c>
      <c r="E4" s="156" t="s">
        <v>35</v>
      </c>
      <c r="F4" s="156" t="s">
        <v>55</v>
      </c>
      <c r="G4" s="156" t="s">
        <v>56</v>
      </c>
      <c r="H4" s="156" t="s">
        <v>57</v>
      </c>
      <c r="I4" s="156" t="s">
        <v>58</v>
      </c>
      <c r="J4" s="156" t="s">
        <v>60</v>
      </c>
      <c r="K4" s="156" t="s">
        <v>61</v>
      </c>
      <c r="L4" s="156" t="s">
        <v>62</v>
      </c>
      <c r="M4" s="156" t="s">
        <v>63</v>
      </c>
      <c r="N4" s="156" t="s">
        <v>64</v>
      </c>
      <c r="O4" s="156" t="s">
        <v>159</v>
      </c>
      <c r="P4" s="156" t="s">
        <v>160</v>
      </c>
      <c r="Q4" s="156" t="s">
        <v>161</v>
      </c>
      <c r="R4" s="156" t="s">
        <v>162</v>
      </c>
      <c r="S4" s="156" t="s">
        <v>163</v>
      </c>
      <c r="T4" s="156" t="s">
        <v>164</v>
      </c>
      <c r="U4" s="156" t="s">
        <v>165</v>
      </c>
      <c r="X4" s="413" t="s">
        <v>166</v>
      </c>
    </row>
    <row r="5" spans="1:25" ht="31.2">
      <c r="A5" s="315">
        <v>1</v>
      </c>
      <c r="B5" s="316" t="s">
        <v>167</v>
      </c>
      <c r="C5" s="316" t="s">
        <v>168</v>
      </c>
      <c r="D5" s="316" t="s">
        <v>169</v>
      </c>
      <c r="E5" s="316" t="s">
        <v>170</v>
      </c>
      <c r="F5" s="316" t="s">
        <v>171</v>
      </c>
      <c r="G5" s="316" t="s">
        <v>172</v>
      </c>
      <c r="H5" s="316" t="s">
        <v>173</v>
      </c>
      <c r="I5" s="316" t="s">
        <v>174</v>
      </c>
      <c r="J5" s="317">
        <v>41560</v>
      </c>
      <c r="K5" s="317">
        <v>41591</v>
      </c>
      <c r="L5" s="317">
        <v>41621</v>
      </c>
      <c r="M5" s="317" t="e">
        <f>'Pg 2 CapStructure'!#REF!</f>
        <v>#REF!</v>
      </c>
      <c r="N5" s="317">
        <f>'Pg 2 CapStructure'!C6</f>
        <v>44742</v>
      </c>
      <c r="O5" s="317">
        <f>'Pg 2 CapStructure'!D6</f>
        <v>44773</v>
      </c>
      <c r="P5" s="317">
        <f>'Pg 2 CapStructure'!E6</f>
        <v>44804</v>
      </c>
      <c r="Q5" s="317">
        <f>'Pg 2 CapStructure'!F6</f>
        <v>44834</v>
      </c>
      <c r="R5" s="317">
        <f>'Pg 2 CapStructure'!G6</f>
        <v>44865</v>
      </c>
      <c r="S5" s="317">
        <f>'Pg 2 CapStructure'!H6</f>
        <v>44895</v>
      </c>
      <c r="T5" s="317">
        <f>'Pg 2 CapStructure'!I6</f>
        <v>44926</v>
      </c>
      <c r="U5" s="317">
        <f>'Pg 2 CapStructure'!J6</f>
        <v>44957</v>
      </c>
      <c r="X5" s="414" t="s">
        <v>93</v>
      </c>
      <c r="Y5" s="414" t="s">
        <v>175</v>
      </c>
    </row>
    <row r="6" spans="1:25">
      <c r="A6" s="119">
        <f>A5+1</f>
        <v>2</v>
      </c>
      <c r="B6" s="123" t="s">
        <v>178</v>
      </c>
      <c r="C6" s="246">
        <v>6.9000000000000006E-2</v>
      </c>
      <c r="D6" s="247">
        <v>34242</v>
      </c>
      <c r="E6" s="247">
        <v>41548</v>
      </c>
      <c r="F6" s="241">
        <f>ROUND(((+J6+U6)+(SUM(K6:T6)*2))/22,0)</f>
        <v>0</v>
      </c>
      <c r="G6" s="248">
        <v>98.82208</v>
      </c>
      <c r="H6" s="157">
        <f t="shared" ref="H6:H27" si="0">ROUND(YIELD(D6,E6,C6,G6,100,2,2),4)</f>
        <v>7.0099999999999996E-2</v>
      </c>
      <c r="I6" s="241">
        <f t="shared" ref="I6:I27" si="1">ROUND(+H6*F6,0)</f>
        <v>0</v>
      </c>
      <c r="J6" s="241">
        <v>0</v>
      </c>
      <c r="K6" s="241">
        <v>0</v>
      </c>
      <c r="L6" s="241">
        <v>0</v>
      </c>
      <c r="M6" s="241">
        <v>0</v>
      </c>
      <c r="N6" s="241">
        <v>0</v>
      </c>
      <c r="O6" s="241">
        <v>0</v>
      </c>
      <c r="P6" s="241">
        <v>0</v>
      </c>
      <c r="Q6" s="241">
        <v>0</v>
      </c>
      <c r="R6" s="241">
        <v>0</v>
      </c>
      <c r="S6" s="241">
        <v>0</v>
      </c>
      <c r="T6" s="241">
        <v>0</v>
      </c>
      <c r="U6" s="241">
        <v>0</v>
      </c>
      <c r="X6" s="241">
        <f t="shared" ref="X6:X27" si="2">H6*U6</f>
        <v>0</v>
      </c>
    </row>
    <row r="7" spans="1:25">
      <c r="A7" s="119">
        <f>A6+1</f>
        <v>3</v>
      </c>
      <c r="B7" s="123" t="s">
        <v>176</v>
      </c>
      <c r="C7" s="246">
        <v>7.3499999999999996E-2</v>
      </c>
      <c r="D7" s="247">
        <v>34953</v>
      </c>
      <c r="E7" s="247">
        <v>42258</v>
      </c>
      <c r="F7" s="241">
        <f t="shared" ref="F7:F27" si="3">ROUND(((+J7+U7)+(SUM(K7:T7)*2))/22,0)</f>
        <v>10000000</v>
      </c>
      <c r="G7" s="248">
        <v>98.84387199999999</v>
      </c>
      <c r="H7" s="157">
        <f t="shared" si="0"/>
        <v>7.46E-2</v>
      </c>
      <c r="I7" s="241">
        <f t="shared" si="1"/>
        <v>746000</v>
      </c>
      <c r="J7" s="241">
        <v>10000000</v>
      </c>
      <c r="K7" s="241">
        <v>10000000</v>
      </c>
      <c r="L7" s="241">
        <v>10000000</v>
      </c>
      <c r="M7" s="241">
        <v>10000000</v>
      </c>
      <c r="N7" s="241">
        <v>10000000</v>
      </c>
      <c r="O7" s="241">
        <v>10000000</v>
      </c>
      <c r="P7" s="241">
        <v>10000000</v>
      </c>
      <c r="Q7" s="241">
        <v>10000000</v>
      </c>
      <c r="R7" s="241">
        <v>10000000</v>
      </c>
      <c r="S7" s="241">
        <v>10000000</v>
      </c>
      <c r="T7" s="241">
        <v>10000000</v>
      </c>
      <c r="U7" s="241">
        <v>10000000</v>
      </c>
      <c r="X7" s="241">
        <f t="shared" si="2"/>
        <v>746000</v>
      </c>
    </row>
    <row r="8" spans="1:25" s="27" customFormat="1">
      <c r="A8" s="119">
        <f>A7+1</f>
        <v>4</v>
      </c>
      <c r="B8" s="123" t="s">
        <v>176</v>
      </c>
      <c r="C8" s="246">
        <v>7.3599999999999999E-2</v>
      </c>
      <c r="D8" s="247">
        <v>34953</v>
      </c>
      <c r="E8" s="247">
        <v>42262</v>
      </c>
      <c r="F8" s="241">
        <f t="shared" si="3"/>
        <v>2000000</v>
      </c>
      <c r="G8" s="248">
        <v>98.843919999999997</v>
      </c>
      <c r="H8" s="157">
        <f t="shared" si="0"/>
        <v>7.4700000000000003E-2</v>
      </c>
      <c r="I8" s="241">
        <f t="shared" si="1"/>
        <v>149400</v>
      </c>
      <c r="J8" s="241">
        <v>2000000</v>
      </c>
      <c r="K8" s="241">
        <v>2000000</v>
      </c>
      <c r="L8" s="241">
        <v>2000000</v>
      </c>
      <c r="M8" s="241">
        <v>2000000</v>
      </c>
      <c r="N8" s="241">
        <v>2000000</v>
      </c>
      <c r="O8" s="241">
        <v>2000000</v>
      </c>
      <c r="P8" s="241">
        <v>2000000</v>
      </c>
      <c r="Q8" s="241">
        <v>2000000</v>
      </c>
      <c r="R8" s="241">
        <v>2000000</v>
      </c>
      <c r="S8" s="241">
        <v>2000000</v>
      </c>
      <c r="T8" s="241">
        <v>2000000</v>
      </c>
      <c r="U8" s="241">
        <v>2000000</v>
      </c>
      <c r="X8" s="241">
        <f t="shared" si="2"/>
        <v>149400</v>
      </c>
      <c r="Y8" s="23"/>
    </row>
    <row r="9" spans="1:25" s="27" customFormat="1">
      <c r="A9" s="119">
        <f>A8+1</f>
        <v>5</v>
      </c>
      <c r="B9" s="123" t="s">
        <v>180</v>
      </c>
      <c r="C9" s="246">
        <v>5.1970000000000002E-2</v>
      </c>
      <c r="D9" s="247">
        <v>38637</v>
      </c>
      <c r="E9" s="247">
        <v>42278</v>
      </c>
      <c r="F9" s="241">
        <f t="shared" si="3"/>
        <v>150000000</v>
      </c>
      <c r="G9" s="248">
        <v>99.193039993333343</v>
      </c>
      <c r="H9" s="157">
        <f t="shared" si="0"/>
        <v>5.2999999999999999E-2</v>
      </c>
      <c r="I9" s="241">
        <f>ROUND(+H9*F9,0)</f>
        <v>7950000</v>
      </c>
      <c r="J9" s="241">
        <v>150000000</v>
      </c>
      <c r="K9" s="241">
        <v>150000000</v>
      </c>
      <c r="L9" s="241">
        <v>150000000</v>
      </c>
      <c r="M9" s="241">
        <v>150000000</v>
      </c>
      <c r="N9" s="241">
        <v>150000000</v>
      </c>
      <c r="O9" s="241">
        <v>150000000</v>
      </c>
      <c r="P9" s="241">
        <v>150000000</v>
      </c>
      <c r="Q9" s="241">
        <v>150000000</v>
      </c>
      <c r="R9" s="241">
        <v>150000000</v>
      </c>
      <c r="S9" s="241">
        <v>150000000</v>
      </c>
      <c r="T9" s="241">
        <v>150000000</v>
      </c>
      <c r="U9" s="241">
        <v>150000000</v>
      </c>
      <c r="X9" s="241">
        <f t="shared" si="2"/>
        <v>7950000</v>
      </c>
      <c r="Y9" s="23"/>
    </row>
    <row r="10" spans="1:25" s="27" customFormat="1">
      <c r="A10" s="119">
        <f t="shared" ref="A10:A34" si="4">A9+1</f>
        <v>6</v>
      </c>
      <c r="B10" s="123" t="s">
        <v>180</v>
      </c>
      <c r="C10" s="246">
        <v>6.7500000000000004E-2</v>
      </c>
      <c r="D10" s="247">
        <v>39836</v>
      </c>
      <c r="E10" s="247">
        <v>42384</v>
      </c>
      <c r="F10" s="241">
        <f t="shared" si="3"/>
        <v>250000000</v>
      </c>
      <c r="G10" s="248">
        <v>99.239900000000006</v>
      </c>
      <c r="H10" s="157">
        <f t="shared" si="0"/>
        <v>6.8900000000000003E-2</v>
      </c>
      <c r="I10" s="241">
        <f>ROUND(+H10*F10,0)</f>
        <v>17225000</v>
      </c>
      <c r="J10" s="241">
        <v>250000000</v>
      </c>
      <c r="K10" s="241">
        <v>250000000</v>
      </c>
      <c r="L10" s="241">
        <v>250000000</v>
      </c>
      <c r="M10" s="241">
        <v>250000000</v>
      </c>
      <c r="N10" s="241">
        <v>250000000</v>
      </c>
      <c r="O10" s="241">
        <v>250000000</v>
      </c>
      <c r="P10" s="241">
        <v>250000000</v>
      </c>
      <c r="Q10" s="241">
        <v>250000000</v>
      </c>
      <c r="R10" s="241">
        <v>250000000</v>
      </c>
      <c r="S10" s="241">
        <v>250000000</v>
      </c>
      <c r="T10" s="241">
        <v>250000000</v>
      </c>
      <c r="U10" s="241">
        <v>250000000</v>
      </c>
      <c r="X10" s="241">
        <f t="shared" si="2"/>
        <v>17225000</v>
      </c>
      <c r="Y10" s="23"/>
    </row>
    <row r="11" spans="1:25" s="27" customFormat="1">
      <c r="A11" s="119">
        <f t="shared" si="4"/>
        <v>7</v>
      </c>
      <c r="B11" s="123" t="s">
        <v>177</v>
      </c>
      <c r="C11" s="246">
        <v>6.7400000000000002E-2</v>
      </c>
      <c r="D11" s="247">
        <v>35961</v>
      </c>
      <c r="E11" s="247">
        <v>43266</v>
      </c>
      <c r="F11" s="241">
        <f t="shared" si="3"/>
        <v>200000000</v>
      </c>
      <c r="G11" s="248">
        <v>98.98509159000001</v>
      </c>
      <c r="H11" s="157">
        <f t="shared" si="0"/>
        <v>6.83E-2</v>
      </c>
      <c r="I11" s="241">
        <f t="shared" si="1"/>
        <v>13660000</v>
      </c>
      <c r="J11" s="241">
        <v>200000000</v>
      </c>
      <c r="K11" s="241">
        <v>200000000</v>
      </c>
      <c r="L11" s="241">
        <v>200000000</v>
      </c>
      <c r="M11" s="241">
        <v>200000000</v>
      </c>
      <c r="N11" s="241">
        <v>200000000</v>
      </c>
      <c r="O11" s="241">
        <v>200000000</v>
      </c>
      <c r="P11" s="241">
        <v>200000000</v>
      </c>
      <c r="Q11" s="241">
        <v>200000000</v>
      </c>
      <c r="R11" s="241">
        <v>200000000</v>
      </c>
      <c r="S11" s="241">
        <v>200000000</v>
      </c>
      <c r="T11" s="241">
        <v>200000000</v>
      </c>
      <c r="U11" s="241">
        <v>200000000</v>
      </c>
      <c r="X11" s="241">
        <f t="shared" si="2"/>
        <v>13660000</v>
      </c>
    </row>
    <row r="12" spans="1:25" s="28" customFormat="1">
      <c r="A12" s="119">
        <f>A11+1</f>
        <v>8</v>
      </c>
      <c r="B12" s="123" t="s">
        <v>176</v>
      </c>
      <c r="C12" s="246">
        <v>7.1499999999999994E-2</v>
      </c>
      <c r="D12" s="247">
        <v>35053</v>
      </c>
      <c r="E12" s="247">
        <v>46010</v>
      </c>
      <c r="F12" s="241">
        <f t="shared" si="3"/>
        <v>15000000</v>
      </c>
      <c r="G12" s="248">
        <v>99.211911999999998</v>
      </c>
      <c r="H12" s="157">
        <f t="shared" si="0"/>
        <v>7.2099999999999997E-2</v>
      </c>
      <c r="I12" s="241">
        <f t="shared" si="1"/>
        <v>1081500</v>
      </c>
      <c r="J12" s="241">
        <v>15000000</v>
      </c>
      <c r="K12" s="241">
        <v>15000000</v>
      </c>
      <c r="L12" s="241">
        <v>15000000</v>
      </c>
      <c r="M12" s="241">
        <v>15000000</v>
      </c>
      <c r="N12" s="241">
        <v>15000000</v>
      </c>
      <c r="O12" s="241">
        <v>15000000</v>
      </c>
      <c r="P12" s="241">
        <v>15000000</v>
      </c>
      <c r="Q12" s="241">
        <v>15000000</v>
      </c>
      <c r="R12" s="241">
        <v>15000000</v>
      </c>
      <c r="S12" s="241">
        <v>15000000</v>
      </c>
      <c r="T12" s="241">
        <v>15000000</v>
      </c>
      <c r="U12" s="241">
        <v>15000000</v>
      </c>
      <c r="X12" s="241">
        <f t="shared" si="2"/>
        <v>1081500</v>
      </c>
      <c r="Y12" s="27"/>
    </row>
    <row r="13" spans="1:25" s="28" customFormat="1">
      <c r="A13" s="119">
        <f t="shared" si="4"/>
        <v>9</v>
      </c>
      <c r="B13" s="123" t="s">
        <v>176</v>
      </c>
      <c r="C13" s="246">
        <v>7.1999999999999995E-2</v>
      </c>
      <c r="D13" s="247">
        <v>35054</v>
      </c>
      <c r="E13" s="247">
        <v>46013</v>
      </c>
      <c r="F13" s="241">
        <f t="shared" si="3"/>
        <v>2000000</v>
      </c>
      <c r="G13" s="248">
        <v>99.211600000000004</v>
      </c>
      <c r="H13" s="157">
        <f t="shared" si="0"/>
        <v>7.2599999999999998E-2</v>
      </c>
      <c r="I13" s="241">
        <f t="shared" si="1"/>
        <v>145200</v>
      </c>
      <c r="J13" s="241">
        <v>2000000</v>
      </c>
      <c r="K13" s="241">
        <v>2000000</v>
      </c>
      <c r="L13" s="241">
        <v>2000000</v>
      </c>
      <c r="M13" s="241">
        <v>2000000</v>
      </c>
      <c r="N13" s="241">
        <v>2000000</v>
      </c>
      <c r="O13" s="241">
        <v>2000000</v>
      </c>
      <c r="P13" s="241">
        <v>2000000</v>
      </c>
      <c r="Q13" s="241">
        <v>2000000</v>
      </c>
      <c r="R13" s="241">
        <v>2000000</v>
      </c>
      <c r="S13" s="241">
        <v>2000000</v>
      </c>
      <c r="T13" s="241">
        <v>2000000</v>
      </c>
      <c r="U13" s="241">
        <v>2000000</v>
      </c>
      <c r="X13" s="241">
        <f t="shared" si="2"/>
        <v>145200</v>
      </c>
    </row>
    <row r="14" spans="1:25" s="28" customFormat="1">
      <c r="A14" s="119">
        <f t="shared" si="4"/>
        <v>10</v>
      </c>
      <c r="B14" s="123" t="s">
        <v>177</v>
      </c>
      <c r="C14" s="246">
        <v>7.0199999999999999E-2</v>
      </c>
      <c r="D14" s="247">
        <v>35786</v>
      </c>
      <c r="E14" s="247">
        <v>46722</v>
      </c>
      <c r="F14" s="241">
        <f t="shared" si="3"/>
        <v>300000000</v>
      </c>
      <c r="G14" s="248">
        <v>98.985735776666658</v>
      </c>
      <c r="H14" s="157">
        <f t="shared" si="0"/>
        <v>7.0999999999999994E-2</v>
      </c>
      <c r="I14" s="241">
        <f t="shared" si="1"/>
        <v>21300000</v>
      </c>
      <c r="J14" s="241">
        <v>300000000</v>
      </c>
      <c r="K14" s="241">
        <v>300000000</v>
      </c>
      <c r="L14" s="241">
        <v>300000000</v>
      </c>
      <c r="M14" s="241">
        <v>300000000</v>
      </c>
      <c r="N14" s="241">
        <v>300000000</v>
      </c>
      <c r="O14" s="241">
        <v>300000000</v>
      </c>
      <c r="P14" s="241">
        <v>300000000</v>
      </c>
      <c r="Q14" s="241">
        <v>300000000</v>
      </c>
      <c r="R14" s="241">
        <v>300000000</v>
      </c>
      <c r="S14" s="241">
        <v>300000000</v>
      </c>
      <c r="T14" s="241">
        <v>300000000</v>
      </c>
      <c r="U14" s="241">
        <v>300000000</v>
      </c>
      <c r="X14" s="241">
        <f t="shared" si="2"/>
        <v>21299999.999999996</v>
      </c>
    </row>
    <row r="15" spans="1:25">
      <c r="A15" s="119">
        <f t="shared" si="4"/>
        <v>11</v>
      </c>
      <c r="B15" s="123" t="s">
        <v>178</v>
      </c>
      <c r="C15" s="246">
        <v>7.0000000000000007E-2</v>
      </c>
      <c r="D15" s="247">
        <v>36228</v>
      </c>
      <c r="E15" s="247">
        <v>47186</v>
      </c>
      <c r="F15" s="241">
        <f t="shared" si="3"/>
        <v>100000000</v>
      </c>
      <c r="G15" s="248">
        <v>99.042870549999989</v>
      </c>
      <c r="H15" s="157">
        <f t="shared" si="0"/>
        <v>7.0800000000000002E-2</v>
      </c>
      <c r="I15" s="241">
        <f t="shared" si="1"/>
        <v>7080000</v>
      </c>
      <c r="J15" s="241">
        <v>100000000</v>
      </c>
      <c r="K15" s="241">
        <v>100000000</v>
      </c>
      <c r="L15" s="241">
        <v>100000000</v>
      </c>
      <c r="M15" s="241">
        <v>100000000</v>
      </c>
      <c r="N15" s="241">
        <v>100000000</v>
      </c>
      <c r="O15" s="241">
        <v>100000000</v>
      </c>
      <c r="P15" s="241">
        <v>100000000</v>
      </c>
      <c r="Q15" s="241">
        <v>100000000</v>
      </c>
      <c r="R15" s="241">
        <v>100000000</v>
      </c>
      <c r="S15" s="241">
        <v>100000000</v>
      </c>
      <c r="T15" s="241">
        <v>100000000</v>
      </c>
      <c r="U15" s="241">
        <v>100000000</v>
      </c>
      <c r="X15" s="241">
        <f t="shared" si="2"/>
        <v>7080000</v>
      </c>
      <c r="Y15" s="28"/>
    </row>
    <row r="16" spans="1:25">
      <c r="A16" s="119">
        <f>A15+1</f>
        <v>12</v>
      </c>
      <c r="B16" s="249" t="s">
        <v>179</v>
      </c>
      <c r="C16" s="246">
        <v>3.9E-2</v>
      </c>
      <c r="D16" s="250">
        <v>41417</v>
      </c>
      <c r="E16" s="251">
        <v>47908</v>
      </c>
      <c r="F16" s="241">
        <f t="shared" si="3"/>
        <v>138460000</v>
      </c>
      <c r="G16" s="248">
        <v>98.939099999999996</v>
      </c>
      <c r="H16" s="157">
        <f t="shared" si="0"/>
        <v>3.9800000000000002E-2</v>
      </c>
      <c r="I16" s="241">
        <f t="shared" si="1"/>
        <v>5510708</v>
      </c>
      <c r="J16" s="241">
        <v>138460000</v>
      </c>
      <c r="K16" s="241">
        <v>138460000</v>
      </c>
      <c r="L16" s="241">
        <v>138460000</v>
      </c>
      <c r="M16" s="241">
        <v>138460000</v>
      </c>
      <c r="N16" s="241">
        <v>138460000</v>
      </c>
      <c r="O16" s="241">
        <v>138460000</v>
      </c>
      <c r="P16" s="241">
        <v>138460000</v>
      </c>
      <c r="Q16" s="241">
        <v>138460000</v>
      </c>
      <c r="R16" s="241">
        <v>138460000</v>
      </c>
      <c r="S16" s="241">
        <v>138460000</v>
      </c>
      <c r="T16" s="241">
        <v>138460000</v>
      </c>
      <c r="U16" s="241">
        <v>138460000</v>
      </c>
      <c r="X16" s="241">
        <f t="shared" si="2"/>
        <v>5510708</v>
      </c>
    </row>
    <row r="17" spans="1:25">
      <c r="A17" s="119">
        <f t="shared" si="4"/>
        <v>13</v>
      </c>
      <c r="B17" s="249" t="s">
        <v>179</v>
      </c>
      <c r="C17" s="246">
        <v>0.04</v>
      </c>
      <c r="D17" s="250">
        <v>41417</v>
      </c>
      <c r="E17" s="251">
        <v>47908</v>
      </c>
      <c r="F17" s="241">
        <f t="shared" si="3"/>
        <v>23400000</v>
      </c>
      <c r="G17" s="248">
        <v>98.939099999999996</v>
      </c>
      <c r="H17" s="157">
        <f t="shared" si="0"/>
        <v>4.0800000000000003E-2</v>
      </c>
      <c r="I17" s="241">
        <f t="shared" si="1"/>
        <v>954720</v>
      </c>
      <c r="J17" s="241">
        <v>23400000</v>
      </c>
      <c r="K17" s="241">
        <v>23400000</v>
      </c>
      <c r="L17" s="241">
        <v>23400000</v>
      </c>
      <c r="M17" s="241">
        <v>23400000</v>
      </c>
      <c r="N17" s="241">
        <v>23400000</v>
      </c>
      <c r="O17" s="241">
        <v>23400000</v>
      </c>
      <c r="P17" s="241">
        <v>23400000</v>
      </c>
      <c r="Q17" s="241">
        <v>23400000</v>
      </c>
      <c r="R17" s="241">
        <v>23400000</v>
      </c>
      <c r="S17" s="241">
        <v>23400000</v>
      </c>
      <c r="T17" s="241">
        <v>23400000</v>
      </c>
      <c r="U17" s="241">
        <v>23400000</v>
      </c>
      <c r="X17" s="241">
        <f t="shared" si="2"/>
        <v>954720.00000000012</v>
      </c>
    </row>
    <row r="18" spans="1:25">
      <c r="A18" s="119">
        <f>A17+1</f>
        <v>14</v>
      </c>
      <c r="B18" s="123" t="s">
        <v>180</v>
      </c>
      <c r="C18" s="246">
        <v>5.4829999999999997E-2</v>
      </c>
      <c r="D18" s="247">
        <v>38499</v>
      </c>
      <c r="E18" s="247">
        <v>49461</v>
      </c>
      <c r="F18" s="241">
        <f t="shared" si="3"/>
        <v>250000000</v>
      </c>
      <c r="G18" s="248">
        <v>84.886606835999999</v>
      </c>
      <c r="H18" s="157">
        <f t="shared" si="0"/>
        <v>6.6500000000000004E-2</v>
      </c>
      <c r="I18" s="244">
        <f t="shared" si="1"/>
        <v>16625000</v>
      </c>
      <c r="J18" s="244">
        <v>250000000</v>
      </c>
      <c r="K18" s="244">
        <v>250000000</v>
      </c>
      <c r="L18" s="244">
        <v>250000000</v>
      </c>
      <c r="M18" s="244">
        <v>250000000</v>
      </c>
      <c r="N18" s="244">
        <v>250000000</v>
      </c>
      <c r="O18" s="244">
        <v>250000000</v>
      </c>
      <c r="P18" s="244">
        <v>250000000</v>
      </c>
      <c r="Q18" s="244">
        <v>250000000</v>
      </c>
      <c r="R18" s="244">
        <v>250000000</v>
      </c>
      <c r="S18" s="244">
        <v>250000000</v>
      </c>
      <c r="T18" s="244">
        <v>250000000</v>
      </c>
      <c r="U18" s="244">
        <v>250000000</v>
      </c>
      <c r="X18" s="241">
        <f t="shared" si="2"/>
        <v>16625000</v>
      </c>
    </row>
    <row r="19" spans="1:25">
      <c r="A19" s="119">
        <f t="shared" si="4"/>
        <v>15</v>
      </c>
      <c r="B19" s="123" t="s">
        <v>180</v>
      </c>
      <c r="C19" s="246">
        <v>6.7239999999999994E-2</v>
      </c>
      <c r="D19" s="247">
        <v>38898</v>
      </c>
      <c r="E19" s="247">
        <v>49841</v>
      </c>
      <c r="F19" s="241">
        <f t="shared" si="3"/>
        <v>250000000</v>
      </c>
      <c r="G19" s="248">
        <v>107.515271756</v>
      </c>
      <c r="H19" s="157">
        <f t="shared" si="0"/>
        <v>6.1699999999999998E-2</v>
      </c>
      <c r="I19" s="244">
        <f t="shared" si="1"/>
        <v>15425000</v>
      </c>
      <c r="J19" s="244">
        <v>250000000</v>
      </c>
      <c r="K19" s="244">
        <v>250000000</v>
      </c>
      <c r="L19" s="244">
        <v>250000000</v>
      </c>
      <c r="M19" s="244">
        <v>250000000</v>
      </c>
      <c r="N19" s="244">
        <v>250000000</v>
      </c>
      <c r="O19" s="244">
        <v>250000000</v>
      </c>
      <c r="P19" s="244">
        <v>250000000</v>
      </c>
      <c r="Q19" s="244">
        <v>250000000</v>
      </c>
      <c r="R19" s="244">
        <v>250000000</v>
      </c>
      <c r="S19" s="244">
        <v>250000000</v>
      </c>
      <c r="T19" s="244">
        <v>250000000</v>
      </c>
      <c r="U19" s="244">
        <v>250000000</v>
      </c>
      <c r="X19" s="241">
        <f t="shared" si="2"/>
        <v>15425000</v>
      </c>
    </row>
    <row r="20" spans="1:25">
      <c r="A20" s="119">
        <f t="shared" si="4"/>
        <v>16</v>
      </c>
      <c r="B20" s="123" t="s">
        <v>180</v>
      </c>
      <c r="C20" s="246">
        <v>6.2740000000000004E-2</v>
      </c>
      <c r="D20" s="247">
        <v>38978</v>
      </c>
      <c r="E20" s="247">
        <v>50114</v>
      </c>
      <c r="F20" s="241">
        <f t="shared" si="3"/>
        <v>300000000</v>
      </c>
      <c r="G20" s="248">
        <v>98.812700000000007</v>
      </c>
      <c r="H20" s="157">
        <f t="shared" si="0"/>
        <v>6.3600000000000004E-2</v>
      </c>
      <c r="I20" s="244">
        <f t="shared" si="1"/>
        <v>19080000</v>
      </c>
      <c r="J20" s="244">
        <v>300000000</v>
      </c>
      <c r="K20" s="244">
        <v>300000000</v>
      </c>
      <c r="L20" s="244">
        <v>300000000</v>
      </c>
      <c r="M20" s="244">
        <v>300000000</v>
      </c>
      <c r="N20" s="244">
        <v>300000000</v>
      </c>
      <c r="O20" s="244">
        <v>300000000</v>
      </c>
      <c r="P20" s="244">
        <v>300000000</v>
      </c>
      <c r="Q20" s="244">
        <v>300000000</v>
      </c>
      <c r="R20" s="244">
        <v>300000000</v>
      </c>
      <c r="S20" s="244">
        <v>300000000</v>
      </c>
      <c r="T20" s="244">
        <v>300000000</v>
      </c>
      <c r="U20" s="244">
        <v>300000000</v>
      </c>
      <c r="X20" s="241">
        <f t="shared" si="2"/>
        <v>19080000</v>
      </c>
    </row>
    <row r="21" spans="1:25">
      <c r="A21" s="119">
        <f t="shared" si="4"/>
        <v>17</v>
      </c>
      <c r="B21" s="123" t="s">
        <v>180</v>
      </c>
      <c r="C21" s="246">
        <v>5.7570000000000003E-2</v>
      </c>
      <c r="D21" s="247">
        <v>40067</v>
      </c>
      <c r="E21" s="247">
        <v>51058</v>
      </c>
      <c r="F21" s="241">
        <f t="shared" si="3"/>
        <v>350000000</v>
      </c>
      <c r="G21" s="248">
        <v>98.983599999999996</v>
      </c>
      <c r="H21" s="157">
        <f t="shared" si="0"/>
        <v>5.8299999999999998E-2</v>
      </c>
      <c r="I21" s="244">
        <f t="shared" si="1"/>
        <v>20405000</v>
      </c>
      <c r="J21" s="244">
        <v>350000000</v>
      </c>
      <c r="K21" s="244">
        <v>350000000</v>
      </c>
      <c r="L21" s="244">
        <v>350000000</v>
      </c>
      <c r="M21" s="244">
        <v>350000000</v>
      </c>
      <c r="N21" s="244">
        <v>350000000</v>
      </c>
      <c r="O21" s="244">
        <v>350000000</v>
      </c>
      <c r="P21" s="244">
        <v>350000000</v>
      </c>
      <c r="Q21" s="244">
        <v>350000000</v>
      </c>
      <c r="R21" s="244">
        <v>350000000</v>
      </c>
      <c r="S21" s="244">
        <v>350000000</v>
      </c>
      <c r="T21" s="244">
        <v>350000000</v>
      </c>
      <c r="U21" s="244">
        <v>350000000</v>
      </c>
      <c r="X21" s="241">
        <f t="shared" si="2"/>
        <v>20405000</v>
      </c>
    </row>
    <row r="22" spans="1:25">
      <c r="A22" s="119">
        <f t="shared" si="4"/>
        <v>18</v>
      </c>
      <c r="B22" s="123" t="s">
        <v>180</v>
      </c>
      <c r="C22" s="246">
        <v>5.7950000000000002E-2</v>
      </c>
      <c r="D22" s="247">
        <v>40245</v>
      </c>
      <c r="E22" s="247">
        <v>51210</v>
      </c>
      <c r="F22" s="241">
        <f t="shared" si="3"/>
        <v>325000000</v>
      </c>
      <c r="G22" s="248">
        <v>98.958799999999997</v>
      </c>
      <c r="H22" s="157">
        <f t="shared" si="0"/>
        <v>5.8700000000000002E-2</v>
      </c>
      <c r="I22" s="244">
        <f t="shared" si="1"/>
        <v>19077500</v>
      </c>
      <c r="J22" s="244">
        <v>325000000</v>
      </c>
      <c r="K22" s="244">
        <v>325000000</v>
      </c>
      <c r="L22" s="244">
        <v>325000000</v>
      </c>
      <c r="M22" s="244">
        <v>325000000</v>
      </c>
      <c r="N22" s="244">
        <v>325000000</v>
      </c>
      <c r="O22" s="244">
        <v>325000000</v>
      </c>
      <c r="P22" s="244">
        <v>325000000</v>
      </c>
      <c r="Q22" s="244">
        <v>325000000</v>
      </c>
      <c r="R22" s="244">
        <v>325000000</v>
      </c>
      <c r="S22" s="244">
        <v>325000000</v>
      </c>
      <c r="T22" s="244">
        <v>325000000</v>
      </c>
      <c r="U22" s="244">
        <v>325000000</v>
      </c>
      <c r="X22" s="241">
        <f t="shared" si="2"/>
        <v>19077500</v>
      </c>
    </row>
    <row r="23" spans="1:25">
      <c r="A23" s="119">
        <f t="shared" si="4"/>
        <v>19</v>
      </c>
      <c r="B23" s="123" t="s">
        <v>180</v>
      </c>
      <c r="C23" s="246">
        <v>5.7639999999999997E-2</v>
      </c>
      <c r="D23" s="247">
        <v>40358</v>
      </c>
      <c r="E23" s="247">
        <v>51332</v>
      </c>
      <c r="F23" s="241">
        <f t="shared" si="3"/>
        <v>250000000</v>
      </c>
      <c r="G23" s="248">
        <v>98.965199999999996</v>
      </c>
      <c r="H23" s="157">
        <f t="shared" si="0"/>
        <v>5.8400000000000001E-2</v>
      </c>
      <c r="I23" s="244">
        <f t="shared" si="1"/>
        <v>14600000</v>
      </c>
      <c r="J23" s="244">
        <v>250000000</v>
      </c>
      <c r="K23" s="244">
        <v>250000000</v>
      </c>
      <c r="L23" s="244">
        <v>250000000</v>
      </c>
      <c r="M23" s="244">
        <v>250000000</v>
      </c>
      <c r="N23" s="244">
        <v>250000000</v>
      </c>
      <c r="O23" s="244">
        <v>250000000</v>
      </c>
      <c r="P23" s="244">
        <v>250000000</v>
      </c>
      <c r="Q23" s="244">
        <v>250000000</v>
      </c>
      <c r="R23" s="244">
        <v>250000000</v>
      </c>
      <c r="S23" s="244">
        <v>250000000</v>
      </c>
      <c r="T23" s="244">
        <v>250000000</v>
      </c>
      <c r="U23" s="244">
        <v>250000000</v>
      </c>
      <c r="X23" s="241">
        <f t="shared" si="2"/>
        <v>14600000</v>
      </c>
    </row>
    <row r="24" spans="1:25">
      <c r="A24" s="119">
        <v>25</v>
      </c>
      <c r="B24" s="123" t="s">
        <v>180</v>
      </c>
      <c r="C24" s="246">
        <v>5.638E-2</v>
      </c>
      <c r="D24" s="247">
        <v>40627</v>
      </c>
      <c r="E24" s="247">
        <v>51606</v>
      </c>
      <c r="F24" s="241">
        <f t="shared" si="3"/>
        <v>300000000</v>
      </c>
      <c r="G24" s="248">
        <v>98.971000000000004</v>
      </c>
      <c r="H24" s="157">
        <f t="shared" si="0"/>
        <v>5.7099999999999998E-2</v>
      </c>
      <c r="I24" s="244">
        <f t="shared" si="1"/>
        <v>17130000</v>
      </c>
      <c r="J24" s="244">
        <v>300000000</v>
      </c>
      <c r="K24" s="244">
        <v>300000000</v>
      </c>
      <c r="L24" s="244">
        <v>300000000</v>
      </c>
      <c r="M24" s="244">
        <v>300000000</v>
      </c>
      <c r="N24" s="244">
        <v>300000000</v>
      </c>
      <c r="O24" s="244">
        <v>300000000</v>
      </c>
      <c r="P24" s="244">
        <v>300000000</v>
      </c>
      <c r="Q24" s="244">
        <v>300000000</v>
      </c>
      <c r="R24" s="244">
        <v>300000000</v>
      </c>
      <c r="S24" s="244">
        <v>300000000</v>
      </c>
      <c r="T24" s="244">
        <v>300000000</v>
      </c>
      <c r="U24" s="244">
        <v>300000000</v>
      </c>
      <c r="X24" s="241">
        <f t="shared" si="2"/>
        <v>17130000</v>
      </c>
    </row>
    <row r="25" spans="1:25">
      <c r="A25" s="119">
        <v>26</v>
      </c>
      <c r="B25" s="123" t="s">
        <v>180</v>
      </c>
      <c r="C25" s="246">
        <v>4.4339999999999997E-2</v>
      </c>
      <c r="D25" s="247">
        <v>40863</v>
      </c>
      <c r="E25" s="247">
        <v>51820</v>
      </c>
      <c r="F25" s="241">
        <f t="shared" si="3"/>
        <v>250000000</v>
      </c>
      <c r="G25" s="248">
        <v>98.962999999999994</v>
      </c>
      <c r="H25" s="157">
        <f t="shared" si="0"/>
        <v>4.4999999999999998E-2</v>
      </c>
      <c r="I25" s="244">
        <f t="shared" si="1"/>
        <v>11250000</v>
      </c>
      <c r="J25" s="244">
        <v>250000000</v>
      </c>
      <c r="K25" s="244">
        <v>250000000</v>
      </c>
      <c r="L25" s="244">
        <v>250000000</v>
      </c>
      <c r="M25" s="244">
        <v>250000000</v>
      </c>
      <c r="N25" s="244">
        <v>250000000</v>
      </c>
      <c r="O25" s="244">
        <v>250000000</v>
      </c>
      <c r="P25" s="244">
        <v>250000000</v>
      </c>
      <c r="Q25" s="244">
        <v>250000000</v>
      </c>
      <c r="R25" s="244">
        <v>250000000</v>
      </c>
      <c r="S25" s="244">
        <v>250000000</v>
      </c>
      <c r="T25" s="244">
        <v>250000000</v>
      </c>
      <c r="U25" s="244">
        <v>250000000</v>
      </c>
      <c r="X25" s="241">
        <f t="shared" si="2"/>
        <v>11250000</v>
      </c>
    </row>
    <row r="26" spans="1:25">
      <c r="A26" s="119">
        <v>27</v>
      </c>
      <c r="B26" s="123" t="s">
        <v>180</v>
      </c>
      <c r="C26" s="246">
        <v>4.7E-2</v>
      </c>
      <c r="D26" s="247">
        <v>40869</v>
      </c>
      <c r="E26" s="247">
        <v>55472</v>
      </c>
      <c r="F26" s="241">
        <f t="shared" si="3"/>
        <v>45000000</v>
      </c>
      <c r="G26" s="248">
        <v>98.863900000000001</v>
      </c>
      <c r="H26" s="157">
        <f t="shared" si="0"/>
        <v>4.7600000000000003E-2</v>
      </c>
      <c r="I26" s="244">
        <f t="shared" si="1"/>
        <v>2142000</v>
      </c>
      <c r="J26" s="244">
        <v>45000000</v>
      </c>
      <c r="K26" s="244">
        <v>45000000</v>
      </c>
      <c r="L26" s="244">
        <v>45000000</v>
      </c>
      <c r="M26" s="244">
        <v>45000000</v>
      </c>
      <c r="N26" s="244">
        <v>45000000</v>
      </c>
      <c r="O26" s="244">
        <v>45000000</v>
      </c>
      <c r="P26" s="244">
        <v>45000000</v>
      </c>
      <c r="Q26" s="244">
        <v>45000000</v>
      </c>
      <c r="R26" s="244">
        <v>45000000</v>
      </c>
      <c r="S26" s="244">
        <v>45000000</v>
      </c>
      <c r="T26" s="244">
        <v>45000000</v>
      </c>
      <c r="U26" s="244">
        <v>45000000</v>
      </c>
      <c r="X26" s="241">
        <f t="shared" si="2"/>
        <v>2142000</v>
      </c>
    </row>
    <row r="27" spans="1:25">
      <c r="A27" s="119">
        <v>28</v>
      </c>
      <c r="B27" s="123" t="s">
        <v>238</v>
      </c>
      <c r="C27" s="246">
        <v>6.9739999999999996E-2</v>
      </c>
      <c r="D27" s="247">
        <v>39237</v>
      </c>
      <c r="E27" s="247">
        <v>42887</v>
      </c>
      <c r="F27" s="241">
        <f t="shared" si="3"/>
        <v>250000000</v>
      </c>
      <c r="G27" s="248">
        <v>98.226200000000006</v>
      </c>
      <c r="H27" s="157">
        <f t="shared" si="0"/>
        <v>7.2300000000000003E-2</v>
      </c>
      <c r="I27" s="244">
        <f t="shared" si="1"/>
        <v>18075000</v>
      </c>
      <c r="J27" s="241">
        <v>250000000</v>
      </c>
      <c r="K27" s="241">
        <v>250000000</v>
      </c>
      <c r="L27" s="241">
        <v>250000000</v>
      </c>
      <c r="M27" s="241">
        <v>250000000</v>
      </c>
      <c r="N27" s="241">
        <v>250000000</v>
      </c>
      <c r="O27" s="241">
        <v>250000000</v>
      </c>
      <c r="P27" s="241">
        <v>250000000</v>
      </c>
      <c r="Q27" s="241">
        <v>250000000</v>
      </c>
      <c r="R27" s="241">
        <v>250000000</v>
      </c>
      <c r="S27" s="241">
        <v>250000000</v>
      </c>
      <c r="T27" s="241">
        <v>250000000</v>
      </c>
      <c r="U27" s="241">
        <v>250000000</v>
      </c>
      <c r="X27" s="241">
        <f t="shared" si="2"/>
        <v>18075000</v>
      </c>
    </row>
    <row r="28" spans="1:25">
      <c r="A28" s="119">
        <f t="shared" si="4"/>
        <v>29</v>
      </c>
      <c r="B28" s="123"/>
      <c r="C28" s="246"/>
      <c r="D28" s="247"/>
      <c r="E28" s="247"/>
      <c r="F28" s="241"/>
      <c r="G28" s="256"/>
      <c r="H28" s="157"/>
      <c r="I28" s="244"/>
      <c r="J28" s="241"/>
      <c r="K28" s="241"/>
      <c r="L28" s="241"/>
      <c r="M28" s="241"/>
      <c r="N28" s="241"/>
      <c r="O28" s="241"/>
      <c r="P28" s="241"/>
      <c r="Q28" s="241"/>
      <c r="R28" s="241"/>
      <c r="S28" s="241"/>
      <c r="T28" s="241"/>
      <c r="U28" s="241"/>
      <c r="X28" s="415">
        <f>SUM(X6:X27)</f>
        <v>229612028</v>
      </c>
    </row>
    <row r="29" spans="1:25" ht="13.8" thickBot="1">
      <c r="A29" s="119">
        <f t="shared" si="4"/>
        <v>30</v>
      </c>
      <c r="B29" s="123"/>
      <c r="C29" s="125" t="s">
        <v>181</v>
      </c>
      <c r="D29" s="247"/>
      <c r="E29" s="247"/>
      <c r="F29" s="241"/>
      <c r="G29" s="252"/>
      <c r="H29" s="157"/>
      <c r="I29" s="253">
        <f>'Pg 7 Reacquired Debt'!I32</f>
        <v>2091418.9200000002</v>
      </c>
      <c r="J29" s="202"/>
      <c r="K29" s="202"/>
      <c r="L29" s="202"/>
      <c r="M29" s="202"/>
      <c r="N29" s="202"/>
      <c r="O29" s="202"/>
      <c r="P29" s="202"/>
      <c r="Q29" s="202"/>
      <c r="R29" s="202"/>
      <c r="S29" s="202"/>
      <c r="T29" s="202"/>
      <c r="U29" s="202"/>
      <c r="X29" s="415">
        <f>I29</f>
        <v>2091418.9200000002</v>
      </c>
    </row>
    <row r="30" spans="1:25" ht="13.8" thickBot="1">
      <c r="A30" s="119">
        <f t="shared" si="4"/>
        <v>31</v>
      </c>
      <c r="B30" s="125" t="s">
        <v>182</v>
      </c>
      <c r="C30" s="246"/>
      <c r="D30" s="247"/>
      <c r="E30" s="247"/>
      <c r="F30" s="253">
        <f>SUM(F6:F29)</f>
        <v>3760860000</v>
      </c>
      <c r="G30" s="254"/>
      <c r="H30" s="187">
        <f>ROUND(+I30/F30,4)</f>
        <v>6.1600000000000002E-2</v>
      </c>
      <c r="I30" s="257">
        <f t="shared" ref="I30:U30" si="5">SUM(I6:I29)</f>
        <v>231703446.91999999</v>
      </c>
      <c r="J30" s="257">
        <f t="shared" si="5"/>
        <v>3760860000</v>
      </c>
      <c r="K30" s="257">
        <f t="shared" si="5"/>
        <v>3760860000</v>
      </c>
      <c r="L30" s="257">
        <f t="shared" si="5"/>
        <v>3760860000</v>
      </c>
      <c r="M30" s="257">
        <f t="shared" si="5"/>
        <v>3760860000</v>
      </c>
      <c r="N30" s="257">
        <f t="shared" si="5"/>
        <v>3760860000</v>
      </c>
      <c r="O30" s="257">
        <f t="shared" si="5"/>
        <v>3760860000</v>
      </c>
      <c r="P30" s="257">
        <f t="shared" si="5"/>
        <v>3760860000</v>
      </c>
      <c r="Q30" s="257">
        <f t="shared" si="5"/>
        <v>3760860000</v>
      </c>
      <c r="R30" s="257">
        <f t="shared" si="5"/>
        <v>3760860000</v>
      </c>
      <c r="S30" s="257">
        <f t="shared" si="5"/>
        <v>3760860000</v>
      </c>
      <c r="T30" s="257">
        <f t="shared" si="5"/>
        <v>3760860000</v>
      </c>
      <c r="U30" s="257">
        <f t="shared" si="5"/>
        <v>3760860000</v>
      </c>
      <c r="X30" s="257">
        <f>SUM(X28:X29)</f>
        <v>231703446.91999999</v>
      </c>
      <c r="Y30" s="416">
        <f>X30/U30</f>
        <v>6.1609165701461896E-2</v>
      </c>
    </row>
    <row r="31" spans="1:25">
      <c r="A31" s="119">
        <f t="shared" si="4"/>
        <v>32</v>
      </c>
      <c r="B31" s="123"/>
      <c r="C31" s="246"/>
      <c r="D31" s="247"/>
      <c r="E31" s="247"/>
      <c r="F31" s="255"/>
      <c r="G31" s="252"/>
      <c r="H31" s="217"/>
      <c r="I31" s="255"/>
      <c r="J31" s="428"/>
      <c r="K31" s="428"/>
      <c r="L31" s="428"/>
      <c r="M31" s="428"/>
      <c r="N31" s="428"/>
      <c r="O31" s="428"/>
      <c r="P31" s="428"/>
      <c r="Q31" s="428"/>
      <c r="R31" s="428"/>
      <c r="S31" s="428"/>
      <c r="T31" s="428"/>
      <c r="U31" s="428"/>
      <c r="X31" s="242">
        <f>H31*U31</f>
        <v>0</v>
      </c>
    </row>
    <row r="32" spans="1:25">
      <c r="A32" s="119">
        <f t="shared" si="4"/>
        <v>33</v>
      </c>
      <c r="B32" s="125"/>
      <c r="C32" s="122"/>
      <c r="D32" s="122"/>
      <c r="E32" s="122"/>
      <c r="F32" s="255"/>
      <c r="G32" s="25"/>
      <c r="H32" s="217"/>
      <c r="I32" s="255"/>
      <c r="J32" s="300"/>
      <c r="K32" s="300"/>
      <c r="L32" s="300"/>
      <c r="M32" s="300"/>
      <c r="N32" s="300"/>
      <c r="O32" s="300"/>
      <c r="P32" s="300"/>
      <c r="Q32" s="300"/>
      <c r="R32" s="300"/>
      <c r="S32" s="300"/>
      <c r="T32" s="300"/>
      <c r="U32" s="300"/>
      <c r="X32" s="241">
        <f>I32</f>
        <v>0</v>
      </c>
    </row>
    <row r="33" spans="1:55">
      <c r="A33" s="119">
        <f t="shared" si="4"/>
        <v>34</v>
      </c>
      <c r="B33" s="121" t="s">
        <v>186</v>
      </c>
      <c r="C33" s="122"/>
      <c r="D33" s="122"/>
      <c r="E33" s="122"/>
      <c r="F33" s="122"/>
      <c r="G33" s="122"/>
      <c r="H33" s="122"/>
      <c r="I33" s="122"/>
      <c r="X33" s="255"/>
      <c r="Y33" s="217"/>
    </row>
    <row r="34" spans="1:55">
      <c r="A34" s="119">
        <f t="shared" si="4"/>
        <v>35</v>
      </c>
      <c r="B34" s="121" t="s">
        <v>187</v>
      </c>
      <c r="C34" s="122"/>
      <c r="D34" s="122"/>
      <c r="E34" s="122"/>
      <c r="F34" s="122"/>
      <c r="G34" s="124"/>
      <c r="H34" s="122"/>
      <c r="I34" s="122"/>
    </row>
    <row r="35" spans="1:55">
      <c r="A35" s="119"/>
      <c r="B35" s="121"/>
      <c r="C35" s="122"/>
      <c r="D35" s="122"/>
      <c r="E35" s="122"/>
      <c r="F35" s="122"/>
      <c r="G35" s="124"/>
      <c r="H35" s="122"/>
      <c r="I35" s="122"/>
    </row>
    <row r="36" spans="1:55">
      <c r="A36" s="119"/>
      <c r="B36" s="120"/>
      <c r="C36" s="120"/>
      <c r="D36" s="120"/>
      <c r="E36" s="281" t="str">
        <f>IF((F30-'Pg 2 CapStructure'!Q16)&gt;1,"Total LTD ERROR",IF((F30-'Pg 2 CapStructure'!Q16)&lt;-1,"Total LTD ERROR",""))</f>
        <v>Total LTD ERROR</v>
      </c>
      <c r="G36" s="120"/>
      <c r="H36" s="122"/>
      <c r="I36" s="155"/>
      <c r="J36" s="241"/>
      <c r="K36" s="241"/>
      <c r="L36" s="241"/>
      <c r="M36" s="241"/>
      <c r="N36" s="241"/>
      <c r="O36" s="241"/>
      <c r="P36" s="241"/>
      <c r="Q36" s="241"/>
      <c r="R36" s="241"/>
      <c r="S36" s="241"/>
      <c r="T36" s="241"/>
      <c r="U36" s="241"/>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row>
    <row r="37" spans="1:55">
      <c r="A37" s="44"/>
      <c r="B37" s="258"/>
      <c r="C37" s="258"/>
      <c r="D37" s="258"/>
      <c r="E37" s="258"/>
      <c r="F37" s="240"/>
      <c r="G37" s="258"/>
      <c r="H37" s="122"/>
      <c r="I37" s="155"/>
      <c r="J37" s="259"/>
      <c r="K37" s="259"/>
      <c r="L37" s="259"/>
      <c r="M37" s="123"/>
      <c r="N37" s="123"/>
      <c r="O37" s="123"/>
      <c r="P37" s="123"/>
      <c r="Q37" s="123"/>
      <c r="R37" s="123"/>
      <c r="S37" s="123"/>
      <c r="T37" s="123"/>
      <c r="U37" s="123"/>
    </row>
    <row r="38" spans="1:55">
      <c r="A38" s="44"/>
      <c r="B38" s="258"/>
      <c r="C38" s="258"/>
      <c r="D38" s="258"/>
      <c r="E38" s="258"/>
      <c r="F38" s="239"/>
      <c r="G38" s="258"/>
      <c r="H38" s="120"/>
      <c r="I38" s="155"/>
      <c r="J38" s="242"/>
      <c r="K38" s="242"/>
      <c r="L38" s="242"/>
      <c r="M38" s="242"/>
      <c r="N38" s="242"/>
      <c r="O38" s="242"/>
      <c r="P38" s="242"/>
      <c r="Q38" s="242"/>
      <c r="R38" s="242"/>
      <c r="S38" s="242"/>
      <c r="T38" s="242"/>
      <c r="U38" s="242"/>
    </row>
    <row r="39" spans="1:55">
      <c r="A39" s="44"/>
      <c r="B39" s="28"/>
      <c r="C39" s="28"/>
      <c r="D39" s="28"/>
      <c r="E39" s="28"/>
      <c r="F39" s="240"/>
      <c r="G39" s="28"/>
      <c r="H39" s="28"/>
      <c r="I39" s="45"/>
      <c r="J39" s="192" t="str">
        <f t="shared" ref="J39:U39" si="6">IF(J38&lt;&gt;0,"ERROR","")</f>
        <v/>
      </c>
      <c r="K39" s="192" t="str">
        <f t="shared" si="6"/>
        <v/>
      </c>
      <c r="L39" s="192" t="str">
        <f t="shared" si="6"/>
        <v/>
      </c>
      <c r="M39" s="192" t="str">
        <f t="shared" si="6"/>
        <v/>
      </c>
      <c r="N39" s="192" t="str">
        <f t="shared" si="6"/>
        <v/>
      </c>
      <c r="O39" s="192" t="str">
        <f t="shared" si="6"/>
        <v/>
      </c>
      <c r="P39" s="192" t="str">
        <f t="shared" si="6"/>
        <v/>
      </c>
      <c r="Q39" s="192" t="str">
        <f t="shared" si="6"/>
        <v/>
      </c>
      <c r="R39" s="192" t="str">
        <f t="shared" si="6"/>
        <v/>
      </c>
      <c r="S39" s="192" t="str">
        <f t="shared" si="6"/>
        <v/>
      </c>
      <c r="T39" s="192" t="str">
        <f t="shared" si="6"/>
        <v/>
      </c>
      <c r="U39" s="44" t="str">
        <f t="shared" si="6"/>
        <v/>
      </c>
    </row>
    <row r="40" spans="1:55">
      <c r="A40" s="44"/>
      <c r="B40" s="28"/>
      <c r="C40" s="28"/>
      <c r="D40" s="28"/>
      <c r="E40" s="28"/>
      <c r="F40" s="45"/>
      <c r="G40" s="28"/>
      <c r="H40" s="157"/>
    </row>
    <row r="41" spans="1:55">
      <c r="A41" s="46"/>
      <c r="B41" s="47"/>
      <c r="C41" s="48"/>
      <c r="D41" s="49"/>
      <c r="E41" s="49"/>
      <c r="F41" s="231"/>
      <c r="G41" s="51"/>
      <c r="H41" s="157"/>
      <c r="I41" s="89"/>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L45"/>
  <sheetViews>
    <sheetView zoomScaleNormal="100" workbookViewId="0">
      <selection activeCell="J49" sqref="J49"/>
    </sheetView>
  </sheetViews>
  <sheetFormatPr defaultColWidth="11.42578125" defaultRowHeight="13.2"/>
  <cols>
    <col min="1" max="1" width="3.85546875" style="16" customWidth="1"/>
    <col min="2" max="2" width="37.28515625" style="16" customWidth="1"/>
    <col min="3" max="3" width="18.140625" style="16" customWidth="1"/>
    <col min="4" max="4" width="13.42578125" style="16" customWidth="1"/>
    <col min="5" max="5" width="13.140625" style="16" customWidth="1"/>
    <col min="6" max="6" width="13.42578125" style="16" customWidth="1"/>
    <col min="7" max="7" width="11.42578125" style="16" customWidth="1"/>
    <col min="8" max="8" width="13.85546875" style="16" customWidth="1"/>
    <col min="9" max="9" width="11.140625" style="16" customWidth="1"/>
    <col min="10" max="10" width="8.42578125" style="16" customWidth="1"/>
    <col min="11" max="11" width="9" style="16" customWidth="1"/>
    <col min="12" max="12" width="8.7109375" style="16" customWidth="1"/>
    <col min="13" max="16384" width="11.42578125" style="16"/>
  </cols>
  <sheetData>
    <row r="1" spans="1:12" ht="15.6">
      <c r="B1" s="301" t="s">
        <v>27</v>
      </c>
      <c r="C1" s="301"/>
      <c r="D1" s="301"/>
      <c r="E1" s="301"/>
      <c r="F1" s="301"/>
    </row>
    <row r="2" spans="1:12">
      <c r="A2" s="94"/>
      <c r="B2" s="17"/>
      <c r="C2" s="17"/>
      <c r="D2" s="17"/>
      <c r="E2" s="17"/>
      <c r="F2" s="17"/>
    </row>
    <row r="3" spans="1:12" ht="15.6">
      <c r="B3" s="302" t="s">
        <v>28</v>
      </c>
      <c r="C3" s="302"/>
      <c r="D3" s="302"/>
      <c r="E3" s="302"/>
      <c r="F3" s="302"/>
    </row>
    <row r="4" spans="1:12" ht="15.6">
      <c r="B4" s="303" t="s">
        <v>29</v>
      </c>
      <c r="C4" s="303"/>
      <c r="D4" s="303"/>
      <c r="E4" s="303"/>
      <c r="F4" s="303"/>
      <c r="H4" s="210"/>
      <c r="L4" s="213"/>
    </row>
    <row r="5" spans="1:12">
      <c r="A5" s="568"/>
      <c r="B5" s="236" t="e">
        <f>#REF!</f>
        <v>#REF!</v>
      </c>
      <c r="C5" s="236"/>
      <c r="D5" s="236"/>
      <c r="E5" s="236"/>
      <c r="F5" s="236"/>
      <c r="H5" s="210"/>
      <c r="L5" s="213"/>
    </row>
    <row r="6" spans="1:12">
      <c r="A6" s="18"/>
      <c r="C6" s="19"/>
      <c r="H6" s="210"/>
      <c r="L6" s="213"/>
    </row>
    <row r="7" spans="1:12" ht="17.399999999999999">
      <c r="A7" s="18"/>
      <c r="B7" s="441" t="s">
        <v>291</v>
      </c>
      <c r="C7" s="442"/>
      <c r="D7" s="442"/>
      <c r="E7" s="442"/>
      <c r="F7" s="443"/>
      <c r="H7" s="210"/>
      <c r="L7" s="213"/>
    </row>
    <row r="8" spans="1:12" ht="15.6">
      <c r="A8" s="18"/>
      <c r="B8" s="444" t="s">
        <v>292</v>
      </c>
      <c r="C8" s="607"/>
      <c r="D8" s="607"/>
      <c r="E8" s="607"/>
      <c r="F8" s="608"/>
      <c r="H8" s="210"/>
      <c r="L8" s="213"/>
    </row>
    <row r="9" spans="1:12">
      <c r="A9" s="166">
        <v>1</v>
      </c>
      <c r="B9" s="115" t="s">
        <v>31</v>
      </c>
      <c r="C9" s="115" t="s">
        <v>32</v>
      </c>
      <c r="D9" s="115" t="s">
        <v>33</v>
      </c>
      <c r="E9" s="115" t="s">
        <v>34</v>
      </c>
      <c r="F9" s="115" t="s">
        <v>35</v>
      </c>
      <c r="H9" s="210"/>
      <c r="L9" s="213"/>
    </row>
    <row r="10" spans="1:12">
      <c r="A10" s="166">
        <f t="shared" ref="A10:A24" si="0">+A9+1</f>
        <v>2</v>
      </c>
      <c r="B10" s="568"/>
      <c r="C10" s="568"/>
      <c r="D10" s="568"/>
      <c r="E10" s="568"/>
      <c r="F10" s="568"/>
      <c r="H10" s="210"/>
      <c r="L10" s="213"/>
    </row>
    <row r="11" spans="1:12">
      <c r="A11" s="166">
        <f t="shared" si="0"/>
        <v>3</v>
      </c>
      <c r="B11" s="569" t="s">
        <v>36</v>
      </c>
      <c r="C11" s="95"/>
      <c r="D11" s="95"/>
      <c r="E11" s="95"/>
      <c r="F11" s="95" t="s">
        <v>37</v>
      </c>
      <c r="H11" s="210"/>
      <c r="L11" s="213"/>
    </row>
    <row r="12" spans="1:12">
      <c r="A12" s="166">
        <f t="shared" si="0"/>
        <v>4</v>
      </c>
      <c r="B12" s="95"/>
      <c r="C12" s="96"/>
      <c r="D12" s="95"/>
      <c r="E12" s="95"/>
      <c r="F12" s="96" t="s">
        <v>38</v>
      </c>
      <c r="H12" s="210"/>
      <c r="L12" s="213"/>
    </row>
    <row r="13" spans="1:12">
      <c r="A13" s="166">
        <f t="shared" si="0"/>
        <v>5</v>
      </c>
      <c r="B13" s="97" t="s">
        <v>39</v>
      </c>
      <c r="C13" s="97" t="s">
        <v>40</v>
      </c>
      <c r="D13" s="97" t="s">
        <v>41</v>
      </c>
      <c r="E13" s="97" t="s">
        <v>3</v>
      </c>
      <c r="F13" s="97" t="s">
        <v>42</v>
      </c>
      <c r="H13" s="210"/>
      <c r="L13" s="213"/>
    </row>
    <row r="14" spans="1:12">
      <c r="A14" s="166">
        <f t="shared" si="0"/>
        <v>6</v>
      </c>
      <c r="B14" s="570"/>
      <c r="C14" s="570"/>
      <c r="D14" s="570"/>
      <c r="E14" s="570"/>
      <c r="F14" s="570"/>
      <c r="H14" s="210"/>
      <c r="L14" s="213"/>
    </row>
    <row r="15" spans="1:12">
      <c r="A15" s="166">
        <f t="shared" si="0"/>
        <v>7</v>
      </c>
      <c r="B15" s="98" t="s">
        <v>5</v>
      </c>
      <c r="C15" s="571" t="e">
        <f>#REF!</f>
        <v>#REF!</v>
      </c>
      <c r="D15" s="609" t="e">
        <f>#REF!</f>
        <v>#REF!</v>
      </c>
      <c r="E15" s="573" t="e">
        <f>'A2  STD Cost Rate-Prior Fac'!F23</f>
        <v>#REF!</v>
      </c>
      <c r="F15" s="572" t="e">
        <f>ROUND(D15*E15,5)</f>
        <v>#REF!</v>
      </c>
      <c r="L15" s="210"/>
    </row>
    <row r="16" spans="1:12">
      <c r="A16" s="166">
        <f t="shared" si="0"/>
        <v>8</v>
      </c>
      <c r="B16" s="570"/>
      <c r="C16" s="574"/>
      <c r="D16" s="572"/>
      <c r="E16" s="575"/>
      <c r="F16" s="572"/>
      <c r="L16" s="210"/>
    </row>
    <row r="17" spans="1:12">
      <c r="A17" s="166">
        <f t="shared" si="0"/>
        <v>9</v>
      </c>
      <c r="B17" s="98" t="s">
        <v>6</v>
      </c>
      <c r="C17" s="574" t="e">
        <f>#REF!</f>
        <v>#REF!</v>
      </c>
      <c r="D17" s="610" t="e">
        <f>#REF!</f>
        <v>#REF!</v>
      </c>
      <c r="E17" s="576" t="e">
        <f>#REF!</f>
        <v>#REF!</v>
      </c>
      <c r="F17" s="572" t="e">
        <f>ROUND(D17*E17,5)</f>
        <v>#REF!</v>
      </c>
      <c r="L17" s="210"/>
    </row>
    <row r="18" spans="1:12">
      <c r="A18" s="166">
        <f t="shared" si="0"/>
        <v>10</v>
      </c>
      <c r="B18" s="99"/>
      <c r="C18" s="574"/>
      <c r="D18" s="572"/>
      <c r="E18" s="611"/>
      <c r="F18" s="578"/>
      <c r="H18" s="612"/>
      <c r="I18" s="612"/>
      <c r="J18" s="612"/>
      <c r="K18" s="612"/>
      <c r="L18" s="612"/>
    </row>
    <row r="19" spans="1:12">
      <c r="A19" s="166">
        <f t="shared" si="0"/>
        <v>11</v>
      </c>
      <c r="B19" s="98" t="s">
        <v>48</v>
      </c>
      <c r="C19" s="151" t="e">
        <f>#REF!</f>
        <v>#REF!</v>
      </c>
      <c r="D19" s="296" t="e">
        <f>#REF!</f>
        <v>#REF!</v>
      </c>
      <c r="E19" s="525" t="e">
        <f>#REF!</f>
        <v>#REF!</v>
      </c>
      <c r="F19" s="314" t="e">
        <f>ROUND(D19*E19,5)</f>
        <v>#REF!</v>
      </c>
      <c r="H19" s="224"/>
      <c r="I19" s="224"/>
      <c r="J19" s="580"/>
      <c r="K19" s="225"/>
      <c r="L19" s="576"/>
    </row>
    <row r="20" spans="1:12">
      <c r="A20" s="166">
        <f t="shared" si="0"/>
        <v>12</v>
      </c>
      <c r="B20" s="99"/>
      <c r="C20" s="576"/>
      <c r="D20" s="581"/>
      <c r="E20" s="613"/>
      <c r="F20" s="576"/>
      <c r="H20" s="224"/>
      <c r="I20" s="224"/>
      <c r="J20" s="580"/>
      <c r="K20" s="225"/>
      <c r="L20" s="576"/>
    </row>
    <row r="21" spans="1:12">
      <c r="A21" s="166">
        <f t="shared" si="0"/>
        <v>13</v>
      </c>
      <c r="B21" s="98" t="s">
        <v>49</v>
      </c>
      <c r="C21" s="152" t="e">
        <f>ROUND(SUM(C15:C19),2)</f>
        <v>#REF!</v>
      </c>
      <c r="D21" s="216" t="e">
        <f>SUM(D15:D19)</f>
        <v>#REF!</v>
      </c>
      <c r="E21" s="153"/>
      <c r="F21" s="199" t="e">
        <f>ROUND(SUM(F15:F19),5)</f>
        <v>#REF!</v>
      </c>
      <c r="H21" s="583"/>
      <c r="I21" s="583"/>
      <c r="J21" s="580"/>
      <c r="K21" s="576"/>
      <c r="L21" s="584"/>
    </row>
    <row r="22" spans="1:12">
      <c r="A22" s="166">
        <f t="shared" si="0"/>
        <v>14</v>
      </c>
      <c r="B22" s="568"/>
      <c r="C22" s="583"/>
      <c r="D22" s="583"/>
      <c r="E22" s="583"/>
      <c r="F22" s="583"/>
      <c r="H22" s="568"/>
      <c r="I22" s="568"/>
      <c r="J22" s="568"/>
    </row>
    <row r="23" spans="1:12">
      <c r="A23" s="166">
        <f t="shared" si="0"/>
        <v>15</v>
      </c>
      <c r="B23" s="568"/>
      <c r="C23" s="568"/>
      <c r="D23" s="568"/>
      <c r="E23" s="585"/>
      <c r="F23" s="568"/>
    </row>
    <row r="24" spans="1:12">
      <c r="A24" s="166">
        <f t="shared" si="0"/>
        <v>16</v>
      </c>
      <c r="B24" s="98" t="s">
        <v>293</v>
      </c>
      <c r="C24" s="568"/>
      <c r="D24" s="568"/>
      <c r="E24" s="568"/>
      <c r="F24" s="568"/>
      <c r="G24" s="214"/>
    </row>
    <row r="25" spans="1:12">
      <c r="A25" s="15"/>
      <c r="B25" s="568"/>
      <c r="C25" s="568"/>
      <c r="D25" s="568"/>
      <c r="E25" s="568"/>
      <c r="F25" s="568"/>
    </row>
    <row r="26" spans="1:12">
      <c r="A26" s="15"/>
      <c r="B26" s="568"/>
      <c r="C26" s="574"/>
      <c r="D26" s="568"/>
      <c r="E26" s="568"/>
      <c r="F26" s="568"/>
    </row>
    <row r="27" spans="1:12">
      <c r="A27" s="15"/>
      <c r="B27" s="568"/>
      <c r="C27" s="574"/>
      <c r="D27" s="568"/>
      <c r="E27" s="568"/>
      <c r="F27" s="568"/>
    </row>
    <row r="28" spans="1:12">
      <c r="A28" s="15"/>
      <c r="B28" s="568"/>
      <c r="C28" s="574"/>
      <c r="D28" s="568"/>
      <c r="E28" s="568"/>
      <c r="F28" s="568"/>
    </row>
    <row r="29" spans="1:12">
      <c r="A29" s="15"/>
      <c r="B29" s="568"/>
      <c r="D29" s="568"/>
      <c r="E29" s="568"/>
      <c r="F29" s="568"/>
    </row>
    <row r="30" spans="1:12">
      <c r="A30" s="15"/>
      <c r="B30" s="568"/>
      <c r="C30" s="586"/>
      <c r="D30" s="568"/>
      <c r="E30" s="568"/>
      <c r="F30" s="568"/>
    </row>
    <row r="31" spans="1:12">
      <c r="A31" s="15"/>
      <c r="B31" s="568"/>
      <c r="C31" s="568"/>
      <c r="D31" s="568"/>
      <c r="E31" s="568"/>
      <c r="F31" s="568"/>
    </row>
    <row r="32" spans="1:12">
      <c r="A32" s="15"/>
      <c r="B32" s="568"/>
      <c r="C32" s="568"/>
      <c r="D32" s="568"/>
      <c r="E32" s="568"/>
      <c r="F32" s="568"/>
    </row>
    <row r="33" spans="2:6">
      <c r="B33" s="568"/>
      <c r="C33" s="568"/>
      <c r="D33" s="568"/>
      <c r="E33" s="568"/>
      <c r="F33" s="568"/>
    </row>
    <row r="34" spans="2:6">
      <c r="B34" s="568"/>
      <c r="C34" s="568"/>
      <c r="D34" s="568"/>
      <c r="E34" s="568"/>
      <c r="F34" s="568"/>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pageSetUpPr fitToPage="1"/>
  </sheetPr>
  <dimension ref="A1:H107"/>
  <sheetViews>
    <sheetView zoomScaleNormal="100" workbookViewId="0">
      <selection activeCell="J49" sqref="J49"/>
    </sheetView>
  </sheetViews>
  <sheetFormatPr defaultColWidth="11.42578125" defaultRowHeight="13.2"/>
  <cols>
    <col min="1" max="1" width="8.28515625" style="5" customWidth="1"/>
    <col min="2" max="2" width="46" style="5" customWidth="1"/>
    <col min="3" max="3" width="15.85546875" style="5" customWidth="1"/>
    <col min="4" max="4" width="11.42578125" style="5" customWidth="1"/>
    <col min="5" max="5" width="14.28515625" style="5" customWidth="1"/>
    <col min="6" max="6" width="13.42578125" style="5" customWidth="1"/>
    <col min="7" max="7" width="12.85546875" style="5" customWidth="1"/>
    <col min="8" max="8" width="11.85546875" style="5" customWidth="1"/>
    <col min="9" max="253" width="8.85546875" style="5" customWidth="1"/>
    <col min="254" max="16384" width="11.42578125" style="5"/>
  </cols>
  <sheetData>
    <row r="1" spans="1:8" ht="21">
      <c r="B1" s="445" t="s">
        <v>294</v>
      </c>
      <c r="C1" s="445"/>
      <c r="D1" s="445"/>
      <c r="E1" s="445"/>
      <c r="F1" s="445"/>
      <c r="G1" s="446"/>
    </row>
    <row r="2" spans="1:8">
      <c r="A2" s="3" t="s">
        <v>36</v>
      </c>
      <c r="B2" s="4"/>
      <c r="C2" s="4"/>
      <c r="D2" s="4"/>
      <c r="E2" s="4"/>
      <c r="F2" s="4"/>
      <c r="G2" s="4"/>
      <c r="H2" s="4"/>
    </row>
    <row r="3" spans="1:8" ht="16.2">
      <c r="A3" s="34"/>
      <c r="B3" s="293" t="s">
        <v>90</v>
      </c>
      <c r="C3" s="173"/>
      <c r="D3" s="173"/>
      <c r="E3" s="173"/>
      <c r="F3" s="173"/>
    </row>
    <row r="4" spans="1:8" ht="16.2">
      <c r="A4" s="34"/>
      <c r="B4" s="293" t="s">
        <v>91</v>
      </c>
      <c r="C4" s="173"/>
      <c r="D4" s="173"/>
      <c r="E4" s="173"/>
      <c r="F4" s="173"/>
    </row>
    <row r="5" spans="1:8" ht="15.75" customHeight="1">
      <c r="B5" s="294" t="e">
        <f>#REF!</f>
        <v>#REF!</v>
      </c>
      <c r="C5" s="174"/>
      <c r="D5" s="174"/>
      <c r="E5" s="174"/>
      <c r="F5" s="174"/>
    </row>
    <row r="6" spans="1:8">
      <c r="A6" s="3" t="s">
        <v>36</v>
      </c>
    </row>
    <row r="7" spans="1:8">
      <c r="A7" s="3" t="s">
        <v>36</v>
      </c>
      <c r="C7" s="5" t="s">
        <v>36</v>
      </c>
    </row>
    <row r="8" spans="1:8">
      <c r="A8" s="3">
        <v>1</v>
      </c>
      <c r="B8" s="68" t="s">
        <v>31</v>
      </c>
      <c r="C8" s="68" t="s">
        <v>32</v>
      </c>
      <c r="D8" s="68" t="s">
        <v>33</v>
      </c>
      <c r="E8" s="68" t="s">
        <v>34</v>
      </c>
      <c r="F8" s="68" t="s">
        <v>35</v>
      </c>
      <c r="G8" s="587"/>
    </row>
    <row r="9" spans="1:8">
      <c r="A9" s="3">
        <f t="shared" ref="A9:A28" si="0">A8+1</f>
        <v>2</v>
      </c>
      <c r="B9" s="67"/>
      <c r="C9" s="68"/>
      <c r="D9" s="67"/>
      <c r="E9" s="67"/>
      <c r="F9" s="67"/>
      <c r="G9" s="587"/>
    </row>
    <row r="10" spans="1:8">
      <c r="A10" s="3">
        <f t="shared" si="0"/>
        <v>3</v>
      </c>
      <c r="B10" s="67"/>
      <c r="C10" s="68" t="s">
        <v>92</v>
      </c>
      <c r="D10" s="68" t="s">
        <v>93</v>
      </c>
      <c r="E10" s="68" t="s">
        <v>94</v>
      </c>
      <c r="F10" s="68" t="s">
        <v>3</v>
      </c>
      <c r="G10" s="587"/>
    </row>
    <row r="11" spans="1:8">
      <c r="A11" s="3">
        <f t="shared" si="0"/>
        <v>4</v>
      </c>
      <c r="B11" s="69" t="s">
        <v>39</v>
      </c>
      <c r="C11" s="69" t="s">
        <v>95</v>
      </c>
      <c r="D11" s="69" t="s">
        <v>96</v>
      </c>
      <c r="E11" s="69" t="s">
        <v>97</v>
      </c>
      <c r="F11" s="69" t="s">
        <v>96</v>
      </c>
      <c r="G11" s="587"/>
    </row>
    <row r="12" spans="1:8">
      <c r="A12" s="3">
        <f t="shared" si="0"/>
        <v>5</v>
      </c>
      <c r="B12" s="588"/>
      <c r="C12" s="589"/>
      <c r="D12" s="589"/>
      <c r="E12" s="590"/>
      <c r="F12" s="589"/>
      <c r="G12" s="587"/>
    </row>
    <row r="13" spans="1:8">
      <c r="A13" s="3">
        <f t="shared" si="0"/>
        <v>6</v>
      </c>
      <c r="B13" s="588" t="s">
        <v>67</v>
      </c>
      <c r="C13" s="592">
        <f>'A3  STD Int &amp; Fees-Prior Fac'!C11</f>
        <v>101912013.62</v>
      </c>
      <c r="D13" s="183">
        <f>IF(E13=0,"NA",(E13/C13))</f>
        <v>4.5845448480895196E-2</v>
      </c>
      <c r="E13" s="592">
        <f>'A3  STD Int &amp; Fees-Prior Fac'!D11</f>
        <v>4672201.97</v>
      </c>
      <c r="F13" s="593"/>
      <c r="G13" s="594"/>
    </row>
    <row r="14" spans="1:8">
      <c r="A14" s="3">
        <f t="shared" si="0"/>
        <v>7</v>
      </c>
      <c r="B14" s="587" t="s">
        <v>98</v>
      </c>
      <c r="C14" s="592">
        <f>'A3  STD Int &amp; Fees-Prior Fac'!C12</f>
        <v>0</v>
      </c>
      <c r="D14" s="183" t="e">
        <f>IF(E14=0,"NA",(E14/C14))</f>
        <v>#REF!</v>
      </c>
      <c r="E14" s="592" t="e">
        <f>'A3  STD Int &amp; Fees-Prior Fac'!D12</f>
        <v>#REF!</v>
      </c>
      <c r="F14" s="593"/>
      <c r="G14" s="594"/>
    </row>
    <row r="15" spans="1:8">
      <c r="A15" s="3">
        <f t="shared" si="0"/>
        <v>8</v>
      </c>
      <c r="B15" s="587" t="s">
        <v>295</v>
      </c>
      <c r="C15" s="592" t="e">
        <f>'A3  STD Int &amp; Fees-Prior Fac'!C13</f>
        <v>#REF!</v>
      </c>
      <c r="D15" s="183" t="e">
        <f>IF(E15=0,"NA",(E15/C15))</f>
        <v>#REF!</v>
      </c>
      <c r="E15" s="592" t="e">
        <f>'A3  STD Int &amp; Fees-Prior Fac'!D13</f>
        <v>#REF!</v>
      </c>
      <c r="F15" s="593"/>
      <c r="G15" s="594"/>
    </row>
    <row r="16" spans="1:8">
      <c r="A16" s="3">
        <f t="shared" si="0"/>
        <v>9</v>
      </c>
      <c r="B16" s="587" t="s">
        <v>296</v>
      </c>
      <c r="C16" s="592" t="e">
        <f>'A3  STD Int &amp; Fees-Prior Fac'!C14</f>
        <v>#REF!</v>
      </c>
      <c r="D16" s="183" t="e">
        <f>IF(E16=0,"NA",(E16/C16))</f>
        <v>#REF!</v>
      </c>
      <c r="E16" s="592" t="e">
        <f>'A3  STD Int &amp; Fees-Prior Fac'!D14</f>
        <v>#REF!</v>
      </c>
      <c r="F16" s="593"/>
      <c r="G16" s="594"/>
    </row>
    <row r="17" spans="1:7">
      <c r="A17" s="3">
        <f t="shared" si="0"/>
        <v>10</v>
      </c>
      <c r="B17" s="595" t="s">
        <v>101</v>
      </c>
      <c r="C17" s="288" t="e">
        <f>SUM(C13:C16)</f>
        <v>#REF!</v>
      </c>
      <c r="D17" s="289" t="e">
        <f>IF(E17=0,"NA",(E17/C17))</f>
        <v>#REF!</v>
      </c>
      <c r="E17" s="596" t="e">
        <f>SUM(E13:E16)</f>
        <v>#REF!</v>
      </c>
      <c r="F17" s="593"/>
      <c r="G17" s="594"/>
    </row>
    <row r="18" spans="1:7">
      <c r="A18" s="3">
        <f t="shared" si="0"/>
        <v>11</v>
      </c>
      <c r="B18" s="587"/>
      <c r="C18" s="78"/>
      <c r="D18" s="184"/>
      <c r="E18" s="597"/>
      <c r="F18" s="587"/>
      <c r="G18" s="594"/>
    </row>
    <row r="19" spans="1:7">
      <c r="A19" s="3">
        <f t="shared" si="0"/>
        <v>12</v>
      </c>
      <c r="B19" s="588" t="s">
        <v>44</v>
      </c>
      <c r="C19" s="79"/>
      <c r="D19" s="80"/>
      <c r="E19" s="591" t="e">
        <f>'A3  STD Int &amp; Fees-Prior Fac'!H16</f>
        <v>#REF!</v>
      </c>
      <c r="F19" s="164" t="s">
        <v>102</v>
      </c>
      <c r="G19" s="594"/>
    </row>
    <row r="20" spans="1:7">
      <c r="A20" s="3">
        <f t="shared" si="0"/>
        <v>13</v>
      </c>
      <c r="B20" s="588"/>
      <c r="C20" s="70"/>
      <c r="D20" s="71"/>
      <c r="E20" s="75"/>
      <c r="F20" s="593"/>
      <c r="G20" s="594"/>
    </row>
    <row r="21" spans="1:7">
      <c r="A21" s="3">
        <f t="shared" si="0"/>
        <v>14</v>
      </c>
      <c r="B21" s="588" t="s">
        <v>103</v>
      </c>
      <c r="C21" s="70"/>
      <c r="D21" s="71"/>
      <c r="E21" s="591">
        <f>-'A4  STD Amort-Prior Fac'!E25</f>
        <v>293659.07999999996</v>
      </c>
      <c r="F21" s="164" t="s">
        <v>104</v>
      </c>
      <c r="G21" s="594"/>
    </row>
    <row r="22" spans="1:7" ht="13.8" thickBot="1">
      <c r="A22" s="3">
        <f t="shared" si="0"/>
        <v>15</v>
      </c>
      <c r="B22" s="587"/>
      <c r="C22" s="597"/>
      <c r="D22" s="592"/>
      <c r="E22" s="76"/>
      <c r="G22" s="587"/>
    </row>
    <row r="23" spans="1:7" ht="13.8" thickBot="1">
      <c r="A23" s="3">
        <f t="shared" si="0"/>
        <v>16</v>
      </c>
      <c r="B23" s="72" t="s">
        <v>105</v>
      </c>
      <c r="C23" s="73" t="e">
        <f>C17</f>
        <v>#REF!</v>
      </c>
      <c r="D23" s="74"/>
      <c r="E23" s="73" t="e">
        <f>SUM(E17:E22)</f>
        <v>#REF!</v>
      </c>
      <c r="F23" s="188" t="e">
        <f>E23/C23</f>
        <v>#REF!</v>
      </c>
      <c r="G23" s="594"/>
    </row>
    <row r="24" spans="1:7">
      <c r="A24" s="3">
        <f t="shared" si="0"/>
        <v>17</v>
      </c>
      <c r="B24" s="587"/>
      <c r="C24" s="587"/>
      <c r="D24" s="587"/>
      <c r="E24" s="587"/>
      <c r="F24" s="587"/>
      <c r="G24" s="594"/>
    </row>
    <row r="25" spans="1:7">
      <c r="A25" s="3">
        <f t="shared" si="0"/>
        <v>18</v>
      </c>
      <c r="E25" s="10"/>
      <c r="F25" s="9"/>
      <c r="G25" s="10"/>
    </row>
    <row r="26" spans="1:7">
      <c r="A26" s="3">
        <f t="shared" si="0"/>
        <v>19</v>
      </c>
      <c r="B26" s="118" t="s">
        <v>106</v>
      </c>
      <c r="C26" s="447"/>
      <c r="D26" s="447"/>
      <c r="E26" s="447"/>
      <c r="F26" s="588"/>
      <c r="G26" s="10"/>
    </row>
    <row r="27" spans="1:7">
      <c r="A27" s="3">
        <f t="shared" si="0"/>
        <v>20</v>
      </c>
      <c r="B27" s="118" t="s">
        <v>297</v>
      </c>
      <c r="C27" s="447"/>
      <c r="D27" s="447"/>
      <c r="E27" s="447"/>
      <c r="F27" s="588"/>
      <c r="G27" s="10"/>
    </row>
    <row r="28" spans="1:7">
      <c r="A28" s="3">
        <f t="shared" si="0"/>
        <v>21</v>
      </c>
      <c r="B28" s="118" t="s">
        <v>298</v>
      </c>
      <c r="C28" s="588"/>
      <c r="D28" s="588"/>
      <c r="E28" s="588"/>
      <c r="F28" s="588"/>
      <c r="G28" s="10"/>
    </row>
    <row r="29" spans="1:7">
      <c r="A29" s="3"/>
      <c r="B29" s="118"/>
      <c r="E29" s="10"/>
      <c r="F29" s="9"/>
      <c r="G29" s="10"/>
    </row>
    <row r="30" spans="1:7">
      <c r="A30" s="3"/>
      <c r="B30" s="118"/>
    </row>
    <row r="31" spans="1:7">
      <c r="A31" s="3"/>
      <c r="B31" s="8"/>
    </row>
    <row r="32" spans="1:7">
      <c r="A32" s="3"/>
      <c r="B32" s="8"/>
    </row>
    <row r="33" spans="1:7">
      <c r="A33" s="3" t="s">
        <v>36</v>
      </c>
    </row>
    <row r="34" spans="1:7" ht="12.75" customHeight="1">
      <c r="A34" s="11"/>
    </row>
    <row r="35" spans="1:7">
      <c r="A35" s="3" t="s">
        <v>36</v>
      </c>
      <c r="E35" s="10"/>
      <c r="F35" s="9"/>
      <c r="G35" s="10"/>
    </row>
    <row r="36" spans="1:7">
      <c r="A36" s="3" t="s">
        <v>36</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scale="20" orientation="landscape" r:id="rId1"/>
  <headerFooter alignWithMargins="0">
    <oddFooter>&amp;C&amp;A&amp;R&amp;8&amp;F</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O41"/>
  <sheetViews>
    <sheetView zoomScaleNormal="100" workbookViewId="0">
      <selection activeCell="J49" sqref="J49"/>
    </sheetView>
  </sheetViews>
  <sheetFormatPr defaultRowHeight="10.199999999999999"/>
  <cols>
    <col min="1" max="1" width="5.140625" customWidth="1"/>
    <col min="2" max="2" width="24.7109375" customWidth="1"/>
    <col min="3" max="3" width="16.140625" customWidth="1"/>
    <col min="4" max="4" width="15.140625" customWidth="1"/>
    <col min="5" max="5" width="11.85546875" customWidth="1"/>
    <col min="6" max="6" width="15" customWidth="1"/>
    <col min="7" max="7" width="14.28515625" customWidth="1"/>
    <col min="8" max="8" width="14.85546875" customWidth="1"/>
    <col min="9" max="10" width="12.85546875" customWidth="1"/>
    <col min="11" max="11" width="5.85546875" customWidth="1"/>
    <col min="12" max="12" width="8.42578125" customWidth="1"/>
    <col min="13" max="13" width="10" customWidth="1"/>
    <col min="14" max="14" width="11.140625" customWidth="1"/>
    <col min="15" max="15" width="11.42578125" customWidth="1"/>
  </cols>
  <sheetData>
    <row r="1" spans="1:15" ht="20.399999999999999">
      <c r="A1" s="35"/>
      <c r="B1" s="36" t="s">
        <v>109</v>
      </c>
      <c r="C1" s="36"/>
      <c r="D1" s="35"/>
      <c r="E1" s="448" t="s">
        <v>294</v>
      </c>
      <c r="F1" s="35"/>
      <c r="G1" s="36"/>
      <c r="H1" s="36"/>
      <c r="I1" s="36"/>
      <c r="J1" s="36"/>
      <c r="K1" s="35"/>
      <c r="L1" s="35"/>
      <c r="M1" s="35"/>
      <c r="N1" s="35"/>
      <c r="O1" s="35"/>
    </row>
    <row r="2" spans="1:15" ht="12">
      <c r="A2" s="35"/>
      <c r="B2" s="36" t="s">
        <v>110</v>
      </c>
      <c r="C2" s="36"/>
      <c r="D2" s="35"/>
      <c r="E2" s="35"/>
      <c r="F2" s="35"/>
      <c r="G2" s="36"/>
      <c r="H2" s="36"/>
      <c r="I2" s="36"/>
      <c r="J2" s="36"/>
      <c r="K2" s="37"/>
      <c r="L2" s="35"/>
      <c r="N2" s="35"/>
      <c r="O2" s="35"/>
    </row>
    <row r="3" spans="1:15" ht="13.2">
      <c r="A3" s="35"/>
      <c r="B3" s="236" t="e">
        <f>#REF!</f>
        <v>#REF!</v>
      </c>
      <c r="C3" s="227"/>
      <c r="D3" s="228"/>
      <c r="E3" s="228"/>
      <c r="F3" s="228"/>
      <c r="G3" s="229"/>
      <c r="H3" s="229"/>
      <c r="I3" s="229"/>
      <c r="J3" s="229"/>
      <c r="K3" s="35"/>
      <c r="L3" s="35"/>
      <c r="N3" s="35"/>
      <c r="O3" s="35"/>
    </row>
    <row r="4" spans="1:15" ht="12">
      <c r="A4" s="35"/>
      <c r="B4" s="36"/>
      <c r="C4" s="43"/>
      <c r="D4" s="35"/>
      <c r="E4" s="35"/>
      <c r="F4" s="35"/>
      <c r="G4" s="35"/>
      <c r="H4" s="35"/>
      <c r="I4" s="35"/>
      <c r="J4" s="35"/>
      <c r="K4" s="35"/>
      <c r="L4" s="35"/>
      <c r="N4" s="35"/>
      <c r="O4" s="35"/>
    </row>
    <row r="5" spans="1:15" ht="13.8" thickBot="1">
      <c r="A5" s="165">
        <v>1</v>
      </c>
      <c r="B5" s="307" t="s">
        <v>31</v>
      </c>
      <c r="C5" s="307" t="s">
        <v>32</v>
      </c>
      <c r="D5" s="307" t="s">
        <v>33</v>
      </c>
      <c r="E5" s="307" t="s">
        <v>34</v>
      </c>
      <c r="F5" s="307" t="s">
        <v>35</v>
      </c>
      <c r="G5" s="307" t="s">
        <v>55</v>
      </c>
      <c r="H5" s="307" t="s">
        <v>56</v>
      </c>
      <c r="I5" s="307" t="s">
        <v>57</v>
      </c>
      <c r="J5" s="307" t="s">
        <v>58</v>
      </c>
      <c r="K5" s="68"/>
      <c r="L5" s="68"/>
      <c r="N5" s="35"/>
      <c r="O5" s="35"/>
    </row>
    <row r="6" spans="1:15" ht="12">
      <c r="A6" s="165">
        <f t="shared" ref="A6:A40" si="0">+A5+1</f>
        <v>2</v>
      </c>
      <c r="B6" s="308" t="s">
        <v>111</v>
      </c>
      <c r="C6" s="309"/>
      <c r="D6" s="309"/>
      <c r="E6" s="309"/>
      <c r="F6" s="309"/>
      <c r="G6" s="309"/>
      <c r="H6" s="135"/>
      <c r="I6" s="135"/>
      <c r="J6" s="135"/>
      <c r="K6" s="310"/>
      <c r="M6" s="35"/>
      <c r="N6" s="35"/>
      <c r="O6" s="35"/>
    </row>
    <row r="7" spans="1:15" ht="12">
      <c r="A7" s="165">
        <f t="shared" si="0"/>
        <v>3</v>
      </c>
      <c r="B7" s="449"/>
      <c r="C7" s="178"/>
      <c r="D7" s="178"/>
      <c r="E7" s="178"/>
      <c r="F7" s="178"/>
      <c r="G7" s="178"/>
      <c r="H7" s="81"/>
      <c r="I7" s="81"/>
      <c r="J7" s="81"/>
      <c r="K7" s="137"/>
      <c r="M7" s="35"/>
      <c r="N7" s="35"/>
      <c r="O7" s="35"/>
    </row>
    <row r="8" spans="1:15" ht="12">
      <c r="A8" s="165">
        <f t="shared" si="0"/>
        <v>4</v>
      </c>
      <c r="B8" s="177"/>
      <c r="C8" s="178"/>
      <c r="D8" s="338" t="s">
        <v>299</v>
      </c>
      <c r="E8" s="185" t="s">
        <v>300</v>
      </c>
      <c r="F8" s="185" t="s">
        <v>301</v>
      </c>
      <c r="G8" s="339" t="s">
        <v>299</v>
      </c>
      <c r="H8" s="38"/>
      <c r="I8" s="38"/>
      <c r="J8" s="38"/>
      <c r="K8" s="311" t="s">
        <v>36</v>
      </c>
      <c r="L8" s="35"/>
      <c r="M8" s="243"/>
      <c r="N8" s="35"/>
      <c r="O8" s="35"/>
    </row>
    <row r="9" spans="1:15" ht="11.4">
      <c r="A9" s="165">
        <f t="shared" si="0"/>
        <v>5</v>
      </c>
      <c r="B9" s="177"/>
      <c r="C9" s="185" t="s">
        <v>112</v>
      </c>
      <c r="D9" s="185" t="s">
        <v>113</v>
      </c>
      <c r="E9" s="185" t="s">
        <v>112</v>
      </c>
      <c r="F9" s="185" t="s">
        <v>302</v>
      </c>
      <c r="G9" s="185" t="s">
        <v>112</v>
      </c>
      <c r="H9" s="185" t="s">
        <v>114</v>
      </c>
      <c r="I9" s="38"/>
      <c r="J9" s="38"/>
      <c r="K9" s="311"/>
      <c r="L9" s="176"/>
      <c r="M9" s="35"/>
      <c r="N9" s="35"/>
      <c r="O9" s="35"/>
    </row>
    <row r="10" spans="1:15" ht="11.4">
      <c r="A10" s="165">
        <f t="shared" si="0"/>
        <v>6</v>
      </c>
      <c r="B10" s="177"/>
      <c r="C10" s="186" t="s">
        <v>115</v>
      </c>
      <c r="D10" s="186" t="s">
        <v>93</v>
      </c>
      <c r="E10" s="186" t="s">
        <v>116</v>
      </c>
      <c r="F10" s="186" t="s">
        <v>303</v>
      </c>
      <c r="G10" s="186" t="s">
        <v>116</v>
      </c>
      <c r="H10" s="186" t="s">
        <v>117</v>
      </c>
      <c r="I10" s="40"/>
      <c r="J10" s="38"/>
      <c r="K10" s="311"/>
      <c r="L10" s="176"/>
      <c r="M10" s="211"/>
      <c r="N10" s="35"/>
      <c r="O10" s="35"/>
    </row>
    <row r="11" spans="1:15" ht="11.4">
      <c r="A11" s="165">
        <f t="shared" si="0"/>
        <v>7</v>
      </c>
      <c r="B11" s="177" t="s">
        <v>67</v>
      </c>
      <c r="C11" s="230">
        <f>'Pg 4 STD OS &amp; Comm Fees'!C11</f>
        <v>101912013.62</v>
      </c>
      <c r="D11" s="230">
        <f>G11*C11</f>
        <v>4672201.97</v>
      </c>
      <c r="E11" s="238">
        <f>'Pg 4 STD OS &amp; Comm Fees'!E11</f>
        <v>4.5845448480895196E-2</v>
      </c>
      <c r="F11" s="238">
        <v>0</v>
      </c>
      <c r="G11" s="238">
        <f>SUM(E11:F11)</f>
        <v>4.5845448480895196E-2</v>
      </c>
      <c r="H11" s="450">
        <v>0</v>
      </c>
      <c r="I11" s="304"/>
      <c r="J11" s="38"/>
      <c r="K11" s="311"/>
      <c r="L11" s="35"/>
      <c r="M11" s="175"/>
      <c r="N11" s="35"/>
      <c r="O11" s="35"/>
    </row>
    <row r="12" spans="1:15" ht="11.4">
      <c r="A12" s="165">
        <f t="shared" si="0"/>
        <v>8</v>
      </c>
      <c r="B12" s="177" t="s">
        <v>98</v>
      </c>
      <c r="C12" s="230">
        <f>'Pg 4 STD OS &amp; Comm Fees'!C12</f>
        <v>0</v>
      </c>
      <c r="D12" s="230" t="e">
        <f>G12*C12</f>
        <v>#REF!</v>
      </c>
      <c r="E12" s="238" t="str">
        <f>'Pg 4 STD OS &amp; Comm Fees'!E12</f>
        <v>NA</v>
      </c>
      <c r="F12" s="238">
        <v>0</v>
      </c>
      <c r="G12" s="238" t="e">
        <f>(D11+D13+D14)/(C11+C13+C14)</f>
        <v>#REF!</v>
      </c>
      <c r="H12" s="450">
        <v>0</v>
      </c>
      <c r="I12" s="304"/>
      <c r="J12" s="38"/>
      <c r="K12" s="311"/>
      <c r="L12" s="35"/>
      <c r="M12" s="175"/>
      <c r="N12" s="35"/>
      <c r="O12" s="35"/>
    </row>
    <row r="13" spans="1:15" ht="11.4">
      <c r="A13" s="165">
        <f t="shared" si="0"/>
        <v>9</v>
      </c>
      <c r="B13" s="177" t="s">
        <v>304</v>
      </c>
      <c r="C13" s="230" t="e">
        <f>'Pg 4 STD OS &amp; Comm Fees'!#REF!</f>
        <v>#REF!</v>
      </c>
      <c r="D13" s="230" t="e">
        <f>G13*C13</f>
        <v>#REF!</v>
      </c>
      <c r="E13" s="238" t="e">
        <f>'Pg 4 STD OS &amp; Comm Fees'!#REF!</f>
        <v>#REF!</v>
      </c>
      <c r="F13" s="238">
        <f>$C$38</f>
        <v>-3.2500000000000003E-3</v>
      </c>
      <c r="G13" s="238" t="e">
        <f>SUM(E13:F13)</f>
        <v>#REF!</v>
      </c>
      <c r="H13" s="182" t="e">
        <f>J23</f>
        <v>#REF!</v>
      </c>
      <c r="I13" s="304"/>
      <c r="J13" s="38"/>
      <c r="K13" s="311"/>
      <c r="L13" s="35"/>
      <c r="M13" s="175"/>
      <c r="N13" s="35"/>
      <c r="O13" s="35"/>
    </row>
    <row r="14" spans="1:15" ht="11.4">
      <c r="A14" s="165">
        <f t="shared" si="0"/>
        <v>10</v>
      </c>
      <c r="B14" s="177" t="s">
        <v>304</v>
      </c>
      <c r="C14" s="230" t="e">
        <f>'Pg 4 STD OS &amp; Comm Fees'!#REF!</f>
        <v>#REF!</v>
      </c>
      <c r="D14" s="230" t="e">
        <f>G14*C14</f>
        <v>#REF!</v>
      </c>
      <c r="E14" s="238" t="e">
        <f>'Pg 4 STD OS &amp; Comm Fees'!#REF!</f>
        <v>#REF!</v>
      </c>
      <c r="F14" s="238">
        <f>$C$38</f>
        <v>-3.2500000000000003E-3</v>
      </c>
      <c r="G14" s="238" t="e">
        <f>SUM(E14:F14)</f>
        <v>#REF!</v>
      </c>
      <c r="H14" s="182">
        <f>J24</f>
        <v>253472.22222200001</v>
      </c>
      <c r="I14" s="304"/>
      <c r="J14" s="38"/>
      <c r="K14" s="311"/>
      <c r="L14" s="35"/>
      <c r="M14" s="175"/>
      <c r="N14" s="35"/>
      <c r="O14" s="35"/>
    </row>
    <row r="15" spans="1:15" ht="11.4">
      <c r="A15" s="165">
        <f t="shared" si="0"/>
        <v>11</v>
      </c>
      <c r="B15" s="177" t="s">
        <v>118</v>
      </c>
      <c r="C15" s="230"/>
      <c r="D15" s="230"/>
      <c r="E15" s="238"/>
      <c r="F15" s="238"/>
      <c r="G15" s="238"/>
      <c r="H15" s="182">
        <f>J30</f>
        <v>108667.76907638887</v>
      </c>
      <c r="I15" s="304"/>
      <c r="J15" s="38"/>
      <c r="K15" s="311"/>
      <c r="L15" s="35"/>
      <c r="M15" s="175"/>
      <c r="N15" s="35"/>
      <c r="O15" s="35"/>
    </row>
    <row r="16" spans="1:15" ht="12">
      <c r="A16" s="165">
        <f t="shared" si="0"/>
        <v>12</v>
      </c>
      <c r="B16" s="291" t="s">
        <v>119</v>
      </c>
      <c r="C16" s="451" t="e">
        <f>SUM(C11:C15)</f>
        <v>#REF!</v>
      </c>
      <c r="D16" s="453" t="e">
        <f>SUM(D11:D15)</f>
        <v>#REF!</v>
      </c>
      <c r="E16" s="452">
        <f>'[4]Pg 4 STD OS &amp; Comm Fees'!E16</f>
        <v>1.1564749125603244E-2</v>
      </c>
      <c r="F16" s="238"/>
      <c r="G16" s="452" t="e">
        <f>D16/C16</f>
        <v>#REF!</v>
      </c>
      <c r="H16" s="453" t="e">
        <f>SUM(H11:H15)</f>
        <v>#REF!</v>
      </c>
      <c r="I16" s="38"/>
      <c r="J16" s="38"/>
      <c r="K16" s="311"/>
      <c r="L16" s="35"/>
      <c r="M16" s="35"/>
      <c r="N16" s="35"/>
      <c r="O16" s="35"/>
    </row>
    <row r="17" spans="1:15" ht="11.4">
      <c r="A17" s="165">
        <f t="shared" si="0"/>
        <v>13</v>
      </c>
      <c r="B17" s="177"/>
      <c r="C17" s="179"/>
      <c r="D17" s="180"/>
      <c r="E17" s="178"/>
      <c r="F17" s="179"/>
      <c r="G17" s="38"/>
      <c r="H17" s="38"/>
      <c r="I17" s="38"/>
      <c r="J17" s="38"/>
      <c r="K17" s="311"/>
      <c r="L17" s="35"/>
      <c r="M17" s="35"/>
      <c r="N17" s="35"/>
      <c r="O17" s="35"/>
    </row>
    <row r="18" spans="1:15" ht="12" thickBot="1">
      <c r="A18" s="165">
        <f t="shared" si="0"/>
        <v>14</v>
      </c>
      <c r="B18" s="306"/>
      <c r="C18" s="181"/>
      <c r="D18" s="181"/>
      <c r="E18" s="181"/>
      <c r="F18" s="181"/>
      <c r="G18" s="312"/>
      <c r="H18" s="312"/>
      <c r="I18" s="312"/>
      <c r="J18" s="312"/>
      <c r="K18" s="313"/>
      <c r="L18" s="38"/>
      <c r="M18" s="35"/>
      <c r="N18" s="35"/>
      <c r="O18" s="35"/>
    </row>
    <row r="19" spans="1:15" ht="12">
      <c r="A19" s="165">
        <f t="shared" si="0"/>
        <v>15</v>
      </c>
      <c r="B19" s="619" t="s">
        <v>122</v>
      </c>
      <c r="C19" s="620"/>
      <c r="D19" s="135"/>
      <c r="E19" s="135"/>
      <c r="F19" s="135"/>
      <c r="G19" s="135"/>
      <c r="H19" s="158"/>
      <c r="I19" s="158"/>
      <c r="J19" s="158"/>
      <c r="K19" s="132"/>
      <c r="L19" s="38" t="s">
        <v>36</v>
      </c>
      <c r="M19" s="35"/>
      <c r="N19" s="35"/>
      <c r="O19" s="35"/>
    </row>
    <row r="20" spans="1:15" ht="12">
      <c r="A20" s="165">
        <f t="shared" si="0"/>
        <v>16</v>
      </c>
      <c r="B20" s="617" t="s">
        <v>123</v>
      </c>
      <c r="C20" s="618"/>
      <c r="D20" s="38"/>
      <c r="E20" s="38"/>
      <c r="F20" s="38"/>
      <c r="G20" s="212" t="s">
        <v>305</v>
      </c>
      <c r="H20" s="212" t="s">
        <v>305</v>
      </c>
      <c r="I20" s="42"/>
      <c r="J20" s="42"/>
      <c r="K20" s="137"/>
      <c r="L20" s="38"/>
      <c r="M20" s="35"/>
      <c r="N20" s="35"/>
      <c r="O20" s="35"/>
    </row>
    <row r="21" spans="1:15" ht="12">
      <c r="A21" s="165">
        <f t="shared" si="0"/>
        <v>17</v>
      </c>
      <c r="B21" s="556"/>
      <c r="C21" s="557"/>
      <c r="D21" s="38"/>
      <c r="E21" s="38"/>
      <c r="F21" s="38"/>
      <c r="G21" s="191" t="s">
        <v>125</v>
      </c>
      <c r="H21" s="191" t="s">
        <v>126</v>
      </c>
      <c r="I21" s="42"/>
      <c r="J21" s="42"/>
      <c r="K21" s="137"/>
      <c r="L21" s="38"/>
      <c r="M21" s="35"/>
      <c r="N21" s="35"/>
      <c r="O21" s="35"/>
    </row>
    <row r="22" spans="1:15" ht="11.4">
      <c r="A22" s="165">
        <f t="shared" si="0"/>
        <v>18</v>
      </c>
      <c r="B22" s="454" t="s">
        <v>306</v>
      </c>
      <c r="C22" s="39" t="s">
        <v>127</v>
      </c>
      <c r="D22" s="39" t="s">
        <v>128</v>
      </c>
      <c r="E22" s="40" t="s">
        <v>129</v>
      </c>
      <c r="F22" s="40" t="s">
        <v>114</v>
      </c>
      <c r="G22" s="40" t="s">
        <v>130</v>
      </c>
      <c r="H22" s="40" t="s">
        <v>114</v>
      </c>
      <c r="I22" s="40" t="s">
        <v>131</v>
      </c>
      <c r="J22" s="40" t="s">
        <v>132</v>
      </c>
      <c r="K22" s="159"/>
      <c r="L22" s="38"/>
      <c r="M22" s="35"/>
      <c r="N22" s="35"/>
      <c r="O22" s="35"/>
    </row>
    <row r="23" spans="1:15" ht="11.4">
      <c r="A23" s="165">
        <f t="shared" si="0"/>
        <v>19</v>
      </c>
      <c r="B23" s="177" t="s">
        <v>307</v>
      </c>
      <c r="C23" s="455">
        <v>40178</v>
      </c>
      <c r="D23" s="455">
        <v>40543</v>
      </c>
      <c r="E23" s="305">
        <f>D23-C23</f>
        <v>365</v>
      </c>
      <c r="F23" s="456">
        <v>500000000</v>
      </c>
      <c r="G23" s="230" t="e">
        <f>(C13+C14)/2</f>
        <v>#REF!</v>
      </c>
      <c r="H23" s="230" t="e">
        <f>F23-G23</f>
        <v>#REF!</v>
      </c>
      <c r="I23" s="238">
        <v>1.25E-3</v>
      </c>
      <c r="J23" s="182" t="e">
        <f>ROUND(H23*I23*E23/360,6)</f>
        <v>#REF!</v>
      </c>
      <c r="K23" s="137"/>
      <c r="L23" s="38"/>
      <c r="M23" s="35"/>
      <c r="N23" s="35"/>
      <c r="O23" s="35"/>
    </row>
    <row r="24" spans="1:15" ht="11.4">
      <c r="A24" s="165">
        <f t="shared" si="0"/>
        <v>20</v>
      </c>
      <c r="B24" s="177" t="s">
        <v>308</v>
      </c>
      <c r="C24" s="455">
        <v>40178</v>
      </c>
      <c r="D24" s="455">
        <v>40543</v>
      </c>
      <c r="E24" s="305">
        <f>D24-C24</f>
        <v>365</v>
      </c>
      <c r="F24" s="456">
        <v>200000000</v>
      </c>
      <c r="G24" s="230" t="e">
        <f>(C13+C14)/2</f>
        <v>#REF!</v>
      </c>
      <c r="H24" s="486" t="s">
        <v>309</v>
      </c>
      <c r="I24" s="238">
        <v>1.25E-3</v>
      </c>
      <c r="J24" s="182">
        <f>ROUND(F24*I24*E24/360,6)</f>
        <v>253472.22222200001</v>
      </c>
      <c r="K24" s="137"/>
      <c r="L24" s="38"/>
      <c r="M24" s="35"/>
      <c r="N24" s="35"/>
      <c r="O24" s="35"/>
    </row>
    <row r="25" spans="1:15" ht="11.4">
      <c r="A25" s="165">
        <f t="shared" si="0"/>
        <v>21</v>
      </c>
      <c r="B25" s="234" t="s">
        <v>133</v>
      </c>
      <c r="C25" s="41"/>
      <c r="D25" s="245"/>
      <c r="E25" s="305"/>
      <c r="F25" s="457"/>
      <c r="I25" s="245"/>
      <c r="J25" s="458" t="e">
        <f>SUM(J23:J24)</f>
        <v>#REF!</v>
      </c>
      <c r="K25" s="160"/>
      <c r="L25" s="38"/>
      <c r="M25" s="35"/>
      <c r="N25" s="35"/>
      <c r="O25" s="35"/>
    </row>
    <row r="26" spans="1:15" ht="11.4">
      <c r="A26" s="165">
        <f t="shared" si="0"/>
        <v>22</v>
      </c>
      <c r="B26" s="215"/>
      <c r="C26" s="41"/>
      <c r="D26" s="245"/>
      <c r="E26" s="459"/>
      <c r="F26" s="40"/>
      <c r="G26" s="245"/>
      <c r="H26" s="460"/>
      <c r="I26" s="460"/>
      <c r="J26" s="460"/>
      <c r="K26" s="160"/>
      <c r="L26" s="38"/>
      <c r="M26" s="35"/>
      <c r="N26" s="35"/>
      <c r="O26" s="35"/>
    </row>
    <row r="27" spans="1:15" ht="12">
      <c r="A27" s="165">
        <f t="shared" si="0"/>
        <v>23</v>
      </c>
      <c r="B27" s="233" t="s">
        <v>134</v>
      </c>
      <c r="C27" s="41"/>
      <c r="F27" s="40" t="s">
        <v>135</v>
      </c>
      <c r="G27" s="40" t="s">
        <v>129</v>
      </c>
      <c r="H27" s="40" t="s">
        <v>136</v>
      </c>
      <c r="I27" s="245"/>
      <c r="J27" s="460"/>
      <c r="K27" s="160"/>
      <c r="L27" s="38"/>
      <c r="M27" s="35"/>
      <c r="N27" s="35"/>
      <c r="O27" s="35"/>
    </row>
    <row r="28" spans="1:15" ht="11.4">
      <c r="A28" s="165">
        <f t="shared" si="0"/>
        <v>24</v>
      </c>
      <c r="B28" s="234" t="s">
        <v>137</v>
      </c>
      <c r="C28" s="145"/>
      <c r="F28" s="352" t="s">
        <v>138</v>
      </c>
      <c r="G28" s="305">
        <v>365</v>
      </c>
      <c r="H28" s="230">
        <f>'Pg 4 STD OS &amp; Comm Fees'!H31</f>
        <v>2316500</v>
      </c>
      <c r="I28" s="461">
        <v>6.4999999999999997E-3</v>
      </c>
      <c r="J28" s="230">
        <f>(I28*H28)*(G28/360)</f>
        <v>15266.378472222221</v>
      </c>
      <c r="K28" s="160"/>
      <c r="L28" s="38"/>
      <c r="M28" s="35"/>
      <c r="N28" s="35"/>
      <c r="O28" s="35"/>
    </row>
    <row r="29" spans="1:15" ht="12.75" customHeight="1">
      <c r="A29" s="165">
        <f t="shared" si="0"/>
        <v>25</v>
      </c>
      <c r="B29" s="234" t="s">
        <v>310</v>
      </c>
      <c r="C29" s="145"/>
      <c r="F29" s="352" t="s">
        <v>311</v>
      </c>
      <c r="G29" s="305">
        <v>365</v>
      </c>
      <c r="H29" s="230">
        <f>'Pg 4 STD OS &amp; Comm Fees'!H32</f>
        <v>14172603</v>
      </c>
      <c r="I29" s="461">
        <v>6.4999999999999997E-3</v>
      </c>
      <c r="J29" s="230">
        <f>(I29*H29)*(G29/360)</f>
        <v>93401.390604166649</v>
      </c>
      <c r="K29" s="137"/>
      <c r="L29" s="38"/>
      <c r="M29" s="35"/>
      <c r="N29" s="35"/>
      <c r="O29" s="35"/>
    </row>
    <row r="30" spans="1:15" ht="12.75" customHeight="1" thickBot="1">
      <c r="A30" s="165">
        <f t="shared" si="0"/>
        <v>26</v>
      </c>
      <c r="B30" s="290" t="s">
        <v>141</v>
      </c>
      <c r="C30" s="145"/>
      <c r="D30" s="145"/>
      <c r="E30" s="614"/>
      <c r="F30" s="323"/>
      <c r="G30" s="305"/>
      <c r="H30" s="42"/>
      <c r="I30" s="42"/>
      <c r="J30" s="324">
        <f>SUM(J28:J29)</f>
        <v>108667.76907638887</v>
      </c>
      <c r="K30" s="137"/>
      <c r="L30" s="38"/>
      <c r="M30" s="35"/>
      <c r="N30" s="35"/>
      <c r="O30" s="35"/>
    </row>
    <row r="31" spans="1:15" ht="12.75" customHeight="1" thickTop="1">
      <c r="A31" s="165">
        <f t="shared" si="0"/>
        <v>27</v>
      </c>
      <c r="B31" s="234"/>
      <c r="C31" s="145"/>
      <c r="D31" s="145"/>
      <c r="E31" s="145"/>
      <c r="F31" s="285"/>
      <c r="G31" s="286"/>
      <c r="H31" s="42"/>
      <c r="I31" s="42"/>
      <c r="J31" s="42"/>
      <c r="K31" s="137"/>
      <c r="L31" s="38"/>
      <c r="M31" s="35"/>
      <c r="N31" s="35"/>
      <c r="O31" s="35"/>
    </row>
    <row r="32" spans="1:15" ht="12">
      <c r="A32" s="165">
        <f t="shared" si="0"/>
        <v>28</v>
      </c>
      <c r="B32" s="556"/>
      <c r="C32" s="557"/>
      <c r="D32" s="557"/>
      <c r="E32" s="81"/>
      <c r="F32" s="81"/>
      <c r="G32" s="81"/>
      <c r="H32" s="133"/>
      <c r="I32" s="133"/>
      <c r="J32" s="133"/>
      <c r="K32" s="137"/>
    </row>
    <row r="33" spans="1:11" ht="12.6" thickBot="1">
      <c r="A33" s="165">
        <f t="shared" si="0"/>
        <v>29</v>
      </c>
      <c r="B33" s="113" t="s">
        <v>142</v>
      </c>
      <c r="C33" s="162"/>
      <c r="D33" s="162"/>
      <c r="E33" s="138"/>
      <c r="F33" s="138"/>
      <c r="G33" s="138"/>
      <c r="H33" s="163"/>
      <c r="I33" s="163"/>
      <c r="J33" s="163"/>
      <c r="K33" s="161"/>
    </row>
    <row r="34" spans="1:11" ht="12">
      <c r="A34" s="165">
        <f t="shared" si="0"/>
        <v>30</v>
      </c>
      <c r="B34" s="462" t="s">
        <v>312</v>
      </c>
      <c r="C34" s="135"/>
      <c r="D34" s="135"/>
      <c r="E34" s="135"/>
      <c r="F34" s="135"/>
      <c r="G34" s="135"/>
      <c r="H34" s="135"/>
      <c r="I34" s="135"/>
      <c r="J34" s="135"/>
      <c r="K34" s="310"/>
    </row>
    <row r="35" spans="1:11" ht="11.4">
      <c r="A35" s="165">
        <f t="shared" si="0"/>
        <v>31</v>
      </c>
      <c r="B35" s="463"/>
      <c r="C35" s="81"/>
      <c r="D35" s="81"/>
      <c r="E35" s="81"/>
      <c r="F35" s="81"/>
      <c r="G35" s="81"/>
      <c r="H35" s="81"/>
      <c r="I35" s="81"/>
      <c r="J35" s="81"/>
      <c r="K35" s="137"/>
    </row>
    <row r="36" spans="1:11" ht="11.4">
      <c r="A36" s="165">
        <f t="shared" si="0"/>
        <v>32</v>
      </c>
      <c r="B36" s="463" t="s">
        <v>313</v>
      </c>
      <c r="C36" s="464">
        <v>5.2500000000000003E-3</v>
      </c>
      <c r="D36" s="81"/>
      <c r="E36" s="81"/>
      <c r="F36" s="81"/>
      <c r="G36" s="81"/>
      <c r="H36" s="81"/>
      <c r="I36" s="81"/>
      <c r="J36" s="81"/>
      <c r="K36" s="137"/>
    </row>
    <row r="37" spans="1:11" ht="11.4">
      <c r="A37" s="165">
        <f t="shared" si="0"/>
        <v>33</v>
      </c>
      <c r="B37" s="463" t="s">
        <v>314</v>
      </c>
      <c r="C37" s="464">
        <v>8.5000000000000006E-3</v>
      </c>
      <c r="D37" s="81"/>
      <c r="E37" s="81"/>
      <c r="F37" s="81"/>
      <c r="G37" s="81"/>
      <c r="H37" s="81"/>
      <c r="I37" s="81"/>
      <c r="J37" s="81"/>
      <c r="K37" s="137"/>
    </row>
    <row r="38" spans="1:11" ht="12">
      <c r="A38" s="165">
        <f t="shared" si="0"/>
        <v>34</v>
      </c>
      <c r="B38" s="465" t="s">
        <v>315</v>
      </c>
      <c r="C38" s="466">
        <f>C36-C37</f>
        <v>-3.2500000000000003E-3</v>
      </c>
      <c r="D38" s="38" t="s">
        <v>316</v>
      </c>
      <c r="E38" s="81"/>
      <c r="F38" s="81"/>
      <c r="G38" s="81"/>
      <c r="H38" s="81"/>
      <c r="I38" s="81"/>
      <c r="J38" s="81"/>
      <c r="K38" s="137"/>
    </row>
    <row r="39" spans="1:11">
      <c r="A39" s="165">
        <f t="shared" si="0"/>
        <v>35</v>
      </c>
      <c r="B39" s="136"/>
      <c r="C39" s="81"/>
      <c r="D39" s="81"/>
      <c r="E39" s="81"/>
      <c r="F39" s="81"/>
      <c r="G39" s="81"/>
      <c r="H39" s="81"/>
      <c r="I39" s="81"/>
      <c r="J39" s="81"/>
      <c r="K39" s="137"/>
    </row>
    <row r="40" spans="1:11" ht="10.8" thickBot="1">
      <c r="A40" s="165">
        <f t="shared" si="0"/>
        <v>36</v>
      </c>
      <c r="B40" s="467"/>
      <c r="C40" s="138"/>
      <c r="D40" s="138"/>
      <c r="E40" s="138"/>
      <c r="F40" s="138"/>
      <c r="G40" s="138"/>
      <c r="H40" s="138"/>
      <c r="I40" s="138"/>
      <c r="J40" s="138"/>
      <c r="K40" s="161"/>
    </row>
    <row r="41" spans="1:11">
      <c r="A41" s="165"/>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50"/>
  <sheetViews>
    <sheetView zoomScaleNormal="100" workbookViewId="0">
      <selection activeCell="J49" sqref="J49"/>
    </sheetView>
  </sheetViews>
  <sheetFormatPr defaultRowHeight="10.199999999999999"/>
  <cols>
    <col min="1" max="1" width="4.85546875" customWidth="1"/>
    <col min="2" max="2" width="44.140625" customWidth="1"/>
    <col min="3" max="3" width="16.7109375" customWidth="1"/>
    <col min="4" max="4" width="16.85546875" customWidth="1"/>
    <col min="5" max="5" width="15.7109375" customWidth="1"/>
    <col min="6" max="7" width="12" style="112" customWidth="1"/>
  </cols>
  <sheetData>
    <row r="1" spans="1:8" ht="20.399999999999999">
      <c r="B1" s="36" t="s">
        <v>109</v>
      </c>
      <c r="C1" s="448" t="s">
        <v>294</v>
      </c>
    </row>
    <row r="2" spans="1:8" ht="16.5" customHeight="1">
      <c r="A2" s="81"/>
      <c r="B2" s="114" t="s">
        <v>143</v>
      </c>
    </row>
    <row r="3" spans="1:8" ht="15" customHeight="1">
      <c r="A3" s="81"/>
      <c r="B3" s="282" t="e">
        <f>#REF!</f>
        <v>#REF!</v>
      </c>
    </row>
    <row r="4" spans="1:8">
      <c r="A4" s="468"/>
      <c r="B4" s="469"/>
    </row>
    <row r="5" spans="1:8">
      <c r="A5" s="115" t="s">
        <v>31</v>
      </c>
      <c r="B5" s="115" t="s">
        <v>32</v>
      </c>
      <c r="C5" s="115" t="s">
        <v>33</v>
      </c>
      <c r="D5" s="115" t="s">
        <v>34</v>
      </c>
      <c r="E5" s="115" t="s">
        <v>35</v>
      </c>
    </row>
    <row r="6" spans="1:8" ht="11.25" customHeight="1">
      <c r="B6" s="470"/>
      <c r="C6" s="470"/>
      <c r="D6" s="470"/>
      <c r="E6" s="470"/>
    </row>
    <row r="7" spans="1:8" ht="11.25" customHeight="1">
      <c r="A7" s="165"/>
      <c r="B7" s="147"/>
      <c r="C7" s="471" t="s">
        <v>317</v>
      </c>
      <c r="D7" s="471" t="s">
        <v>317</v>
      </c>
    </row>
    <row r="8" spans="1:8" ht="11.25" customHeight="1">
      <c r="A8" s="165">
        <v>1</v>
      </c>
      <c r="B8" s="147" t="s">
        <v>39</v>
      </c>
      <c r="C8" s="472" t="s">
        <v>318</v>
      </c>
      <c r="D8" s="473" t="s">
        <v>319</v>
      </c>
    </row>
    <row r="9" spans="1:8" ht="11.25" customHeight="1">
      <c r="A9" s="165">
        <f t="shared" ref="A9:A25" si="0">A8+1</f>
        <v>2</v>
      </c>
      <c r="B9" s="147"/>
      <c r="C9" s="472" t="s">
        <v>320</v>
      </c>
      <c r="D9" s="473" t="s">
        <v>321</v>
      </c>
      <c r="E9" s="474" t="s">
        <v>148</v>
      </c>
    </row>
    <row r="10" spans="1:8" ht="11.25" customHeight="1">
      <c r="A10" s="165">
        <f t="shared" si="0"/>
        <v>3</v>
      </c>
      <c r="B10" s="475" t="s">
        <v>149</v>
      </c>
      <c r="C10" s="476">
        <v>18100400</v>
      </c>
      <c r="D10" s="476">
        <v>18100583</v>
      </c>
      <c r="E10" s="476" t="s">
        <v>150</v>
      </c>
    </row>
    <row r="11" spans="1:8" ht="11.25" customHeight="1">
      <c r="A11" s="165">
        <f t="shared" si="0"/>
        <v>4</v>
      </c>
      <c r="B11" s="475"/>
      <c r="C11" s="477"/>
      <c r="D11" s="145"/>
    </row>
    <row r="12" spans="1:8">
      <c r="A12" s="165">
        <f t="shared" si="0"/>
        <v>5</v>
      </c>
      <c r="B12" s="478">
        <v>40209</v>
      </c>
      <c r="C12" s="259">
        <v>-5627.69</v>
      </c>
      <c r="D12" s="259">
        <v>-18843.900000000001</v>
      </c>
      <c r="E12" s="479"/>
    </row>
    <row r="13" spans="1:8">
      <c r="A13" s="165">
        <f t="shared" si="0"/>
        <v>6</v>
      </c>
      <c r="B13" s="478">
        <v>40237</v>
      </c>
      <c r="C13" s="259">
        <v>-5627.69</v>
      </c>
      <c r="D13" s="259">
        <v>-18843.900000000001</v>
      </c>
      <c r="E13" s="479"/>
    </row>
    <row r="14" spans="1:8">
      <c r="A14" s="165">
        <f t="shared" si="0"/>
        <v>7</v>
      </c>
      <c r="B14" s="478">
        <v>40268</v>
      </c>
      <c r="C14" s="259">
        <v>-5627.69</v>
      </c>
      <c r="D14" s="259">
        <v>-18843.900000000001</v>
      </c>
      <c r="E14" s="479"/>
    </row>
    <row r="15" spans="1:8">
      <c r="A15" s="165">
        <f t="shared" si="0"/>
        <v>8</v>
      </c>
      <c r="B15" s="478">
        <v>40298</v>
      </c>
      <c r="C15" s="259">
        <v>-5627.69</v>
      </c>
      <c r="D15" s="259">
        <v>-18843.900000000001</v>
      </c>
      <c r="E15" s="479"/>
    </row>
    <row r="16" spans="1:8">
      <c r="A16" s="165">
        <f t="shared" si="0"/>
        <v>9</v>
      </c>
      <c r="B16" s="478">
        <v>40329</v>
      </c>
      <c r="C16" s="259">
        <v>-5627.69</v>
      </c>
      <c r="D16" s="259">
        <v>-18843.900000000001</v>
      </c>
      <c r="E16" s="479"/>
      <c r="H16" s="292"/>
    </row>
    <row r="17" spans="1:5">
      <c r="A17" s="165">
        <f t="shared" si="0"/>
        <v>10</v>
      </c>
      <c r="B17" s="478">
        <v>40359</v>
      </c>
      <c r="C17" s="259">
        <v>-5627.69</v>
      </c>
      <c r="D17" s="259">
        <v>-18843.900000000001</v>
      </c>
      <c r="E17" s="479"/>
    </row>
    <row r="18" spans="1:5">
      <c r="A18" s="165">
        <f t="shared" si="0"/>
        <v>11</v>
      </c>
      <c r="B18" s="478">
        <v>40390</v>
      </c>
      <c r="C18" s="259">
        <v>-5627.69</v>
      </c>
      <c r="D18" s="259">
        <v>-18843.900000000001</v>
      </c>
      <c r="E18" s="479"/>
    </row>
    <row r="19" spans="1:5">
      <c r="A19" s="165">
        <f t="shared" si="0"/>
        <v>12</v>
      </c>
      <c r="B19" s="478">
        <v>40421</v>
      </c>
      <c r="C19" s="259">
        <v>-5627.69</v>
      </c>
      <c r="D19" s="259">
        <v>-18843.900000000001</v>
      </c>
      <c r="E19" s="479"/>
    </row>
    <row r="20" spans="1:5">
      <c r="A20" s="165">
        <f t="shared" si="0"/>
        <v>13</v>
      </c>
      <c r="B20" s="478">
        <v>40451</v>
      </c>
      <c r="C20" s="259">
        <v>-5627.69</v>
      </c>
      <c r="D20" s="259">
        <v>-18843.900000000001</v>
      </c>
      <c r="E20" s="479"/>
    </row>
    <row r="21" spans="1:5">
      <c r="A21" s="165">
        <f t="shared" si="0"/>
        <v>14</v>
      </c>
      <c r="B21" s="478">
        <v>40482</v>
      </c>
      <c r="C21" s="259">
        <v>-5627.69</v>
      </c>
      <c r="D21" s="259">
        <v>-18843.900000000001</v>
      </c>
      <c r="E21" s="479"/>
    </row>
    <row r="22" spans="1:5">
      <c r="A22" s="165">
        <f t="shared" si="0"/>
        <v>15</v>
      </c>
      <c r="B22" s="478">
        <v>40512</v>
      </c>
      <c r="C22" s="259">
        <v>-5627.69</v>
      </c>
      <c r="D22" s="259">
        <v>-18843.900000000001</v>
      </c>
      <c r="E22" s="479"/>
    </row>
    <row r="23" spans="1:5">
      <c r="A23" s="165">
        <f t="shared" si="0"/>
        <v>16</v>
      </c>
      <c r="B23" s="478">
        <v>40543</v>
      </c>
      <c r="C23" s="259">
        <v>-5627.69</v>
      </c>
      <c r="D23" s="259">
        <v>-18843.900000000001</v>
      </c>
      <c r="E23" s="479"/>
    </row>
    <row r="24" spans="1:5" ht="10.8" thickBot="1">
      <c r="A24" s="165">
        <f t="shared" si="0"/>
        <v>17</v>
      </c>
      <c r="B24" s="478"/>
      <c r="C24" s="480"/>
      <c r="D24" s="480"/>
      <c r="E24" s="481"/>
    </row>
    <row r="25" spans="1:5" ht="10.8" thickBot="1">
      <c r="A25" s="165">
        <f t="shared" si="0"/>
        <v>18</v>
      </c>
      <c r="B25" s="482" t="s">
        <v>322</v>
      </c>
      <c r="C25" s="483">
        <f>SUM(C12:C24)</f>
        <v>-67532.280000000013</v>
      </c>
      <c r="D25" s="483">
        <f>SUM(D12:D24)</f>
        <v>-226126.79999999996</v>
      </c>
      <c r="E25" s="484">
        <f>SUM(C25:D25)</f>
        <v>-293659.07999999996</v>
      </c>
    </row>
    <row r="26" spans="1:5">
      <c r="A26" s="165"/>
      <c r="B26" s="245"/>
      <c r="C26" s="485"/>
      <c r="D26" s="485"/>
      <c r="E26" s="481"/>
    </row>
    <row r="27" spans="1:5">
      <c r="A27" s="165"/>
      <c r="B27" s="195"/>
    </row>
    <row r="28" spans="1:5">
      <c r="A28" s="165"/>
      <c r="C28" s="112"/>
    </row>
    <row r="29" spans="1:5">
      <c r="A29" s="165"/>
      <c r="C29" s="112"/>
      <c r="D29" s="112"/>
    </row>
    <row r="30" spans="1:5">
      <c r="A30" s="165"/>
      <c r="B30" s="145"/>
    </row>
    <row r="31" spans="1:5">
      <c r="A31" s="165"/>
    </row>
    <row r="32" spans="1:5">
      <c r="A32" s="165"/>
    </row>
    <row r="33" spans="1:2">
      <c r="A33" s="165"/>
      <c r="B33" s="193"/>
    </row>
    <row r="34" spans="1:2">
      <c r="A34" s="165"/>
    </row>
    <row r="35" spans="1:2">
      <c r="A35" s="165"/>
    </row>
    <row r="36" spans="1:2">
      <c r="A36" s="165"/>
    </row>
    <row r="37" spans="1:2">
      <c r="A37" s="165"/>
    </row>
    <row r="38" spans="1:2">
      <c r="A38" s="165"/>
      <c r="B38" s="145"/>
    </row>
    <row r="39" spans="1:2">
      <c r="A39" s="165"/>
    </row>
    <row r="40" spans="1:2">
      <c r="A40" s="165"/>
    </row>
    <row r="41" spans="1:2">
      <c r="A41" s="165"/>
      <c r="B41" s="195"/>
    </row>
    <row r="42" spans="1:2">
      <c r="A42" s="165"/>
    </row>
    <row r="43" spans="1:2">
      <c r="A43" s="165"/>
    </row>
    <row r="44" spans="1:2">
      <c r="A44" s="165"/>
    </row>
    <row r="45" spans="1:2">
      <c r="A45" s="165"/>
    </row>
    <row r="46" spans="1:2">
      <c r="A46" s="165"/>
    </row>
    <row r="47" spans="1:2">
      <c r="A47" s="165"/>
    </row>
    <row r="48" spans="1:2">
      <c r="A48" s="165"/>
      <c r="B48" s="146"/>
    </row>
    <row r="49" spans="1:2">
      <c r="A49" s="165"/>
      <c r="B49" s="146"/>
    </row>
    <row r="50" spans="1:2">
      <c r="A50" s="165"/>
      <c r="B50" s="195"/>
    </row>
  </sheetData>
  <phoneticPr fontId="25" type="noConversion"/>
  <pageMargins left="0.79" right="0.67" top="0.56000000000000005" bottom="0.44" header="0.23" footer="0.17"/>
  <pageSetup orientation="landscape" r:id="rId1"/>
  <headerFooter alignWithMargins="0">
    <oddFooter>&amp;C&amp;A&amp;R&amp;F</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49"/>
  <sheetViews>
    <sheetView workbookViewId="0">
      <selection activeCell="G27" sqref="G27"/>
    </sheetView>
  </sheetViews>
  <sheetFormatPr defaultColWidth="13.28515625" defaultRowHeight="13.2" outlineLevelRow="1"/>
  <cols>
    <col min="1" max="1" width="2.85546875" style="356" customWidth="1"/>
    <col min="2" max="2" width="40.7109375" style="356" customWidth="1"/>
    <col min="3" max="3" width="18.28515625" style="356" customWidth="1"/>
    <col min="4" max="4" width="10.7109375" style="356" customWidth="1"/>
    <col min="5" max="5" width="18.28515625" style="412" customWidth="1"/>
    <col min="6" max="6" width="10.140625" style="356" customWidth="1"/>
    <col min="7" max="7" width="11.28515625" style="356" customWidth="1"/>
    <col min="8" max="16384" width="13.28515625" style="356"/>
  </cols>
  <sheetData>
    <row r="1" spans="1:28" ht="15.6">
      <c r="A1" s="353" t="s">
        <v>27</v>
      </c>
      <c r="B1" s="354"/>
      <c r="C1" s="354"/>
      <c r="D1" s="354"/>
      <c r="E1" s="354"/>
      <c r="F1" s="354"/>
      <c r="G1" s="354"/>
      <c r="H1" s="355"/>
      <c r="I1" s="355"/>
      <c r="J1" s="355"/>
      <c r="K1" s="355"/>
      <c r="L1" s="355"/>
      <c r="M1" s="355"/>
    </row>
    <row r="2" spans="1:28" ht="15.6">
      <c r="A2" s="357" t="s">
        <v>266</v>
      </c>
      <c r="B2" s="358"/>
      <c r="C2" s="359"/>
      <c r="D2" s="358"/>
      <c r="E2" s="358"/>
      <c r="F2" s="358"/>
      <c r="G2" s="358"/>
      <c r="AB2" s="360" t="s">
        <v>267</v>
      </c>
    </row>
    <row r="3" spans="1:28">
      <c r="A3" s="361">
        <v>42004</v>
      </c>
      <c r="B3" s="361"/>
      <c r="C3" s="361"/>
      <c r="D3" s="361"/>
      <c r="E3" s="362"/>
      <c r="F3" s="362"/>
      <c r="G3" s="362"/>
    </row>
    <row r="4" spans="1:28" ht="15.6">
      <c r="A4" s="363"/>
      <c r="B4" s="364"/>
      <c r="C4" s="365"/>
      <c r="D4" s="364"/>
      <c r="E4" s="366"/>
      <c r="F4" s="364"/>
      <c r="G4" s="364"/>
    </row>
    <row r="5" spans="1:28">
      <c r="A5" s="363"/>
      <c r="B5" s="364"/>
      <c r="C5" s="364"/>
      <c r="D5" s="364"/>
      <c r="E5" s="366"/>
      <c r="F5" s="364"/>
      <c r="G5" s="364"/>
    </row>
    <row r="6" spans="1:28">
      <c r="A6" s="117"/>
      <c r="B6" s="364"/>
      <c r="C6" s="364"/>
      <c r="D6" s="364"/>
      <c r="E6" s="366"/>
      <c r="F6" s="364"/>
      <c r="G6" s="364"/>
    </row>
    <row r="7" spans="1:28">
      <c r="A7" s="117"/>
      <c r="B7" s="568" t="s">
        <v>36</v>
      </c>
      <c r="C7" s="99"/>
      <c r="D7" s="99"/>
      <c r="E7" s="367"/>
      <c r="F7" s="99"/>
      <c r="G7" s="568"/>
      <c r="H7" s="568"/>
      <c r="I7" s="568"/>
    </row>
    <row r="8" spans="1:28">
      <c r="A8" s="117"/>
      <c r="B8" s="99"/>
      <c r="C8" s="96"/>
      <c r="D8" s="99"/>
      <c r="E8" s="367"/>
      <c r="F8" s="99"/>
      <c r="G8" s="368" t="s">
        <v>268</v>
      </c>
      <c r="H8" s="568"/>
      <c r="I8" s="568"/>
    </row>
    <row r="9" spans="1:28">
      <c r="A9" s="117"/>
      <c r="B9" s="96" t="s">
        <v>269</v>
      </c>
      <c r="C9" s="96" t="s">
        <v>270</v>
      </c>
      <c r="D9" s="368" t="s">
        <v>271</v>
      </c>
      <c r="E9" s="368" t="s">
        <v>272</v>
      </c>
      <c r="F9" s="368" t="s">
        <v>273</v>
      </c>
      <c r="G9" s="368" t="s">
        <v>274</v>
      </c>
      <c r="H9" s="568"/>
      <c r="I9" s="568"/>
    </row>
    <row r="10" spans="1:28">
      <c r="A10" s="117"/>
      <c r="B10" s="570"/>
      <c r="C10" s="570"/>
      <c r="D10" s="570"/>
      <c r="E10" s="602"/>
      <c r="F10" s="570"/>
      <c r="G10" s="570"/>
      <c r="H10" s="568"/>
      <c r="I10" s="568"/>
    </row>
    <row r="11" spans="1:28">
      <c r="A11" s="117"/>
      <c r="B11" s="96"/>
      <c r="C11" s="570"/>
      <c r="D11" s="570"/>
      <c r="E11" s="602"/>
      <c r="F11" s="570"/>
      <c r="G11" s="570"/>
      <c r="H11" s="568"/>
      <c r="I11" s="568"/>
    </row>
    <row r="12" spans="1:28">
      <c r="A12" s="117"/>
      <c r="B12" s="369" t="s">
        <v>275</v>
      </c>
      <c r="C12" s="370">
        <f>'Pg 3 STD Cost Rate'!C23</f>
        <v>101912013.62</v>
      </c>
      <c r="D12" s="371">
        <f>ROUND(C12/C$27,4)</f>
        <v>1.04E-2</v>
      </c>
      <c r="E12" s="372">
        <f>'Pg 3 STD Cost Rate'!E23</f>
        <v>6923125.8799381945</v>
      </c>
      <c r="F12" s="373">
        <f>ROUND(E12/C12,4)</f>
        <v>6.7900000000000002E-2</v>
      </c>
      <c r="G12" s="374">
        <f>ROUND(+D12*F12,4)</f>
        <v>6.9999999999999999E-4</v>
      </c>
      <c r="H12" s="568"/>
      <c r="I12" s="568"/>
    </row>
    <row r="13" spans="1:28">
      <c r="A13" s="117"/>
      <c r="B13" s="369"/>
      <c r="C13" s="370"/>
      <c r="D13" s="371"/>
      <c r="E13" s="372"/>
      <c r="F13" s="373"/>
      <c r="G13" s="374"/>
      <c r="H13" s="568"/>
      <c r="I13" s="568"/>
    </row>
    <row r="14" spans="1:28" hidden="1" outlineLevel="1">
      <c r="A14" s="117"/>
      <c r="B14" s="375" t="s">
        <v>276</v>
      </c>
      <c r="C14" s="376">
        <f>'Pg 6 LTD Cost '!S28</f>
        <v>4823860000</v>
      </c>
      <c r="D14" s="377">
        <f>ROUND(C14/C$27,4)</f>
        <v>0.49180000000000001</v>
      </c>
      <c r="E14" s="378">
        <f>'Pg 6 LTD Cost '!X28</f>
        <v>268585546.92000002</v>
      </c>
      <c r="F14" s="379">
        <f>ROUND(E14/C14,4)</f>
        <v>5.57E-2</v>
      </c>
      <c r="G14" s="380">
        <f>ROUND(+D14*F14,4)</f>
        <v>2.7400000000000001E-2</v>
      </c>
      <c r="H14" s="568"/>
      <c r="I14" s="568"/>
    </row>
    <row r="15" spans="1:28" hidden="1" outlineLevel="1">
      <c r="A15" s="117"/>
      <c r="B15" s="375" t="s">
        <v>277</v>
      </c>
      <c r="C15" s="376"/>
      <c r="D15" s="377"/>
      <c r="E15" s="378"/>
      <c r="F15" s="379"/>
      <c r="G15" s="380"/>
      <c r="H15" s="568"/>
      <c r="I15" s="568"/>
    </row>
    <row r="16" spans="1:28" hidden="1" outlineLevel="1">
      <c r="A16" s="117"/>
      <c r="B16" s="375" t="s">
        <v>278</v>
      </c>
      <c r="C16" s="376"/>
      <c r="D16" s="377"/>
      <c r="E16" s="378"/>
      <c r="F16" s="379"/>
      <c r="G16" s="380"/>
      <c r="H16" s="568"/>
      <c r="I16" s="568"/>
    </row>
    <row r="17" spans="1:9" hidden="1" outlineLevel="1">
      <c r="A17" s="117"/>
      <c r="B17" s="375" t="s">
        <v>279</v>
      </c>
      <c r="C17" s="381"/>
      <c r="D17" s="377">
        <f>ROUND(C17/C$27,4)</f>
        <v>0</v>
      </c>
      <c r="E17" s="382"/>
      <c r="F17" s="379"/>
      <c r="G17" s="380">
        <f>ROUND(+D17*F17,4)</f>
        <v>0</v>
      </c>
      <c r="H17" s="568"/>
      <c r="I17" s="568"/>
    </row>
    <row r="18" spans="1:9" hidden="1" outlineLevel="1">
      <c r="A18" s="117"/>
      <c r="B18" s="603"/>
      <c r="C18" s="370"/>
      <c r="D18" s="371" t="s">
        <v>36</v>
      </c>
      <c r="E18" s="372"/>
      <c r="F18" s="373"/>
      <c r="G18" s="374"/>
      <c r="H18" s="568"/>
      <c r="I18" s="568"/>
    </row>
    <row r="19" spans="1:9" collapsed="1">
      <c r="A19" s="117"/>
      <c r="B19" s="383" t="s">
        <v>280</v>
      </c>
      <c r="C19" s="370">
        <f>SUM(C14:C18)</f>
        <v>4823860000</v>
      </c>
      <c r="D19" s="371">
        <f>ROUND(C19/C27,4)</f>
        <v>0.49180000000000001</v>
      </c>
      <c r="E19" s="370">
        <f>SUM(E14:E18)</f>
        <v>268585546.92000002</v>
      </c>
      <c r="F19" s="384">
        <f>ROUND(E19/C19,4)</f>
        <v>5.57E-2</v>
      </c>
      <c r="G19" s="374">
        <f>ROUND(+D19*F19,4)</f>
        <v>2.7400000000000001E-2</v>
      </c>
      <c r="H19" s="568"/>
      <c r="I19" s="568"/>
    </row>
    <row r="20" spans="1:9">
      <c r="A20" s="117"/>
      <c r="B20" s="570"/>
      <c r="C20" s="385"/>
      <c r="D20" s="385"/>
      <c r="E20" s="372"/>
      <c r="F20" s="385"/>
      <c r="G20" s="385"/>
      <c r="H20" s="568"/>
      <c r="I20" s="568"/>
    </row>
    <row r="21" spans="1:9">
      <c r="A21" s="117"/>
      <c r="B21" s="98" t="s">
        <v>281</v>
      </c>
      <c r="C21" s="386">
        <f>C19+C12</f>
        <v>4925772013.6199999</v>
      </c>
      <c r="D21" s="387">
        <f>ROUND(C21/$C$27,4)</f>
        <v>0.50209999999999999</v>
      </c>
      <c r="E21" s="388">
        <f>E19+E12</f>
        <v>275508672.7999382</v>
      </c>
      <c r="F21" s="389">
        <f>ROUND(E21/C21,4)</f>
        <v>5.5899999999999998E-2</v>
      </c>
      <c r="G21" s="390">
        <f>ROUND(+D21*F21,4)</f>
        <v>2.81E-2</v>
      </c>
      <c r="H21" s="568"/>
      <c r="I21" s="568"/>
    </row>
    <row r="22" spans="1:9">
      <c r="A22" s="117"/>
      <c r="B22" s="99"/>
      <c r="C22" s="391"/>
      <c r="D22" s="371"/>
      <c r="E22" s="372"/>
      <c r="F22" s="391"/>
      <c r="G22" s="391"/>
      <c r="H22" s="568"/>
      <c r="I22" s="568"/>
    </row>
    <row r="23" spans="1:9">
      <c r="A23" s="117"/>
      <c r="B23" s="98" t="s">
        <v>282</v>
      </c>
      <c r="C23" s="392">
        <v>0</v>
      </c>
      <c r="D23" s="371">
        <f>ROUND(C23/$C$27,4)</f>
        <v>0</v>
      </c>
      <c r="E23" s="393">
        <v>0</v>
      </c>
      <c r="F23" s="417">
        <v>0</v>
      </c>
      <c r="G23" s="374">
        <f>ROUND(+D23*F23,4)</f>
        <v>0</v>
      </c>
      <c r="H23" s="568"/>
      <c r="I23" s="568"/>
    </row>
    <row r="24" spans="1:9">
      <c r="A24" s="117"/>
      <c r="B24" s="99"/>
      <c r="C24" s="370"/>
      <c r="D24" s="371"/>
      <c r="E24" s="372"/>
      <c r="F24" s="391"/>
      <c r="G24" s="391"/>
      <c r="H24" s="568"/>
      <c r="I24" s="568"/>
    </row>
    <row r="25" spans="1:9">
      <c r="A25" s="117"/>
      <c r="B25" s="98" t="s">
        <v>283</v>
      </c>
      <c r="C25" s="386">
        <f>'Pg 2 CapStructure'!I34-'Pg 2 CapStructure'!L38</f>
        <v>4883753774</v>
      </c>
      <c r="D25" s="387">
        <f>ROUND(C25/$C$27,4)</f>
        <v>0.49790000000000001</v>
      </c>
      <c r="E25" s="394"/>
      <c r="F25" s="604" t="e">
        <f>#REF!</f>
        <v>#REF!</v>
      </c>
      <c r="G25" s="390" t="e">
        <f>ROUND(+D25*F25,4)</f>
        <v>#REF!</v>
      </c>
      <c r="H25" s="568"/>
      <c r="I25" s="568"/>
    </row>
    <row r="26" spans="1:9">
      <c r="A26" s="117"/>
      <c r="B26" s="99"/>
      <c r="C26" s="395"/>
      <c r="D26" s="396"/>
      <c r="E26" s="372"/>
      <c r="F26" s="391"/>
      <c r="G26" s="395"/>
      <c r="H26" s="568"/>
      <c r="I26" s="568"/>
    </row>
    <row r="27" spans="1:9">
      <c r="A27" s="117"/>
      <c r="B27" s="98" t="s">
        <v>148</v>
      </c>
      <c r="C27" s="397">
        <f>SUM(C21:C25)</f>
        <v>9809525787.6199989</v>
      </c>
      <c r="D27" s="398">
        <f>SUM(D21:D25)</f>
        <v>1</v>
      </c>
      <c r="E27" s="399"/>
      <c r="F27" s="400"/>
      <c r="G27" s="401" t="e">
        <f>SUM(G21:G25)</f>
        <v>#REF!</v>
      </c>
      <c r="H27" s="568"/>
      <c r="I27" s="568"/>
    </row>
    <row r="28" spans="1:9">
      <c r="A28" s="117"/>
      <c r="B28" s="568"/>
      <c r="C28" s="391"/>
      <c r="D28" s="391"/>
      <c r="E28" s="402"/>
      <c r="F28" s="391"/>
      <c r="G28" s="391"/>
      <c r="H28" s="568"/>
      <c r="I28" s="568"/>
    </row>
    <row r="29" spans="1:9">
      <c r="A29" s="117"/>
      <c r="B29" s="568"/>
      <c r="C29" s="391"/>
      <c r="D29" s="391"/>
      <c r="E29" s="402"/>
      <c r="F29" s="391" t="s">
        <v>36</v>
      </c>
      <c r="G29" s="391"/>
      <c r="H29" s="568"/>
      <c r="I29" s="568"/>
    </row>
    <row r="30" spans="1:9">
      <c r="A30" s="117"/>
      <c r="B30" s="568"/>
      <c r="C30" s="605"/>
      <c r="D30" s="568"/>
      <c r="E30" s="606"/>
      <c r="F30" s="568"/>
      <c r="G30" s="568"/>
      <c r="H30" s="568"/>
      <c r="I30" s="568"/>
    </row>
    <row r="31" spans="1:9">
      <c r="A31" s="117"/>
      <c r="B31" s="403" t="s">
        <v>284</v>
      </c>
      <c r="C31" s="364"/>
      <c r="D31" s="364"/>
      <c r="E31" s="366"/>
      <c r="F31" s="364"/>
      <c r="G31" s="364"/>
    </row>
    <row r="32" spans="1:9">
      <c r="A32" s="117"/>
      <c r="B32" s="404" t="s">
        <v>285</v>
      </c>
      <c r="C32" s="364"/>
      <c r="D32" s="364"/>
      <c r="E32" s="366"/>
      <c r="F32" s="364"/>
      <c r="G32" s="364"/>
    </row>
    <row r="33" spans="1:7">
      <c r="A33" s="117"/>
      <c r="B33" s="405" t="s">
        <v>286</v>
      </c>
      <c r="C33" s="364"/>
      <c r="D33" s="364"/>
      <c r="E33" s="366"/>
      <c r="F33" s="364"/>
      <c r="G33" s="364"/>
    </row>
    <row r="34" spans="1:7">
      <c r="A34" s="406"/>
      <c r="B34" s="403" t="s">
        <v>287</v>
      </c>
      <c r="C34" s="364"/>
      <c r="D34" s="364"/>
      <c r="E34" s="366"/>
      <c r="F34" s="364"/>
      <c r="G34" s="364"/>
    </row>
    <row r="35" spans="1:7">
      <c r="A35" s="406"/>
      <c r="B35" s="364"/>
      <c r="C35" s="364"/>
      <c r="D35" s="364"/>
      <c r="E35" s="366"/>
      <c r="F35" s="364"/>
      <c r="G35" s="364"/>
    </row>
    <row r="36" spans="1:7">
      <c r="A36" s="363"/>
      <c r="B36" s="364"/>
      <c r="C36" s="364"/>
      <c r="D36" s="364"/>
      <c r="E36" s="366"/>
      <c r="F36" s="364"/>
      <c r="G36" s="364"/>
    </row>
    <row r="41" spans="1:7">
      <c r="C41" s="407"/>
      <c r="D41" s="408"/>
      <c r="E41" s="409"/>
    </row>
    <row r="42" spans="1:7">
      <c r="D42" s="408"/>
      <c r="E42" s="409"/>
    </row>
    <row r="43" spans="1:7">
      <c r="C43" s="407"/>
      <c r="D43" s="408"/>
      <c r="E43" s="409"/>
    </row>
    <row r="44" spans="1:7">
      <c r="C44" s="407"/>
      <c r="D44" s="408"/>
      <c r="E44" s="409"/>
    </row>
    <row r="45" spans="1:7">
      <c r="C45" s="407"/>
      <c r="D45" s="408"/>
      <c r="E45" s="409"/>
    </row>
    <row r="46" spans="1:7">
      <c r="C46" s="407"/>
      <c r="D46" s="408"/>
      <c r="E46" s="409"/>
    </row>
    <row r="47" spans="1:7">
      <c r="D47" s="408"/>
      <c r="E47" s="409"/>
    </row>
    <row r="48" spans="1:7">
      <c r="C48" s="407"/>
      <c r="D48" s="408"/>
      <c r="E48" s="409"/>
    </row>
    <row r="49" spans="4:5">
      <c r="D49" s="410"/>
      <c r="E49" s="411"/>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4"/>
  <sheetViews>
    <sheetView view="pageLayout" topLeftCell="A10" zoomScaleNormal="100" workbookViewId="0">
      <selection activeCell="C40" sqref="C40"/>
    </sheetView>
  </sheetViews>
  <sheetFormatPr defaultColWidth="11.42578125" defaultRowHeight="13.2"/>
  <cols>
    <col min="1" max="1" width="3.85546875" style="16" customWidth="1"/>
    <col min="2" max="2" width="37.28515625" style="16" customWidth="1"/>
    <col min="3" max="3" width="18.140625" style="16" customWidth="1"/>
    <col min="4" max="4" width="13.42578125" style="16" customWidth="1"/>
    <col min="5" max="5" width="22.85546875" style="16" customWidth="1"/>
    <col min="6" max="6" width="13.42578125" style="16" customWidth="1"/>
    <col min="7" max="7" width="11.42578125" style="16" customWidth="1"/>
    <col min="8" max="8" width="13.85546875" style="16" customWidth="1"/>
    <col min="9" max="9" width="17.7109375" style="16" customWidth="1"/>
    <col min="10" max="10" width="8.42578125" style="16" customWidth="1"/>
    <col min="11" max="11" width="9" style="16" customWidth="1"/>
    <col min="12" max="12" width="8.7109375" style="16" customWidth="1"/>
    <col min="13" max="16384" width="11.42578125" style="16"/>
  </cols>
  <sheetData>
    <row r="1" spans="1:12" ht="15.6">
      <c r="B1" s="301" t="s">
        <v>27</v>
      </c>
      <c r="C1" s="301"/>
      <c r="D1" s="301"/>
      <c r="E1" s="301"/>
      <c r="F1" s="301"/>
    </row>
    <row r="2" spans="1:12">
      <c r="A2" s="94"/>
      <c r="B2" s="17"/>
      <c r="C2" s="17"/>
      <c r="D2" s="17"/>
      <c r="E2" s="17"/>
      <c r="F2" s="17"/>
    </row>
    <row r="3" spans="1:12" ht="15.6">
      <c r="B3" s="302" t="s">
        <v>28</v>
      </c>
      <c r="C3" s="302"/>
      <c r="D3" s="302"/>
      <c r="E3" s="302"/>
      <c r="F3" s="302"/>
    </row>
    <row r="4" spans="1:12" ht="15.6">
      <c r="B4" s="303" t="s">
        <v>29</v>
      </c>
      <c r="C4" s="303"/>
      <c r="D4" s="303"/>
      <c r="E4" s="303"/>
      <c r="F4" s="303"/>
      <c r="H4" s="210"/>
      <c r="L4" s="213"/>
    </row>
    <row r="5" spans="1:12">
      <c r="A5" s="568"/>
      <c r="B5" s="226" t="s">
        <v>30</v>
      </c>
      <c r="C5" s="226"/>
      <c r="D5" s="226"/>
      <c r="E5" s="226"/>
      <c r="F5" s="226"/>
      <c r="H5" s="210"/>
      <c r="L5" s="213"/>
    </row>
    <row r="6" spans="1:12">
      <c r="A6" s="18"/>
      <c r="C6" s="19"/>
      <c r="H6" s="210"/>
      <c r="L6" s="213"/>
    </row>
    <row r="7" spans="1:12">
      <c r="A7" s="18"/>
      <c r="B7" s="568"/>
      <c r="C7" s="568"/>
      <c r="D7" s="568"/>
      <c r="E7" s="568"/>
      <c r="F7" s="568"/>
      <c r="H7" s="210"/>
      <c r="L7" s="213"/>
    </row>
    <row r="8" spans="1:12">
      <c r="A8" s="166">
        <v>1</v>
      </c>
      <c r="B8" s="115" t="s">
        <v>31</v>
      </c>
      <c r="C8" s="115" t="s">
        <v>32</v>
      </c>
      <c r="D8" s="115" t="s">
        <v>33</v>
      </c>
      <c r="E8" s="115" t="s">
        <v>34</v>
      </c>
      <c r="F8" s="115" t="s">
        <v>35</v>
      </c>
      <c r="H8" s="210"/>
      <c r="L8" s="213"/>
    </row>
    <row r="9" spans="1:12">
      <c r="A9" s="166">
        <f>+A8+1</f>
        <v>2</v>
      </c>
      <c r="B9" s="568"/>
      <c r="C9" s="568"/>
      <c r="D9" s="568"/>
      <c r="E9" s="568"/>
      <c r="F9" s="568"/>
      <c r="H9" s="210"/>
      <c r="L9" s="213"/>
    </row>
    <row r="10" spans="1:12">
      <c r="A10" s="166">
        <f t="shared" ref="A10:A17" si="0">+A9+1</f>
        <v>3</v>
      </c>
      <c r="B10" s="569" t="s">
        <v>36</v>
      </c>
      <c r="C10" s="95"/>
      <c r="D10" s="95"/>
      <c r="E10" s="95"/>
      <c r="F10" s="95" t="s">
        <v>37</v>
      </c>
      <c r="H10" s="210"/>
      <c r="L10" s="213"/>
    </row>
    <row r="11" spans="1:12">
      <c r="A11" s="166">
        <f t="shared" si="0"/>
        <v>4</v>
      </c>
      <c r="B11" s="95"/>
      <c r="C11" s="96"/>
      <c r="D11" s="95"/>
      <c r="E11" s="95"/>
      <c r="F11" s="96" t="s">
        <v>38</v>
      </c>
      <c r="H11" s="210"/>
      <c r="L11" s="213"/>
    </row>
    <row r="12" spans="1:12">
      <c r="A12" s="166">
        <f t="shared" si="0"/>
        <v>5</v>
      </c>
      <c r="B12" s="97" t="s">
        <v>39</v>
      </c>
      <c r="C12" s="97" t="s">
        <v>40</v>
      </c>
      <c r="D12" s="97" t="s">
        <v>41</v>
      </c>
      <c r="E12" s="97" t="s">
        <v>3</v>
      </c>
      <c r="F12" s="97" t="s">
        <v>42</v>
      </c>
      <c r="H12" s="210"/>
      <c r="L12" s="213"/>
    </row>
    <row r="13" spans="1:12">
      <c r="A13" s="166">
        <f t="shared" si="0"/>
        <v>6</v>
      </c>
      <c r="B13" s="570"/>
      <c r="C13" s="570"/>
      <c r="D13" s="570"/>
      <c r="E13" s="570"/>
      <c r="F13" s="570"/>
      <c r="H13" s="210"/>
      <c r="L13" s="213"/>
    </row>
    <row r="14" spans="1:12">
      <c r="A14" s="166">
        <f t="shared" si="0"/>
        <v>7</v>
      </c>
      <c r="B14" s="570" t="s">
        <v>5</v>
      </c>
      <c r="C14" s="571">
        <f>'Pg 2 CapStructure'!Q10</f>
        <v>119791667</v>
      </c>
      <c r="D14" s="572">
        <f>ROUND(C14/$C$30,4)</f>
        <v>1.23E-2</v>
      </c>
      <c r="E14" s="573">
        <f>'Pg 6 LTD Cost '!H32</f>
        <v>4.58E-2</v>
      </c>
      <c r="F14" s="572">
        <f>ROUND(D14*E14,4)</f>
        <v>5.9999999999999995E-4</v>
      </c>
      <c r="L14" s="210"/>
    </row>
    <row r="15" spans="1:12">
      <c r="A15" s="166">
        <f t="shared" si="0"/>
        <v>8</v>
      </c>
      <c r="B15" s="570"/>
      <c r="C15" s="574"/>
      <c r="D15" s="572"/>
      <c r="E15" s="575"/>
      <c r="F15" s="572"/>
      <c r="L15" s="210"/>
    </row>
    <row r="16" spans="1:12">
      <c r="A16" s="166">
        <f t="shared" si="0"/>
        <v>9</v>
      </c>
      <c r="B16" s="570" t="s">
        <v>6</v>
      </c>
      <c r="C16" s="574">
        <f>'Pg 2 CapStructure'!Q16</f>
        <v>4836189614</v>
      </c>
      <c r="D16" s="495">
        <f>ROUND(C16/$C$30,4)</f>
        <v>0.497</v>
      </c>
      <c r="E16" s="576">
        <f>'Pg 6 LTD Cost '!H30</f>
        <v>5.0700000000000002E-2</v>
      </c>
      <c r="F16" s="572">
        <f>ROUND(D16*E16,4)</f>
        <v>2.52E-2</v>
      </c>
      <c r="L16" s="210"/>
    </row>
    <row r="17" spans="1:12">
      <c r="A17" s="166">
        <f t="shared" si="0"/>
        <v>10</v>
      </c>
      <c r="B17" s="99"/>
      <c r="C17" s="577"/>
      <c r="D17" s="572"/>
      <c r="E17" s="576"/>
      <c r="F17" s="578"/>
      <c r="H17" s="222"/>
      <c r="I17" s="167"/>
      <c r="J17" s="167"/>
      <c r="K17" s="167"/>
      <c r="L17" s="223"/>
    </row>
    <row r="18" spans="1:12">
      <c r="A18" s="166">
        <v>11</v>
      </c>
      <c r="B18" s="568" t="s">
        <v>43</v>
      </c>
      <c r="C18" s="577"/>
      <c r="D18" s="572">
        <f>ROUND((C14+C16)/C30,4)</f>
        <v>0.50929999999999997</v>
      </c>
      <c r="E18" s="576">
        <f>'Pg 6 LTD Cost '!H34</f>
        <v>5.0599999999999999E-2</v>
      </c>
      <c r="F18" s="578">
        <f>F16+F14</f>
        <v>2.58E-2</v>
      </c>
      <c r="H18" s="504"/>
      <c r="I18" s="167"/>
      <c r="J18" s="167"/>
      <c r="K18" s="167"/>
      <c r="L18" s="223"/>
    </row>
    <row r="19" spans="1:12">
      <c r="A19" s="166">
        <v>12</v>
      </c>
      <c r="B19" s="99"/>
      <c r="C19" s="577"/>
      <c r="D19" s="572"/>
      <c r="E19" s="576"/>
      <c r="F19" s="578"/>
      <c r="H19" s="222"/>
      <c r="I19" s="167"/>
      <c r="J19" s="167"/>
      <c r="K19" s="167"/>
      <c r="L19" s="223"/>
    </row>
    <row r="20" spans="1:12">
      <c r="A20" s="166">
        <v>13</v>
      </c>
      <c r="B20" s="568" t="s">
        <v>44</v>
      </c>
      <c r="C20" s="577"/>
      <c r="D20" s="572"/>
      <c r="E20" s="576"/>
      <c r="F20" s="578">
        <f>'Pg 4 STD OS &amp; Comm Fees'!F20</f>
        <v>2.0000000000000001E-4</v>
      </c>
      <c r="H20" s="222"/>
      <c r="I20" s="167"/>
      <c r="J20" s="167"/>
      <c r="K20" s="167"/>
      <c r="L20" s="223"/>
    </row>
    <row r="21" spans="1:12">
      <c r="A21" s="166">
        <v>14</v>
      </c>
      <c r="B21" s="99"/>
      <c r="C21" s="577"/>
      <c r="D21" s="572"/>
      <c r="E21" s="576"/>
      <c r="F21" s="578"/>
      <c r="H21" s="222"/>
      <c r="I21" s="167"/>
      <c r="J21" s="167"/>
      <c r="K21" s="167"/>
      <c r="L21" s="223"/>
    </row>
    <row r="22" spans="1:12">
      <c r="A22" s="166">
        <v>15</v>
      </c>
      <c r="B22" s="568" t="s">
        <v>45</v>
      </c>
      <c r="C22" s="577"/>
      <c r="D22" s="572"/>
      <c r="E22" s="576"/>
      <c r="F22" s="578">
        <f>'Pg 5 STD Amort'!H35</f>
        <v>1E-4</v>
      </c>
      <c r="H22" s="222"/>
      <c r="I22" s="167"/>
      <c r="J22" s="167"/>
      <c r="K22" s="167"/>
      <c r="L22" s="223"/>
    </row>
    <row r="23" spans="1:12">
      <c r="A23" s="166">
        <v>16</v>
      </c>
      <c r="B23" s="99"/>
      <c r="C23" s="577"/>
      <c r="D23" s="572"/>
      <c r="E23" s="576"/>
      <c r="F23" s="578"/>
      <c r="H23" s="222"/>
      <c r="I23" s="167"/>
      <c r="J23" s="167"/>
      <c r="K23" s="167"/>
      <c r="L23" s="223"/>
    </row>
    <row r="24" spans="1:12">
      <c r="A24" s="166">
        <v>17</v>
      </c>
      <c r="B24" s="568" t="s">
        <v>46</v>
      </c>
      <c r="C24" s="577"/>
      <c r="D24" s="572"/>
      <c r="E24" s="576"/>
      <c r="F24" s="578">
        <f>'Pg 7 Reacquired Debt'!I36</f>
        <v>2.0000000000000001E-4</v>
      </c>
      <c r="H24" s="222"/>
      <c r="I24" s="167"/>
      <c r="J24" s="167"/>
      <c r="K24" s="167"/>
      <c r="L24" s="223"/>
    </row>
    <row r="25" spans="1:12">
      <c r="A25" s="166">
        <v>18</v>
      </c>
      <c r="B25" s="99"/>
      <c r="C25" s="577"/>
      <c r="D25" s="572"/>
      <c r="E25" s="576"/>
      <c r="F25" s="578"/>
      <c r="H25" s="222"/>
      <c r="I25" s="167"/>
      <c r="J25" s="167"/>
      <c r="K25" s="167"/>
      <c r="L25" s="223"/>
    </row>
    <row r="26" spans="1:12">
      <c r="A26" s="166">
        <v>19</v>
      </c>
      <c r="B26" s="99" t="s">
        <v>47</v>
      </c>
      <c r="C26" s="577">
        <f>C16+C14</f>
        <v>4955981281</v>
      </c>
      <c r="D26" s="572">
        <f>D18</f>
        <v>0.50929999999999997</v>
      </c>
      <c r="E26" s="525">
        <f>F26/D26</f>
        <v>5.1639505203220103E-2</v>
      </c>
      <c r="F26" s="579">
        <f>SUM(F18:F25)</f>
        <v>2.6299999999999997E-2</v>
      </c>
      <c r="G26" s="518"/>
      <c r="H26" s="222"/>
      <c r="I26" s="167"/>
      <c r="J26" s="167"/>
      <c r="K26" s="167"/>
      <c r="L26" s="223"/>
    </row>
    <row r="27" spans="1:12">
      <c r="A27" s="166">
        <v>20</v>
      </c>
      <c r="B27" s="99"/>
      <c r="C27" s="577"/>
      <c r="D27" s="572"/>
      <c r="E27" s="576"/>
      <c r="F27" s="578"/>
      <c r="H27" s="222"/>
      <c r="I27" s="167"/>
      <c r="J27" s="167"/>
      <c r="K27" s="167"/>
      <c r="L27" s="223"/>
    </row>
    <row r="28" spans="1:12">
      <c r="A28" s="166">
        <v>21</v>
      </c>
      <c r="B28" s="98" t="s">
        <v>48</v>
      </c>
      <c r="C28" s="151">
        <f>'Pg 2 CapStructure'!Q20</f>
        <v>4774948958</v>
      </c>
      <c r="D28" s="296">
        <f>ROUND(C28/$C$30,4)</f>
        <v>0.49070000000000003</v>
      </c>
      <c r="E28" s="525">
        <v>9.4E-2</v>
      </c>
      <c r="F28" s="314">
        <f>ROUND(D28*E28,4)</f>
        <v>4.6100000000000002E-2</v>
      </c>
      <c r="H28" s="224"/>
      <c r="I28" s="525"/>
      <c r="J28" s="580"/>
      <c r="K28" s="225"/>
      <c r="L28" s="576"/>
    </row>
    <row r="29" spans="1:12">
      <c r="A29" s="166">
        <v>22</v>
      </c>
      <c r="B29" s="99"/>
      <c r="C29" s="576"/>
      <c r="D29" s="581"/>
      <c r="E29" s="490"/>
      <c r="F29" s="576"/>
      <c r="H29" s="224"/>
      <c r="I29" s="525"/>
      <c r="J29" s="580"/>
      <c r="K29" s="225"/>
      <c r="L29" s="576"/>
    </row>
    <row r="30" spans="1:12">
      <c r="A30" s="166">
        <v>23</v>
      </c>
      <c r="B30" s="98" t="s">
        <v>49</v>
      </c>
      <c r="C30" s="152">
        <f>C28+C26</f>
        <v>9730930239</v>
      </c>
      <c r="D30" s="216">
        <f>D28+D18</f>
        <v>1</v>
      </c>
      <c r="E30" s="582"/>
      <c r="F30" s="199">
        <f>F28+F26</f>
        <v>7.2399999999999992E-2</v>
      </c>
      <c r="H30" s="583"/>
      <c r="I30" s="583"/>
      <c r="J30" s="580"/>
      <c r="K30" s="576"/>
      <c r="L30" s="584"/>
    </row>
    <row r="31" spans="1:12">
      <c r="A31" s="166">
        <v>24</v>
      </c>
      <c r="B31" s="568"/>
      <c r="C31" s="583"/>
      <c r="D31" s="583"/>
      <c r="E31" s="153"/>
      <c r="F31" s="583"/>
      <c r="H31" s="568"/>
      <c r="I31" s="568"/>
      <c r="J31" s="568"/>
    </row>
    <row r="32" spans="1:12">
      <c r="A32" s="166">
        <v>25</v>
      </c>
      <c r="B32" s="568"/>
      <c r="C32" s="568"/>
      <c r="D32" s="568"/>
      <c r="E32" s="583"/>
      <c r="F32" s="568"/>
    </row>
    <row r="33" spans="1:7">
      <c r="A33" s="166">
        <v>26</v>
      </c>
      <c r="B33" s="328" t="s">
        <v>50</v>
      </c>
      <c r="C33" s="568"/>
      <c r="D33" s="568"/>
      <c r="E33" s="585"/>
      <c r="F33" s="568"/>
      <c r="G33" s="214"/>
    </row>
    <row r="34" spans="1:7">
      <c r="A34" s="15"/>
      <c r="B34" s="568"/>
      <c r="C34" s="568"/>
      <c r="D34" s="568"/>
      <c r="E34" s="568"/>
      <c r="F34" s="568"/>
    </row>
    <row r="35" spans="1:7">
      <c r="A35" s="15"/>
      <c r="B35" s="568"/>
      <c r="C35" s="574"/>
      <c r="D35" s="568"/>
      <c r="E35" s="568"/>
      <c r="F35" s="568"/>
    </row>
    <row r="36" spans="1:7">
      <c r="A36" s="15"/>
      <c r="B36" s="568"/>
      <c r="C36" s="574"/>
      <c r="D36" s="568"/>
      <c r="E36" s="568"/>
      <c r="F36" s="568"/>
    </row>
    <row r="37" spans="1:7">
      <c r="A37" s="15"/>
      <c r="B37" s="568"/>
      <c r="C37" s="574"/>
      <c r="D37" s="568"/>
      <c r="E37" s="568"/>
      <c r="F37" s="568"/>
    </row>
    <row r="38" spans="1:7">
      <c r="A38" s="15"/>
      <c r="B38" s="568"/>
      <c r="D38" s="568"/>
      <c r="E38" s="568"/>
      <c r="F38" s="568"/>
    </row>
    <row r="39" spans="1:7">
      <c r="A39" s="15"/>
      <c r="B39" s="568"/>
      <c r="C39" s="586"/>
      <c r="D39" s="568"/>
      <c r="E39" s="568"/>
      <c r="F39" s="568"/>
    </row>
    <row r="40" spans="1:7">
      <c r="A40" s="15"/>
      <c r="B40" s="568"/>
      <c r="C40" s="568"/>
      <c r="D40" s="568"/>
      <c r="E40" s="568"/>
      <c r="F40" s="568"/>
    </row>
    <row r="41" spans="1:7">
      <c r="A41" s="15"/>
      <c r="B41" s="568"/>
      <c r="C41" s="568"/>
      <c r="D41" s="568"/>
      <c r="E41" s="568"/>
      <c r="F41" s="568"/>
    </row>
    <row r="42" spans="1:7">
      <c r="B42" s="568"/>
      <c r="C42" s="568"/>
      <c r="D42" s="568"/>
      <c r="E42" s="568"/>
      <c r="F42" s="568"/>
    </row>
    <row r="43" spans="1:7">
      <c r="B43" s="568"/>
      <c r="C43" s="568"/>
      <c r="D43" s="568"/>
      <c r="E43" s="568"/>
      <c r="F43" s="568"/>
    </row>
    <row r="44" spans="1:7">
      <c r="E44" s="568"/>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landscape" r:id="rId1"/>
  <headerFooter>
    <oddFooter>&amp;CPg 1 Cost of Capital&amp;R&amp;F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Y677"/>
  <sheetViews>
    <sheetView tabSelected="1" zoomScaleNormal="100" workbookViewId="0">
      <pane xSplit="2" ySplit="6" topLeftCell="C28" activePane="bottomRight" state="frozen"/>
      <selection pane="topRight" activeCell="C28" sqref="C28"/>
      <selection pane="bottomLeft" activeCell="C28" sqref="C28"/>
      <selection pane="bottomRight" activeCell="R1" sqref="R1:S1048576"/>
    </sheetView>
  </sheetViews>
  <sheetFormatPr defaultColWidth="15.85546875" defaultRowHeight="13.2"/>
  <cols>
    <col min="1" max="1" width="3.28515625" style="1" customWidth="1"/>
    <col min="2" max="2" width="32.28515625" style="1" customWidth="1"/>
    <col min="3" max="3" width="14.140625" style="2" customWidth="1"/>
    <col min="4" max="4" width="11" style="2" customWidth="1"/>
    <col min="5" max="5" width="11.140625" style="2" customWidth="1"/>
    <col min="6" max="7" width="10.85546875" style="2" customWidth="1"/>
    <col min="8" max="9" width="10.42578125" style="2" customWidth="1"/>
    <col min="10" max="11" width="10.85546875" style="2" customWidth="1"/>
    <col min="12" max="14" width="10.7109375" style="2" customWidth="1"/>
    <col min="15" max="15" width="11.42578125" style="2" customWidth="1"/>
    <col min="16" max="16" width="2.7109375" style="2" customWidth="1"/>
    <col min="17" max="17" width="12.42578125" style="1" customWidth="1"/>
    <col min="18" max="18" width="10.28515625" style="1" customWidth="1"/>
    <col min="19" max="19" width="16.28515625" style="1" bestFit="1" customWidth="1"/>
    <col min="20" max="29" width="8.85546875" style="1" customWidth="1"/>
    <col min="30" max="30" width="10.140625" style="1" customWidth="1"/>
    <col min="31" max="16384" width="15.85546875" style="1"/>
  </cols>
  <sheetData>
    <row r="1" spans="1:50">
      <c r="B1" s="129" t="s">
        <v>51</v>
      </c>
      <c r="C1" s="130"/>
      <c r="D1" s="130"/>
      <c r="E1" s="130"/>
      <c r="F1" s="130"/>
      <c r="G1" s="130"/>
      <c r="H1" s="130"/>
      <c r="I1" s="130"/>
      <c r="J1" s="130"/>
      <c r="K1" s="130"/>
      <c r="L1" s="130"/>
      <c r="M1" s="130"/>
      <c r="N1" s="130"/>
      <c r="O1" s="130"/>
      <c r="P1" s="130"/>
      <c r="Q1" s="131"/>
    </row>
    <row r="2" spans="1:50">
      <c r="B2" s="129" t="s">
        <v>52</v>
      </c>
      <c r="C2" s="130"/>
      <c r="D2" s="130"/>
      <c r="E2" s="130"/>
      <c r="F2" s="130"/>
      <c r="G2" s="130"/>
      <c r="H2" s="130"/>
      <c r="I2" s="130"/>
      <c r="J2" s="130"/>
      <c r="K2" s="130"/>
      <c r="L2" s="130"/>
      <c r="M2" s="130"/>
      <c r="N2" s="130"/>
      <c r="O2" s="130"/>
      <c r="P2" s="130"/>
      <c r="Q2" s="131"/>
    </row>
    <row r="3" spans="1:50" ht="12.75" customHeight="1">
      <c r="B3" s="616" t="s">
        <v>53</v>
      </c>
      <c r="C3" s="616"/>
      <c r="D3" s="616"/>
      <c r="E3" s="616"/>
      <c r="F3" s="616"/>
      <c r="G3" s="616"/>
      <c r="H3" s="616"/>
      <c r="I3" s="616"/>
      <c r="J3" s="616"/>
      <c r="K3" s="616"/>
      <c r="L3" s="616"/>
      <c r="M3" s="616"/>
      <c r="N3" s="616"/>
      <c r="O3" s="616"/>
      <c r="P3" s="616"/>
      <c r="Q3" s="616"/>
    </row>
    <row r="4" spans="1:50">
      <c r="B4" s="615" t="s">
        <v>54</v>
      </c>
      <c r="C4" s="615"/>
      <c r="D4" s="615"/>
      <c r="E4" s="615"/>
      <c r="F4" s="615"/>
      <c r="G4" s="615"/>
      <c r="H4" s="615"/>
      <c r="I4" s="615"/>
      <c r="J4" s="615"/>
      <c r="K4" s="615"/>
      <c r="L4" s="615"/>
      <c r="M4" s="615"/>
      <c r="N4" s="615"/>
      <c r="O4" s="615"/>
      <c r="P4" s="615"/>
      <c r="Q4" s="615"/>
    </row>
    <row r="5" spans="1:50">
      <c r="A5" s="117">
        <v>1</v>
      </c>
      <c r="B5" s="115" t="s">
        <v>31</v>
      </c>
      <c r="C5" s="274" t="s">
        <v>32</v>
      </c>
      <c r="D5" s="274" t="s">
        <v>33</v>
      </c>
      <c r="E5" s="274" t="s">
        <v>34</v>
      </c>
      <c r="F5" s="274" t="s">
        <v>35</v>
      </c>
      <c r="G5" s="274" t="s">
        <v>55</v>
      </c>
      <c r="H5" s="274" t="s">
        <v>56</v>
      </c>
      <c r="I5" s="274" t="s">
        <v>57</v>
      </c>
      <c r="J5" s="274" t="s">
        <v>58</v>
      </c>
      <c r="K5" s="274" t="s">
        <v>59</v>
      </c>
      <c r="L5" s="274" t="s">
        <v>60</v>
      </c>
      <c r="M5" s="274" t="s">
        <v>61</v>
      </c>
      <c r="N5" s="274" t="s">
        <v>62</v>
      </c>
      <c r="O5" s="274" t="s">
        <v>63</v>
      </c>
      <c r="P5" s="274"/>
      <c r="Q5" s="115" t="s">
        <v>64</v>
      </c>
    </row>
    <row r="6" spans="1:50" ht="35.1" customHeight="1">
      <c r="A6" s="117">
        <f>+A5+1</f>
        <v>2</v>
      </c>
      <c r="B6" s="93" t="s">
        <v>65</v>
      </c>
      <c r="C6" s="170">
        <v>44742</v>
      </c>
      <c r="D6" s="170">
        <v>44773</v>
      </c>
      <c r="E6" s="170">
        <v>44804</v>
      </c>
      <c r="F6" s="170">
        <v>44834</v>
      </c>
      <c r="G6" s="170">
        <v>44865</v>
      </c>
      <c r="H6" s="170">
        <v>44895</v>
      </c>
      <c r="I6" s="170">
        <v>44926</v>
      </c>
      <c r="J6" s="170">
        <v>44957</v>
      </c>
      <c r="K6" s="170">
        <v>44985</v>
      </c>
      <c r="L6" s="170">
        <v>45016</v>
      </c>
      <c r="M6" s="170">
        <v>45046</v>
      </c>
      <c r="N6" s="170">
        <v>45077</v>
      </c>
      <c r="O6" s="170">
        <v>45107</v>
      </c>
      <c r="P6" s="170"/>
      <c r="Q6" s="110" t="s">
        <v>66</v>
      </c>
      <c r="R6" s="92"/>
      <c r="S6" s="92"/>
      <c r="T6" s="92"/>
      <c r="U6" s="92"/>
      <c r="V6" s="92"/>
      <c r="W6" s="92"/>
      <c r="X6" s="92"/>
      <c r="Y6" s="92"/>
      <c r="Z6" s="92"/>
      <c r="AA6" s="92"/>
      <c r="AB6" s="92"/>
      <c r="AC6" s="82"/>
      <c r="AD6" s="82"/>
      <c r="AE6" s="82"/>
      <c r="AF6" s="82"/>
      <c r="AG6" s="82"/>
      <c r="AH6" s="82"/>
      <c r="AI6" s="82"/>
      <c r="AJ6" s="82"/>
      <c r="AK6" s="82"/>
      <c r="AL6" s="82"/>
      <c r="AM6" s="82"/>
      <c r="AN6" s="82"/>
      <c r="AO6" s="82"/>
      <c r="AP6" s="82"/>
      <c r="AQ6" s="82"/>
      <c r="AR6" s="82"/>
      <c r="AS6" s="82"/>
      <c r="AT6" s="82"/>
      <c r="AU6" s="82"/>
      <c r="AV6" s="82"/>
      <c r="AW6" s="82"/>
      <c r="AX6" s="82"/>
    </row>
    <row r="7" spans="1:50">
      <c r="A7" s="117">
        <f>+A6+1</f>
        <v>3</v>
      </c>
      <c r="B7" s="127" t="s">
        <v>67</v>
      </c>
      <c r="C7" s="329">
        <v>55000000</v>
      </c>
      <c r="D7" s="329">
        <v>70000000</v>
      </c>
      <c r="E7" s="329">
        <v>54000000</v>
      </c>
      <c r="F7" s="329">
        <v>102000000</v>
      </c>
      <c r="G7" s="329">
        <v>160000000</v>
      </c>
      <c r="H7" s="329">
        <v>265000000</v>
      </c>
      <c r="I7" s="329">
        <v>357000000</v>
      </c>
      <c r="J7" s="329">
        <v>53000000</v>
      </c>
      <c r="K7" s="329">
        <v>162000000</v>
      </c>
      <c r="L7" s="329">
        <v>137000000</v>
      </c>
      <c r="M7" s="329">
        <v>50000000</v>
      </c>
      <c r="N7" s="329">
        <v>0</v>
      </c>
      <c r="O7" s="329">
        <v>0</v>
      </c>
      <c r="P7" s="329"/>
      <c r="Q7" s="148">
        <f>ROUND(((C7+O7)+(SUM(D7:N7)*2))/24,0)</f>
        <v>119791667</v>
      </c>
      <c r="R7" s="92"/>
      <c r="S7" s="92"/>
      <c r="T7" s="92"/>
      <c r="U7" s="92"/>
      <c r="V7" s="92"/>
      <c r="W7" s="92"/>
      <c r="X7" s="92"/>
      <c r="Y7" s="92"/>
      <c r="Z7" s="92"/>
      <c r="AA7" s="92"/>
      <c r="AB7" s="92"/>
      <c r="AC7" s="82"/>
      <c r="AD7" s="82"/>
      <c r="AE7" s="82"/>
      <c r="AF7" s="82"/>
      <c r="AG7" s="82"/>
      <c r="AH7" s="82"/>
      <c r="AI7" s="82"/>
      <c r="AJ7" s="82"/>
      <c r="AK7" s="82"/>
      <c r="AL7" s="82"/>
      <c r="AM7" s="82"/>
      <c r="AN7" s="82"/>
      <c r="AO7" s="82"/>
      <c r="AP7" s="82"/>
      <c r="AQ7" s="82"/>
      <c r="AR7" s="82"/>
      <c r="AS7" s="82"/>
      <c r="AT7" s="82"/>
      <c r="AU7" s="82"/>
      <c r="AV7" s="82"/>
      <c r="AW7" s="82"/>
      <c r="AX7" s="82"/>
    </row>
    <row r="8" spans="1:50">
      <c r="A8" s="117">
        <f>+A7+1</f>
        <v>4</v>
      </c>
      <c r="B8" s="127" t="s">
        <v>68</v>
      </c>
      <c r="C8" s="329"/>
      <c r="D8" s="329"/>
      <c r="E8" s="329"/>
      <c r="F8" s="329"/>
      <c r="G8" s="329"/>
      <c r="H8" s="329"/>
      <c r="I8" s="329"/>
      <c r="J8" s="329"/>
      <c r="K8" s="329"/>
      <c r="L8" s="329"/>
      <c r="M8" s="329"/>
      <c r="N8" s="329"/>
      <c r="O8" s="329"/>
      <c r="P8" s="329"/>
      <c r="Q8" s="148">
        <f>ROUND(((C8+L8)+(SUM(D8:N8)*2))/24,0)</f>
        <v>0</v>
      </c>
      <c r="R8" s="92"/>
      <c r="S8" s="92"/>
      <c r="T8" s="92"/>
      <c r="U8" s="92"/>
      <c r="V8" s="92"/>
      <c r="W8" s="92"/>
      <c r="X8" s="92"/>
      <c r="Y8" s="92"/>
      <c r="Z8" s="92"/>
      <c r="AA8" s="92"/>
      <c r="AB8" s="92"/>
      <c r="AC8" s="82"/>
      <c r="AD8" s="82"/>
      <c r="AE8" s="82"/>
      <c r="AF8" s="82"/>
      <c r="AG8" s="82"/>
      <c r="AH8" s="82"/>
      <c r="AI8" s="82"/>
      <c r="AJ8" s="82"/>
      <c r="AK8" s="82"/>
      <c r="AL8" s="82"/>
      <c r="AM8" s="82"/>
      <c r="AN8" s="82"/>
      <c r="AO8" s="82"/>
      <c r="AP8" s="82"/>
      <c r="AQ8" s="82"/>
      <c r="AR8" s="82"/>
      <c r="AS8" s="82"/>
      <c r="AT8" s="82"/>
      <c r="AU8" s="82"/>
      <c r="AV8" s="82"/>
      <c r="AW8" s="82"/>
      <c r="AX8" s="82"/>
    </row>
    <row r="9" spans="1:50" ht="13.8" thickBot="1">
      <c r="A9" s="117">
        <f>+A8+1</f>
        <v>5</v>
      </c>
      <c r="B9" s="127" t="s">
        <v>69</v>
      </c>
      <c r="C9" s="329"/>
      <c r="D9" s="329"/>
      <c r="E9" s="329"/>
      <c r="F9" s="329"/>
      <c r="G9" s="329"/>
      <c r="H9" s="329"/>
      <c r="I9" s="329"/>
      <c r="J9" s="329"/>
      <c r="K9" s="329"/>
      <c r="L9" s="329"/>
      <c r="M9" s="329"/>
      <c r="N9" s="329"/>
      <c r="O9" s="329"/>
      <c r="P9" s="329"/>
      <c r="Q9" s="148">
        <f>ROUND(((C9+O9)+(SUM(D9:N9)*2))/24,0)</f>
        <v>0</v>
      </c>
      <c r="R9" s="92"/>
      <c r="S9" s="92"/>
      <c r="T9" s="92"/>
      <c r="U9" s="92"/>
      <c r="V9" s="92"/>
      <c r="W9" s="92"/>
      <c r="X9" s="92"/>
      <c r="Y9" s="92"/>
      <c r="Z9" s="92"/>
      <c r="AA9" s="92"/>
      <c r="AB9" s="92"/>
      <c r="AC9" s="82"/>
      <c r="AD9" s="82"/>
      <c r="AE9" s="82"/>
      <c r="AF9" s="82"/>
      <c r="AG9" s="82"/>
      <c r="AH9" s="82"/>
      <c r="AI9" s="82"/>
      <c r="AJ9" s="82"/>
      <c r="AK9" s="82"/>
      <c r="AL9" s="82"/>
      <c r="AM9" s="82"/>
      <c r="AN9" s="82"/>
      <c r="AO9" s="82"/>
      <c r="AP9" s="82"/>
      <c r="AQ9" s="82"/>
      <c r="AR9" s="82"/>
      <c r="AS9" s="82"/>
      <c r="AT9" s="82"/>
      <c r="AU9" s="82"/>
      <c r="AV9" s="82"/>
      <c r="AW9" s="82"/>
      <c r="AX9" s="82"/>
    </row>
    <row r="10" spans="1:50" ht="13.8" thickBot="1">
      <c r="A10" s="117">
        <f>+A9+1</f>
        <v>6</v>
      </c>
      <c r="B10" s="128" t="s">
        <v>70</v>
      </c>
      <c r="C10" s="319">
        <f t="shared" ref="C10:H10" si="0">SUM(C7:C9)</f>
        <v>55000000</v>
      </c>
      <c r="D10" s="319">
        <f t="shared" si="0"/>
        <v>70000000</v>
      </c>
      <c r="E10" s="319">
        <f t="shared" si="0"/>
        <v>54000000</v>
      </c>
      <c r="F10" s="319">
        <f t="shared" si="0"/>
        <v>102000000</v>
      </c>
      <c r="G10" s="319">
        <f t="shared" si="0"/>
        <v>160000000</v>
      </c>
      <c r="H10" s="319">
        <f t="shared" si="0"/>
        <v>265000000</v>
      </c>
      <c r="I10" s="319">
        <f t="shared" ref="I10:O10" si="1">SUM(I7:I9)</f>
        <v>357000000</v>
      </c>
      <c r="J10" s="319">
        <f t="shared" si="1"/>
        <v>53000000</v>
      </c>
      <c r="K10" s="319">
        <f t="shared" si="1"/>
        <v>162000000</v>
      </c>
      <c r="L10" s="319">
        <f t="shared" si="1"/>
        <v>137000000</v>
      </c>
      <c r="M10" s="319">
        <f t="shared" si="1"/>
        <v>50000000</v>
      </c>
      <c r="N10" s="319">
        <f t="shared" si="1"/>
        <v>0</v>
      </c>
      <c r="O10" s="319">
        <f t="shared" si="1"/>
        <v>0</v>
      </c>
      <c r="P10" s="172"/>
      <c r="Q10" s="190">
        <f>SUM(Q7:Q9)</f>
        <v>119791667</v>
      </c>
      <c r="R10" s="88"/>
      <c r="S10" s="88"/>
      <c r="T10" s="88"/>
      <c r="U10" s="88"/>
      <c r="V10" s="88"/>
      <c r="W10" s="88"/>
      <c r="X10" s="88"/>
      <c r="Y10" s="88"/>
      <c r="Z10" s="88"/>
      <c r="AA10" s="88"/>
      <c r="AB10" s="88"/>
      <c r="AC10" s="84"/>
      <c r="AD10" s="84"/>
      <c r="AE10" s="82"/>
      <c r="AF10" s="82"/>
      <c r="AG10" s="82"/>
      <c r="AH10" s="82"/>
      <c r="AI10" s="82"/>
      <c r="AJ10" s="82"/>
      <c r="AK10" s="82"/>
      <c r="AL10" s="82"/>
      <c r="AM10" s="82"/>
      <c r="AN10" s="82"/>
      <c r="AO10" s="82"/>
      <c r="AP10" s="82"/>
      <c r="AQ10" s="82"/>
      <c r="AR10" s="82"/>
      <c r="AS10" s="82"/>
      <c r="AT10" s="82"/>
      <c r="AU10" s="82"/>
      <c r="AV10" s="82"/>
      <c r="AW10" s="82"/>
      <c r="AX10" s="82"/>
    </row>
    <row r="11" spans="1:50" ht="6.9" customHeight="1" thickBot="1">
      <c r="A11" s="117"/>
      <c r="B11" s="126"/>
      <c r="C11" s="318"/>
      <c r="D11" s="318"/>
      <c r="E11" s="318"/>
      <c r="F11" s="318"/>
      <c r="G11" s="318"/>
      <c r="H11" s="318"/>
      <c r="I11" s="318"/>
      <c r="J11" s="318"/>
      <c r="K11" s="318"/>
      <c r="L11" s="318"/>
      <c r="M11" s="318"/>
      <c r="N11" s="318"/>
      <c r="O11" s="318"/>
      <c r="P11" s="318"/>
      <c r="Q11" s="148"/>
      <c r="R11" s="88"/>
      <c r="S11" s="88"/>
      <c r="T11" s="88"/>
      <c r="U11" s="88"/>
      <c r="V11" s="88"/>
      <c r="W11" s="88"/>
      <c r="X11" s="88"/>
      <c r="Y11" s="88"/>
      <c r="Z11" s="88"/>
      <c r="AA11" s="88"/>
      <c r="AB11" s="88"/>
      <c r="AC11" s="84"/>
      <c r="AD11" s="84"/>
      <c r="AE11" s="82"/>
      <c r="AF11" s="82"/>
      <c r="AG11" s="82"/>
      <c r="AH11" s="82"/>
      <c r="AI11" s="82"/>
      <c r="AJ11" s="82"/>
      <c r="AK11" s="82"/>
      <c r="AL11" s="82"/>
      <c r="AM11" s="82"/>
      <c r="AN11" s="82"/>
      <c r="AO11" s="82"/>
      <c r="AP11" s="82"/>
      <c r="AQ11" s="82"/>
      <c r="AR11" s="82"/>
      <c r="AS11" s="82"/>
      <c r="AT11" s="82"/>
      <c r="AU11" s="82"/>
      <c r="AV11" s="82"/>
      <c r="AW11" s="82"/>
      <c r="AX11" s="82"/>
    </row>
    <row r="12" spans="1:50" ht="13.8" thickBot="1">
      <c r="A12" s="117">
        <f>+A10+1</f>
        <v>7</v>
      </c>
      <c r="B12" s="128" t="s">
        <v>71</v>
      </c>
      <c r="C12" s="330">
        <v>4785752149</v>
      </c>
      <c r="D12" s="330">
        <v>4785926132</v>
      </c>
      <c r="E12" s="330">
        <v>4786100115</v>
      </c>
      <c r="F12" s="330">
        <v>4786274098</v>
      </c>
      <c r="G12" s="330">
        <v>4786448080</v>
      </c>
      <c r="H12" s="330">
        <v>4786606668</v>
      </c>
      <c r="I12" s="330">
        <v>4786765256</v>
      </c>
      <c r="J12" s="330">
        <v>4786923844</v>
      </c>
      <c r="K12" s="330">
        <v>4787082432</v>
      </c>
      <c r="L12" s="330">
        <v>4787241020</v>
      </c>
      <c r="M12" s="330">
        <v>4787399608</v>
      </c>
      <c r="N12" s="330">
        <v>5183092378</v>
      </c>
      <c r="O12" s="330">
        <v>5183079336</v>
      </c>
      <c r="P12" s="330"/>
      <c r="Q12" s="190">
        <f>ROUND(((C12+O12)+(SUM(D12:N12)*2))/24,0)</f>
        <v>4836189614</v>
      </c>
      <c r="R12" s="88"/>
      <c r="S12" s="88"/>
      <c r="T12" s="88"/>
      <c r="U12" s="88"/>
      <c r="V12" s="88"/>
      <c r="W12" s="88"/>
      <c r="X12" s="88"/>
      <c r="Y12" s="88"/>
      <c r="Z12" s="88"/>
      <c r="AA12" s="88"/>
      <c r="AB12" s="88"/>
      <c r="AC12" s="84"/>
      <c r="AD12" s="84"/>
      <c r="AE12" s="82"/>
      <c r="AF12" s="82"/>
      <c r="AG12" s="82"/>
      <c r="AH12" s="82"/>
      <c r="AI12" s="82"/>
      <c r="AJ12" s="82"/>
      <c r="AK12" s="82"/>
      <c r="AL12" s="82"/>
      <c r="AM12" s="82"/>
      <c r="AN12" s="82"/>
      <c r="AO12" s="82"/>
      <c r="AP12" s="82"/>
      <c r="AQ12" s="82"/>
      <c r="AR12" s="82"/>
      <c r="AS12" s="82"/>
      <c r="AT12" s="82"/>
      <c r="AU12" s="82"/>
      <c r="AV12" s="82"/>
      <c r="AW12" s="82"/>
      <c r="AX12" s="82"/>
    </row>
    <row r="13" spans="1:50" ht="6" customHeight="1">
      <c r="A13" s="117"/>
      <c r="B13" s="128"/>
      <c r="C13" s="331"/>
      <c r="D13" s="331"/>
      <c r="E13" s="331"/>
      <c r="F13" s="331"/>
      <c r="G13" s="331"/>
      <c r="H13" s="331"/>
      <c r="I13" s="331"/>
      <c r="J13" s="331"/>
      <c r="K13" s="331"/>
      <c r="L13" s="331"/>
      <c r="M13" s="331"/>
      <c r="N13" s="331"/>
      <c r="O13" s="331"/>
      <c r="P13" s="331"/>
      <c r="Q13" s="149"/>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ht="13.5" customHeight="1">
      <c r="A14" s="117">
        <f>+A12+1</f>
        <v>8</v>
      </c>
      <c r="B14" s="128" t="s">
        <v>72</v>
      </c>
      <c r="C14" s="331"/>
      <c r="D14" s="331">
        <v>0</v>
      </c>
      <c r="E14" s="331">
        <v>0</v>
      </c>
      <c r="F14" s="331">
        <v>0</v>
      </c>
      <c r="G14" s="331"/>
      <c r="H14" s="331"/>
      <c r="I14" s="331"/>
      <c r="J14" s="331"/>
      <c r="K14" s="331"/>
      <c r="L14" s="331"/>
      <c r="M14" s="331"/>
      <c r="N14" s="331"/>
      <c r="O14" s="331"/>
      <c r="P14" s="331"/>
      <c r="Q14" s="218">
        <f>ROUND(((C14+O14)+(SUM(D14:N14)*2))/24,0)</f>
        <v>0</v>
      </c>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1:50" ht="5.25" customHeight="1" thickBot="1">
      <c r="A15" s="117"/>
      <c r="B15" s="128"/>
      <c r="C15" s="89"/>
      <c r="D15" s="89"/>
      <c r="E15" s="89"/>
      <c r="F15" s="89"/>
      <c r="G15" s="89"/>
      <c r="H15" s="89"/>
      <c r="I15" s="89"/>
      <c r="J15" s="89"/>
      <c r="K15" s="89"/>
      <c r="L15" s="89"/>
      <c r="M15" s="89"/>
      <c r="N15" s="89"/>
      <c r="O15" s="89"/>
      <c r="P15" s="89"/>
      <c r="Q15" s="149"/>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1:50" ht="13.5" customHeight="1" thickBot="1">
      <c r="A16" s="117">
        <f>+A14+1</f>
        <v>9</v>
      </c>
      <c r="B16" s="128" t="s">
        <v>6</v>
      </c>
      <c r="C16" s="267">
        <f>SUM(C12:C14)</f>
        <v>4785752149</v>
      </c>
      <c r="D16" s="267">
        <f>SUM(D12:D14)</f>
        <v>4785926132</v>
      </c>
      <c r="E16" s="267">
        <f>SUM(E12:E14)</f>
        <v>4786100115</v>
      </c>
      <c r="F16" s="267">
        <f>SUM(F12:F14)</f>
        <v>4786274098</v>
      </c>
      <c r="G16" s="267">
        <f t="shared" ref="G16:O16" si="2">SUM(G12:G14)</f>
        <v>4786448080</v>
      </c>
      <c r="H16" s="267">
        <f t="shared" si="2"/>
        <v>4786606668</v>
      </c>
      <c r="I16" s="267">
        <f t="shared" si="2"/>
        <v>4786765256</v>
      </c>
      <c r="J16" s="267">
        <f t="shared" si="2"/>
        <v>4786923844</v>
      </c>
      <c r="K16" s="267">
        <f t="shared" si="2"/>
        <v>4787082432</v>
      </c>
      <c r="L16" s="267">
        <f t="shared" si="2"/>
        <v>4787241020</v>
      </c>
      <c r="M16" s="267">
        <f t="shared" si="2"/>
        <v>4787399608</v>
      </c>
      <c r="N16" s="267">
        <f t="shared" si="2"/>
        <v>5183092378</v>
      </c>
      <c r="O16" s="267">
        <f t="shared" si="2"/>
        <v>5183079336</v>
      </c>
      <c r="P16" s="90"/>
      <c r="Q16" s="190">
        <f>SUM(Q12:Q14)</f>
        <v>4836189614</v>
      </c>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50" ht="6.75" customHeight="1" thickBot="1">
      <c r="A17" s="117"/>
      <c r="B17" s="128"/>
      <c r="C17" s="89"/>
      <c r="D17" s="89"/>
      <c r="E17" s="89"/>
      <c r="F17" s="89"/>
      <c r="G17" s="89"/>
      <c r="H17" s="89"/>
      <c r="I17" s="89"/>
      <c r="J17" s="89"/>
      <c r="K17" s="89"/>
      <c r="L17" s="89"/>
      <c r="M17" s="89"/>
      <c r="N17" s="89"/>
      <c r="O17" s="89"/>
      <c r="P17" s="89"/>
      <c r="Q17" s="149"/>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50" ht="13.8" thickBot="1">
      <c r="A18" s="117">
        <f>+A16+1</f>
        <v>10</v>
      </c>
      <c r="B18" s="128" t="s">
        <v>73</v>
      </c>
      <c r="C18" s="266">
        <v>0</v>
      </c>
      <c r="D18" s="266">
        <v>0</v>
      </c>
      <c r="E18" s="266">
        <v>0</v>
      </c>
      <c r="F18" s="266">
        <v>0</v>
      </c>
      <c r="G18" s="266">
        <v>0</v>
      </c>
      <c r="H18" s="266">
        <v>0</v>
      </c>
      <c r="I18" s="266">
        <v>0</v>
      </c>
      <c r="J18" s="266">
        <v>0</v>
      </c>
      <c r="K18" s="266">
        <v>0</v>
      </c>
      <c r="L18" s="266">
        <v>0</v>
      </c>
      <c r="M18" s="266">
        <v>0</v>
      </c>
      <c r="N18" s="266">
        <v>0</v>
      </c>
      <c r="O18" s="266">
        <v>0</v>
      </c>
      <c r="P18" s="266"/>
      <c r="Q18" s="189"/>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ht="6.9" customHeight="1" thickBot="1">
      <c r="A19" s="117"/>
      <c r="B19" s="128"/>
      <c r="C19" s="89"/>
      <c r="D19" s="89"/>
      <c r="E19" s="89"/>
      <c r="F19" s="89"/>
      <c r="G19" s="89"/>
      <c r="H19" s="89"/>
      <c r="I19" s="89"/>
      <c r="J19" s="89"/>
      <c r="K19" s="89"/>
      <c r="L19" s="89"/>
      <c r="M19" s="89"/>
      <c r="N19" s="89"/>
      <c r="O19" s="89"/>
      <c r="P19" s="89"/>
      <c r="Q19" s="148"/>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1:50" ht="13.8" thickBot="1">
      <c r="A20" s="117">
        <f>+A18+1</f>
        <v>11</v>
      </c>
      <c r="B20" s="128" t="s">
        <v>74</v>
      </c>
      <c r="C20" s="279">
        <v>4631868000</v>
      </c>
      <c r="D20" s="279">
        <v>4632679000</v>
      </c>
      <c r="E20" s="279">
        <v>4625201000</v>
      </c>
      <c r="F20" s="279">
        <v>4659226000</v>
      </c>
      <c r="G20" s="279">
        <v>4671741000</v>
      </c>
      <c r="H20" s="279">
        <v>4697533000</v>
      </c>
      <c r="I20" s="279">
        <v>4762099000</v>
      </c>
      <c r="J20" s="279">
        <v>4800013000</v>
      </c>
      <c r="K20" s="279">
        <v>4871840000</v>
      </c>
      <c r="L20" s="279">
        <v>4912815000</v>
      </c>
      <c r="M20" s="279">
        <v>4944172000</v>
      </c>
      <c r="N20" s="279">
        <v>4947767000</v>
      </c>
      <c r="O20" s="279">
        <v>4916735000</v>
      </c>
      <c r="P20" s="244"/>
      <c r="Q20" s="189">
        <f>ROUND(((C20+O20)+(SUM(D20:N20)*2))/24,0)</f>
        <v>4774948958</v>
      </c>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50" ht="6.9" customHeight="1">
      <c r="A21" s="117"/>
      <c r="B21" s="128"/>
      <c r="C21" s="91"/>
      <c r="D21" s="91"/>
      <c r="E21" s="91"/>
      <c r="F21" s="91"/>
      <c r="G21" s="91"/>
      <c r="H21" s="91"/>
      <c r="I21" s="91"/>
      <c r="J21" s="91"/>
      <c r="K21" s="91"/>
      <c r="L21" s="91"/>
      <c r="M21" s="91"/>
      <c r="N21" s="91"/>
      <c r="O21" s="91"/>
      <c r="P21" s="91"/>
      <c r="Q21" s="150"/>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50" ht="13.8" thickBot="1">
      <c r="A22" s="117">
        <f>+A20+1</f>
        <v>12</v>
      </c>
      <c r="B22" s="128" t="s">
        <v>75</v>
      </c>
      <c r="C22" s="268">
        <f>C10+C16+C18+C20</f>
        <v>9472620149</v>
      </c>
      <c r="D22" s="268">
        <f t="shared" ref="D22:O22" si="3">D10+D16+D18+D20</f>
        <v>9488605132</v>
      </c>
      <c r="E22" s="268">
        <f t="shared" si="3"/>
        <v>9465301115</v>
      </c>
      <c r="F22" s="268">
        <f t="shared" si="3"/>
        <v>9547500098</v>
      </c>
      <c r="G22" s="268">
        <f t="shared" si="3"/>
        <v>9618189080</v>
      </c>
      <c r="H22" s="268">
        <f t="shared" si="3"/>
        <v>9749139668</v>
      </c>
      <c r="I22" s="268">
        <f t="shared" si="3"/>
        <v>9905864256</v>
      </c>
      <c r="J22" s="268">
        <f t="shared" si="3"/>
        <v>9639936844</v>
      </c>
      <c r="K22" s="268">
        <f t="shared" si="3"/>
        <v>9820922432</v>
      </c>
      <c r="L22" s="268">
        <f t="shared" si="3"/>
        <v>9837056020</v>
      </c>
      <c r="M22" s="268">
        <f t="shared" si="3"/>
        <v>9781571608</v>
      </c>
      <c r="N22" s="268">
        <f t="shared" si="3"/>
        <v>10130859378</v>
      </c>
      <c r="O22" s="268">
        <f t="shared" si="3"/>
        <v>10099814336</v>
      </c>
      <c r="P22" s="268"/>
      <c r="Q22" s="219">
        <f>Q10+Q16+Q18+Q20</f>
        <v>9730930239</v>
      </c>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ht="13.8" thickTop="1">
      <c r="A23" s="117"/>
      <c r="B23" s="128"/>
      <c r="C23" s="90"/>
      <c r="D23" s="90"/>
      <c r="E23" s="90"/>
      <c r="F23" s="90"/>
      <c r="G23" s="90"/>
      <c r="H23" s="90"/>
      <c r="I23" s="90"/>
      <c r="J23" s="90"/>
      <c r="K23" s="90"/>
      <c r="L23" s="90"/>
      <c r="M23" s="90"/>
      <c r="N23" s="90"/>
      <c r="O23" s="90"/>
      <c r="P23" s="90"/>
      <c r="Q23" s="169"/>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1:50">
      <c r="A24" s="117">
        <f>+A22+1</f>
        <v>13</v>
      </c>
      <c r="B24" s="116" t="s">
        <v>70</v>
      </c>
      <c r="C24" s="269">
        <f>C10/C$22</f>
        <v>5.806207694901205E-3</v>
      </c>
      <c r="D24" s="269">
        <f t="shared" ref="D24:H24" si="4">D10/D$22</f>
        <v>7.3772697911021045E-3</v>
      </c>
      <c r="E24" s="269">
        <f t="shared" si="4"/>
        <v>5.705048296289727E-3</v>
      </c>
      <c r="F24" s="269">
        <f t="shared" si="4"/>
        <v>1.0683424870701688E-2</v>
      </c>
      <c r="G24" s="269">
        <f t="shared" si="4"/>
        <v>1.6635148120835237E-2</v>
      </c>
      <c r="H24" s="269">
        <f t="shared" si="4"/>
        <v>2.7181885686777096E-2</v>
      </c>
      <c r="I24" s="269">
        <f t="shared" ref="I24:O24" si="5">I10/I$22</f>
        <v>3.6039258238751301E-2</v>
      </c>
      <c r="J24" s="269">
        <f t="shared" si="5"/>
        <v>5.4979613308346279E-3</v>
      </c>
      <c r="K24" s="269">
        <f t="shared" si="5"/>
        <v>1.649539553149787E-2</v>
      </c>
      <c r="L24" s="269">
        <f t="shared" si="5"/>
        <v>1.3926930955914187E-2</v>
      </c>
      <c r="M24" s="269">
        <f t="shared" si="5"/>
        <v>5.1116530148495537E-3</v>
      </c>
      <c r="N24" s="269">
        <f t="shared" si="5"/>
        <v>0</v>
      </c>
      <c r="O24" s="269">
        <f t="shared" si="5"/>
        <v>0</v>
      </c>
      <c r="P24" s="269"/>
      <c r="Q24" s="270">
        <f>Q10/Q$22</f>
        <v>1.231040240324551E-2</v>
      </c>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c r="A25" s="117">
        <f>+A24+1</f>
        <v>14</v>
      </c>
      <c r="B25" s="116" t="s">
        <v>76</v>
      </c>
      <c r="C25" s="271">
        <f t="shared" ref="C25:H25" si="6">C16/C$22</f>
        <v>0.50521947188025051</v>
      </c>
      <c r="D25" s="271">
        <f t="shared" si="6"/>
        <v>0.50438668965785349</v>
      </c>
      <c r="E25" s="271">
        <f t="shared" si="6"/>
        <v>0.50564689457320022</v>
      </c>
      <c r="F25" s="271">
        <f t="shared" si="6"/>
        <v>0.50131176212322048</v>
      </c>
      <c r="G25" s="271">
        <f t="shared" si="6"/>
        <v>0.49764545489679646</v>
      </c>
      <c r="H25" s="271">
        <f t="shared" si="6"/>
        <v>0.49097734066845661</v>
      </c>
      <c r="I25" s="271">
        <f t="shared" ref="I25:O25" si="7">I16/I$22</f>
        <v>0.4832254038915027</v>
      </c>
      <c r="J25" s="271">
        <f t="shared" si="7"/>
        <v>0.49657211675400476</v>
      </c>
      <c r="K25" s="271">
        <f t="shared" si="7"/>
        <v>0.48743714912175778</v>
      </c>
      <c r="L25" s="271">
        <f t="shared" si="7"/>
        <v>0.48665383324715478</v>
      </c>
      <c r="M25" s="271">
        <f t="shared" si="7"/>
        <v>0.48943051279045546</v>
      </c>
      <c r="N25" s="271">
        <f t="shared" si="7"/>
        <v>0.5116142850877502</v>
      </c>
      <c r="O25" s="271">
        <f t="shared" si="7"/>
        <v>0.51318560555369008</v>
      </c>
      <c r="P25" s="271"/>
      <c r="Q25" s="272">
        <f>Q16/Q$22</f>
        <v>0.49699149980721591</v>
      </c>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1:50">
      <c r="A26" s="117">
        <f>+A25+1</f>
        <v>15</v>
      </c>
      <c r="B26" s="116" t="s">
        <v>77</v>
      </c>
      <c r="C26" s="269">
        <f t="shared" ref="C26:H26" si="8">SUM(C24:C25)</f>
        <v>0.51102567957515177</v>
      </c>
      <c r="D26" s="269">
        <f t="shared" si="8"/>
        <v>0.51176395944895559</v>
      </c>
      <c r="E26" s="269">
        <f t="shared" si="8"/>
        <v>0.51135194286948993</v>
      </c>
      <c r="F26" s="269">
        <f t="shared" si="8"/>
        <v>0.51199518699392221</v>
      </c>
      <c r="G26" s="269">
        <f t="shared" si="8"/>
        <v>0.51428060301763168</v>
      </c>
      <c r="H26" s="269">
        <f t="shared" si="8"/>
        <v>0.5181592263552337</v>
      </c>
      <c r="I26" s="269">
        <f t="shared" ref="I26:O26" si="9">SUM(I24:I25)</f>
        <v>0.51926466213025402</v>
      </c>
      <c r="J26" s="269">
        <f t="shared" si="9"/>
        <v>0.50207007808483939</v>
      </c>
      <c r="K26" s="269">
        <f t="shared" si="9"/>
        <v>0.50393254465325565</v>
      </c>
      <c r="L26" s="269">
        <f t="shared" si="9"/>
        <v>0.50058076420306896</v>
      </c>
      <c r="M26" s="269">
        <f t="shared" si="9"/>
        <v>0.49454216580530502</v>
      </c>
      <c r="N26" s="269">
        <f t="shared" si="9"/>
        <v>0.5116142850877502</v>
      </c>
      <c r="O26" s="269">
        <f t="shared" si="9"/>
        <v>0.51318560555369008</v>
      </c>
      <c r="P26" s="269"/>
      <c r="Q26" s="270">
        <f>SUM(Q24:Q25)</f>
        <v>0.50930190221046145</v>
      </c>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1:50">
      <c r="A27" s="117">
        <f>+A26+1</f>
        <v>16</v>
      </c>
      <c r="B27" s="116" t="s">
        <v>7</v>
      </c>
      <c r="C27" s="269">
        <f>C18/C$22</f>
        <v>0</v>
      </c>
      <c r="D27" s="269">
        <f>D18/D$22</f>
        <v>0</v>
      </c>
      <c r="E27" s="269">
        <f>E18/E$22</f>
        <v>0</v>
      </c>
      <c r="F27" s="269">
        <f>F18/F$22</f>
        <v>0</v>
      </c>
      <c r="G27" s="269">
        <f t="shared" ref="G27:O27" si="10">G18/G$22</f>
        <v>0</v>
      </c>
      <c r="H27" s="269">
        <f t="shared" si="10"/>
        <v>0</v>
      </c>
      <c r="I27" s="269">
        <f t="shared" si="10"/>
        <v>0</v>
      </c>
      <c r="J27" s="269">
        <f t="shared" si="10"/>
        <v>0</v>
      </c>
      <c r="K27" s="269">
        <f t="shared" si="10"/>
        <v>0</v>
      </c>
      <c r="L27" s="269">
        <f t="shared" si="10"/>
        <v>0</v>
      </c>
      <c r="M27" s="269">
        <f t="shared" si="10"/>
        <v>0</v>
      </c>
      <c r="N27" s="269">
        <f t="shared" si="10"/>
        <v>0</v>
      </c>
      <c r="O27" s="269">
        <f t="shared" si="10"/>
        <v>0</v>
      </c>
      <c r="P27" s="269"/>
      <c r="Q27" s="270">
        <f>Q18/Q$22</f>
        <v>0</v>
      </c>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1:50">
      <c r="A28" s="117">
        <f>+A27+1</f>
        <v>17</v>
      </c>
      <c r="B28" s="116" t="s">
        <v>9</v>
      </c>
      <c r="C28" s="298">
        <f>C20/C$22</f>
        <v>0.48897432042484829</v>
      </c>
      <c r="D28" s="298">
        <f>D20/D$22</f>
        <v>0.48823604055104441</v>
      </c>
      <c r="E28" s="298">
        <f>E20/E$22</f>
        <v>0.48864805713051002</v>
      </c>
      <c r="F28" s="298">
        <f>F20/F$22</f>
        <v>0.48800481300607784</v>
      </c>
      <c r="G28" s="298">
        <f t="shared" ref="G28:O28" si="11">G20/G$22</f>
        <v>0.48571939698236832</v>
      </c>
      <c r="H28" s="298">
        <f t="shared" si="11"/>
        <v>0.4818407736447663</v>
      </c>
      <c r="I28" s="298">
        <f t="shared" si="11"/>
        <v>0.48073533786974598</v>
      </c>
      <c r="J28" s="298">
        <f t="shared" si="11"/>
        <v>0.49792992191516061</v>
      </c>
      <c r="K28" s="298">
        <f t="shared" si="11"/>
        <v>0.49606745534674435</v>
      </c>
      <c r="L28" s="298">
        <f t="shared" si="11"/>
        <v>0.49941923579693104</v>
      </c>
      <c r="M28" s="298">
        <f t="shared" si="11"/>
        <v>0.50545783419469503</v>
      </c>
      <c r="N28" s="298">
        <f t="shared" si="11"/>
        <v>0.48838571491224975</v>
      </c>
      <c r="O28" s="298">
        <f t="shared" si="11"/>
        <v>0.48681439444630997</v>
      </c>
      <c r="P28" s="298"/>
      <c r="Q28" s="272">
        <f>Q20/Q$22</f>
        <v>0.4906980977895386</v>
      </c>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1:50">
      <c r="A29" s="168"/>
      <c r="B29" s="116"/>
      <c r="C29" s="275"/>
      <c r="D29" s="273"/>
      <c r="E29" s="273"/>
      <c r="F29" s="275"/>
      <c r="G29" s="275"/>
      <c r="H29" s="275"/>
      <c r="I29" s="275"/>
      <c r="J29" s="275"/>
      <c r="K29" s="275"/>
      <c r="L29" s="275"/>
      <c r="M29" s="275"/>
      <c r="N29" s="275"/>
      <c r="O29" s="275"/>
      <c r="P29" s="275"/>
      <c r="Q29" s="276"/>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1:50" ht="13.8" thickBot="1">
      <c r="A30" s="117">
        <f>+A28+1</f>
        <v>18</v>
      </c>
      <c r="B30" s="116" t="s">
        <v>78</v>
      </c>
      <c r="C30" s="277">
        <f>SUM(C26:C28)</f>
        <v>1</v>
      </c>
      <c r="D30" s="277">
        <f>SUM(D26:D28)</f>
        <v>1</v>
      </c>
      <c r="E30" s="277">
        <f>SUM(E26:E28)</f>
        <v>1</v>
      </c>
      <c r="F30" s="277">
        <f>SUM(F26:F28)</f>
        <v>1</v>
      </c>
      <c r="G30" s="277">
        <f t="shared" ref="G30:O30" si="12">SUM(G26:G28)</f>
        <v>1</v>
      </c>
      <c r="H30" s="277">
        <f t="shared" si="12"/>
        <v>1</v>
      </c>
      <c r="I30" s="277">
        <f t="shared" si="12"/>
        <v>1</v>
      </c>
      <c r="J30" s="277">
        <f t="shared" si="12"/>
        <v>1</v>
      </c>
      <c r="K30" s="277">
        <f t="shared" si="12"/>
        <v>1</v>
      </c>
      <c r="L30" s="277">
        <f t="shared" si="12"/>
        <v>1</v>
      </c>
      <c r="M30" s="277">
        <f t="shared" si="12"/>
        <v>1</v>
      </c>
      <c r="N30" s="277">
        <f t="shared" si="12"/>
        <v>1</v>
      </c>
      <c r="O30" s="277">
        <f t="shared" si="12"/>
        <v>1</v>
      </c>
      <c r="P30" s="277"/>
      <c r="Q30" s="278">
        <f>SUM(Q26:Q28)</f>
        <v>1</v>
      </c>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1:50" ht="13.8" thickTop="1">
      <c r="A31" s="117"/>
      <c r="B31" s="128"/>
      <c r="C31" s="90"/>
      <c r="D31" s="90"/>
      <c r="E31" s="90"/>
      <c r="F31" s="90"/>
      <c r="G31" s="90"/>
      <c r="H31" s="90"/>
      <c r="I31" s="90"/>
      <c r="J31" s="90"/>
      <c r="K31" s="90"/>
      <c r="L31" s="90"/>
      <c r="M31" s="90"/>
      <c r="N31" s="90"/>
      <c r="O31" s="90"/>
      <c r="P31" s="90"/>
      <c r="Q31" s="90"/>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1:50">
      <c r="A32" s="117"/>
      <c r="B32" s="128"/>
      <c r="C32" s="297"/>
      <c r="D32" s="297"/>
      <c r="E32" s="297"/>
      <c r="F32" s="297"/>
      <c r="G32" s="297"/>
      <c r="H32" s="297"/>
      <c r="I32" s="297"/>
      <c r="J32" s="297"/>
      <c r="K32" s="297"/>
      <c r="L32" s="297"/>
      <c r="M32" s="297"/>
      <c r="N32" s="297"/>
      <c r="O32" s="297"/>
      <c r="P32" s="297"/>
      <c r="Q32" s="90"/>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1" ht="13.8" thickBot="1">
      <c r="A33" s="117"/>
      <c r="B33" s="128"/>
      <c r="C33" s="299"/>
      <c r="D33" s="299"/>
      <c r="E33" s="299"/>
      <c r="F33" s="299"/>
      <c r="G33" s="299"/>
      <c r="H33" s="299"/>
      <c r="I33" s="299"/>
      <c r="J33" s="299"/>
      <c r="K33" s="299"/>
      <c r="L33" s="299"/>
      <c r="M33" s="299"/>
      <c r="N33" s="299"/>
      <c r="O33" s="299"/>
      <c r="P33" s="299"/>
      <c r="Q33" s="90"/>
      <c r="R33" s="89"/>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1" ht="13.8" thickBot="1">
      <c r="A34" s="117">
        <f>+A30+1</f>
        <v>19</v>
      </c>
      <c r="B34" s="128" t="s">
        <v>79</v>
      </c>
      <c r="C34" s="279">
        <v>4628628570</v>
      </c>
      <c r="D34" s="279">
        <v>4692168477</v>
      </c>
      <c r="E34" s="279">
        <v>4729805907</v>
      </c>
      <c r="F34" s="279">
        <v>4611052058</v>
      </c>
      <c r="G34" s="279">
        <v>4645729610</v>
      </c>
      <c r="H34" s="279">
        <v>4781631836</v>
      </c>
      <c r="I34" s="279">
        <v>4871083000</v>
      </c>
      <c r="J34" s="279">
        <v>4716892002</v>
      </c>
      <c r="K34" s="279">
        <v>4814754525</v>
      </c>
      <c r="L34" s="279">
        <v>4870749124</v>
      </c>
      <c r="M34" s="279">
        <v>4846377000</v>
      </c>
      <c r="N34" s="279">
        <v>4845083000</v>
      </c>
      <c r="O34" s="279">
        <v>4843524000</v>
      </c>
      <c r="P34" s="279"/>
      <c r="Q34" s="190">
        <f>ROUND(((C34+O34)+(SUM(D34:N34)*2))/24,0)</f>
        <v>4763450235</v>
      </c>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1" ht="13.8" thickBot="1">
      <c r="A35" s="117">
        <f>+A34+1</f>
        <v>20</v>
      </c>
      <c r="B35" s="126" t="s">
        <v>80</v>
      </c>
      <c r="P35" s="332"/>
      <c r="Q35" s="154"/>
      <c r="R35" s="82"/>
      <c r="S35" s="12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7"/>
    </row>
    <row r="36" spans="1:51" ht="13.8" thickBot="1">
      <c r="A36" s="117">
        <f>+A35+1</f>
        <v>21</v>
      </c>
      <c r="B36" s="126" t="s">
        <v>81</v>
      </c>
      <c r="C36" s="279">
        <v>-13321213</v>
      </c>
      <c r="D36" s="171">
        <v>-13321213</v>
      </c>
      <c r="E36" s="171">
        <v>-13321213</v>
      </c>
      <c r="F36" s="171">
        <v>-13453106</v>
      </c>
      <c r="G36" s="171">
        <v>-13453106</v>
      </c>
      <c r="H36" s="171">
        <v>-13453106</v>
      </c>
      <c r="I36" s="171">
        <v>-13264970</v>
      </c>
      <c r="J36" s="171">
        <v>-13264970</v>
      </c>
      <c r="K36" s="171">
        <v>-13264970</v>
      </c>
      <c r="L36" s="171">
        <v>-12670774</v>
      </c>
      <c r="M36" s="171">
        <v>-12670774</v>
      </c>
      <c r="N36" s="171">
        <v>-12670774</v>
      </c>
      <c r="O36" s="171">
        <v>-12793670</v>
      </c>
      <c r="P36" s="171"/>
      <c r="Q36" s="190">
        <f>ROUND(((C36+O36)+(SUM(D36:N36)*2))/24,0)</f>
        <v>-13155535</v>
      </c>
      <c r="R36" s="85"/>
      <c r="S36" s="91"/>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7"/>
    </row>
    <row r="37" spans="1:51" ht="13.8" thickBot="1">
      <c r="A37" s="117">
        <f>+A36+1</f>
        <v>22</v>
      </c>
      <c r="B37" s="126" t="s">
        <v>82</v>
      </c>
      <c r="C37" s="266"/>
      <c r="D37" s="266"/>
      <c r="E37" s="266"/>
      <c r="F37" s="266"/>
      <c r="G37" s="266"/>
      <c r="H37" s="266"/>
      <c r="I37" s="266"/>
      <c r="J37" s="266"/>
      <c r="K37" s="266"/>
      <c r="L37" s="266"/>
      <c r="M37" s="266"/>
      <c r="N37" s="266"/>
      <c r="O37" s="266"/>
      <c r="P37" s="266"/>
      <c r="R37" s="85"/>
      <c r="S37" s="91"/>
      <c r="T37" s="85"/>
      <c r="U37" s="85"/>
      <c r="V37" s="85"/>
      <c r="W37" s="85"/>
      <c r="X37" s="85"/>
      <c r="Y37" s="85"/>
      <c r="Z37" s="85"/>
      <c r="AA37" s="85"/>
      <c r="AB37" s="85"/>
      <c r="AC37" s="85"/>
      <c r="AD37" s="85"/>
      <c r="AE37" s="85"/>
      <c r="AF37" s="85"/>
      <c r="AG37" s="85"/>
      <c r="AH37" s="85"/>
      <c r="AI37" s="85"/>
      <c r="AJ37" s="85"/>
      <c r="AK37" s="85"/>
      <c r="AL37" s="85"/>
      <c r="AM37" s="85"/>
      <c r="AN37" s="85"/>
      <c r="AO37" s="85"/>
      <c r="AP37" s="86"/>
      <c r="AQ37" s="86"/>
      <c r="AR37" s="86"/>
      <c r="AS37" s="86"/>
      <c r="AT37" s="86"/>
      <c r="AU37" s="86"/>
      <c r="AV37" s="86"/>
      <c r="AW37" s="86"/>
      <c r="AX37" s="86"/>
      <c r="AY37" s="87"/>
    </row>
    <row r="38" spans="1:51" ht="13.8" thickBot="1">
      <c r="A38" s="117">
        <f t="shared" ref="A38:A44" si="13">+A37+1</f>
        <v>23</v>
      </c>
      <c r="B38" s="200" t="s">
        <v>83</v>
      </c>
      <c r="C38" s="280">
        <f t="shared" ref="C38:H38" si="14">SUM(C36:C37)</f>
        <v>-13321213</v>
      </c>
      <c r="D38" s="280">
        <f t="shared" si="14"/>
        <v>-13321213</v>
      </c>
      <c r="E38" s="280">
        <f t="shared" si="14"/>
        <v>-13321213</v>
      </c>
      <c r="F38" s="280">
        <f t="shared" si="14"/>
        <v>-13453106</v>
      </c>
      <c r="G38" s="280">
        <f t="shared" si="14"/>
        <v>-13453106</v>
      </c>
      <c r="H38" s="280">
        <f t="shared" si="14"/>
        <v>-13453106</v>
      </c>
      <c r="I38" s="280">
        <f t="shared" ref="I38:O38" si="15">SUM(I36:I37)</f>
        <v>-13264970</v>
      </c>
      <c r="J38" s="280">
        <f t="shared" si="15"/>
        <v>-13264970</v>
      </c>
      <c r="K38" s="280">
        <f t="shared" si="15"/>
        <v>-13264970</v>
      </c>
      <c r="L38" s="280">
        <f t="shared" si="15"/>
        <v>-12670774</v>
      </c>
      <c r="M38" s="280">
        <f t="shared" si="15"/>
        <v>-12670774</v>
      </c>
      <c r="N38" s="280">
        <f t="shared" si="15"/>
        <v>-12670774</v>
      </c>
      <c r="O38" s="280">
        <f t="shared" si="15"/>
        <v>-12793670</v>
      </c>
      <c r="P38" s="172"/>
      <c r="Q38" s="190">
        <f>ROUND(((C38+O38)+(SUM(D38:N38)*2))/24,0)</f>
        <v>-13155535</v>
      </c>
      <c r="R38" s="86"/>
      <c r="S38" s="82"/>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7"/>
    </row>
    <row r="39" spans="1:51" ht="13.8" thickBot="1">
      <c r="A39" s="117">
        <f t="shared" si="13"/>
        <v>24</v>
      </c>
      <c r="B39" s="201" t="s">
        <v>84</v>
      </c>
      <c r="C39" s="172"/>
      <c r="D39" s="172"/>
      <c r="E39" s="172"/>
      <c r="F39" s="172"/>
      <c r="G39" s="172"/>
      <c r="H39" s="172"/>
      <c r="I39" s="172"/>
      <c r="J39" s="172"/>
      <c r="K39" s="172"/>
      <c r="L39" s="172"/>
      <c r="M39" s="172"/>
      <c r="N39" s="172"/>
      <c r="O39" s="172"/>
      <c r="P39" s="172"/>
      <c r="Q39" s="89"/>
      <c r="R39" s="86"/>
      <c r="S39" s="82"/>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7"/>
    </row>
    <row r="40" spans="1:51" s="2" customFormat="1" ht="13.8" thickBot="1">
      <c r="A40" s="168">
        <f t="shared" si="13"/>
        <v>25</v>
      </c>
      <c r="B40" s="526" t="s">
        <v>85</v>
      </c>
      <c r="C40" s="279">
        <f>94371000+21485000</f>
        <v>115856000</v>
      </c>
      <c r="D40" s="279">
        <f>154799000+21485000</f>
        <v>176284000</v>
      </c>
      <c r="E40" s="279">
        <f>198694000+21485000+2000</f>
        <v>220181000</v>
      </c>
      <c r="F40" s="279">
        <f>44831000+21485000</f>
        <v>66316000</v>
      </c>
      <c r="G40" s="279">
        <f>65591000+21485000</f>
        <v>87076000</v>
      </c>
      <c r="H40" s="279">
        <f>174487000+21485000</f>
        <v>195972000</v>
      </c>
      <c r="I40" s="279">
        <f>203809000+21485000</f>
        <v>225294000</v>
      </c>
      <c r="J40" s="279">
        <f>10736000+21485000+926000</f>
        <v>33147000</v>
      </c>
      <c r="K40" s="279">
        <f>37655000+21485000</f>
        <v>59140000</v>
      </c>
      <c r="L40" s="279">
        <f>52032000+21485000</f>
        <v>73517000</v>
      </c>
      <c r="M40" s="279">
        <f>-3742000+21485000</f>
        <v>17743000</v>
      </c>
      <c r="N40" s="279">
        <f>-8675000+21485000</f>
        <v>12810000</v>
      </c>
      <c r="O40" s="279">
        <f>27699000+21485000-1000</f>
        <v>49183000</v>
      </c>
      <c r="P40" s="172"/>
      <c r="Q40" s="527">
        <f>ROUND(((C40+O40)+(SUM(D40:N40)*2))/24,0)</f>
        <v>104166625</v>
      </c>
      <c r="R40" s="197"/>
      <c r="S40" s="83"/>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528"/>
    </row>
    <row r="41" spans="1:51" ht="13.8" thickBot="1">
      <c r="A41" s="117">
        <f t="shared" si="13"/>
        <v>26</v>
      </c>
      <c r="B41" s="203" t="s">
        <v>86</v>
      </c>
      <c r="C41" s="171">
        <v>-4390377</v>
      </c>
      <c r="D41" s="171">
        <v>-4358273</v>
      </c>
      <c r="E41" s="171">
        <v>-4326170</v>
      </c>
      <c r="F41" s="171">
        <v>-4294067</v>
      </c>
      <c r="G41" s="171">
        <v>-4261964</v>
      </c>
      <c r="H41" s="171">
        <v>-4229861</v>
      </c>
      <c r="I41" s="171">
        <v>-4197757</v>
      </c>
      <c r="J41" s="171">
        <v>-4165654</v>
      </c>
      <c r="K41" s="171">
        <v>-4133551</v>
      </c>
      <c r="L41" s="171">
        <v>-4101448</v>
      </c>
      <c r="M41" s="171">
        <v>-4069344</v>
      </c>
      <c r="N41" s="171">
        <v>-4037241</v>
      </c>
      <c r="O41" s="171">
        <v>-4005138</v>
      </c>
      <c r="P41" s="171"/>
      <c r="Q41" s="190">
        <f>ROUND(((C41+O41)+(SUM(D41:N41)*2))/24,0)</f>
        <v>-4197757</v>
      </c>
      <c r="R41" s="86"/>
      <c r="S41" s="231"/>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7"/>
    </row>
    <row r="42" spans="1:51" ht="13.8" thickBot="1">
      <c r="A42" s="117">
        <f t="shared" si="13"/>
        <v>27</v>
      </c>
      <c r="B42" s="203" t="s">
        <v>87</v>
      </c>
      <c r="C42" s="171">
        <f>-101381994-2000</f>
        <v>-101383994</v>
      </c>
      <c r="D42" s="171">
        <v>-99115267</v>
      </c>
      <c r="E42" s="171">
        <v>-97929177</v>
      </c>
      <c r="F42" s="171">
        <v>-96743086</v>
      </c>
      <c r="G42" s="171">
        <f>-95373716+1000</f>
        <v>-95372716</v>
      </c>
      <c r="H42" s="171">
        <f>-94188416-2000</f>
        <v>-94190416</v>
      </c>
      <c r="I42" s="171">
        <v>-98847273</v>
      </c>
      <c r="J42" s="171">
        <f>-98834976-2000</f>
        <v>-98836976</v>
      </c>
      <c r="K42" s="171">
        <f>-98822678-4000</f>
        <v>-98826678</v>
      </c>
      <c r="L42" s="171">
        <v>-98810381</v>
      </c>
      <c r="M42" s="171">
        <v>-98798084</v>
      </c>
      <c r="N42" s="171">
        <v>-98785787</v>
      </c>
      <c r="O42" s="171">
        <v>-105595335</v>
      </c>
      <c r="P42" s="171"/>
      <c r="Q42" s="190">
        <f>ROUND(((C42+O42)+(SUM(D42:N42)*2))/24,0)</f>
        <v>-98312125</v>
      </c>
      <c r="R42" s="86"/>
      <c r="S42" s="231"/>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7"/>
    </row>
    <row r="43" spans="1:51" ht="13.8" thickBot="1">
      <c r="A43" s="117">
        <f t="shared" si="13"/>
        <v>28</v>
      </c>
      <c r="B43" s="204" t="s">
        <v>88</v>
      </c>
      <c r="C43" s="202">
        <f t="shared" ref="C43:H43" si="16">SUM(C40:C42)</f>
        <v>10081629</v>
      </c>
      <c r="D43" s="202">
        <f t="shared" si="16"/>
        <v>72810460</v>
      </c>
      <c r="E43" s="202">
        <f t="shared" si="16"/>
        <v>117925653</v>
      </c>
      <c r="F43" s="202">
        <f t="shared" si="16"/>
        <v>-34721153</v>
      </c>
      <c r="G43" s="202">
        <f t="shared" si="16"/>
        <v>-12558680</v>
      </c>
      <c r="H43" s="202">
        <f t="shared" si="16"/>
        <v>97551723</v>
      </c>
      <c r="I43" s="202">
        <f t="shared" ref="I43:N43" si="17">SUM(I40:I42)</f>
        <v>122248970</v>
      </c>
      <c r="J43" s="202">
        <f t="shared" si="17"/>
        <v>-69855630</v>
      </c>
      <c r="K43" s="202">
        <f t="shared" si="17"/>
        <v>-43820229</v>
      </c>
      <c r="L43" s="202">
        <f t="shared" si="17"/>
        <v>-29394829</v>
      </c>
      <c r="M43" s="202">
        <f t="shared" si="17"/>
        <v>-85124428</v>
      </c>
      <c r="N43" s="202">
        <f t="shared" si="17"/>
        <v>-90013028</v>
      </c>
      <c r="O43" s="202">
        <f>SUM(O40:O42)</f>
        <v>-60417473</v>
      </c>
      <c r="P43" s="244"/>
      <c r="Q43" s="190">
        <f>ROUND(((C43+O43)+(SUM(D43:N43)*2))/24,0)</f>
        <v>1656742</v>
      </c>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7"/>
    </row>
    <row r="44" spans="1:51" ht="13.8" thickBot="1">
      <c r="A44" s="117">
        <f t="shared" si="13"/>
        <v>29</v>
      </c>
      <c r="B44" s="537" t="s">
        <v>74</v>
      </c>
      <c r="C44" s="267">
        <f t="shared" ref="C44:N44" si="18">+C34-C38-C43</f>
        <v>4631868154</v>
      </c>
      <c r="D44" s="267">
        <f t="shared" si="18"/>
        <v>4632679230</v>
      </c>
      <c r="E44" s="267">
        <f t="shared" si="18"/>
        <v>4625201467</v>
      </c>
      <c r="F44" s="267">
        <f t="shared" si="18"/>
        <v>4659226317</v>
      </c>
      <c r="G44" s="267">
        <f t="shared" si="18"/>
        <v>4671741396</v>
      </c>
      <c r="H44" s="267">
        <f t="shared" si="18"/>
        <v>4697533219</v>
      </c>
      <c r="I44" s="267">
        <f t="shared" si="18"/>
        <v>4762099000</v>
      </c>
      <c r="J44" s="267">
        <f t="shared" si="18"/>
        <v>4800012602</v>
      </c>
      <c r="K44" s="267">
        <f t="shared" si="18"/>
        <v>4871839724</v>
      </c>
      <c r="L44" s="267">
        <f t="shared" si="18"/>
        <v>4912814727</v>
      </c>
      <c r="M44" s="267">
        <f t="shared" si="18"/>
        <v>4944172202</v>
      </c>
      <c r="N44" s="267">
        <f t="shared" si="18"/>
        <v>4947766802</v>
      </c>
      <c r="O44" s="267">
        <f>+O34-O38-O43</f>
        <v>4916735143</v>
      </c>
      <c r="P44" s="90"/>
      <c r="Q44" s="190">
        <f>ROUND(((C44+O44)+(SUM(D44:N44)*2))/24,0)</f>
        <v>4774949028</v>
      </c>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7"/>
    </row>
    <row r="45" spans="1:51">
      <c r="B45" s="539"/>
      <c r="C45" s="90"/>
      <c r="D45" s="90"/>
      <c r="E45" s="90"/>
      <c r="F45" s="90"/>
      <c r="G45" s="90"/>
      <c r="H45" s="90"/>
      <c r="I45" s="90"/>
      <c r="J45" s="90"/>
      <c r="K45" s="90"/>
      <c r="L45" s="90"/>
      <c r="M45" s="90"/>
      <c r="N45" s="90"/>
      <c r="O45" s="90"/>
      <c r="P45" s="90"/>
      <c r="Q45" s="82"/>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7"/>
    </row>
    <row r="46" spans="1:51">
      <c r="B46" s="544" t="s">
        <v>89</v>
      </c>
      <c r="C46" s="543">
        <f t="shared" ref="C46:J46" si="19">MROUND(C20,1000)-MROUND(C44,1000)</f>
        <v>0</v>
      </c>
      <c r="D46" s="543">
        <f t="shared" si="19"/>
        <v>0</v>
      </c>
      <c r="E46" s="543">
        <f>MROUND(E20,1000)-MROUND(E44,1000)</f>
        <v>0</v>
      </c>
      <c r="F46" s="543">
        <f t="shared" si="19"/>
        <v>0</v>
      </c>
      <c r="G46" s="543">
        <f t="shared" si="19"/>
        <v>0</v>
      </c>
      <c r="H46" s="543">
        <f t="shared" si="19"/>
        <v>0</v>
      </c>
      <c r="I46" s="543">
        <f t="shared" si="19"/>
        <v>0</v>
      </c>
      <c r="J46" s="543">
        <f t="shared" si="19"/>
        <v>0</v>
      </c>
      <c r="K46" s="543">
        <f>MROUND(K20,1000)-MROUND(K44,1000)</f>
        <v>0</v>
      </c>
      <c r="L46" s="543">
        <f>MROUND(L20,1000)-MROUND(L44,1000)</f>
        <v>0</v>
      </c>
      <c r="M46" s="543">
        <f>MROUND(M20,1000)-MROUND(M44,1000)</f>
        <v>0</v>
      </c>
      <c r="N46" s="543">
        <f>MROUND(N20,1000)-MROUND(N44,1000)</f>
        <v>0</v>
      </c>
      <c r="O46" s="543">
        <f>MROUND(O20,1000)-MROUND(O44,1000)</f>
        <v>0</v>
      </c>
      <c r="P46" s="171"/>
      <c r="Q46" s="82"/>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7"/>
    </row>
    <row r="47" spans="1:51">
      <c r="B47" s="87"/>
      <c r="C47" s="543"/>
      <c r="D47" s="543"/>
      <c r="E47" s="543"/>
      <c r="F47" s="543"/>
      <c r="G47" s="543"/>
      <c r="H47" s="543"/>
      <c r="I47" s="543"/>
      <c r="J47" s="543"/>
      <c r="K47" s="543"/>
      <c r="L47" s="543"/>
      <c r="M47" s="543"/>
      <c r="N47" s="543"/>
      <c r="O47" s="543"/>
      <c r="P47" s="171"/>
      <c r="Q47" s="82"/>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7"/>
    </row>
    <row r="48" spans="1:51">
      <c r="B48" s="87"/>
      <c r="C48" s="171"/>
      <c r="D48" s="171"/>
      <c r="E48" s="171"/>
      <c r="F48" s="171"/>
      <c r="G48" s="171"/>
      <c r="H48" s="171"/>
      <c r="I48" s="171"/>
      <c r="J48" s="171"/>
      <c r="K48" s="171"/>
      <c r="L48" s="171"/>
      <c r="M48" s="171"/>
      <c r="N48" s="171"/>
      <c r="O48" s="171"/>
      <c r="P48" s="171"/>
      <c r="Q48" s="82"/>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7"/>
    </row>
    <row r="49" spans="2:51">
      <c r="B49" s="87"/>
      <c r="C49" s="538"/>
      <c r="D49" s="538"/>
      <c r="E49" s="538"/>
      <c r="F49" s="538"/>
      <c r="G49" s="538"/>
      <c r="H49" s="538"/>
      <c r="I49" s="538"/>
      <c r="J49" s="538"/>
      <c r="K49" s="538"/>
      <c r="L49" s="538"/>
      <c r="M49" s="538"/>
      <c r="N49" s="538"/>
      <c r="O49" s="538"/>
      <c r="P49" s="171"/>
      <c r="Q49" s="82"/>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7"/>
    </row>
    <row r="50" spans="2:51">
      <c r="B50" s="539"/>
      <c r="C50" s="279"/>
      <c r="D50" s="279"/>
      <c r="E50" s="279"/>
      <c r="F50" s="279"/>
      <c r="G50" s="279"/>
      <c r="H50" s="279"/>
      <c r="I50" s="279"/>
      <c r="J50" s="279"/>
      <c r="K50" s="279"/>
      <c r="L50" s="279"/>
      <c r="M50" s="279"/>
      <c r="N50" s="279"/>
      <c r="O50" s="279"/>
      <c r="P50" s="171"/>
      <c r="Q50" s="515"/>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7"/>
    </row>
    <row r="51" spans="2:51">
      <c r="B51" s="539"/>
      <c r="C51" s="279"/>
      <c r="D51" s="279"/>
      <c r="E51" s="279"/>
      <c r="F51" s="279"/>
      <c r="G51" s="279"/>
      <c r="H51" s="279"/>
      <c r="I51" s="279"/>
      <c r="J51" s="279"/>
      <c r="K51" s="279"/>
      <c r="L51" s="279"/>
      <c r="M51" s="279"/>
      <c r="N51" s="279"/>
      <c r="O51" s="279"/>
      <c r="P51" s="171"/>
      <c r="Q51" s="84"/>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7"/>
    </row>
    <row r="52" spans="2:51">
      <c r="B52" s="87"/>
      <c r="C52" s="279"/>
      <c r="D52" s="279"/>
      <c r="E52" s="279"/>
      <c r="F52" s="279"/>
      <c r="G52" s="279"/>
      <c r="H52" s="279"/>
      <c r="I52" s="279"/>
      <c r="J52" s="279"/>
      <c r="K52" s="279"/>
      <c r="L52" s="279"/>
      <c r="M52" s="279"/>
      <c r="N52" s="279"/>
      <c r="O52" s="279"/>
      <c r="P52" s="172"/>
      <c r="Q52" s="82"/>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7"/>
    </row>
    <row r="53" spans="2:51">
      <c r="C53" s="90"/>
      <c r="D53" s="90"/>
      <c r="E53" s="90"/>
      <c r="F53" s="90"/>
      <c r="G53" s="90"/>
      <c r="H53" s="90"/>
      <c r="I53" s="90"/>
      <c r="J53" s="90"/>
      <c r="K53" s="90"/>
      <c r="L53" s="90"/>
      <c r="M53" s="90"/>
      <c r="N53" s="90"/>
      <c r="O53" s="90"/>
      <c r="P53" s="90"/>
      <c r="Q53" s="496"/>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2:51">
      <c r="C54" s="536"/>
      <c r="D54" s="536"/>
      <c r="E54" s="536"/>
      <c r="F54" s="536"/>
      <c r="G54" s="197"/>
      <c r="H54" s="197"/>
      <c r="I54" s="197"/>
      <c r="J54" s="197"/>
      <c r="K54" s="197"/>
      <c r="L54" s="197"/>
      <c r="M54" s="197"/>
      <c r="N54" s="197"/>
      <c r="O54" s="197"/>
      <c r="P54" s="197"/>
      <c r="Q54" s="496"/>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2:51">
      <c r="C55" s="198"/>
      <c r="D55" s="198"/>
      <c r="E55" s="198"/>
      <c r="F55" s="198"/>
      <c r="G55" s="198"/>
      <c r="H55" s="198"/>
      <c r="I55" s="198"/>
      <c r="J55" s="198"/>
      <c r="K55" s="198"/>
      <c r="L55" s="198"/>
      <c r="M55" s="198"/>
      <c r="N55" s="198"/>
      <c r="O55" s="198"/>
      <c r="P55" s="198"/>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2:51">
      <c r="C56" s="83"/>
      <c r="D56" s="83"/>
      <c r="E56" s="83"/>
      <c r="F56" s="83"/>
      <c r="G56" s="83"/>
      <c r="H56" s="197"/>
      <c r="I56" s="197"/>
      <c r="J56" s="197"/>
      <c r="K56" s="538"/>
      <c r="L56" s="197"/>
      <c r="M56" s="524"/>
      <c r="N56" s="83"/>
      <c r="O56" s="83"/>
      <c r="P56" s="83"/>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2:51">
      <c r="C57" s="83"/>
      <c r="D57" s="83"/>
      <c r="E57" s="83"/>
      <c r="F57" s="83"/>
      <c r="G57" s="83"/>
      <c r="H57" s="197"/>
      <c r="I57" s="197"/>
      <c r="J57" s="540"/>
      <c r="K57" s="90"/>
      <c r="L57" s="197"/>
      <c r="M57" s="83"/>
      <c r="N57" s="83"/>
      <c r="O57" s="83"/>
      <c r="P57" s="83"/>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2:51">
      <c r="C58" s="83"/>
      <c r="D58" s="83"/>
      <c r="E58" s="83"/>
      <c r="F58" s="83"/>
      <c r="G58" s="83"/>
      <c r="H58" s="197"/>
      <c r="I58" s="197"/>
      <c r="J58" s="540"/>
      <c r="K58" s="90"/>
      <c r="L58" s="197"/>
      <c r="M58" s="83"/>
      <c r="N58" s="83"/>
      <c r="O58" s="83"/>
      <c r="P58" s="83"/>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2:51">
      <c r="C59" s="83"/>
      <c r="D59" s="83"/>
      <c r="E59" s="83"/>
      <c r="F59" s="83"/>
      <c r="G59" s="83"/>
      <c r="H59" s="197"/>
      <c r="I59" s="197"/>
      <c r="J59" s="197"/>
      <c r="K59" s="171"/>
      <c r="L59" s="197"/>
      <c r="M59" s="83"/>
      <c r="N59" s="83"/>
      <c r="O59" s="83"/>
      <c r="P59" s="83"/>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2:51">
      <c r="C60" s="83"/>
      <c r="D60" s="83"/>
      <c r="E60" s="83"/>
      <c r="F60" s="83"/>
      <c r="G60" s="83"/>
      <c r="H60" s="197"/>
      <c r="I60" s="197"/>
      <c r="J60" s="197"/>
      <c r="K60" s="197"/>
      <c r="L60" s="197"/>
      <c r="M60" s="83"/>
      <c r="N60" s="83"/>
      <c r="O60" s="83"/>
      <c r="P60" s="83"/>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2:51">
      <c r="C61" s="83"/>
      <c r="D61" s="83"/>
      <c r="E61" s="83"/>
      <c r="F61" s="83"/>
      <c r="G61" s="83"/>
      <c r="H61" s="83"/>
      <c r="I61" s="83"/>
      <c r="J61" s="83"/>
      <c r="K61" s="83"/>
      <c r="L61" s="83"/>
      <c r="M61" s="83"/>
      <c r="N61" s="83"/>
      <c r="O61" s="83"/>
      <c r="P61" s="83"/>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2:51">
      <c r="C62" s="83"/>
      <c r="D62" s="83"/>
      <c r="E62" s="83"/>
      <c r="F62" s="83"/>
      <c r="G62" s="83"/>
      <c r="H62" s="83"/>
      <c r="I62" s="83"/>
      <c r="J62" s="83"/>
      <c r="K62" s="83"/>
      <c r="L62" s="83"/>
      <c r="M62" s="83"/>
      <c r="N62" s="83"/>
      <c r="O62" s="83"/>
      <c r="P62" s="83"/>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2:51">
      <c r="C63" s="83"/>
      <c r="D63" s="83"/>
      <c r="E63" s="83"/>
      <c r="F63" s="83"/>
      <c r="G63" s="83"/>
      <c r="H63" s="83"/>
      <c r="I63" s="83"/>
      <c r="J63" s="83"/>
      <c r="K63" s="83"/>
      <c r="L63" s="83"/>
      <c r="M63" s="83"/>
      <c r="N63" s="83"/>
      <c r="O63" s="83"/>
      <c r="P63" s="83"/>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2:51">
      <c r="C64" s="83"/>
      <c r="D64" s="83"/>
      <c r="E64" s="83"/>
      <c r="F64" s="83"/>
      <c r="G64" s="83"/>
      <c r="H64" s="83"/>
      <c r="I64" s="83"/>
      <c r="J64" s="83"/>
      <c r="K64" s="83"/>
      <c r="L64" s="83"/>
      <c r="M64" s="83"/>
      <c r="N64" s="83"/>
      <c r="O64" s="83"/>
      <c r="P64" s="83"/>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3:50">
      <c r="C65" s="83"/>
      <c r="D65" s="83"/>
      <c r="E65" s="83"/>
      <c r="F65" s="83"/>
      <c r="G65" s="83"/>
      <c r="H65" s="83"/>
      <c r="I65" s="83"/>
      <c r="J65" s="83"/>
      <c r="K65" s="83"/>
      <c r="L65" s="83"/>
      <c r="M65" s="83"/>
      <c r="N65" s="83"/>
      <c r="O65" s="83"/>
      <c r="P65" s="83"/>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3:50">
      <c r="C66" s="83"/>
      <c r="D66" s="83"/>
      <c r="E66" s="83"/>
      <c r="F66" s="83"/>
      <c r="G66" s="83"/>
      <c r="H66" s="83"/>
      <c r="I66" s="83"/>
      <c r="J66" s="83"/>
      <c r="K66" s="83"/>
      <c r="L66" s="83"/>
      <c r="M66" s="83"/>
      <c r="N66" s="83"/>
      <c r="O66" s="83"/>
      <c r="P66" s="83"/>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3:50">
      <c r="C67" s="83"/>
      <c r="D67" s="83"/>
      <c r="E67" s="83"/>
      <c r="F67" s="83"/>
      <c r="G67" s="83"/>
      <c r="H67" s="83"/>
      <c r="I67" s="83"/>
      <c r="J67" s="83"/>
      <c r="K67" s="83"/>
      <c r="L67" s="83"/>
      <c r="M67" s="83"/>
      <c r="N67" s="83"/>
      <c r="O67" s="83"/>
      <c r="P67" s="83"/>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3:50">
      <c r="C68" s="83"/>
      <c r="D68" s="83"/>
      <c r="E68" s="83"/>
      <c r="F68" s="83"/>
      <c r="G68" s="83"/>
      <c r="H68" s="83"/>
      <c r="I68" s="83"/>
      <c r="J68" s="83"/>
      <c r="K68" s="83"/>
      <c r="L68" s="83"/>
      <c r="M68" s="83"/>
      <c r="N68" s="83"/>
      <c r="O68" s="83"/>
      <c r="P68" s="83"/>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3:50">
      <c r="C69" s="83"/>
      <c r="D69" s="83"/>
      <c r="E69" s="83"/>
      <c r="F69" s="83"/>
      <c r="G69" s="83"/>
      <c r="H69" s="83"/>
      <c r="I69" s="83"/>
      <c r="J69" s="83"/>
      <c r="K69" s="83"/>
      <c r="L69" s="83"/>
      <c r="M69" s="83"/>
      <c r="N69" s="83"/>
      <c r="O69" s="83"/>
      <c r="P69" s="83"/>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3:50">
      <c r="C70" s="83"/>
      <c r="D70" s="83"/>
      <c r="E70" s="83"/>
      <c r="F70" s="83"/>
      <c r="G70" s="83"/>
      <c r="H70" s="83"/>
      <c r="I70" s="83"/>
      <c r="J70" s="83"/>
      <c r="K70" s="83"/>
      <c r="L70" s="83"/>
      <c r="M70" s="83"/>
      <c r="N70" s="83"/>
      <c r="O70" s="83"/>
      <c r="P70" s="83"/>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3:50">
      <c r="C71" s="83"/>
      <c r="D71" s="83"/>
      <c r="E71" s="83"/>
      <c r="F71" s="83"/>
      <c r="G71" s="83"/>
      <c r="H71" s="83"/>
      <c r="I71" s="83"/>
      <c r="J71" s="83"/>
      <c r="K71" s="83"/>
      <c r="L71" s="83"/>
      <c r="M71" s="83"/>
      <c r="N71" s="83"/>
      <c r="O71" s="83"/>
      <c r="P71" s="83"/>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3:50">
      <c r="C72" s="83"/>
      <c r="D72" s="83"/>
      <c r="E72" s="83"/>
      <c r="F72" s="83"/>
      <c r="G72" s="83"/>
      <c r="H72" s="83"/>
      <c r="I72" s="83"/>
      <c r="J72" s="83"/>
      <c r="K72" s="83"/>
      <c r="L72" s="83"/>
      <c r="M72" s="83"/>
      <c r="N72" s="83"/>
      <c r="O72" s="83"/>
      <c r="P72" s="83"/>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3:50">
      <c r="C73" s="83"/>
      <c r="D73" s="83"/>
      <c r="E73" s="83"/>
      <c r="F73" s="83"/>
      <c r="G73" s="83"/>
      <c r="H73" s="83"/>
      <c r="I73" s="83"/>
      <c r="J73" s="83"/>
      <c r="K73" s="83"/>
      <c r="L73" s="83"/>
      <c r="M73" s="83"/>
      <c r="N73" s="83"/>
      <c r="O73" s="83"/>
      <c r="P73" s="83"/>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3:50">
      <c r="C74" s="83"/>
      <c r="D74" s="83"/>
      <c r="E74" s="83"/>
      <c r="F74" s="83"/>
      <c r="G74" s="83"/>
      <c r="H74" s="83"/>
      <c r="I74" s="83"/>
      <c r="J74" s="83"/>
      <c r="K74" s="83"/>
      <c r="L74" s="83"/>
      <c r="M74" s="83"/>
      <c r="N74" s="83"/>
      <c r="O74" s="83"/>
      <c r="P74" s="83"/>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3:50">
      <c r="C75" s="83"/>
      <c r="D75" s="83"/>
      <c r="E75" s="83"/>
      <c r="F75" s="83"/>
      <c r="G75" s="83"/>
      <c r="H75" s="83"/>
      <c r="I75" s="83"/>
      <c r="J75" s="83"/>
      <c r="K75" s="83"/>
      <c r="L75" s="83"/>
      <c r="M75" s="83"/>
      <c r="N75" s="83"/>
      <c r="O75" s="83"/>
      <c r="P75" s="83"/>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3:50">
      <c r="C76" s="83"/>
      <c r="D76" s="83"/>
      <c r="E76" s="83"/>
      <c r="F76" s="83"/>
      <c r="G76" s="83"/>
      <c r="H76" s="83"/>
      <c r="I76" s="83"/>
      <c r="J76" s="83"/>
      <c r="K76" s="83"/>
      <c r="L76" s="83"/>
      <c r="M76" s="83"/>
      <c r="N76" s="83"/>
      <c r="O76" s="83"/>
      <c r="P76" s="83"/>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3:50">
      <c r="C77" s="83"/>
      <c r="D77" s="83"/>
      <c r="E77" s="83"/>
      <c r="F77" s="83"/>
      <c r="G77" s="83"/>
      <c r="H77" s="83"/>
      <c r="I77" s="83"/>
      <c r="J77" s="83"/>
      <c r="K77" s="83"/>
      <c r="L77" s="83"/>
      <c r="M77" s="83"/>
      <c r="N77" s="83"/>
      <c r="O77" s="83"/>
      <c r="P77" s="83"/>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3:50">
      <c r="C78" s="83"/>
      <c r="D78" s="83"/>
      <c r="E78" s="83"/>
      <c r="F78" s="83"/>
      <c r="G78" s="83"/>
      <c r="H78" s="83"/>
      <c r="I78" s="83"/>
      <c r="J78" s="83"/>
      <c r="K78" s="83"/>
      <c r="L78" s="83"/>
      <c r="M78" s="83"/>
      <c r="N78" s="83"/>
      <c r="O78" s="83"/>
      <c r="P78" s="83"/>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3:50">
      <c r="C79" s="83"/>
      <c r="D79" s="83"/>
      <c r="E79" s="83"/>
      <c r="F79" s="83"/>
      <c r="G79" s="83"/>
      <c r="H79" s="83"/>
      <c r="I79" s="83"/>
      <c r="J79" s="83"/>
      <c r="K79" s="83"/>
      <c r="L79" s="83"/>
      <c r="M79" s="83"/>
      <c r="N79" s="83"/>
      <c r="O79" s="83"/>
      <c r="P79" s="83"/>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3:50">
      <c r="C80" s="83"/>
      <c r="D80" s="83"/>
      <c r="E80" s="83"/>
      <c r="F80" s="83"/>
      <c r="G80" s="83"/>
      <c r="H80" s="83"/>
      <c r="I80" s="83"/>
      <c r="J80" s="83"/>
      <c r="K80" s="83"/>
      <c r="L80" s="83"/>
      <c r="M80" s="83"/>
      <c r="N80" s="83"/>
      <c r="O80" s="83"/>
      <c r="P80" s="83"/>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3:50">
      <c r="C81" s="83"/>
      <c r="D81" s="83"/>
      <c r="E81" s="83"/>
      <c r="F81" s="83"/>
      <c r="G81" s="83"/>
      <c r="H81" s="83"/>
      <c r="I81" s="83"/>
      <c r="J81" s="83"/>
      <c r="K81" s="83"/>
      <c r="L81" s="83"/>
      <c r="M81" s="83"/>
      <c r="N81" s="83"/>
      <c r="O81" s="83"/>
      <c r="P81" s="83"/>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3:50">
      <c r="C82" s="83"/>
      <c r="D82" s="83"/>
      <c r="E82" s="83"/>
      <c r="F82" s="83"/>
      <c r="G82" s="83"/>
      <c r="H82" s="83"/>
      <c r="I82" s="83"/>
      <c r="J82" s="83"/>
      <c r="K82" s="83"/>
      <c r="L82" s="83"/>
      <c r="M82" s="83"/>
      <c r="N82" s="83"/>
      <c r="O82" s="83"/>
      <c r="P82" s="83"/>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3:50">
      <c r="C83" s="83"/>
      <c r="D83" s="83"/>
      <c r="E83" s="83"/>
      <c r="F83" s="83"/>
      <c r="G83" s="83"/>
      <c r="H83" s="83"/>
      <c r="I83" s="83"/>
      <c r="J83" s="83"/>
      <c r="K83" s="83"/>
      <c r="L83" s="83"/>
      <c r="M83" s="83"/>
      <c r="N83" s="83"/>
      <c r="O83" s="83"/>
      <c r="P83" s="83"/>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3:50">
      <c r="C84" s="83"/>
      <c r="D84" s="83"/>
      <c r="E84" s="83"/>
      <c r="F84" s="83"/>
      <c r="G84" s="83"/>
      <c r="H84" s="83"/>
      <c r="I84" s="83"/>
      <c r="J84" s="83"/>
      <c r="K84" s="83"/>
      <c r="L84" s="83"/>
      <c r="M84" s="83"/>
      <c r="N84" s="83"/>
      <c r="O84" s="83"/>
      <c r="P84" s="83"/>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3:50">
      <c r="C85" s="83"/>
      <c r="D85" s="83"/>
      <c r="E85" s="83"/>
      <c r="F85" s="83"/>
      <c r="G85" s="83"/>
      <c r="H85" s="83"/>
      <c r="I85" s="83"/>
      <c r="J85" s="83"/>
      <c r="K85" s="83"/>
      <c r="L85" s="83"/>
      <c r="M85" s="83"/>
      <c r="N85" s="83"/>
      <c r="O85" s="83"/>
      <c r="P85" s="83"/>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3:50">
      <c r="C86" s="83"/>
      <c r="D86" s="83"/>
      <c r="E86" s="83"/>
      <c r="F86" s="83"/>
      <c r="G86" s="83"/>
      <c r="H86" s="83"/>
      <c r="I86" s="83"/>
      <c r="J86" s="83"/>
      <c r="K86" s="83"/>
      <c r="L86" s="83"/>
      <c r="M86" s="83"/>
      <c r="N86" s="83"/>
      <c r="O86" s="83"/>
      <c r="P86" s="83"/>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3:50">
      <c r="C87" s="83"/>
      <c r="D87" s="83"/>
      <c r="E87" s="83"/>
      <c r="F87" s="83"/>
      <c r="G87" s="83"/>
      <c r="H87" s="83"/>
      <c r="I87" s="83"/>
      <c r="J87" s="83"/>
      <c r="K87" s="83"/>
      <c r="L87" s="83"/>
      <c r="M87" s="83"/>
      <c r="N87" s="83"/>
      <c r="O87" s="83"/>
      <c r="P87" s="83"/>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3:50">
      <c r="C88" s="83"/>
      <c r="D88" s="83"/>
      <c r="E88" s="83"/>
      <c r="F88" s="83"/>
      <c r="G88" s="83"/>
      <c r="H88" s="83"/>
      <c r="I88" s="83"/>
      <c r="J88" s="83"/>
      <c r="K88" s="83"/>
      <c r="L88" s="83"/>
      <c r="M88" s="83"/>
      <c r="N88" s="83"/>
      <c r="O88" s="83"/>
      <c r="P88" s="83"/>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3:50">
      <c r="C89" s="83"/>
      <c r="D89" s="83"/>
      <c r="E89" s="83"/>
      <c r="F89" s="83"/>
      <c r="G89" s="83"/>
      <c r="H89" s="83"/>
      <c r="I89" s="83"/>
      <c r="J89" s="83"/>
      <c r="K89" s="83"/>
      <c r="L89" s="83"/>
      <c r="M89" s="83"/>
      <c r="N89" s="83"/>
      <c r="O89" s="83"/>
      <c r="P89" s="83"/>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3:50">
      <c r="C90" s="83"/>
      <c r="D90" s="83"/>
      <c r="E90" s="83"/>
      <c r="F90" s="83"/>
      <c r="G90" s="83"/>
      <c r="H90" s="83"/>
      <c r="I90" s="83"/>
      <c r="J90" s="83"/>
      <c r="K90" s="83"/>
      <c r="L90" s="83"/>
      <c r="M90" s="83"/>
      <c r="N90" s="83"/>
      <c r="O90" s="83"/>
      <c r="P90" s="83"/>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3:50">
      <c r="C91" s="83"/>
      <c r="D91" s="83"/>
      <c r="E91" s="83"/>
      <c r="F91" s="83"/>
      <c r="G91" s="83"/>
      <c r="H91" s="83"/>
      <c r="I91" s="83"/>
      <c r="J91" s="83"/>
      <c r="K91" s="83"/>
      <c r="L91" s="83"/>
      <c r="M91" s="83"/>
      <c r="N91" s="83"/>
      <c r="O91" s="83"/>
      <c r="P91" s="83"/>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3:50">
      <c r="C92" s="83"/>
      <c r="D92" s="83"/>
      <c r="E92" s="83"/>
      <c r="F92" s="83"/>
      <c r="G92" s="83"/>
      <c r="H92" s="83"/>
      <c r="I92" s="83"/>
      <c r="J92" s="83"/>
      <c r="K92" s="83"/>
      <c r="L92" s="83"/>
      <c r="M92" s="83"/>
      <c r="N92" s="83"/>
      <c r="O92" s="83"/>
      <c r="P92" s="83"/>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3:50">
      <c r="C93" s="83"/>
      <c r="D93" s="83"/>
      <c r="E93" s="83"/>
      <c r="F93" s="83"/>
      <c r="G93" s="83"/>
      <c r="H93" s="83"/>
      <c r="I93" s="83"/>
      <c r="J93" s="83"/>
      <c r="K93" s="83"/>
      <c r="L93" s="83"/>
      <c r="M93" s="83"/>
      <c r="N93" s="83"/>
      <c r="O93" s="83"/>
      <c r="P93" s="83"/>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3:50">
      <c r="C94" s="83"/>
      <c r="D94" s="83"/>
      <c r="E94" s="83"/>
      <c r="F94" s="83"/>
      <c r="G94" s="83"/>
      <c r="H94" s="83"/>
      <c r="I94" s="83"/>
      <c r="J94" s="83"/>
      <c r="K94" s="83"/>
      <c r="L94" s="83"/>
      <c r="M94" s="83"/>
      <c r="N94" s="83"/>
      <c r="O94" s="83"/>
      <c r="P94" s="83"/>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3:50">
      <c r="C95" s="83"/>
      <c r="D95" s="83"/>
      <c r="E95" s="83"/>
      <c r="F95" s="83"/>
      <c r="G95" s="83"/>
      <c r="H95" s="83"/>
      <c r="I95" s="83"/>
      <c r="J95" s="83"/>
      <c r="K95" s="83"/>
      <c r="L95" s="83"/>
      <c r="M95" s="83"/>
      <c r="N95" s="83"/>
      <c r="O95" s="83"/>
      <c r="P95" s="83"/>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3:50">
      <c r="C96" s="83"/>
      <c r="D96" s="83"/>
      <c r="E96" s="83"/>
      <c r="F96" s="83"/>
      <c r="G96" s="83"/>
      <c r="H96" s="83"/>
      <c r="I96" s="83"/>
      <c r="J96" s="83"/>
      <c r="K96" s="83"/>
      <c r="L96" s="83"/>
      <c r="M96" s="83"/>
      <c r="N96" s="83"/>
      <c r="O96" s="83"/>
      <c r="P96" s="83"/>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3:50">
      <c r="C97" s="83"/>
      <c r="D97" s="83"/>
      <c r="E97" s="83"/>
      <c r="F97" s="83"/>
      <c r="G97" s="83"/>
      <c r="H97" s="83"/>
      <c r="I97" s="83"/>
      <c r="J97" s="83"/>
      <c r="K97" s="83"/>
      <c r="L97" s="83"/>
      <c r="M97" s="83"/>
      <c r="N97" s="83"/>
      <c r="O97" s="83"/>
      <c r="P97" s="83"/>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3:50">
      <c r="C98" s="83"/>
      <c r="D98" s="83"/>
      <c r="E98" s="83"/>
      <c r="F98" s="83"/>
      <c r="G98" s="83"/>
      <c r="H98" s="83"/>
      <c r="I98" s="83"/>
      <c r="J98" s="83"/>
      <c r="K98" s="83"/>
      <c r="L98" s="83"/>
      <c r="M98" s="83"/>
      <c r="N98" s="83"/>
      <c r="O98" s="83"/>
      <c r="P98" s="83"/>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3:50">
      <c r="C99" s="83"/>
      <c r="D99" s="83"/>
      <c r="E99" s="83"/>
      <c r="F99" s="83"/>
      <c r="G99" s="83"/>
      <c r="H99" s="83"/>
      <c r="I99" s="83"/>
      <c r="J99" s="83"/>
      <c r="K99" s="83"/>
      <c r="L99" s="83"/>
      <c r="M99" s="83"/>
      <c r="N99" s="83"/>
      <c r="O99" s="83"/>
      <c r="P99" s="83"/>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3:50">
      <c r="C100" s="83"/>
      <c r="D100" s="83"/>
      <c r="E100" s="83"/>
      <c r="F100" s="83"/>
      <c r="G100" s="83"/>
      <c r="H100" s="83"/>
      <c r="I100" s="83"/>
      <c r="J100" s="83"/>
      <c r="K100" s="83"/>
      <c r="L100" s="83"/>
      <c r="M100" s="83"/>
      <c r="N100" s="83"/>
      <c r="O100" s="83"/>
      <c r="P100" s="83"/>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3:50">
      <c r="C101" s="83"/>
      <c r="D101" s="83"/>
      <c r="E101" s="83"/>
      <c r="F101" s="83"/>
      <c r="G101" s="83"/>
      <c r="H101" s="83"/>
      <c r="I101" s="83"/>
      <c r="J101" s="83"/>
      <c r="K101" s="83"/>
      <c r="L101" s="83"/>
      <c r="M101" s="83"/>
      <c r="N101" s="83"/>
      <c r="O101" s="83"/>
      <c r="P101" s="83"/>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3:50">
      <c r="C102" s="83"/>
      <c r="D102" s="83"/>
      <c r="E102" s="83"/>
      <c r="F102" s="83"/>
      <c r="G102" s="83"/>
      <c r="H102" s="83"/>
      <c r="I102" s="83"/>
      <c r="J102" s="83"/>
      <c r="K102" s="83"/>
      <c r="L102" s="83"/>
      <c r="M102" s="83"/>
      <c r="N102" s="83"/>
      <c r="O102" s="83"/>
      <c r="P102" s="83"/>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3:50">
      <c r="C103" s="83"/>
      <c r="D103" s="83"/>
      <c r="E103" s="83"/>
      <c r="F103" s="83"/>
      <c r="G103" s="83"/>
      <c r="H103" s="83"/>
      <c r="I103" s="83"/>
      <c r="J103" s="83"/>
      <c r="K103" s="83"/>
      <c r="L103" s="83"/>
      <c r="M103" s="83"/>
      <c r="N103" s="83"/>
      <c r="O103" s="83"/>
      <c r="P103" s="83"/>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3:50">
      <c r="C104" s="83"/>
      <c r="D104" s="83"/>
      <c r="E104" s="83"/>
      <c r="F104" s="83"/>
      <c r="G104" s="83"/>
      <c r="H104" s="83"/>
      <c r="I104" s="83"/>
      <c r="J104" s="83"/>
      <c r="K104" s="83"/>
      <c r="L104" s="83"/>
      <c r="M104" s="83"/>
      <c r="N104" s="83"/>
      <c r="O104" s="83"/>
      <c r="P104" s="83"/>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3:50">
      <c r="C105" s="83"/>
      <c r="D105" s="83"/>
      <c r="E105" s="83"/>
      <c r="F105" s="83"/>
      <c r="G105" s="83"/>
      <c r="H105" s="83"/>
      <c r="I105" s="83"/>
      <c r="J105" s="83"/>
      <c r="K105" s="83"/>
      <c r="L105" s="83"/>
      <c r="M105" s="83"/>
      <c r="N105" s="83"/>
      <c r="O105" s="83"/>
      <c r="P105" s="83"/>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3:50">
      <c r="C106" s="83"/>
      <c r="D106" s="83"/>
      <c r="E106" s="83"/>
      <c r="F106" s="83"/>
      <c r="G106" s="83"/>
      <c r="H106" s="83"/>
      <c r="I106" s="83"/>
      <c r="J106" s="83"/>
      <c r="K106" s="83"/>
      <c r="L106" s="83"/>
      <c r="M106" s="83"/>
      <c r="N106" s="83"/>
      <c r="O106" s="83"/>
      <c r="P106" s="83"/>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3:50">
      <c r="C107" s="83"/>
      <c r="D107" s="83"/>
      <c r="E107" s="83"/>
      <c r="F107" s="83"/>
      <c r="G107" s="83"/>
      <c r="H107" s="83"/>
      <c r="I107" s="83"/>
      <c r="J107" s="83"/>
      <c r="K107" s="83"/>
      <c r="L107" s="83"/>
      <c r="M107" s="83"/>
      <c r="N107" s="83"/>
      <c r="O107" s="83"/>
      <c r="P107" s="83"/>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3:50">
      <c r="C108" s="83"/>
      <c r="D108" s="83"/>
      <c r="E108" s="83"/>
      <c r="F108" s="83"/>
      <c r="G108" s="83"/>
      <c r="H108" s="83"/>
      <c r="I108" s="83"/>
      <c r="J108" s="83"/>
      <c r="K108" s="83"/>
      <c r="L108" s="83"/>
      <c r="M108" s="83"/>
      <c r="N108" s="83"/>
      <c r="O108" s="83"/>
      <c r="P108" s="83"/>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3:50">
      <c r="C109" s="83"/>
      <c r="D109" s="83"/>
      <c r="E109" s="83"/>
      <c r="F109" s="83"/>
      <c r="G109" s="83"/>
      <c r="H109" s="83"/>
      <c r="I109" s="83"/>
      <c r="J109" s="83"/>
      <c r="K109" s="83"/>
      <c r="L109" s="83"/>
      <c r="M109" s="83"/>
      <c r="N109" s="83"/>
      <c r="O109" s="83"/>
      <c r="P109" s="83"/>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3:50">
      <c r="C110" s="83"/>
      <c r="D110" s="83"/>
      <c r="E110" s="83"/>
      <c r="F110" s="83"/>
      <c r="G110" s="83"/>
      <c r="H110" s="83"/>
      <c r="I110" s="83"/>
      <c r="J110" s="83"/>
      <c r="K110" s="83"/>
      <c r="L110" s="83"/>
      <c r="M110" s="83"/>
      <c r="N110" s="83"/>
      <c r="O110" s="83"/>
      <c r="P110" s="83"/>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3:50">
      <c r="C111" s="83"/>
      <c r="D111" s="83"/>
      <c r="E111" s="83"/>
      <c r="F111" s="83"/>
      <c r="G111" s="83"/>
      <c r="H111" s="83"/>
      <c r="I111" s="83"/>
      <c r="J111" s="83"/>
      <c r="K111" s="83"/>
      <c r="L111" s="83"/>
      <c r="M111" s="83"/>
      <c r="N111" s="83"/>
      <c r="O111" s="83"/>
      <c r="P111" s="83"/>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3:50">
      <c r="C112" s="83"/>
      <c r="D112" s="83"/>
      <c r="E112" s="83"/>
      <c r="F112" s="83"/>
      <c r="G112" s="83"/>
      <c r="H112" s="83"/>
      <c r="I112" s="83"/>
      <c r="J112" s="83"/>
      <c r="K112" s="83"/>
      <c r="L112" s="83"/>
      <c r="M112" s="83"/>
      <c r="N112" s="83"/>
      <c r="O112" s="83"/>
      <c r="P112" s="83"/>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3:50">
      <c r="C113" s="83"/>
      <c r="D113" s="83"/>
      <c r="E113" s="83"/>
      <c r="F113" s="83"/>
      <c r="G113" s="83"/>
      <c r="H113" s="83"/>
      <c r="I113" s="83"/>
      <c r="J113" s="83"/>
      <c r="K113" s="83"/>
      <c r="L113" s="83"/>
      <c r="M113" s="83"/>
      <c r="N113" s="83"/>
      <c r="O113" s="83"/>
      <c r="P113" s="83"/>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3:50">
      <c r="C114" s="83"/>
      <c r="D114" s="83"/>
      <c r="E114" s="83"/>
      <c r="F114" s="83"/>
      <c r="G114" s="83"/>
      <c r="H114" s="83"/>
      <c r="I114" s="83"/>
      <c r="J114" s="83"/>
      <c r="K114" s="83"/>
      <c r="L114" s="83"/>
      <c r="M114" s="83"/>
      <c r="N114" s="83"/>
      <c r="O114" s="83"/>
      <c r="P114" s="83"/>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3:50">
      <c r="C115" s="83"/>
      <c r="D115" s="83"/>
      <c r="E115" s="83"/>
      <c r="F115" s="83"/>
      <c r="G115" s="83"/>
      <c r="H115" s="83"/>
      <c r="I115" s="83"/>
      <c r="J115" s="83"/>
      <c r="K115" s="83"/>
      <c r="L115" s="83"/>
      <c r="M115" s="83"/>
      <c r="N115" s="83"/>
      <c r="O115" s="83"/>
      <c r="P115" s="83"/>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3:50">
      <c r="C116" s="83"/>
      <c r="D116" s="83"/>
      <c r="E116" s="83"/>
      <c r="F116" s="83"/>
      <c r="G116" s="83"/>
      <c r="H116" s="83"/>
      <c r="I116" s="83"/>
      <c r="J116" s="83"/>
      <c r="K116" s="83"/>
      <c r="L116" s="83"/>
      <c r="M116" s="83"/>
      <c r="N116" s="83"/>
      <c r="O116" s="83"/>
      <c r="P116" s="83"/>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3:50">
      <c r="C117" s="83"/>
      <c r="D117" s="83"/>
      <c r="E117" s="83"/>
      <c r="F117" s="83"/>
      <c r="G117" s="83"/>
      <c r="H117" s="83"/>
      <c r="I117" s="83"/>
      <c r="J117" s="83"/>
      <c r="K117" s="83"/>
      <c r="L117" s="83"/>
      <c r="M117" s="83"/>
      <c r="N117" s="83"/>
      <c r="O117" s="83"/>
      <c r="P117" s="83"/>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3:50">
      <c r="C118" s="83"/>
      <c r="D118" s="83"/>
      <c r="E118" s="83"/>
      <c r="F118" s="83"/>
      <c r="G118" s="83"/>
      <c r="H118" s="83"/>
      <c r="I118" s="83"/>
      <c r="J118" s="83"/>
      <c r="K118" s="83"/>
      <c r="L118" s="83"/>
      <c r="M118" s="83"/>
      <c r="N118" s="83"/>
      <c r="O118" s="83"/>
      <c r="P118" s="83"/>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3:50">
      <c r="C119" s="83"/>
      <c r="D119" s="83"/>
      <c r="E119" s="83"/>
      <c r="F119" s="83"/>
      <c r="G119" s="83"/>
      <c r="H119" s="83"/>
      <c r="I119" s="83"/>
      <c r="J119" s="83"/>
      <c r="K119" s="83"/>
      <c r="L119" s="83"/>
      <c r="M119" s="83"/>
      <c r="N119" s="83"/>
      <c r="O119" s="83"/>
      <c r="P119" s="83"/>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3:50">
      <c r="C120" s="83"/>
      <c r="D120" s="83"/>
      <c r="E120" s="83"/>
      <c r="F120" s="83"/>
      <c r="G120" s="83"/>
      <c r="H120" s="83"/>
      <c r="I120" s="83"/>
      <c r="J120" s="83"/>
      <c r="K120" s="83"/>
      <c r="L120" s="83"/>
      <c r="M120" s="83"/>
      <c r="N120" s="83"/>
      <c r="O120" s="83"/>
      <c r="P120" s="83"/>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3:50">
      <c r="C121" s="83"/>
      <c r="D121" s="83"/>
      <c r="E121" s="83"/>
      <c r="F121" s="83"/>
      <c r="G121" s="83"/>
      <c r="H121" s="83"/>
      <c r="I121" s="83"/>
      <c r="J121" s="83"/>
      <c r="K121" s="83"/>
      <c r="L121" s="83"/>
      <c r="M121" s="83"/>
      <c r="N121" s="83"/>
      <c r="O121" s="83"/>
      <c r="P121" s="83"/>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3:50">
      <c r="C122" s="83"/>
      <c r="D122" s="83"/>
      <c r="E122" s="83"/>
      <c r="F122" s="83"/>
      <c r="G122" s="83"/>
      <c r="H122" s="83"/>
      <c r="I122" s="83"/>
      <c r="J122" s="83"/>
      <c r="K122" s="83"/>
      <c r="L122" s="83"/>
      <c r="M122" s="83"/>
      <c r="N122" s="83"/>
      <c r="O122" s="83"/>
      <c r="P122" s="83"/>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3:50">
      <c r="C123" s="83"/>
      <c r="D123" s="83"/>
      <c r="E123" s="83"/>
      <c r="F123" s="83"/>
      <c r="G123" s="83"/>
      <c r="H123" s="83"/>
      <c r="I123" s="83"/>
      <c r="J123" s="83"/>
      <c r="K123" s="83"/>
      <c r="L123" s="83"/>
      <c r="M123" s="83"/>
      <c r="N123" s="83"/>
      <c r="O123" s="83"/>
      <c r="P123" s="83"/>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3:50">
      <c r="C124" s="83"/>
      <c r="D124" s="83"/>
      <c r="E124" s="83"/>
      <c r="F124" s="83"/>
      <c r="G124" s="83"/>
      <c r="H124" s="83"/>
      <c r="I124" s="83"/>
      <c r="J124" s="83"/>
      <c r="K124" s="83"/>
      <c r="L124" s="83"/>
      <c r="M124" s="83"/>
      <c r="N124" s="83"/>
      <c r="O124" s="83"/>
      <c r="P124" s="83"/>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3:50">
      <c r="C125" s="83"/>
      <c r="D125" s="83"/>
      <c r="E125" s="83"/>
      <c r="F125" s="83"/>
      <c r="G125" s="83"/>
      <c r="H125" s="83"/>
      <c r="I125" s="83"/>
      <c r="J125" s="83"/>
      <c r="K125" s="83"/>
      <c r="L125" s="83"/>
      <c r="M125" s="83"/>
      <c r="N125" s="83"/>
      <c r="O125" s="83"/>
      <c r="P125" s="83"/>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3:50">
      <c r="C126" s="83"/>
      <c r="D126" s="83"/>
      <c r="E126" s="83"/>
      <c r="F126" s="83"/>
      <c r="G126" s="83"/>
      <c r="H126" s="83"/>
      <c r="I126" s="83"/>
      <c r="J126" s="83"/>
      <c r="K126" s="83"/>
      <c r="L126" s="83"/>
      <c r="M126" s="83"/>
      <c r="N126" s="83"/>
      <c r="O126" s="83"/>
      <c r="P126" s="83"/>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3:50">
      <c r="C127" s="83"/>
      <c r="D127" s="83"/>
      <c r="E127" s="83"/>
      <c r="F127" s="83"/>
      <c r="G127" s="83"/>
      <c r="H127" s="83"/>
      <c r="I127" s="83"/>
      <c r="J127" s="83"/>
      <c r="K127" s="83"/>
      <c r="L127" s="83"/>
      <c r="M127" s="83"/>
      <c r="N127" s="83"/>
      <c r="O127" s="83"/>
      <c r="P127" s="83"/>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3:50">
      <c r="C128" s="83"/>
      <c r="D128" s="83"/>
      <c r="E128" s="83"/>
      <c r="F128" s="83"/>
      <c r="G128" s="83"/>
      <c r="H128" s="83"/>
      <c r="I128" s="83"/>
      <c r="J128" s="83"/>
      <c r="K128" s="83"/>
      <c r="L128" s="83"/>
      <c r="M128" s="83"/>
      <c r="N128" s="83"/>
      <c r="O128" s="83"/>
      <c r="P128" s="83"/>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3:50">
      <c r="C129" s="83"/>
      <c r="D129" s="83"/>
      <c r="E129" s="83"/>
      <c r="F129" s="83"/>
      <c r="G129" s="83"/>
      <c r="H129" s="83"/>
      <c r="I129" s="83"/>
      <c r="J129" s="83"/>
      <c r="K129" s="83"/>
      <c r="L129" s="83"/>
      <c r="M129" s="83"/>
      <c r="N129" s="83"/>
      <c r="O129" s="83"/>
      <c r="P129" s="83"/>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3:50">
      <c r="C130" s="83"/>
      <c r="D130" s="83"/>
      <c r="E130" s="83"/>
      <c r="F130" s="83"/>
      <c r="G130" s="83"/>
      <c r="H130" s="83"/>
      <c r="I130" s="83"/>
      <c r="J130" s="83"/>
      <c r="K130" s="83"/>
      <c r="L130" s="83"/>
      <c r="M130" s="83"/>
      <c r="N130" s="83"/>
      <c r="O130" s="83"/>
      <c r="P130" s="83"/>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3:50">
      <c r="C131" s="83"/>
      <c r="D131" s="83"/>
      <c r="E131" s="83"/>
      <c r="F131" s="83"/>
      <c r="G131" s="83"/>
      <c r="H131" s="83"/>
      <c r="I131" s="83"/>
      <c r="J131" s="83"/>
      <c r="K131" s="83"/>
      <c r="L131" s="83"/>
      <c r="M131" s="83"/>
      <c r="N131" s="83"/>
      <c r="O131" s="83"/>
      <c r="P131" s="83"/>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3:50">
      <c r="C132" s="83"/>
      <c r="D132" s="83"/>
      <c r="E132" s="83"/>
      <c r="F132" s="83"/>
      <c r="G132" s="83"/>
      <c r="H132" s="83"/>
      <c r="I132" s="83"/>
      <c r="J132" s="83"/>
      <c r="K132" s="83"/>
      <c r="L132" s="83"/>
      <c r="M132" s="83"/>
      <c r="N132" s="83"/>
      <c r="O132" s="83"/>
      <c r="P132" s="83"/>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3:50">
      <c r="C133" s="83"/>
      <c r="D133" s="83"/>
      <c r="E133" s="83"/>
      <c r="F133" s="83"/>
      <c r="G133" s="83"/>
      <c r="H133" s="83"/>
      <c r="I133" s="83"/>
      <c r="J133" s="83"/>
      <c r="K133" s="83"/>
      <c r="L133" s="83"/>
      <c r="M133" s="83"/>
      <c r="N133" s="83"/>
      <c r="O133" s="83"/>
      <c r="P133" s="83"/>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3:50">
      <c r="C134" s="83"/>
      <c r="D134" s="83"/>
      <c r="E134" s="83"/>
      <c r="F134" s="83"/>
      <c r="G134" s="83"/>
      <c r="H134" s="83"/>
      <c r="I134" s="83"/>
      <c r="J134" s="83"/>
      <c r="K134" s="83"/>
      <c r="L134" s="83"/>
      <c r="M134" s="83"/>
      <c r="N134" s="83"/>
      <c r="O134" s="83"/>
      <c r="P134" s="83"/>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3:50">
      <c r="C135" s="83"/>
      <c r="D135" s="83"/>
      <c r="E135" s="83"/>
      <c r="F135" s="83"/>
      <c r="G135" s="83"/>
      <c r="H135" s="83"/>
      <c r="I135" s="83"/>
      <c r="J135" s="83"/>
      <c r="K135" s="83"/>
      <c r="L135" s="83"/>
      <c r="M135" s="83"/>
      <c r="N135" s="83"/>
      <c r="O135" s="83"/>
      <c r="P135" s="83"/>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3:50">
      <c r="C136" s="83"/>
      <c r="D136" s="83"/>
      <c r="E136" s="83"/>
      <c r="F136" s="83"/>
      <c r="G136" s="83"/>
      <c r="H136" s="83"/>
      <c r="I136" s="83"/>
      <c r="J136" s="83"/>
      <c r="K136" s="83"/>
      <c r="L136" s="83"/>
      <c r="M136" s="83"/>
      <c r="N136" s="83"/>
      <c r="O136" s="83"/>
      <c r="P136" s="83"/>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3:50">
      <c r="C137" s="83"/>
      <c r="D137" s="83"/>
      <c r="E137" s="83"/>
      <c r="F137" s="83"/>
      <c r="G137" s="83"/>
      <c r="H137" s="83"/>
      <c r="I137" s="83"/>
      <c r="J137" s="83"/>
      <c r="K137" s="83"/>
      <c r="L137" s="83"/>
      <c r="M137" s="83"/>
      <c r="N137" s="83"/>
      <c r="O137" s="83"/>
      <c r="P137" s="83"/>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3:50">
      <c r="C138" s="83"/>
      <c r="D138" s="83"/>
      <c r="E138" s="83"/>
      <c r="F138" s="83"/>
      <c r="G138" s="83"/>
      <c r="H138" s="83"/>
      <c r="I138" s="83"/>
      <c r="J138" s="83"/>
      <c r="K138" s="83"/>
      <c r="L138" s="83"/>
      <c r="M138" s="83"/>
      <c r="N138" s="83"/>
      <c r="O138" s="83"/>
      <c r="P138" s="83"/>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3:50">
      <c r="C139" s="83"/>
      <c r="D139" s="83"/>
      <c r="E139" s="83"/>
      <c r="F139" s="83"/>
      <c r="G139" s="83"/>
      <c r="H139" s="83"/>
      <c r="I139" s="83"/>
      <c r="J139" s="83"/>
      <c r="K139" s="83"/>
      <c r="L139" s="83"/>
      <c r="M139" s="83"/>
      <c r="N139" s="83"/>
      <c r="O139" s="83"/>
      <c r="P139" s="83"/>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3:50">
      <c r="C140" s="83"/>
      <c r="D140" s="83"/>
      <c r="E140" s="83"/>
      <c r="F140" s="83"/>
      <c r="G140" s="83"/>
      <c r="H140" s="83"/>
      <c r="I140" s="83"/>
      <c r="J140" s="83"/>
      <c r="K140" s="83"/>
      <c r="L140" s="83"/>
      <c r="M140" s="83"/>
      <c r="N140" s="83"/>
      <c r="O140" s="83"/>
      <c r="P140" s="83"/>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3:50">
      <c r="C141" s="83"/>
      <c r="D141" s="83"/>
      <c r="E141" s="83"/>
      <c r="F141" s="83"/>
      <c r="G141" s="83"/>
      <c r="H141" s="83"/>
      <c r="I141" s="83"/>
      <c r="J141" s="83"/>
      <c r="K141" s="83"/>
      <c r="L141" s="83"/>
      <c r="M141" s="83"/>
      <c r="N141" s="83"/>
      <c r="O141" s="83"/>
      <c r="P141" s="83"/>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3:50">
      <c r="C142" s="83"/>
      <c r="D142" s="83"/>
      <c r="E142" s="83"/>
      <c r="F142" s="83"/>
      <c r="G142" s="83"/>
      <c r="H142" s="83"/>
      <c r="I142" s="83"/>
      <c r="J142" s="83"/>
      <c r="K142" s="83"/>
      <c r="L142" s="83"/>
      <c r="M142" s="83"/>
      <c r="N142" s="83"/>
      <c r="O142" s="83"/>
      <c r="P142" s="83"/>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3:50">
      <c r="C143" s="83"/>
      <c r="D143" s="83"/>
      <c r="E143" s="83"/>
      <c r="F143" s="83"/>
      <c r="G143" s="83"/>
      <c r="H143" s="83"/>
      <c r="I143" s="83"/>
      <c r="J143" s="83"/>
      <c r="K143" s="83"/>
      <c r="L143" s="83"/>
      <c r="M143" s="83"/>
      <c r="N143" s="83"/>
      <c r="O143" s="83"/>
      <c r="P143" s="83"/>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c r="C144" s="83"/>
      <c r="D144" s="83"/>
      <c r="E144" s="83"/>
      <c r="F144" s="83"/>
      <c r="G144" s="83"/>
      <c r="H144" s="83"/>
      <c r="I144" s="83"/>
      <c r="J144" s="83"/>
      <c r="K144" s="83"/>
      <c r="L144" s="83"/>
      <c r="M144" s="83"/>
      <c r="N144" s="83"/>
      <c r="O144" s="83"/>
      <c r="P144" s="83"/>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c r="C145" s="83"/>
      <c r="D145" s="83"/>
      <c r="E145" s="83"/>
      <c r="F145" s="83"/>
      <c r="G145" s="83"/>
      <c r="H145" s="83"/>
      <c r="I145" s="83"/>
      <c r="J145" s="83"/>
      <c r="K145" s="83"/>
      <c r="L145" s="83"/>
      <c r="M145" s="83"/>
      <c r="N145" s="83"/>
      <c r="O145" s="83"/>
      <c r="P145" s="83"/>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c r="C146" s="83"/>
      <c r="D146" s="83"/>
      <c r="E146" s="83"/>
      <c r="F146" s="83"/>
      <c r="G146" s="83"/>
      <c r="H146" s="83"/>
      <c r="I146" s="83"/>
      <c r="J146" s="83"/>
      <c r="K146" s="83"/>
      <c r="L146" s="83"/>
      <c r="M146" s="83"/>
      <c r="N146" s="83"/>
      <c r="O146" s="83"/>
      <c r="P146" s="83"/>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c r="C147" s="83"/>
      <c r="D147" s="83"/>
      <c r="E147" s="83"/>
      <c r="F147" s="83"/>
      <c r="G147" s="83"/>
      <c r="H147" s="83"/>
      <c r="I147" s="83"/>
      <c r="J147" s="83"/>
      <c r="K147" s="83"/>
      <c r="L147" s="83"/>
      <c r="M147" s="83"/>
      <c r="N147" s="83"/>
      <c r="O147" s="83"/>
      <c r="P147" s="83"/>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c r="C148" s="83"/>
      <c r="D148" s="83"/>
      <c r="E148" s="83"/>
      <c r="F148" s="83"/>
      <c r="G148" s="83"/>
      <c r="H148" s="83"/>
      <c r="I148" s="83"/>
      <c r="J148" s="83"/>
      <c r="K148" s="83"/>
      <c r="L148" s="83"/>
      <c r="M148" s="83"/>
      <c r="N148" s="83"/>
      <c r="O148" s="83"/>
      <c r="P148" s="83"/>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c r="C149" s="83"/>
      <c r="D149" s="83"/>
      <c r="E149" s="83"/>
      <c r="F149" s="83"/>
      <c r="G149" s="83"/>
      <c r="H149" s="83"/>
      <c r="I149" s="83"/>
      <c r="J149" s="83"/>
      <c r="K149" s="83"/>
      <c r="L149" s="83"/>
      <c r="M149" s="83"/>
      <c r="N149" s="83"/>
      <c r="O149" s="83"/>
      <c r="P149" s="83"/>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c r="C150" s="83"/>
      <c r="D150" s="83"/>
      <c r="E150" s="83"/>
      <c r="F150" s="83"/>
      <c r="G150" s="83"/>
      <c r="H150" s="83"/>
      <c r="I150" s="83"/>
      <c r="J150" s="83"/>
      <c r="K150" s="83"/>
      <c r="L150" s="83"/>
      <c r="M150" s="83"/>
      <c r="N150" s="83"/>
      <c r="O150" s="83"/>
      <c r="P150" s="83"/>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c r="C151" s="83"/>
      <c r="D151" s="83"/>
      <c r="E151" s="83"/>
      <c r="F151" s="83"/>
      <c r="G151" s="83"/>
      <c r="H151" s="83"/>
      <c r="I151" s="83"/>
      <c r="J151" s="83"/>
      <c r="K151" s="83"/>
      <c r="L151" s="83"/>
      <c r="M151" s="83"/>
      <c r="N151" s="83"/>
      <c r="O151" s="83"/>
      <c r="P151" s="83"/>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c r="C152" s="83"/>
      <c r="D152" s="83"/>
      <c r="E152" s="83"/>
      <c r="F152" s="83"/>
      <c r="G152" s="83"/>
      <c r="H152" s="83"/>
      <c r="I152" s="83"/>
      <c r="J152" s="83"/>
      <c r="K152" s="83"/>
      <c r="L152" s="83"/>
      <c r="M152" s="83"/>
      <c r="N152" s="83"/>
      <c r="O152" s="83"/>
      <c r="P152" s="83"/>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c r="C153" s="83"/>
      <c r="D153" s="83"/>
      <c r="E153" s="83"/>
      <c r="F153" s="83"/>
      <c r="G153" s="83"/>
      <c r="H153" s="83"/>
      <c r="I153" s="83"/>
      <c r="J153" s="83"/>
      <c r="K153" s="83"/>
      <c r="L153" s="83"/>
      <c r="M153" s="83"/>
      <c r="N153" s="83"/>
      <c r="O153" s="83"/>
      <c r="P153" s="83"/>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c r="C154" s="83"/>
      <c r="D154" s="83"/>
      <c r="E154" s="83"/>
      <c r="F154" s="83"/>
      <c r="G154" s="83"/>
      <c r="H154" s="83"/>
      <c r="I154" s="83"/>
      <c r="J154" s="83"/>
      <c r="K154" s="83"/>
      <c r="L154" s="83"/>
      <c r="M154" s="83"/>
      <c r="N154" s="83"/>
      <c r="O154" s="83"/>
      <c r="P154" s="83"/>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c r="C155" s="83"/>
      <c r="D155" s="83"/>
      <c r="E155" s="83"/>
      <c r="F155" s="83"/>
      <c r="G155" s="83"/>
      <c r="H155" s="83"/>
      <c r="I155" s="83"/>
      <c r="J155" s="83"/>
      <c r="K155" s="83"/>
      <c r="L155" s="83"/>
      <c r="M155" s="83"/>
      <c r="N155" s="83"/>
      <c r="O155" s="83"/>
      <c r="P155" s="83"/>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c r="C156" s="83"/>
      <c r="D156" s="83"/>
      <c r="E156" s="83"/>
      <c r="F156" s="83"/>
      <c r="G156" s="83"/>
      <c r="H156" s="83"/>
      <c r="I156" s="83"/>
      <c r="J156" s="83"/>
      <c r="K156" s="83"/>
      <c r="L156" s="83"/>
      <c r="M156" s="83"/>
      <c r="N156" s="83"/>
      <c r="O156" s="83"/>
      <c r="P156" s="83"/>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c r="C157" s="83"/>
      <c r="D157" s="83"/>
      <c r="E157" s="83"/>
      <c r="F157" s="83"/>
      <c r="G157" s="83"/>
      <c r="H157" s="83"/>
      <c r="I157" s="83"/>
      <c r="J157" s="83"/>
      <c r="K157" s="83"/>
      <c r="L157" s="83"/>
      <c r="M157" s="83"/>
      <c r="N157" s="83"/>
      <c r="O157" s="83"/>
      <c r="P157" s="83"/>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c r="C158" s="83"/>
      <c r="D158" s="83"/>
      <c r="E158" s="83"/>
      <c r="F158" s="83"/>
      <c r="G158" s="83"/>
      <c r="H158" s="83"/>
      <c r="I158" s="83"/>
      <c r="J158" s="83"/>
      <c r="K158" s="83"/>
      <c r="L158" s="83"/>
      <c r="M158" s="83"/>
      <c r="N158" s="83"/>
      <c r="O158" s="83"/>
      <c r="P158" s="83"/>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c r="C159" s="83"/>
      <c r="D159" s="83"/>
      <c r="E159" s="83"/>
      <c r="F159" s="83"/>
      <c r="G159" s="83"/>
      <c r="H159" s="83"/>
      <c r="I159" s="83"/>
      <c r="J159" s="83"/>
      <c r="K159" s="83"/>
      <c r="L159" s="83"/>
      <c r="M159" s="83"/>
      <c r="N159" s="83"/>
      <c r="O159" s="83"/>
      <c r="P159" s="83"/>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c r="C160" s="83"/>
      <c r="D160" s="83"/>
      <c r="E160" s="83"/>
      <c r="F160" s="83"/>
      <c r="G160" s="83"/>
      <c r="H160" s="83"/>
      <c r="I160" s="83"/>
      <c r="J160" s="83"/>
      <c r="K160" s="83"/>
      <c r="L160" s="83"/>
      <c r="M160" s="83"/>
      <c r="N160" s="83"/>
      <c r="O160" s="83"/>
      <c r="P160" s="83"/>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c r="C161" s="83"/>
      <c r="D161" s="83"/>
      <c r="E161" s="83"/>
      <c r="F161" s="83"/>
      <c r="G161" s="83"/>
      <c r="H161" s="83"/>
      <c r="I161" s="83"/>
      <c r="J161" s="83"/>
      <c r="K161" s="83"/>
      <c r="L161" s="83"/>
      <c r="M161" s="83"/>
      <c r="N161" s="83"/>
      <c r="O161" s="83"/>
      <c r="P161" s="83"/>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c r="C162" s="83"/>
      <c r="D162" s="83"/>
      <c r="E162" s="83"/>
      <c r="F162" s="83"/>
      <c r="G162" s="83"/>
      <c r="H162" s="83"/>
      <c r="I162" s="83"/>
      <c r="J162" s="83"/>
      <c r="K162" s="83"/>
      <c r="L162" s="83"/>
      <c r="M162" s="83"/>
      <c r="N162" s="83"/>
      <c r="O162" s="83"/>
      <c r="P162" s="83"/>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c r="C163" s="83"/>
      <c r="D163" s="83"/>
      <c r="E163" s="83"/>
      <c r="F163" s="83"/>
      <c r="G163" s="83"/>
      <c r="H163" s="83"/>
      <c r="I163" s="83"/>
      <c r="J163" s="83"/>
      <c r="K163" s="83"/>
      <c r="L163" s="83"/>
      <c r="M163" s="83"/>
      <c r="N163" s="83"/>
      <c r="O163" s="83"/>
      <c r="P163" s="83"/>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c r="C164" s="83"/>
      <c r="D164" s="83"/>
      <c r="E164" s="83"/>
      <c r="F164" s="83"/>
      <c r="G164" s="83"/>
      <c r="H164" s="83"/>
      <c r="I164" s="83"/>
      <c r="J164" s="83"/>
      <c r="K164" s="83"/>
      <c r="L164" s="83"/>
      <c r="M164" s="83"/>
      <c r="N164" s="83"/>
      <c r="O164" s="83"/>
      <c r="P164" s="83"/>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c r="C165" s="83"/>
      <c r="D165" s="83"/>
      <c r="E165" s="83"/>
      <c r="F165" s="83"/>
      <c r="G165" s="83"/>
      <c r="H165" s="83"/>
      <c r="I165" s="83"/>
      <c r="J165" s="83"/>
      <c r="K165" s="83"/>
      <c r="L165" s="83"/>
      <c r="M165" s="83"/>
      <c r="N165" s="83"/>
      <c r="O165" s="83"/>
      <c r="P165" s="83"/>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c r="C166" s="83"/>
      <c r="D166" s="83"/>
      <c r="E166" s="83"/>
      <c r="F166" s="83"/>
      <c r="G166" s="83"/>
      <c r="H166" s="83"/>
      <c r="I166" s="83"/>
      <c r="J166" s="83"/>
      <c r="K166" s="83"/>
      <c r="L166" s="83"/>
      <c r="M166" s="83"/>
      <c r="N166" s="83"/>
      <c r="O166" s="83"/>
      <c r="P166" s="83"/>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c r="C167" s="83"/>
      <c r="D167" s="83"/>
      <c r="E167" s="83"/>
      <c r="F167" s="83"/>
      <c r="G167" s="83"/>
      <c r="H167" s="83"/>
      <c r="I167" s="83"/>
      <c r="J167" s="83"/>
      <c r="K167" s="83"/>
      <c r="L167" s="83"/>
      <c r="M167" s="83"/>
      <c r="N167" s="83"/>
      <c r="O167" s="83"/>
      <c r="P167" s="83"/>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c r="C168" s="83"/>
      <c r="D168" s="83"/>
      <c r="E168" s="83"/>
      <c r="F168" s="83"/>
      <c r="G168" s="83"/>
      <c r="H168" s="83"/>
      <c r="I168" s="83"/>
      <c r="J168" s="83"/>
      <c r="K168" s="83"/>
      <c r="L168" s="83"/>
      <c r="M168" s="83"/>
      <c r="N168" s="83"/>
      <c r="O168" s="83"/>
      <c r="P168" s="83"/>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c r="C169" s="83"/>
      <c r="D169" s="83"/>
      <c r="E169" s="83"/>
      <c r="F169" s="83"/>
      <c r="G169" s="83"/>
      <c r="H169" s="83"/>
      <c r="I169" s="83"/>
      <c r="J169" s="83"/>
      <c r="K169" s="83"/>
      <c r="L169" s="83"/>
      <c r="M169" s="83"/>
      <c r="N169" s="83"/>
      <c r="O169" s="83"/>
      <c r="P169" s="83"/>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c r="C170" s="83"/>
      <c r="D170" s="83"/>
      <c r="E170" s="83"/>
      <c r="F170" s="83"/>
      <c r="G170" s="83"/>
      <c r="H170" s="83"/>
      <c r="I170" s="83"/>
      <c r="J170" s="83"/>
      <c r="K170" s="83"/>
      <c r="L170" s="83"/>
      <c r="M170" s="83"/>
      <c r="N170" s="83"/>
      <c r="O170" s="83"/>
      <c r="P170" s="83"/>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c r="C171" s="83"/>
      <c r="D171" s="83"/>
      <c r="E171" s="83"/>
      <c r="F171" s="83"/>
      <c r="G171" s="83"/>
      <c r="H171" s="83"/>
      <c r="I171" s="83"/>
      <c r="J171" s="83"/>
      <c r="K171" s="83"/>
      <c r="L171" s="83"/>
      <c r="M171" s="83"/>
      <c r="N171" s="83"/>
      <c r="O171" s="83"/>
      <c r="P171" s="83"/>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c r="C172" s="83"/>
      <c r="D172" s="83"/>
      <c r="E172" s="83"/>
      <c r="F172" s="83"/>
      <c r="G172" s="83"/>
      <c r="H172" s="83"/>
      <c r="I172" s="83"/>
      <c r="J172" s="83"/>
      <c r="K172" s="83"/>
      <c r="L172" s="83"/>
      <c r="M172" s="83"/>
      <c r="N172" s="83"/>
      <c r="O172" s="83"/>
      <c r="P172" s="83"/>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c r="C173" s="83"/>
      <c r="D173" s="83"/>
      <c r="E173" s="83"/>
      <c r="F173" s="83"/>
      <c r="G173" s="83"/>
      <c r="H173" s="83"/>
      <c r="I173" s="83"/>
      <c r="J173" s="83"/>
      <c r="K173" s="83"/>
      <c r="L173" s="83"/>
      <c r="M173" s="83"/>
      <c r="N173" s="83"/>
      <c r="O173" s="83"/>
      <c r="P173" s="83"/>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c r="C174" s="83"/>
      <c r="D174" s="83"/>
      <c r="E174" s="83"/>
      <c r="F174" s="83"/>
      <c r="G174" s="83"/>
      <c r="H174" s="83"/>
      <c r="I174" s="83"/>
      <c r="J174" s="83"/>
      <c r="K174" s="83"/>
      <c r="L174" s="83"/>
      <c r="M174" s="83"/>
      <c r="N174" s="83"/>
      <c r="O174" s="83"/>
      <c r="P174" s="83"/>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c r="C175" s="83"/>
      <c r="D175" s="83"/>
      <c r="E175" s="83"/>
      <c r="F175" s="83"/>
      <c r="G175" s="83"/>
      <c r="H175" s="83"/>
      <c r="I175" s="83"/>
      <c r="J175" s="83"/>
      <c r="K175" s="83"/>
      <c r="L175" s="83"/>
      <c r="M175" s="83"/>
      <c r="N175" s="83"/>
      <c r="O175" s="83"/>
      <c r="P175" s="83"/>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c r="C176" s="83"/>
      <c r="D176" s="83"/>
      <c r="E176" s="83"/>
      <c r="F176" s="83"/>
      <c r="G176" s="83"/>
      <c r="H176" s="83"/>
      <c r="I176" s="83"/>
      <c r="J176" s="83"/>
      <c r="K176" s="83"/>
      <c r="L176" s="83"/>
      <c r="M176" s="83"/>
      <c r="N176" s="83"/>
      <c r="O176" s="83"/>
      <c r="P176" s="83"/>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c r="C177" s="83"/>
      <c r="D177" s="83"/>
      <c r="E177" s="83"/>
      <c r="F177" s="83"/>
      <c r="G177" s="83"/>
      <c r="H177" s="83"/>
      <c r="I177" s="83"/>
      <c r="J177" s="83"/>
      <c r="K177" s="83"/>
      <c r="L177" s="83"/>
      <c r="M177" s="83"/>
      <c r="N177" s="83"/>
      <c r="O177" s="83"/>
      <c r="P177" s="83"/>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c r="C178" s="83"/>
      <c r="D178" s="83"/>
      <c r="E178" s="83"/>
      <c r="F178" s="83"/>
      <c r="G178" s="83"/>
      <c r="H178" s="83"/>
      <c r="I178" s="83"/>
      <c r="J178" s="83"/>
      <c r="K178" s="83"/>
      <c r="L178" s="83"/>
      <c r="M178" s="83"/>
      <c r="N178" s="83"/>
      <c r="O178" s="83"/>
      <c r="P178" s="83"/>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c r="C179" s="83"/>
      <c r="D179" s="83"/>
      <c r="E179" s="83"/>
      <c r="F179" s="83"/>
      <c r="G179" s="83"/>
      <c r="H179" s="83"/>
      <c r="I179" s="83"/>
      <c r="J179" s="83"/>
      <c r="K179" s="83"/>
      <c r="L179" s="83"/>
      <c r="M179" s="83"/>
      <c r="N179" s="83"/>
      <c r="O179" s="83"/>
      <c r="P179" s="83"/>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c r="C180" s="83"/>
      <c r="D180" s="83"/>
      <c r="E180" s="83"/>
      <c r="F180" s="83"/>
      <c r="G180" s="83"/>
      <c r="H180" s="83"/>
      <c r="I180" s="83"/>
      <c r="J180" s="83"/>
      <c r="K180" s="83"/>
      <c r="L180" s="83"/>
      <c r="M180" s="83"/>
      <c r="N180" s="83"/>
      <c r="O180" s="83"/>
      <c r="P180" s="83"/>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c r="C181" s="83"/>
      <c r="D181" s="83"/>
      <c r="E181" s="83"/>
      <c r="F181" s="83"/>
      <c r="G181" s="83"/>
      <c r="H181" s="83"/>
      <c r="I181" s="83"/>
      <c r="J181" s="83"/>
      <c r="K181" s="83"/>
      <c r="L181" s="83"/>
      <c r="M181" s="83"/>
      <c r="N181" s="83"/>
      <c r="O181" s="83"/>
      <c r="P181" s="83"/>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c r="C182" s="83"/>
      <c r="D182" s="83"/>
      <c r="E182" s="83"/>
      <c r="F182" s="83"/>
      <c r="G182" s="83"/>
      <c r="H182" s="83"/>
      <c r="I182" s="83"/>
      <c r="J182" s="83"/>
      <c r="K182" s="83"/>
      <c r="L182" s="83"/>
      <c r="M182" s="83"/>
      <c r="N182" s="83"/>
      <c r="O182" s="83"/>
      <c r="P182" s="83"/>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c r="C183" s="83"/>
      <c r="D183" s="83"/>
      <c r="E183" s="83"/>
      <c r="F183" s="83"/>
      <c r="G183" s="83"/>
      <c r="H183" s="83"/>
      <c r="I183" s="83"/>
      <c r="J183" s="83"/>
      <c r="K183" s="83"/>
      <c r="L183" s="83"/>
      <c r="M183" s="83"/>
      <c r="N183" s="83"/>
      <c r="O183" s="83"/>
      <c r="P183" s="83"/>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c r="C184" s="83"/>
      <c r="D184" s="83"/>
      <c r="E184" s="83"/>
      <c r="F184" s="83"/>
      <c r="G184" s="83"/>
      <c r="H184" s="83"/>
      <c r="I184" s="83"/>
      <c r="J184" s="83"/>
      <c r="K184" s="83"/>
      <c r="L184" s="83"/>
      <c r="M184" s="83"/>
      <c r="N184" s="83"/>
      <c r="O184" s="83"/>
      <c r="P184" s="83"/>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c r="C185" s="83"/>
      <c r="D185" s="83"/>
      <c r="E185" s="83"/>
      <c r="F185" s="83"/>
      <c r="G185" s="83"/>
      <c r="H185" s="83"/>
      <c r="I185" s="83"/>
      <c r="J185" s="83"/>
      <c r="K185" s="83"/>
      <c r="L185" s="83"/>
      <c r="M185" s="83"/>
      <c r="N185" s="83"/>
      <c r="O185" s="83"/>
      <c r="P185" s="83"/>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c r="C186" s="83"/>
      <c r="D186" s="83"/>
      <c r="E186" s="83"/>
      <c r="F186" s="83"/>
      <c r="G186" s="83"/>
      <c r="H186" s="83"/>
      <c r="I186" s="83"/>
      <c r="J186" s="83"/>
      <c r="K186" s="83"/>
      <c r="L186" s="83"/>
      <c r="M186" s="83"/>
      <c r="N186" s="83"/>
      <c r="O186" s="83"/>
      <c r="P186" s="83"/>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c r="C187" s="83"/>
      <c r="D187" s="83"/>
      <c r="E187" s="83"/>
      <c r="F187" s="83"/>
      <c r="G187" s="83"/>
      <c r="H187" s="83"/>
      <c r="I187" s="83"/>
      <c r="J187" s="83"/>
      <c r="K187" s="83"/>
      <c r="L187" s="83"/>
      <c r="M187" s="83"/>
      <c r="N187" s="83"/>
      <c r="O187" s="83"/>
      <c r="P187" s="83"/>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c r="C188" s="83"/>
      <c r="D188" s="83"/>
      <c r="E188" s="83"/>
      <c r="F188" s="83"/>
      <c r="G188" s="83"/>
      <c r="H188" s="83"/>
      <c r="I188" s="83"/>
      <c r="J188" s="83"/>
      <c r="K188" s="83"/>
      <c r="L188" s="83"/>
      <c r="M188" s="83"/>
      <c r="N188" s="83"/>
      <c r="O188" s="83"/>
      <c r="P188" s="83"/>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c r="C189" s="83"/>
      <c r="D189" s="83"/>
      <c r="E189" s="83"/>
      <c r="F189" s="83"/>
      <c r="G189" s="83"/>
      <c r="H189" s="83"/>
      <c r="I189" s="83"/>
      <c r="J189" s="83"/>
      <c r="K189" s="83"/>
      <c r="L189" s="83"/>
      <c r="M189" s="83"/>
      <c r="N189" s="83"/>
      <c r="O189" s="83"/>
      <c r="P189" s="83"/>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c r="C190" s="83"/>
      <c r="D190" s="83"/>
      <c r="E190" s="83"/>
      <c r="F190" s="83"/>
      <c r="G190" s="83"/>
      <c r="H190" s="83"/>
      <c r="I190" s="83"/>
      <c r="J190" s="83"/>
      <c r="K190" s="83"/>
      <c r="L190" s="83"/>
      <c r="M190" s="83"/>
      <c r="N190" s="83"/>
      <c r="O190" s="83"/>
      <c r="P190" s="83"/>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c r="C191" s="83"/>
      <c r="D191" s="83"/>
      <c r="E191" s="83"/>
      <c r="F191" s="83"/>
      <c r="G191" s="83"/>
      <c r="H191" s="83"/>
      <c r="I191" s="83"/>
      <c r="J191" s="83"/>
      <c r="K191" s="83"/>
      <c r="L191" s="83"/>
      <c r="M191" s="83"/>
      <c r="N191" s="83"/>
      <c r="O191" s="83"/>
      <c r="P191" s="83"/>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c r="C192" s="83"/>
      <c r="D192" s="83"/>
      <c r="E192" s="83"/>
      <c r="F192" s="83"/>
      <c r="G192" s="83"/>
      <c r="H192" s="83"/>
      <c r="I192" s="83"/>
      <c r="J192" s="83"/>
      <c r="K192" s="83"/>
      <c r="L192" s="83"/>
      <c r="M192" s="83"/>
      <c r="N192" s="83"/>
      <c r="O192" s="83"/>
      <c r="P192" s="83"/>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c r="C193" s="83"/>
      <c r="D193" s="83"/>
      <c r="E193" s="83"/>
      <c r="F193" s="83"/>
      <c r="G193" s="83"/>
      <c r="H193" s="83"/>
      <c r="I193" s="83"/>
      <c r="J193" s="83"/>
      <c r="K193" s="83"/>
      <c r="L193" s="83"/>
      <c r="M193" s="83"/>
      <c r="N193" s="83"/>
      <c r="O193" s="83"/>
      <c r="P193" s="83"/>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c r="C194" s="83"/>
      <c r="D194" s="83"/>
      <c r="E194" s="83"/>
      <c r="F194" s="83"/>
      <c r="G194" s="83"/>
      <c r="H194" s="83"/>
      <c r="I194" s="83"/>
      <c r="J194" s="83"/>
      <c r="K194" s="83"/>
      <c r="L194" s="83"/>
      <c r="M194" s="83"/>
      <c r="N194" s="83"/>
      <c r="O194" s="83"/>
      <c r="P194" s="83"/>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c r="C195" s="83"/>
      <c r="D195" s="83"/>
      <c r="E195" s="83"/>
      <c r="F195" s="83"/>
      <c r="G195" s="83"/>
      <c r="H195" s="83"/>
      <c r="I195" s="83"/>
      <c r="J195" s="83"/>
      <c r="K195" s="83"/>
      <c r="L195" s="83"/>
      <c r="M195" s="83"/>
      <c r="N195" s="83"/>
      <c r="O195" s="83"/>
      <c r="P195" s="83"/>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c r="C196" s="83"/>
      <c r="D196" s="83"/>
      <c r="E196" s="83"/>
      <c r="F196" s="83"/>
      <c r="G196" s="83"/>
      <c r="H196" s="83"/>
      <c r="I196" s="83"/>
      <c r="J196" s="83"/>
      <c r="K196" s="83"/>
      <c r="L196" s="83"/>
      <c r="M196" s="83"/>
      <c r="N196" s="83"/>
      <c r="O196" s="83"/>
      <c r="P196" s="83"/>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c r="C197" s="83"/>
      <c r="D197" s="83"/>
      <c r="E197" s="83"/>
      <c r="F197" s="83"/>
      <c r="G197" s="83"/>
      <c r="H197" s="83"/>
      <c r="I197" s="83"/>
      <c r="J197" s="83"/>
      <c r="K197" s="83"/>
      <c r="L197" s="83"/>
      <c r="M197" s="83"/>
      <c r="N197" s="83"/>
      <c r="O197" s="83"/>
      <c r="P197" s="83"/>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c r="C198" s="83"/>
      <c r="D198" s="83"/>
      <c r="E198" s="83"/>
      <c r="F198" s="83"/>
      <c r="G198" s="83"/>
      <c r="H198" s="83"/>
      <c r="I198" s="83"/>
      <c r="J198" s="83"/>
      <c r="K198" s="83"/>
      <c r="L198" s="83"/>
      <c r="M198" s="83"/>
      <c r="N198" s="83"/>
      <c r="O198" s="83"/>
      <c r="P198" s="83"/>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c r="C199" s="83"/>
      <c r="D199" s="83"/>
      <c r="E199" s="83"/>
      <c r="F199" s="83"/>
      <c r="G199" s="83"/>
      <c r="H199" s="83"/>
      <c r="I199" s="83"/>
      <c r="J199" s="83"/>
      <c r="K199" s="83"/>
      <c r="L199" s="83"/>
      <c r="M199" s="83"/>
      <c r="N199" s="83"/>
      <c r="O199" s="83"/>
      <c r="P199" s="83"/>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c r="C200" s="83"/>
      <c r="D200" s="83"/>
      <c r="E200" s="83"/>
      <c r="F200" s="83"/>
      <c r="G200" s="83"/>
      <c r="H200" s="83"/>
      <c r="I200" s="83"/>
      <c r="J200" s="83"/>
      <c r="K200" s="83"/>
      <c r="L200" s="83"/>
      <c r="M200" s="83"/>
      <c r="N200" s="83"/>
      <c r="O200" s="83"/>
      <c r="P200" s="83"/>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c r="C201" s="83"/>
      <c r="D201" s="83"/>
      <c r="E201" s="83"/>
      <c r="F201" s="83"/>
      <c r="G201" s="83"/>
      <c r="H201" s="83"/>
      <c r="I201" s="83"/>
      <c r="J201" s="83"/>
      <c r="K201" s="83"/>
      <c r="L201" s="83"/>
      <c r="M201" s="83"/>
      <c r="N201" s="83"/>
      <c r="O201" s="83"/>
      <c r="P201" s="83"/>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c r="C202" s="83"/>
      <c r="D202" s="83"/>
      <c r="E202" s="83"/>
      <c r="F202" s="83"/>
      <c r="G202" s="83"/>
      <c r="H202" s="83"/>
      <c r="I202" s="83"/>
      <c r="J202" s="83"/>
      <c r="K202" s="83"/>
      <c r="L202" s="83"/>
      <c r="M202" s="83"/>
      <c r="N202" s="83"/>
      <c r="O202" s="83"/>
      <c r="P202" s="83"/>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c r="C203" s="83"/>
      <c r="D203" s="83"/>
      <c r="E203" s="83"/>
      <c r="F203" s="83"/>
      <c r="G203" s="83"/>
      <c r="H203" s="83"/>
      <c r="I203" s="83"/>
      <c r="J203" s="83"/>
      <c r="K203" s="83"/>
      <c r="L203" s="83"/>
      <c r="M203" s="83"/>
      <c r="N203" s="83"/>
      <c r="O203" s="83"/>
      <c r="P203" s="83"/>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c r="C204" s="83"/>
      <c r="D204" s="83"/>
      <c r="E204" s="83"/>
      <c r="F204" s="83"/>
      <c r="G204" s="83"/>
      <c r="H204" s="83"/>
      <c r="I204" s="83"/>
      <c r="J204" s="83"/>
      <c r="K204" s="83"/>
      <c r="L204" s="83"/>
      <c r="M204" s="83"/>
      <c r="N204" s="83"/>
      <c r="O204" s="83"/>
      <c r="P204" s="83"/>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c r="C205" s="83"/>
      <c r="D205" s="83"/>
      <c r="E205" s="83"/>
      <c r="F205" s="83"/>
      <c r="G205" s="83"/>
      <c r="H205" s="83"/>
      <c r="I205" s="83"/>
      <c r="J205" s="83"/>
      <c r="K205" s="83"/>
      <c r="L205" s="83"/>
      <c r="M205" s="83"/>
      <c r="N205" s="83"/>
      <c r="O205" s="83"/>
      <c r="P205" s="83"/>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c r="C206" s="83"/>
      <c r="D206" s="83"/>
      <c r="E206" s="83"/>
      <c r="F206" s="83"/>
      <c r="G206" s="83"/>
      <c r="H206" s="83"/>
      <c r="I206" s="83"/>
      <c r="J206" s="83"/>
      <c r="K206" s="83"/>
      <c r="L206" s="83"/>
      <c r="M206" s="83"/>
      <c r="N206" s="83"/>
      <c r="O206" s="83"/>
      <c r="P206" s="83"/>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c r="C207" s="83"/>
      <c r="D207" s="83"/>
      <c r="E207" s="83"/>
      <c r="F207" s="83"/>
      <c r="G207" s="83"/>
      <c r="H207" s="83"/>
      <c r="I207" s="83"/>
      <c r="J207" s="83"/>
      <c r="K207" s="83"/>
      <c r="L207" s="83"/>
      <c r="M207" s="83"/>
      <c r="N207" s="83"/>
      <c r="O207" s="83"/>
      <c r="P207" s="83"/>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c r="C208" s="83"/>
      <c r="D208" s="83"/>
      <c r="E208" s="83"/>
      <c r="F208" s="83"/>
      <c r="G208" s="83"/>
      <c r="H208" s="83"/>
      <c r="I208" s="83"/>
      <c r="J208" s="83"/>
      <c r="K208" s="83"/>
      <c r="L208" s="83"/>
      <c r="M208" s="83"/>
      <c r="N208" s="83"/>
      <c r="O208" s="83"/>
      <c r="P208" s="83"/>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c r="C209" s="83"/>
      <c r="D209" s="83"/>
      <c r="E209" s="83"/>
      <c r="F209" s="83"/>
      <c r="G209" s="83"/>
      <c r="H209" s="83"/>
      <c r="I209" s="83"/>
      <c r="J209" s="83"/>
      <c r="K209" s="83"/>
      <c r="L209" s="83"/>
      <c r="M209" s="83"/>
      <c r="N209" s="83"/>
      <c r="O209" s="83"/>
      <c r="P209" s="83"/>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c r="C210" s="83"/>
      <c r="D210" s="83"/>
      <c r="E210" s="83"/>
      <c r="F210" s="83"/>
      <c r="G210" s="83"/>
      <c r="H210" s="83"/>
      <c r="I210" s="83"/>
      <c r="J210" s="83"/>
      <c r="K210" s="83"/>
      <c r="L210" s="83"/>
      <c r="M210" s="83"/>
      <c r="N210" s="83"/>
      <c r="O210" s="83"/>
      <c r="P210" s="83"/>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c r="C211" s="83"/>
      <c r="D211" s="83"/>
      <c r="E211" s="83"/>
      <c r="F211" s="83"/>
      <c r="G211" s="83"/>
      <c r="H211" s="83"/>
      <c r="I211" s="83"/>
      <c r="J211" s="83"/>
      <c r="K211" s="83"/>
      <c r="L211" s="83"/>
      <c r="M211" s="83"/>
      <c r="N211" s="83"/>
      <c r="O211" s="83"/>
      <c r="P211" s="83"/>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c r="C212" s="83"/>
      <c r="D212" s="83"/>
      <c r="E212" s="83"/>
      <c r="F212" s="83"/>
      <c r="G212" s="83"/>
      <c r="H212" s="83"/>
      <c r="I212" s="83"/>
      <c r="J212" s="83"/>
      <c r="K212" s="83"/>
      <c r="L212" s="83"/>
      <c r="M212" s="83"/>
      <c r="N212" s="83"/>
      <c r="O212" s="83"/>
      <c r="P212" s="83"/>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c r="C213" s="83"/>
      <c r="D213" s="83"/>
      <c r="E213" s="83"/>
      <c r="F213" s="83"/>
      <c r="G213" s="83"/>
      <c r="H213" s="83"/>
      <c r="I213" s="83"/>
      <c r="J213" s="83"/>
      <c r="K213" s="83"/>
      <c r="L213" s="83"/>
      <c r="M213" s="83"/>
      <c r="N213" s="83"/>
      <c r="O213" s="83"/>
      <c r="P213" s="83"/>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c r="C214" s="83"/>
      <c r="D214" s="83"/>
      <c r="E214" s="83"/>
      <c r="F214" s="83"/>
      <c r="G214" s="83"/>
      <c r="H214" s="83"/>
      <c r="I214" s="83"/>
      <c r="J214" s="83"/>
      <c r="K214" s="83"/>
      <c r="L214" s="83"/>
      <c r="M214" s="83"/>
      <c r="N214" s="83"/>
      <c r="O214" s="83"/>
      <c r="P214" s="83"/>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c r="C215" s="83"/>
      <c r="D215" s="83"/>
      <c r="E215" s="83"/>
      <c r="F215" s="83"/>
      <c r="G215" s="83"/>
      <c r="H215" s="83"/>
      <c r="I215" s="83"/>
      <c r="J215" s="83"/>
      <c r="K215" s="83"/>
      <c r="L215" s="83"/>
      <c r="M215" s="83"/>
      <c r="N215" s="83"/>
      <c r="O215" s="83"/>
      <c r="P215" s="83"/>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c r="C216" s="83"/>
      <c r="D216" s="83"/>
      <c r="E216" s="83"/>
      <c r="F216" s="83"/>
      <c r="G216" s="83"/>
      <c r="H216" s="83"/>
      <c r="I216" s="83"/>
      <c r="J216" s="83"/>
      <c r="K216" s="83"/>
      <c r="L216" s="83"/>
      <c r="M216" s="83"/>
      <c r="N216" s="83"/>
      <c r="O216" s="83"/>
      <c r="P216" s="83"/>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c r="C217" s="83"/>
      <c r="D217" s="83"/>
      <c r="E217" s="83"/>
      <c r="F217" s="83"/>
      <c r="G217" s="83"/>
      <c r="H217" s="83"/>
      <c r="I217" s="83"/>
      <c r="J217" s="83"/>
      <c r="K217" s="83"/>
      <c r="L217" s="83"/>
      <c r="M217" s="83"/>
      <c r="N217" s="83"/>
      <c r="O217" s="83"/>
      <c r="P217" s="83"/>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c r="C218" s="83"/>
      <c r="D218" s="83"/>
      <c r="E218" s="83"/>
      <c r="F218" s="83"/>
      <c r="G218" s="83"/>
      <c r="H218" s="83"/>
      <c r="I218" s="83"/>
      <c r="J218" s="83"/>
      <c r="K218" s="83"/>
      <c r="L218" s="83"/>
      <c r="M218" s="83"/>
      <c r="N218" s="83"/>
      <c r="O218" s="83"/>
      <c r="P218" s="83"/>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c r="C219" s="83"/>
      <c r="D219" s="83"/>
      <c r="E219" s="83"/>
      <c r="F219" s="83"/>
      <c r="G219" s="83"/>
      <c r="H219" s="83"/>
      <c r="I219" s="83"/>
      <c r="J219" s="83"/>
      <c r="K219" s="83"/>
      <c r="L219" s="83"/>
      <c r="M219" s="83"/>
      <c r="N219" s="83"/>
      <c r="O219" s="83"/>
      <c r="P219" s="83"/>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c r="C220" s="83"/>
      <c r="D220" s="83"/>
      <c r="E220" s="83"/>
      <c r="F220" s="83"/>
      <c r="G220" s="83"/>
      <c r="H220" s="83"/>
      <c r="I220" s="83"/>
      <c r="J220" s="83"/>
      <c r="K220" s="83"/>
      <c r="L220" s="83"/>
      <c r="M220" s="83"/>
      <c r="N220" s="83"/>
      <c r="O220" s="83"/>
      <c r="P220" s="83"/>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c r="C221" s="83"/>
      <c r="D221" s="83"/>
      <c r="E221" s="83"/>
      <c r="F221" s="83"/>
      <c r="G221" s="83"/>
      <c r="H221" s="83"/>
      <c r="I221" s="83"/>
      <c r="J221" s="83"/>
      <c r="K221" s="83"/>
      <c r="L221" s="83"/>
      <c r="M221" s="83"/>
      <c r="N221" s="83"/>
      <c r="O221" s="83"/>
      <c r="P221" s="83"/>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c r="C222" s="83"/>
      <c r="D222" s="83"/>
      <c r="E222" s="83"/>
      <c r="F222" s="83"/>
      <c r="G222" s="83"/>
      <c r="H222" s="83"/>
      <c r="I222" s="83"/>
      <c r="J222" s="83"/>
      <c r="K222" s="83"/>
      <c r="L222" s="83"/>
      <c r="M222" s="83"/>
      <c r="N222" s="83"/>
      <c r="O222" s="83"/>
      <c r="P222" s="83"/>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c r="C223" s="83"/>
      <c r="D223" s="83"/>
      <c r="E223" s="83"/>
      <c r="F223" s="83"/>
      <c r="G223" s="83"/>
      <c r="H223" s="83"/>
      <c r="I223" s="83"/>
      <c r="J223" s="83"/>
      <c r="K223" s="83"/>
      <c r="L223" s="83"/>
      <c r="M223" s="83"/>
      <c r="N223" s="83"/>
      <c r="O223" s="83"/>
      <c r="P223" s="83"/>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c r="C224" s="83"/>
      <c r="D224" s="83"/>
      <c r="E224" s="83"/>
      <c r="F224" s="83"/>
      <c r="G224" s="83"/>
      <c r="H224" s="83"/>
      <c r="I224" s="83"/>
      <c r="J224" s="83"/>
      <c r="K224" s="83"/>
      <c r="L224" s="83"/>
      <c r="M224" s="83"/>
      <c r="N224" s="83"/>
      <c r="O224" s="83"/>
      <c r="P224" s="83"/>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c r="C225" s="83"/>
      <c r="D225" s="83"/>
      <c r="E225" s="83"/>
      <c r="F225" s="83"/>
      <c r="G225" s="83"/>
      <c r="H225" s="83"/>
      <c r="I225" s="83"/>
      <c r="J225" s="83"/>
      <c r="K225" s="83"/>
      <c r="L225" s="83"/>
      <c r="M225" s="83"/>
      <c r="N225" s="83"/>
      <c r="O225" s="83"/>
      <c r="P225" s="83"/>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c r="C226" s="83"/>
      <c r="D226" s="83"/>
      <c r="E226" s="83"/>
      <c r="F226" s="83"/>
      <c r="G226" s="83"/>
      <c r="H226" s="83"/>
      <c r="I226" s="83"/>
      <c r="J226" s="83"/>
      <c r="K226" s="83"/>
      <c r="L226" s="83"/>
      <c r="M226" s="83"/>
      <c r="N226" s="83"/>
      <c r="O226" s="83"/>
      <c r="P226" s="83"/>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c r="C227" s="83"/>
      <c r="D227" s="83"/>
      <c r="E227" s="83"/>
      <c r="F227" s="83"/>
      <c r="G227" s="83"/>
      <c r="H227" s="83"/>
      <c r="I227" s="83"/>
      <c r="J227" s="83"/>
      <c r="K227" s="83"/>
      <c r="L227" s="83"/>
      <c r="M227" s="83"/>
      <c r="N227" s="83"/>
      <c r="O227" s="83"/>
      <c r="P227" s="83"/>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c r="C228" s="83"/>
      <c r="D228" s="83"/>
      <c r="E228" s="83"/>
      <c r="F228" s="83"/>
      <c r="G228" s="83"/>
      <c r="H228" s="83"/>
      <c r="I228" s="83"/>
      <c r="J228" s="83"/>
      <c r="K228" s="83"/>
      <c r="L228" s="83"/>
      <c r="M228" s="83"/>
      <c r="N228" s="83"/>
      <c r="O228" s="83"/>
      <c r="P228" s="83"/>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c r="C229" s="83"/>
      <c r="D229" s="83"/>
      <c r="E229" s="83"/>
      <c r="F229" s="83"/>
      <c r="G229" s="83"/>
      <c r="H229" s="83"/>
      <c r="I229" s="83"/>
      <c r="J229" s="83"/>
      <c r="K229" s="83"/>
      <c r="L229" s="83"/>
      <c r="M229" s="83"/>
      <c r="N229" s="83"/>
      <c r="O229" s="83"/>
      <c r="P229" s="83"/>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c r="C230" s="83"/>
      <c r="D230" s="83"/>
      <c r="E230" s="83"/>
      <c r="F230" s="83"/>
      <c r="G230" s="83"/>
      <c r="H230" s="83"/>
      <c r="I230" s="83"/>
      <c r="J230" s="83"/>
      <c r="K230" s="83"/>
      <c r="L230" s="83"/>
      <c r="M230" s="83"/>
      <c r="N230" s="83"/>
      <c r="O230" s="83"/>
      <c r="P230" s="83"/>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c r="C231" s="83"/>
      <c r="D231" s="83"/>
      <c r="E231" s="83"/>
      <c r="F231" s="83"/>
      <c r="G231" s="83"/>
      <c r="H231" s="83"/>
      <c r="I231" s="83"/>
      <c r="J231" s="83"/>
      <c r="K231" s="83"/>
      <c r="L231" s="83"/>
      <c r="M231" s="83"/>
      <c r="N231" s="83"/>
      <c r="O231" s="83"/>
      <c r="P231" s="83"/>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c r="C232" s="83"/>
      <c r="D232" s="83"/>
      <c r="E232" s="83"/>
      <c r="F232" s="83"/>
      <c r="G232" s="83"/>
      <c r="H232" s="83"/>
      <c r="I232" s="83"/>
      <c r="J232" s="83"/>
      <c r="K232" s="83"/>
      <c r="L232" s="83"/>
      <c r="M232" s="83"/>
      <c r="N232" s="83"/>
      <c r="O232" s="83"/>
      <c r="P232" s="83"/>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c r="C233" s="83"/>
      <c r="D233" s="83"/>
      <c r="E233" s="83"/>
      <c r="F233" s="83"/>
      <c r="G233" s="83"/>
      <c r="H233" s="83"/>
      <c r="I233" s="83"/>
      <c r="J233" s="83"/>
      <c r="K233" s="83"/>
      <c r="L233" s="83"/>
      <c r="M233" s="83"/>
      <c r="N233" s="83"/>
      <c r="O233" s="83"/>
      <c r="P233" s="83"/>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c r="C234" s="83"/>
      <c r="D234" s="83"/>
      <c r="E234" s="83"/>
      <c r="F234" s="83"/>
      <c r="G234" s="83"/>
      <c r="H234" s="83"/>
      <c r="I234" s="83"/>
      <c r="J234" s="83"/>
      <c r="K234" s="83"/>
      <c r="L234" s="83"/>
      <c r="M234" s="83"/>
      <c r="N234" s="83"/>
      <c r="O234" s="83"/>
      <c r="P234" s="83"/>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c r="C235" s="83"/>
      <c r="D235" s="83"/>
      <c r="E235" s="83"/>
      <c r="F235" s="83"/>
      <c r="G235" s="83"/>
      <c r="H235" s="83"/>
      <c r="I235" s="83"/>
      <c r="J235" s="83"/>
      <c r="K235" s="83"/>
      <c r="L235" s="83"/>
      <c r="M235" s="83"/>
      <c r="N235" s="83"/>
      <c r="O235" s="83"/>
      <c r="P235" s="83"/>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c r="C236" s="83"/>
      <c r="D236" s="83"/>
      <c r="E236" s="83"/>
      <c r="F236" s="83"/>
      <c r="G236" s="83"/>
      <c r="H236" s="83"/>
      <c r="I236" s="83"/>
      <c r="J236" s="83"/>
      <c r="K236" s="83"/>
      <c r="L236" s="83"/>
      <c r="M236" s="83"/>
      <c r="N236" s="83"/>
      <c r="O236" s="83"/>
      <c r="P236" s="83"/>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c r="C237" s="83"/>
      <c r="D237" s="83"/>
      <c r="E237" s="83"/>
      <c r="F237" s="83"/>
      <c r="G237" s="83"/>
      <c r="H237" s="83"/>
      <c r="I237" s="83"/>
      <c r="J237" s="83"/>
      <c r="K237" s="83"/>
      <c r="L237" s="83"/>
      <c r="M237" s="83"/>
      <c r="N237" s="83"/>
      <c r="O237" s="83"/>
      <c r="P237" s="83"/>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c r="C238" s="83"/>
      <c r="D238" s="83"/>
      <c r="E238" s="83"/>
      <c r="F238" s="83"/>
      <c r="G238" s="83"/>
      <c r="H238" s="83"/>
      <c r="I238" s="83"/>
      <c r="J238" s="83"/>
      <c r="K238" s="83"/>
      <c r="L238" s="83"/>
      <c r="M238" s="83"/>
      <c r="N238" s="83"/>
      <c r="O238" s="83"/>
      <c r="P238" s="83"/>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c r="C239" s="83"/>
      <c r="D239" s="83"/>
      <c r="E239" s="83"/>
      <c r="F239" s="83"/>
      <c r="G239" s="83"/>
      <c r="H239" s="83"/>
      <c r="I239" s="83"/>
      <c r="J239" s="83"/>
      <c r="K239" s="83"/>
      <c r="L239" s="83"/>
      <c r="M239" s="83"/>
      <c r="N239" s="83"/>
      <c r="O239" s="83"/>
      <c r="P239" s="83"/>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c r="C240" s="83"/>
      <c r="D240" s="83"/>
      <c r="E240" s="83"/>
      <c r="F240" s="83"/>
      <c r="G240" s="83"/>
      <c r="H240" s="83"/>
      <c r="I240" s="83"/>
      <c r="J240" s="83"/>
      <c r="K240" s="83"/>
      <c r="L240" s="83"/>
      <c r="M240" s="83"/>
      <c r="N240" s="83"/>
      <c r="O240" s="83"/>
      <c r="P240" s="83"/>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c r="C241" s="83"/>
      <c r="D241" s="83"/>
      <c r="E241" s="83"/>
      <c r="F241" s="83"/>
      <c r="G241" s="83"/>
      <c r="H241" s="83"/>
      <c r="I241" s="83"/>
      <c r="J241" s="83"/>
      <c r="K241" s="83"/>
      <c r="L241" s="83"/>
      <c r="M241" s="83"/>
      <c r="N241" s="83"/>
      <c r="O241" s="83"/>
      <c r="P241" s="83"/>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c r="C242" s="83"/>
      <c r="D242" s="83"/>
      <c r="E242" s="83"/>
      <c r="F242" s="83"/>
      <c r="G242" s="83"/>
      <c r="H242" s="83"/>
      <c r="I242" s="83"/>
      <c r="J242" s="83"/>
      <c r="K242" s="83"/>
      <c r="L242" s="83"/>
      <c r="M242" s="83"/>
      <c r="N242" s="83"/>
      <c r="O242" s="83"/>
      <c r="P242" s="83"/>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c r="C243" s="83"/>
      <c r="D243" s="83"/>
      <c r="E243" s="83"/>
      <c r="F243" s="83"/>
      <c r="G243" s="83"/>
      <c r="H243" s="83"/>
      <c r="I243" s="83"/>
      <c r="J243" s="83"/>
      <c r="K243" s="83"/>
      <c r="L243" s="83"/>
      <c r="M243" s="83"/>
      <c r="N243" s="83"/>
      <c r="O243" s="83"/>
      <c r="P243" s="83"/>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c r="C244" s="83"/>
      <c r="D244" s="83"/>
      <c r="E244" s="83"/>
      <c r="F244" s="83"/>
      <c r="G244" s="83"/>
      <c r="H244" s="83"/>
      <c r="I244" s="83"/>
      <c r="J244" s="83"/>
      <c r="K244" s="83"/>
      <c r="L244" s="83"/>
      <c r="M244" s="83"/>
      <c r="N244" s="83"/>
      <c r="O244" s="83"/>
      <c r="P244" s="83"/>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c r="C245" s="83"/>
      <c r="D245" s="83"/>
      <c r="E245" s="83"/>
      <c r="F245" s="83"/>
      <c r="G245" s="83"/>
      <c r="H245" s="83"/>
      <c r="I245" s="83"/>
      <c r="J245" s="83"/>
      <c r="K245" s="83"/>
      <c r="L245" s="83"/>
      <c r="M245" s="83"/>
      <c r="N245" s="83"/>
      <c r="O245" s="83"/>
      <c r="P245" s="83"/>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c r="C246" s="83"/>
      <c r="D246" s="83"/>
      <c r="E246" s="83"/>
      <c r="F246" s="83"/>
      <c r="G246" s="83"/>
      <c r="H246" s="83"/>
      <c r="I246" s="83"/>
      <c r="J246" s="83"/>
      <c r="K246" s="83"/>
      <c r="L246" s="83"/>
      <c r="M246" s="83"/>
      <c r="N246" s="83"/>
      <c r="O246" s="83"/>
      <c r="P246" s="83"/>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c r="C247" s="83"/>
      <c r="D247" s="83"/>
      <c r="E247" s="83"/>
      <c r="F247" s="83"/>
      <c r="G247" s="83"/>
      <c r="H247" s="83"/>
      <c r="I247" s="83"/>
      <c r="J247" s="83"/>
      <c r="K247" s="83"/>
      <c r="L247" s="83"/>
      <c r="M247" s="83"/>
      <c r="N247" s="83"/>
      <c r="O247" s="83"/>
      <c r="P247" s="83"/>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c r="C248" s="83"/>
      <c r="D248" s="83"/>
      <c r="E248" s="83"/>
      <c r="F248" s="83"/>
      <c r="G248" s="83"/>
      <c r="H248" s="83"/>
      <c r="I248" s="83"/>
      <c r="J248" s="83"/>
      <c r="K248" s="83"/>
      <c r="L248" s="83"/>
      <c r="M248" s="83"/>
      <c r="N248" s="83"/>
      <c r="O248" s="83"/>
      <c r="P248" s="83"/>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c r="C249" s="83"/>
      <c r="D249" s="83"/>
      <c r="E249" s="83"/>
      <c r="F249" s="83"/>
      <c r="G249" s="83"/>
      <c r="H249" s="83"/>
      <c r="I249" s="83"/>
      <c r="J249" s="83"/>
      <c r="K249" s="83"/>
      <c r="L249" s="83"/>
      <c r="M249" s="83"/>
      <c r="N249" s="83"/>
      <c r="O249" s="83"/>
      <c r="P249" s="83"/>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c r="C250" s="83"/>
      <c r="D250" s="83"/>
      <c r="E250" s="83"/>
      <c r="F250" s="83"/>
      <c r="G250" s="83"/>
      <c r="H250" s="83"/>
      <c r="I250" s="83"/>
      <c r="J250" s="83"/>
      <c r="K250" s="83"/>
      <c r="L250" s="83"/>
      <c r="M250" s="83"/>
      <c r="N250" s="83"/>
      <c r="O250" s="83"/>
      <c r="P250" s="83"/>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c r="C251" s="83"/>
      <c r="D251" s="83"/>
      <c r="E251" s="83"/>
      <c r="F251" s="83"/>
      <c r="G251" s="83"/>
      <c r="H251" s="83"/>
      <c r="I251" s="83"/>
      <c r="J251" s="83"/>
      <c r="K251" s="83"/>
      <c r="L251" s="83"/>
      <c r="M251" s="83"/>
      <c r="N251" s="83"/>
      <c r="O251" s="83"/>
      <c r="P251" s="83"/>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c r="C252" s="83"/>
      <c r="D252" s="83"/>
      <c r="E252" s="83"/>
      <c r="F252" s="83"/>
      <c r="G252" s="83"/>
      <c r="H252" s="83"/>
      <c r="I252" s="83"/>
      <c r="J252" s="83"/>
      <c r="K252" s="83"/>
      <c r="L252" s="83"/>
      <c r="M252" s="83"/>
      <c r="N252" s="83"/>
      <c r="O252" s="83"/>
      <c r="P252" s="83"/>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c r="C253" s="83"/>
      <c r="D253" s="83"/>
      <c r="E253" s="83"/>
      <c r="F253" s="83"/>
      <c r="G253" s="83"/>
      <c r="H253" s="83"/>
      <c r="I253" s="83"/>
      <c r="J253" s="83"/>
      <c r="K253" s="83"/>
      <c r="L253" s="83"/>
      <c r="M253" s="83"/>
      <c r="N253" s="83"/>
      <c r="O253" s="83"/>
      <c r="P253" s="83"/>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c r="C254" s="83"/>
      <c r="D254" s="83"/>
      <c r="E254" s="83"/>
      <c r="F254" s="83"/>
      <c r="G254" s="83"/>
      <c r="H254" s="83"/>
      <c r="I254" s="83"/>
      <c r="J254" s="83"/>
      <c r="K254" s="83"/>
      <c r="L254" s="83"/>
      <c r="M254" s="83"/>
      <c r="N254" s="83"/>
      <c r="O254" s="83"/>
      <c r="P254" s="83"/>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c r="C255" s="83"/>
      <c r="D255" s="83"/>
      <c r="E255" s="83"/>
      <c r="F255" s="83"/>
      <c r="G255" s="83"/>
      <c r="H255" s="83"/>
      <c r="I255" s="83"/>
      <c r="J255" s="83"/>
      <c r="K255" s="83"/>
      <c r="L255" s="83"/>
      <c r="M255" s="83"/>
      <c r="N255" s="83"/>
      <c r="O255" s="83"/>
      <c r="P255" s="83"/>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c r="C256" s="83"/>
      <c r="D256" s="83"/>
      <c r="E256" s="83"/>
      <c r="F256" s="83"/>
      <c r="G256" s="83"/>
      <c r="H256" s="83"/>
      <c r="I256" s="83"/>
      <c r="J256" s="83"/>
      <c r="K256" s="83"/>
      <c r="L256" s="83"/>
      <c r="M256" s="83"/>
      <c r="N256" s="83"/>
      <c r="O256" s="83"/>
      <c r="P256" s="83"/>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c r="C257" s="83"/>
      <c r="D257" s="83"/>
      <c r="E257" s="83"/>
      <c r="F257" s="83"/>
      <c r="G257" s="83"/>
      <c r="H257" s="83"/>
      <c r="I257" s="83"/>
      <c r="J257" s="83"/>
      <c r="K257" s="83"/>
      <c r="L257" s="83"/>
      <c r="M257" s="83"/>
      <c r="N257" s="83"/>
      <c r="O257" s="83"/>
      <c r="P257" s="83"/>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c r="C258" s="83"/>
      <c r="D258" s="83"/>
      <c r="E258" s="83"/>
      <c r="F258" s="83"/>
      <c r="G258" s="83"/>
      <c r="H258" s="83"/>
      <c r="I258" s="83"/>
      <c r="J258" s="83"/>
      <c r="K258" s="83"/>
      <c r="L258" s="83"/>
      <c r="M258" s="83"/>
      <c r="N258" s="83"/>
      <c r="O258" s="83"/>
      <c r="P258" s="83"/>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c r="C259" s="83"/>
      <c r="D259" s="83"/>
      <c r="E259" s="83"/>
      <c r="F259" s="83"/>
      <c r="G259" s="83"/>
      <c r="H259" s="83"/>
      <c r="I259" s="83"/>
      <c r="J259" s="83"/>
      <c r="K259" s="83"/>
      <c r="L259" s="83"/>
      <c r="M259" s="83"/>
      <c r="N259" s="83"/>
      <c r="O259" s="83"/>
      <c r="P259" s="83"/>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c r="C260" s="83"/>
      <c r="D260" s="83"/>
      <c r="E260" s="83"/>
      <c r="F260" s="83"/>
      <c r="G260" s="83"/>
      <c r="H260" s="83"/>
      <c r="I260" s="83"/>
      <c r="J260" s="83"/>
      <c r="K260" s="83"/>
      <c r="L260" s="83"/>
      <c r="M260" s="83"/>
      <c r="N260" s="83"/>
      <c r="O260" s="83"/>
      <c r="P260" s="83"/>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c r="C261" s="83"/>
      <c r="D261" s="83"/>
      <c r="E261" s="83"/>
      <c r="F261" s="83"/>
      <c r="G261" s="83"/>
      <c r="H261" s="83"/>
      <c r="I261" s="83"/>
      <c r="J261" s="83"/>
      <c r="K261" s="83"/>
      <c r="L261" s="83"/>
      <c r="M261" s="83"/>
      <c r="N261" s="83"/>
      <c r="O261" s="83"/>
      <c r="P261" s="83"/>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c r="C262" s="83"/>
      <c r="D262" s="83"/>
      <c r="E262" s="83"/>
      <c r="F262" s="83"/>
      <c r="G262" s="83"/>
      <c r="H262" s="83"/>
      <c r="I262" s="83"/>
      <c r="J262" s="83"/>
      <c r="K262" s="83"/>
      <c r="L262" s="83"/>
      <c r="M262" s="83"/>
      <c r="N262" s="83"/>
      <c r="O262" s="83"/>
      <c r="P262" s="83"/>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c r="C263" s="83"/>
      <c r="D263" s="83"/>
      <c r="E263" s="83"/>
      <c r="F263" s="83"/>
      <c r="G263" s="83"/>
      <c r="H263" s="83"/>
      <c r="I263" s="83"/>
      <c r="J263" s="83"/>
      <c r="K263" s="83"/>
      <c r="L263" s="83"/>
      <c r="M263" s="83"/>
      <c r="N263" s="83"/>
      <c r="O263" s="83"/>
      <c r="P263" s="83"/>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c r="C264" s="83"/>
      <c r="D264" s="83"/>
      <c r="E264" s="83"/>
      <c r="F264" s="83"/>
      <c r="G264" s="83"/>
      <c r="H264" s="83"/>
      <c r="I264" s="83"/>
      <c r="J264" s="83"/>
      <c r="K264" s="83"/>
      <c r="L264" s="83"/>
      <c r="M264" s="83"/>
      <c r="N264" s="83"/>
      <c r="O264" s="83"/>
      <c r="P264" s="83"/>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c r="C265" s="83"/>
      <c r="D265" s="83"/>
      <c r="E265" s="83"/>
      <c r="F265" s="83"/>
      <c r="G265" s="83"/>
      <c r="H265" s="83"/>
      <c r="I265" s="83"/>
      <c r="J265" s="83"/>
      <c r="K265" s="83"/>
      <c r="L265" s="83"/>
      <c r="M265" s="83"/>
      <c r="N265" s="83"/>
      <c r="O265" s="83"/>
      <c r="P265" s="83"/>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c r="C266" s="83"/>
      <c r="D266" s="83"/>
      <c r="E266" s="83"/>
      <c r="F266" s="83"/>
      <c r="G266" s="83"/>
      <c r="H266" s="83"/>
      <c r="I266" s="83"/>
      <c r="J266" s="83"/>
      <c r="K266" s="83"/>
      <c r="L266" s="83"/>
      <c r="M266" s="83"/>
      <c r="N266" s="83"/>
      <c r="O266" s="83"/>
      <c r="P266" s="83"/>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c r="C267" s="83"/>
      <c r="D267" s="83"/>
      <c r="E267" s="83"/>
      <c r="F267" s="83"/>
      <c r="G267" s="83"/>
      <c r="H267" s="83"/>
      <c r="I267" s="83"/>
      <c r="J267" s="83"/>
      <c r="K267" s="83"/>
      <c r="L267" s="83"/>
      <c r="M267" s="83"/>
      <c r="N267" s="83"/>
      <c r="O267" s="83"/>
      <c r="P267" s="83"/>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c r="C268" s="83"/>
      <c r="D268" s="83"/>
      <c r="E268" s="83"/>
      <c r="F268" s="83"/>
      <c r="G268" s="83"/>
      <c r="H268" s="83"/>
      <c r="I268" s="83"/>
      <c r="J268" s="83"/>
      <c r="K268" s="83"/>
      <c r="L268" s="83"/>
      <c r="M268" s="83"/>
      <c r="N268" s="83"/>
      <c r="O268" s="83"/>
      <c r="P268" s="83"/>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c r="C269" s="83"/>
      <c r="D269" s="83"/>
      <c r="E269" s="83"/>
      <c r="F269" s="83"/>
      <c r="G269" s="83"/>
      <c r="H269" s="83"/>
      <c r="I269" s="83"/>
      <c r="J269" s="83"/>
      <c r="K269" s="83"/>
      <c r="L269" s="83"/>
      <c r="M269" s="83"/>
      <c r="N269" s="83"/>
      <c r="O269" s="83"/>
      <c r="P269" s="83"/>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c r="C270" s="83"/>
      <c r="D270" s="83"/>
      <c r="E270" s="83"/>
      <c r="F270" s="83"/>
      <c r="G270" s="83"/>
      <c r="H270" s="83"/>
      <c r="I270" s="83"/>
      <c r="J270" s="83"/>
      <c r="K270" s="83"/>
      <c r="L270" s="83"/>
      <c r="M270" s="83"/>
      <c r="N270" s="83"/>
      <c r="O270" s="83"/>
      <c r="P270" s="83"/>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c r="C271" s="83"/>
      <c r="D271" s="83"/>
      <c r="E271" s="83"/>
      <c r="F271" s="83"/>
      <c r="G271" s="83"/>
      <c r="H271" s="83"/>
      <c r="I271" s="83"/>
      <c r="J271" s="83"/>
      <c r="K271" s="83"/>
      <c r="L271" s="83"/>
      <c r="M271" s="83"/>
      <c r="N271" s="83"/>
      <c r="O271" s="83"/>
      <c r="P271" s="83"/>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c r="C272" s="83"/>
      <c r="D272" s="83"/>
      <c r="E272" s="83"/>
      <c r="F272" s="83"/>
      <c r="G272" s="83"/>
      <c r="H272" s="83"/>
      <c r="I272" s="83"/>
      <c r="J272" s="83"/>
      <c r="K272" s="83"/>
      <c r="L272" s="83"/>
      <c r="M272" s="83"/>
      <c r="N272" s="83"/>
      <c r="O272" s="83"/>
      <c r="P272" s="83"/>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c r="C273" s="83"/>
      <c r="D273" s="83"/>
      <c r="E273" s="83"/>
      <c r="F273" s="83"/>
      <c r="G273" s="83"/>
      <c r="H273" s="83"/>
      <c r="I273" s="83"/>
      <c r="J273" s="83"/>
      <c r="K273" s="83"/>
      <c r="L273" s="83"/>
      <c r="M273" s="83"/>
      <c r="N273" s="83"/>
      <c r="O273" s="83"/>
      <c r="P273" s="83"/>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c r="C274" s="83"/>
      <c r="D274" s="83"/>
      <c r="E274" s="83"/>
      <c r="F274" s="83"/>
      <c r="G274" s="83"/>
      <c r="H274" s="83"/>
      <c r="I274" s="83"/>
      <c r="J274" s="83"/>
      <c r="K274" s="83"/>
      <c r="L274" s="83"/>
      <c r="M274" s="83"/>
      <c r="N274" s="83"/>
      <c r="O274" s="83"/>
      <c r="P274" s="83"/>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c r="C275" s="83"/>
      <c r="D275" s="83"/>
      <c r="E275" s="83"/>
      <c r="F275" s="83"/>
      <c r="G275" s="83"/>
      <c r="H275" s="83"/>
      <c r="I275" s="83"/>
      <c r="J275" s="83"/>
      <c r="K275" s="83"/>
      <c r="L275" s="83"/>
      <c r="M275" s="83"/>
      <c r="N275" s="83"/>
      <c r="O275" s="83"/>
      <c r="P275" s="83"/>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c r="C276" s="83"/>
      <c r="D276" s="83"/>
      <c r="E276" s="83"/>
      <c r="F276" s="83"/>
      <c r="G276" s="83"/>
      <c r="H276" s="83"/>
      <c r="I276" s="83"/>
      <c r="J276" s="83"/>
      <c r="K276" s="83"/>
      <c r="L276" s="83"/>
      <c r="M276" s="83"/>
      <c r="N276" s="83"/>
      <c r="O276" s="83"/>
      <c r="P276" s="83"/>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c r="C277" s="83"/>
      <c r="D277" s="83"/>
      <c r="E277" s="83"/>
      <c r="F277" s="83"/>
      <c r="G277" s="83"/>
      <c r="H277" s="83"/>
      <c r="I277" s="83"/>
      <c r="J277" s="83"/>
      <c r="K277" s="83"/>
      <c r="L277" s="83"/>
      <c r="M277" s="83"/>
      <c r="N277" s="83"/>
      <c r="O277" s="83"/>
      <c r="P277" s="83"/>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c r="C278" s="83"/>
      <c r="D278" s="83"/>
      <c r="E278" s="83"/>
      <c r="F278" s="83"/>
      <c r="G278" s="83"/>
      <c r="H278" s="83"/>
      <c r="I278" s="83"/>
      <c r="J278" s="83"/>
      <c r="K278" s="83"/>
      <c r="L278" s="83"/>
      <c r="M278" s="83"/>
      <c r="N278" s="83"/>
      <c r="O278" s="83"/>
      <c r="P278" s="83"/>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c r="C279" s="83"/>
      <c r="D279" s="83"/>
      <c r="E279" s="83"/>
      <c r="F279" s="83"/>
      <c r="G279" s="83"/>
      <c r="H279" s="83"/>
      <c r="I279" s="83"/>
      <c r="J279" s="83"/>
      <c r="K279" s="83"/>
      <c r="L279" s="83"/>
      <c r="M279" s="83"/>
      <c r="N279" s="83"/>
      <c r="O279" s="83"/>
      <c r="P279" s="83"/>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c r="C280" s="83"/>
      <c r="D280" s="83"/>
      <c r="E280" s="83"/>
      <c r="F280" s="83"/>
      <c r="G280" s="83"/>
      <c r="H280" s="83"/>
      <c r="I280" s="83"/>
      <c r="J280" s="83"/>
      <c r="K280" s="83"/>
      <c r="L280" s="83"/>
      <c r="M280" s="83"/>
      <c r="N280" s="83"/>
      <c r="O280" s="83"/>
      <c r="P280" s="83"/>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c r="C281" s="83"/>
      <c r="D281" s="83"/>
      <c r="E281" s="83"/>
      <c r="F281" s="83"/>
      <c r="G281" s="83"/>
      <c r="H281" s="83"/>
      <c r="I281" s="83"/>
      <c r="J281" s="83"/>
      <c r="K281" s="83"/>
      <c r="L281" s="83"/>
      <c r="M281" s="83"/>
      <c r="N281" s="83"/>
      <c r="O281" s="83"/>
      <c r="P281" s="83"/>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c r="C282" s="83"/>
      <c r="D282" s="83"/>
      <c r="E282" s="83"/>
      <c r="F282" s="83"/>
      <c r="G282" s="83"/>
      <c r="H282" s="83"/>
      <c r="I282" s="83"/>
      <c r="J282" s="83"/>
      <c r="K282" s="83"/>
      <c r="L282" s="83"/>
      <c r="M282" s="83"/>
      <c r="N282" s="83"/>
      <c r="O282" s="83"/>
      <c r="P282" s="83"/>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c r="C283" s="83"/>
      <c r="D283" s="83"/>
      <c r="E283" s="83"/>
      <c r="F283" s="83"/>
      <c r="G283" s="83"/>
      <c r="H283" s="83"/>
      <c r="I283" s="83"/>
      <c r="J283" s="83"/>
      <c r="K283" s="83"/>
      <c r="L283" s="83"/>
      <c r="M283" s="83"/>
      <c r="N283" s="83"/>
      <c r="O283" s="83"/>
      <c r="P283" s="83"/>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c r="C284" s="83"/>
      <c r="D284" s="83"/>
      <c r="E284" s="83"/>
      <c r="F284" s="83"/>
      <c r="G284" s="83"/>
      <c r="H284" s="83"/>
      <c r="I284" s="83"/>
      <c r="J284" s="83"/>
      <c r="K284" s="83"/>
      <c r="L284" s="83"/>
      <c r="M284" s="83"/>
      <c r="N284" s="83"/>
      <c r="O284" s="83"/>
      <c r="P284" s="83"/>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c r="C285" s="83"/>
      <c r="D285" s="83"/>
      <c r="E285" s="83"/>
      <c r="F285" s="83"/>
      <c r="G285" s="83"/>
      <c r="H285" s="83"/>
      <c r="I285" s="83"/>
      <c r="J285" s="83"/>
      <c r="K285" s="83"/>
      <c r="L285" s="83"/>
      <c r="M285" s="83"/>
      <c r="N285" s="83"/>
      <c r="O285" s="83"/>
      <c r="P285" s="83"/>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c r="C286" s="83"/>
      <c r="D286" s="83"/>
      <c r="E286" s="83"/>
      <c r="F286" s="83"/>
      <c r="G286" s="83"/>
      <c r="H286" s="83"/>
      <c r="I286" s="83"/>
      <c r="J286" s="83"/>
      <c r="K286" s="83"/>
      <c r="L286" s="83"/>
      <c r="M286" s="83"/>
      <c r="N286" s="83"/>
      <c r="O286" s="83"/>
      <c r="P286" s="83"/>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c r="C287" s="83"/>
      <c r="D287" s="83"/>
      <c r="E287" s="83"/>
      <c r="F287" s="83"/>
      <c r="G287" s="83"/>
      <c r="H287" s="83"/>
      <c r="I287" s="83"/>
      <c r="J287" s="83"/>
      <c r="K287" s="83"/>
      <c r="L287" s="83"/>
      <c r="M287" s="83"/>
      <c r="N287" s="83"/>
      <c r="O287" s="83"/>
      <c r="P287" s="83"/>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c r="C288" s="83"/>
      <c r="D288" s="83"/>
      <c r="E288" s="83"/>
      <c r="F288" s="83"/>
      <c r="G288" s="83"/>
      <c r="H288" s="83"/>
      <c r="I288" s="83"/>
      <c r="J288" s="83"/>
      <c r="K288" s="83"/>
      <c r="L288" s="83"/>
      <c r="M288" s="83"/>
      <c r="N288" s="83"/>
      <c r="O288" s="83"/>
      <c r="P288" s="83"/>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c r="C289" s="83"/>
      <c r="D289" s="83"/>
      <c r="E289" s="83"/>
      <c r="F289" s="83"/>
      <c r="G289" s="83"/>
      <c r="H289" s="83"/>
      <c r="I289" s="83"/>
      <c r="J289" s="83"/>
      <c r="K289" s="83"/>
      <c r="L289" s="83"/>
      <c r="M289" s="83"/>
      <c r="N289" s="83"/>
      <c r="O289" s="83"/>
      <c r="P289" s="83"/>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c r="C290" s="83"/>
      <c r="D290" s="83"/>
      <c r="E290" s="83"/>
      <c r="F290" s="83"/>
      <c r="G290" s="83"/>
      <c r="H290" s="83"/>
      <c r="I290" s="83"/>
      <c r="J290" s="83"/>
      <c r="K290" s="83"/>
      <c r="L290" s="83"/>
      <c r="M290" s="83"/>
      <c r="N290" s="83"/>
      <c r="O290" s="83"/>
      <c r="P290" s="83"/>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c r="C291" s="83"/>
      <c r="D291" s="83"/>
      <c r="E291" s="83"/>
      <c r="F291" s="83"/>
      <c r="G291" s="83"/>
      <c r="H291" s="83"/>
      <c r="I291" s="83"/>
      <c r="J291" s="83"/>
      <c r="K291" s="83"/>
      <c r="L291" s="83"/>
      <c r="M291" s="83"/>
      <c r="N291" s="83"/>
      <c r="O291" s="83"/>
      <c r="P291" s="83"/>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c r="C292" s="83"/>
      <c r="D292" s="83"/>
      <c r="E292" s="83"/>
      <c r="F292" s="83"/>
      <c r="G292" s="83"/>
      <c r="H292" s="83"/>
      <c r="I292" s="83"/>
      <c r="J292" s="83"/>
      <c r="K292" s="83"/>
      <c r="L292" s="83"/>
      <c r="M292" s="83"/>
      <c r="N292" s="83"/>
      <c r="O292" s="83"/>
      <c r="P292" s="83"/>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c r="C293" s="83"/>
      <c r="D293" s="83"/>
      <c r="E293" s="83"/>
      <c r="F293" s="83"/>
      <c r="G293" s="83"/>
      <c r="H293" s="83"/>
      <c r="I293" s="83"/>
      <c r="J293" s="83"/>
      <c r="K293" s="83"/>
      <c r="L293" s="83"/>
      <c r="M293" s="83"/>
      <c r="N293" s="83"/>
      <c r="O293" s="83"/>
      <c r="P293" s="83"/>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c r="C294" s="83"/>
      <c r="D294" s="83"/>
      <c r="E294" s="83"/>
      <c r="F294" s="83"/>
      <c r="G294" s="83"/>
      <c r="H294" s="83"/>
      <c r="I294" s="83"/>
      <c r="J294" s="83"/>
      <c r="K294" s="83"/>
      <c r="L294" s="83"/>
      <c r="M294" s="83"/>
      <c r="N294" s="83"/>
      <c r="O294" s="83"/>
      <c r="P294" s="83"/>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c r="C295" s="83"/>
      <c r="D295" s="83"/>
      <c r="E295" s="83"/>
      <c r="F295" s="83"/>
      <c r="G295" s="83"/>
      <c r="H295" s="83"/>
      <c r="I295" s="83"/>
      <c r="J295" s="83"/>
      <c r="K295" s="83"/>
      <c r="L295" s="83"/>
      <c r="M295" s="83"/>
      <c r="N295" s="83"/>
      <c r="O295" s="83"/>
      <c r="P295" s="83"/>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c r="C296" s="83"/>
      <c r="D296" s="83"/>
      <c r="E296" s="83"/>
      <c r="F296" s="83"/>
      <c r="G296" s="83"/>
      <c r="H296" s="83"/>
      <c r="I296" s="83"/>
      <c r="J296" s="83"/>
      <c r="K296" s="83"/>
      <c r="L296" s="83"/>
      <c r="M296" s="83"/>
      <c r="N296" s="83"/>
      <c r="O296" s="83"/>
      <c r="P296" s="83"/>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c r="C297" s="83"/>
      <c r="D297" s="83"/>
      <c r="E297" s="83"/>
      <c r="F297" s="83"/>
      <c r="G297" s="83"/>
      <c r="H297" s="83"/>
      <c r="I297" s="83"/>
      <c r="J297" s="83"/>
      <c r="K297" s="83"/>
      <c r="L297" s="83"/>
      <c r="M297" s="83"/>
      <c r="N297" s="83"/>
      <c r="O297" s="83"/>
      <c r="P297" s="83"/>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c r="C298" s="83"/>
      <c r="D298" s="83"/>
      <c r="E298" s="83"/>
      <c r="F298" s="83"/>
      <c r="G298" s="83"/>
      <c r="H298" s="83"/>
      <c r="I298" s="83"/>
      <c r="J298" s="83"/>
      <c r="K298" s="83"/>
      <c r="L298" s="83"/>
      <c r="M298" s="83"/>
      <c r="N298" s="83"/>
      <c r="O298" s="83"/>
      <c r="P298" s="83"/>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c r="C299" s="83"/>
      <c r="D299" s="83"/>
      <c r="E299" s="83"/>
      <c r="F299" s="83"/>
      <c r="G299" s="83"/>
      <c r="H299" s="83"/>
      <c r="I299" s="83"/>
      <c r="J299" s="83"/>
      <c r="K299" s="83"/>
      <c r="L299" s="83"/>
      <c r="M299" s="83"/>
      <c r="N299" s="83"/>
      <c r="O299" s="83"/>
      <c r="P299" s="83"/>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c r="C300" s="83"/>
      <c r="D300" s="83"/>
      <c r="E300" s="83"/>
      <c r="F300" s="83"/>
      <c r="G300" s="83"/>
      <c r="H300" s="83"/>
      <c r="I300" s="83"/>
      <c r="J300" s="83"/>
      <c r="K300" s="83"/>
      <c r="L300" s="83"/>
      <c r="M300" s="83"/>
      <c r="N300" s="83"/>
      <c r="O300" s="83"/>
      <c r="P300" s="83"/>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c r="C301" s="83"/>
      <c r="D301" s="83"/>
      <c r="E301" s="83"/>
      <c r="F301" s="83"/>
      <c r="G301" s="83"/>
      <c r="H301" s="83"/>
      <c r="I301" s="83"/>
      <c r="J301" s="83"/>
      <c r="K301" s="83"/>
      <c r="L301" s="83"/>
      <c r="M301" s="83"/>
      <c r="N301" s="83"/>
      <c r="O301" s="83"/>
      <c r="P301" s="83"/>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c r="C302" s="83"/>
      <c r="D302" s="83"/>
      <c r="E302" s="83"/>
      <c r="F302" s="83"/>
      <c r="G302" s="83"/>
      <c r="H302" s="83"/>
      <c r="I302" s="83"/>
      <c r="J302" s="83"/>
      <c r="K302" s="83"/>
      <c r="L302" s="83"/>
      <c r="M302" s="83"/>
      <c r="N302" s="83"/>
      <c r="O302" s="83"/>
      <c r="P302" s="83"/>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c r="C303" s="83"/>
      <c r="D303" s="83"/>
      <c r="E303" s="83"/>
      <c r="F303" s="83"/>
      <c r="G303" s="83"/>
      <c r="H303" s="83"/>
      <c r="I303" s="83"/>
      <c r="J303" s="83"/>
      <c r="K303" s="83"/>
      <c r="L303" s="83"/>
      <c r="M303" s="83"/>
      <c r="N303" s="83"/>
      <c r="O303" s="83"/>
      <c r="P303" s="83"/>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c r="C304" s="83"/>
      <c r="D304" s="83"/>
      <c r="E304" s="83"/>
      <c r="F304" s="83"/>
      <c r="G304" s="83"/>
      <c r="H304" s="83"/>
      <c r="I304" s="83"/>
      <c r="J304" s="83"/>
      <c r="K304" s="83"/>
      <c r="L304" s="83"/>
      <c r="M304" s="83"/>
      <c r="N304" s="83"/>
      <c r="O304" s="83"/>
      <c r="P304" s="83"/>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c r="C305" s="83"/>
      <c r="D305" s="83"/>
      <c r="E305" s="83"/>
      <c r="F305" s="83"/>
      <c r="G305" s="83"/>
      <c r="H305" s="83"/>
      <c r="I305" s="83"/>
      <c r="J305" s="83"/>
      <c r="K305" s="83"/>
      <c r="L305" s="83"/>
      <c r="M305" s="83"/>
      <c r="N305" s="83"/>
      <c r="O305" s="83"/>
      <c r="P305" s="83"/>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c r="C306" s="83"/>
      <c r="D306" s="83"/>
      <c r="E306" s="83"/>
      <c r="F306" s="83"/>
      <c r="G306" s="83"/>
      <c r="H306" s="83"/>
      <c r="I306" s="83"/>
      <c r="J306" s="83"/>
      <c r="K306" s="83"/>
      <c r="L306" s="83"/>
      <c r="M306" s="83"/>
      <c r="N306" s="83"/>
      <c r="O306" s="83"/>
      <c r="P306" s="83"/>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c r="C307" s="83"/>
      <c r="D307" s="83"/>
      <c r="E307" s="83"/>
      <c r="F307" s="83"/>
      <c r="G307" s="83"/>
      <c r="H307" s="83"/>
      <c r="I307" s="83"/>
      <c r="J307" s="83"/>
      <c r="K307" s="83"/>
      <c r="L307" s="83"/>
      <c r="M307" s="83"/>
      <c r="N307" s="83"/>
      <c r="O307" s="83"/>
      <c r="P307" s="83"/>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c r="C308" s="83"/>
      <c r="D308" s="83"/>
      <c r="E308" s="83"/>
      <c r="F308" s="83"/>
      <c r="G308" s="83"/>
      <c r="H308" s="83"/>
      <c r="I308" s="83"/>
      <c r="J308" s="83"/>
      <c r="K308" s="83"/>
      <c r="L308" s="83"/>
      <c r="M308" s="83"/>
      <c r="N308" s="83"/>
      <c r="O308" s="83"/>
      <c r="P308" s="83"/>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c r="C309" s="83"/>
      <c r="D309" s="83"/>
      <c r="E309" s="83"/>
      <c r="F309" s="83"/>
      <c r="G309" s="83"/>
      <c r="H309" s="83"/>
      <c r="I309" s="83"/>
      <c r="J309" s="83"/>
      <c r="K309" s="83"/>
      <c r="L309" s="83"/>
      <c r="M309" s="83"/>
      <c r="N309" s="83"/>
      <c r="O309" s="83"/>
      <c r="P309" s="83"/>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c r="C310" s="83"/>
      <c r="D310" s="83"/>
      <c r="E310" s="83"/>
      <c r="F310" s="83"/>
      <c r="G310" s="83"/>
      <c r="H310" s="83"/>
      <c r="I310" s="83"/>
      <c r="J310" s="83"/>
      <c r="K310" s="83"/>
      <c r="L310" s="83"/>
      <c r="M310" s="83"/>
      <c r="N310" s="83"/>
      <c r="O310" s="83"/>
      <c r="P310" s="83"/>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c r="C311" s="83"/>
      <c r="D311" s="83"/>
      <c r="E311" s="83"/>
      <c r="F311" s="83"/>
      <c r="G311" s="83"/>
      <c r="H311" s="83"/>
      <c r="I311" s="83"/>
      <c r="J311" s="83"/>
      <c r="K311" s="83"/>
      <c r="L311" s="83"/>
      <c r="M311" s="83"/>
      <c r="N311" s="83"/>
      <c r="O311" s="83"/>
      <c r="P311" s="83"/>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c r="C312" s="83"/>
      <c r="D312" s="83"/>
      <c r="E312" s="83"/>
      <c r="F312" s="83"/>
      <c r="G312" s="83"/>
      <c r="H312" s="83"/>
      <c r="I312" s="83"/>
      <c r="J312" s="83"/>
      <c r="K312" s="83"/>
      <c r="L312" s="83"/>
      <c r="M312" s="83"/>
      <c r="N312" s="83"/>
      <c r="O312" s="83"/>
      <c r="P312" s="83"/>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c r="C313" s="83"/>
      <c r="D313" s="83"/>
      <c r="E313" s="83"/>
      <c r="F313" s="83"/>
      <c r="G313" s="83"/>
      <c r="H313" s="83"/>
      <c r="I313" s="83"/>
      <c r="J313" s="83"/>
      <c r="K313" s="83"/>
      <c r="L313" s="83"/>
      <c r="M313" s="83"/>
      <c r="N313" s="83"/>
      <c r="O313" s="83"/>
      <c r="P313" s="83"/>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c r="C314" s="83"/>
      <c r="D314" s="83"/>
      <c r="E314" s="83"/>
      <c r="F314" s="83"/>
      <c r="G314" s="83"/>
      <c r="H314" s="83"/>
      <c r="I314" s="83"/>
      <c r="J314" s="83"/>
      <c r="K314" s="83"/>
      <c r="L314" s="83"/>
      <c r="M314" s="83"/>
      <c r="N314" s="83"/>
      <c r="O314" s="83"/>
      <c r="P314" s="83"/>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c r="C315" s="83"/>
      <c r="D315" s="83"/>
      <c r="E315" s="83"/>
      <c r="F315" s="83"/>
      <c r="G315" s="83"/>
      <c r="H315" s="83"/>
      <c r="I315" s="83"/>
      <c r="J315" s="83"/>
      <c r="K315" s="83"/>
      <c r="L315" s="83"/>
      <c r="M315" s="83"/>
      <c r="N315" s="83"/>
      <c r="O315" s="83"/>
      <c r="P315" s="83"/>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c r="C316" s="83"/>
      <c r="D316" s="83"/>
      <c r="E316" s="83"/>
      <c r="F316" s="83"/>
      <c r="G316" s="83"/>
      <c r="H316" s="83"/>
      <c r="I316" s="83"/>
      <c r="J316" s="83"/>
      <c r="K316" s="83"/>
      <c r="L316" s="83"/>
      <c r="M316" s="83"/>
      <c r="N316" s="83"/>
      <c r="O316" s="83"/>
      <c r="P316" s="83"/>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c r="C317" s="83"/>
      <c r="D317" s="83"/>
      <c r="E317" s="83"/>
      <c r="F317" s="83"/>
      <c r="G317" s="83"/>
      <c r="H317" s="83"/>
      <c r="I317" s="83"/>
      <c r="J317" s="83"/>
      <c r="K317" s="83"/>
      <c r="L317" s="83"/>
      <c r="M317" s="83"/>
      <c r="N317" s="83"/>
      <c r="O317" s="83"/>
      <c r="P317" s="83"/>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c r="C318" s="83"/>
      <c r="D318" s="83"/>
      <c r="E318" s="83"/>
      <c r="F318" s="83"/>
      <c r="G318" s="83"/>
      <c r="H318" s="83"/>
      <c r="I318" s="83"/>
      <c r="J318" s="83"/>
      <c r="K318" s="83"/>
      <c r="L318" s="83"/>
      <c r="M318" s="83"/>
      <c r="N318" s="83"/>
      <c r="O318" s="83"/>
      <c r="P318" s="83"/>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c r="C319" s="83"/>
      <c r="D319" s="83"/>
      <c r="E319" s="83"/>
      <c r="F319" s="83"/>
      <c r="G319" s="83"/>
      <c r="H319" s="83"/>
      <c r="I319" s="83"/>
      <c r="J319" s="83"/>
      <c r="K319" s="83"/>
      <c r="L319" s="83"/>
      <c r="M319" s="83"/>
      <c r="N319" s="83"/>
      <c r="O319" s="83"/>
      <c r="P319" s="83"/>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c r="C320" s="83"/>
      <c r="D320" s="83"/>
      <c r="E320" s="83"/>
      <c r="F320" s="83"/>
      <c r="G320" s="83"/>
      <c r="H320" s="83"/>
      <c r="I320" s="83"/>
      <c r="J320" s="83"/>
      <c r="K320" s="83"/>
      <c r="L320" s="83"/>
      <c r="M320" s="83"/>
      <c r="N320" s="83"/>
      <c r="O320" s="83"/>
      <c r="P320" s="83"/>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c r="C321" s="83"/>
      <c r="D321" s="83"/>
      <c r="E321" s="83"/>
      <c r="F321" s="83"/>
      <c r="G321" s="83"/>
      <c r="H321" s="83"/>
      <c r="I321" s="83"/>
      <c r="J321" s="83"/>
      <c r="K321" s="83"/>
      <c r="L321" s="83"/>
      <c r="M321" s="83"/>
      <c r="N321" s="83"/>
      <c r="O321" s="83"/>
      <c r="P321" s="83"/>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c r="C322" s="83"/>
      <c r="D322" s="83"/>
      <c r="E322" s="83"/>
      <c r="F322" s="83"/>
      <c r="G322" s="83"/>
      <c r="H322" s="83"/>
      <c r="I322" s="83"/>
      <c r="J322" s="83"/>
      <c r="K322" s="83"/>
      <c r="L322" s="83"/>
      <c r="M322" s="83"/>
      <c r="N322" s="83"/>
      <c r="O322" s="83"/>
      <c r="P322" s="83"/>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c r="C323" s="83"/>
      <c r="D323" s="83"/>
      <c r="E323" s="83"/>
      <c r="F323" s="83"/>
      <c r="G323" s="83"/>
      <c r="H323" s="83"/>
      <c r="I323" s="83"/>
      <c r="J323" s="83"/>
      <c r="K323" s="83"/>
      <c r="L323" s="83"/>
      <c r="M323" s="83"/>
      <c r="N323" s="83"/>
      <c r="O323" s="83"/>
      <c r="P323" s="83"/>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c r="C324" s="83"/>
      <c r="D324" s="83"/>
      <c r="E324" s="83"/>
      <c r="F324" s="83"/>
      <c r="G324" s="83"/>
      <c r="H324" s="83"/>
      <c r="I324" s="83"/>
      <c r="J324" s="83"/>
      <c r="K324" s="83"/>
      <c r="L324" s="83"/>
      <c r="M324" s="83"/>
      <c r="N324" s="83"/>
      <c r="O324" s="83"/>
      <c r="P324" s="83"/>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c r="C325" s="83"/>
      <c r="D325" s="83"/>
      <c r="E325" s="83"/>
      <c r="F325" s="83"/>
      <c r="G325" s="83"/>
      <c r="H325" s="83"/>
      <c r="I325" s="83"/>
      <c r="J325" s="83"/>
      <c r="K325" s="83"/>
      <c r="L325" s="83"/>
      <c r="M325" s="83"/>
      <c r="N325" s="83"/>
      <c r="O325" s="83"/>
      <c r="P325" s="83"/>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c r="C326" s="83"/>
      <c r="D326" s="83"/>
      <c r="E326" s="83"/>
      <c r="F326" s="83"/>
      <c r="G326" s="83"/>
      <c r="H326" s="83"/>
      <c r="I326" s="83"/>
      <c r="J326" s="83"/>
      <c r="K326" s="83"/>
      <c r="L326" s="83"/>
      <c r="M326" s="83"/>
      <c r="N326" s="83"/>
      <c r="O326" s="83"/>
      <c r="P326" s="83"/>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c r="C327" s="83"/>
      <c r="D327" s="83"/>
      <c r="E327" s="83"/>
      <c r="F327" s="83"/>
      <c r="G327" s="83"/>
      <c r="H327" s="83"/>
      <c r="I327" s="83"/>
      <c r="J327" s="83"/>
      <c r="K327" s="83"/>
      <c r="L327" s="83"/>
      <c r="M327" s="83"/>
      <c r="N327" s="83"/>
      <c r="O327" s="83"/>
      <c r="P327" s="83"/>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c r="C328" s="83"/>
      <c r="D328" s="83"/>
      <c r="E328" s="83"/>
      <c r="F328" s="83"/>
      <c r="G328" s="83"/>
      <c r="H328" s="83"/>
      <c r="I328" s="83"/>
      <c r="J328" s="83"/>
      <c r="K328" s="83"/>
      <c r="L328" s="83"/>
      <c r="M328" s="83"/>
      <c r="N328" s="83"/>
      <c r="O328" s="83"/>
      <c r="P328" s="83"/>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c r="C329" s="83"/>
      <c r="D329" s="83"/>
      <c r="E329" s="83"/>
      <c r="F329" s="83"/>
      <c r="G329" s="83"/>
      <c r="H329" s="83"/>
      <c r="I329" s="83"/>
      <c r="J329" s="83"/>
      <c r="K329" s="83"/>
      <c r="L329" s="83"/>
      <c r="M329" s="83"/>
      <c r="N329" s="83"/>
      <c r="O329" s="83"/>
      <c r="P329" s="83"/>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c r="C330" s="83"/>
      <c r="D330" s="83"/>
      <c r="E330" s="83"/>
      <c r="F330" s="83"/>
      <c r="G330" s="83"/>
      <c r="H330" s="83"/>
      <c r="I330" s="83"/>
      <c r="J330" s="83"/>
      <c r="K330" s="83"/>
      <c r="L330" s="83"/>
      <c r="M330" s="83"/>
      <c r="N330" s="83"/>
      <c r="O330" s="83"/>
      <c r="P330" s="83"/>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c r="C331" s="83"/>
      <c r="D331" s="83"/>
      <c r="E331" s="83"/>
      <c r="F331" s="83"/>
      <c r="G331" s="83"/>
      <c r="H331" s="83"/>
      <c r="I331" s="83"/>
      <c r="J331" s="83"/>
      <c r="K331" s="83"/>
      <c r="L331" s="83"/>
      <c r="M331" s="83"/>
      <c r="N331" s="83"/>
      <c r="O331" s="83"/>
      <c r="P331" s="83"/>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c r="C332" s="83"/>
      <c r="D332" s="83"/>
      <c r="E332" s="83"/>
      <c r="F332" s="83"/>
      <c r="G332" s="83"/>
      <c r="H332" s="83"/>
      <c r="I332" s="83"/>
      <c r="J332" s="83"/>
      <c r="K332" s="83"/>
      <c r="L332" s="83"/>
      <c r="M332" s="83"/>
      <c r="N332" s="83"/>
      <c r="O332" s="83"/>
      <c r="P332" s="83"/>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c r="C333" s="83"/>
      <c r="D333" s="83"/>
      <c r="E333" s="83"/>
      <c r="F333" s="83"/>
      <c r="G333" s="83"/>
      <c r="H333" s="83"/>
      <c r="I333" s="83"/>
      <c r="J333" s="83"/>
      <c r="K333" s="83"/>
      <c r="L333" s="83"/>
      <c r="M333" s="83"/>
      <c r="N333" s="83"/>
      <c r="O333" s="83"/>
      <c r="P333" s="83"/>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c r="C334" s="83"/>
      <c r="D334" s="83"/>
      <c r="E334" s="83"/>
      <c r="F334" s="83"/>
      <c r="G334" s="83"/>
      <c r="H334" s="83"/>
      <c r="I334" s="83"/>
      <c r="J334" s="83"/>
      <c r="K334" s="83"/>
      <c r="L334" s="83"/>
      <c r="M334" s="83"/>
      <c r="N334" s="83"/>
      <c r="O334" s="83"/>
      <c r="P334" s="83"/>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c r="C335" s="83"/>
      <c r="D335" s="83"/>
      <c r="E335" s="83"/>
      <c r="F335" s="83"/>
      <c r="G335" s="83"/>
      <c r="H335" s="83"/>
      <c r="I335" s="83"/>
      <c r="J335" s="83"/>
      <c r="K335" s="83"/>
      <c r="L335" s="83"/>
      <c r="M335" s="83"/>
      <c r="N335" s="83"/>
      <c r="O335" s="83"/>
      <c r="P335" s="83"/>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c r="C336" s="83"/>
      <c r="D336" s="83"/>
      <c r="E336" s="83"/>
      <c r="F336" s="83"/>
      <c r="G336" s="83"/>
      <c r="H336" s="83"/>
      <c r="I336" s="83"/>
      <c r="J336" s="83"/>
      <c r="K336" s="83"/>
      <c r="L336" s="83"/>
      <c r="M336" s="83"/>
      <c r="N336" s="83"/>
      <c r="O336" s="83"/>
      <c r="P336" s="83"/>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c r="C337" s="83"/>
      <c r="D337" s="83"/>
      <c r="E337" s="83"/>
      <c r="F337" s="83"/>
      <c r="G337" s="83"/>
      <c r="H337" s="83"/>
      <c r="I337" s="83"/>
      <c r="J337" s="83"/>
      <c r="K337" s="83"/>
      <c r="L337" s="83"/>
      <c r="M337" s="83"/>
      <c r="N337" s="83"/>
      <c r="O337" s="83"/>
      <c r="P337" s="83"/>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c r="C338" s="83"/>
      <c r="D338" s="83"/>
      <c r="E338" s="83"/>
      <c r="F338" s="83"/>
      <c r="G338" s="83"/>
      <c r="H338" s="83"/>
      <c r="I338" s="83"/>
      <c r="J338" s="83"/>
      <c r="K338" s="83"/>
      <c r="L338" s="83"/>
      <c r="M338" s="83"/>
      <c r="N338" s="83"/>
      <c r="O338" s="83"/>
      <c r="P338" s="83"/>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c r="C339" s="83"/>
      <c r="D339" s="83"/>
      <c r="E339" s="83"/>
      <c r="F339" s="83"/>
      <c r="G339" s="83"/>
      <c r="H339" s="83"/>
      <c r="I339" s="83"/>
      <c r="J339" s="83"/>
      <c r="K339" s="83"/>
      <c r="L339" s="83"/>
      <c r="M339" s="83"/>
      <c r="N339" s="83"/>
      <c r="O339" s="83"/>
      <c r="P339" s="83"/>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c r="C340" s="83"/>
      <c r="D340" s="83"/>
      <c r="E340" s="83"/>
      <c r="F340" s="83"/>
      <c r="G340" s="83"/>
      <c r="H340" s="83"/>
      <c r="I340" s="83"/>
      <c r="J340" s="83"/>
      <c r="K340" s="83"/>
      <c r="L340" s="83"/>
      <c r="M340" s="83"/>
      <c r="N340" s="83"/>
      <c r="O340" s="83"/>
      <c r="P340" s="83"/>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c r="C341" s="83"/>
      <c r="D341" s="83"/>
      <c r="E341" s="83"/>
      <c r="F341" s="83"/>
      <c r="G341" s="83"/>
      <c r="H341" s="83"/>
      <c r="I341" s="83"/>
      <c r="J341" s="83"/>
      <c r="K341" s="83"/>
      <c r="L341" s="83"/>
      <c r="M341" s="83"/>
      <c r="N341" s="83"/>
      <c r="O341" s="83"/>
      <c r="P341" s="83"/>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c r="C342" s="83"/>
      <c r="D342" s="83"/>
      <c r="E342" s="83"/>
      <c r="F342" s="83"/>
      <c r="G342" s="83"/>
      <c r="H342" s="83"/>
      <c r="I342" s="83"/>
      <c r="J342" s="83"/>
      <c r="K342" s="83"/>
      <c r="L342" s="83"/>
      <c r="M342" s="83"/>
      <c r="N342" s="83"/>
      <c r="O342" s="83"/>
      <c r="P342" s="83"/>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c r="C343" s="83"/>
      <c r="D343" s="83"/>
      <c r="E343" s="83"/>
      <c r="F343" s="83"/>
      <c r="G343" s="83"/>
      <c r="H343" s="83"/>
      <c r="I343" s="83"/>
      <c r="J343" s="83"/>
      <c r="K343" s="83"/>
      <c r="L343" s="83"/>
      <c r="M343" s="83"/>
      <c r="N343" s="83"/>
      <c r="O343" s="83"/>
      <c r="P343" s="83"/>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c r="C344" s="83"/>
      <c r="D344" s="83"/>
      <c r="E344" s="83"/>
      <c r="F344" s="83"/>
      <c r="G344" s="83"/>
      <c r="H344" s="83"/>
      <c r="I344" s="83"/>
      <c r="J344" s="83"/>
      <c r="K344" s="83"/>
      <c r="L344" s="83"/>
      <c r="M344" s="83"/>
      <c r="N344" s="83"/>
      <c r="O344" s="83"/>
      <c r="P344" s="83"/>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c r="C345" s="83"/>
      <c r="D345" s="83"/>
      <c r="E345" s="83"/>
      <c r="F345" s="83"/>
      <c r="G345" s="83"/>
      <c r="H345" s="83"/>
      <c r="I345" s="83"/>
      <c r="J345" s="83"/>
      <c r="K345" s="83"/>
      <c r="L345" s="83"/>
      <c r="M345" s="83"/>
      <c r="N345" s="83"/>
      <c r="O345" s="83"/>
      <c r="P345" s="83"/>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c r="C346" s="83"/>
      <c r="D346" s="83"/>
      <c r="E346" s="83"/>
      <c r="F346" s="83"/>
      <c r="G346" s="83"/>
      <c r="H346" s="83"/>
      <c r="I346" s="83"/>
      <c r="J346" s="83"/>
      <c r="K346" s="83"/>
      <c r="L346" s="83"/>
      <c r="M346" s="83"/>
      <c r="N346" s="83"/>
      <c r="O346" s="83"/>
      <c r="P346" s="83"/>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c r="C347" s="83"/>
      <c r="D347" s="83"/>
      <c r="E347" s="83"/>
      <c r="F347" s="83"/>
      <c r="G347" s="83"/>
      <c r="H347" s="83"/>
      <c r="I347" s="83"/>
      <c r="J347" s="83"/>
      <c r="K347" s="83"/>
      <c r="L347" s="83"/>
      <c r="M347" s="83"/>
      <c r="N347" s="83"/>
      <c r="O347" s="83"/>
      <c r="P347" s="83"/>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c r="C348" s="83"/>
      <c r="D348" s="83"/>
      <c r="E348" s="83"/>
      <c r="F348" s="83"/>
      <c r="G348" s="83"/>
      <c r="H348" s="83"/>
      <c r="I348" s="83"/>
      <c r="J348" s="83"/>
      <c r="K348" s="83"/>
      <c r="L348" s="83"/>
      <c r="M348" s="83"/>
      <c r="N348" s="83"/>
      <c r="O348" s="83"/>
      <c r="P348" s="83"/>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c r="C349" s="83"/>
      <c r="D349" s="83"/>
      <c r="E349" s="83"/>
      <c r="F349" s="83"/>
      <c r="G349" s="83"/>
      <c r="H349" s="83"/>
      <c r="I349" s="83"/>
      <c r="J349" s="83"/>
      <c r="K349" s="83"/>
      <c r="L349" s="83"/>
      <c r="M349" s="83"/>
      <c r="N349" s="83"/>
      <c r="O349" s="83"/>
      <c r="P349" s="83"/>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c r="C350" s="83"/>
      <c r="D350" s="83"/>
      <c r="E350" s="83"/>
      <c r="F350" s="83"/>
      <c r="G350" s="83"/>
      <c r="H350" s="83"/>
      <c r="I350" s="83"/>
      <c r="J350" s="83"/>
      <c r="K350" s="83"/>
      <c r="L350" s="83"/>
      <c r="M350" s="83"/>
      <c r="N350" s="83"/>
      <c r="O350" s="83"/>
      <c r="P350" s="83"/>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c r="C351" s="83"/>
      <c r="D351" s="83"/>
      <c r="E351" s="83"/>
      <c r="F351" s="83"/>
      <c r="G351" s="83"/>
      <c r="H351" s="83"/>
      <c r="I351" s="83"/>
      <c r="J351" s="83"/>
      <c r="K351" s="83"/>
      <c r="L351" s="83"/>
      <c r="M351" s="83"/>
      <c r="N351" s="83"/>
      <c r="O351" s="83"/>
      <c r="P351" s="83"/>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c r="C352" s="83"/>
      <c r="D352" s="83"/>
      <c r="E352" s="83"/>
      <c r="F352" s="83"/>
      <c r="G352" s="83"/>
      <c r="H352" s="83"/>
      <c r="I352" s="83"/>
      <c r="J352" s="83"/>
      <c r="K352" s="83"/>
      <c r="L352" s="83"/>
      <c r="M352" s="83"/>
      <c r="N352" s="83"/>
      <c r="O352" s="83"/>
      <c r="P352" s="83"/>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c r="C353" s="83"/>
      <c r="D353" s="83"/>
      <c r="E353" s="83"/>
      <c r="F353" s="83"/>
      <c r="G353" s="83"/>
      <c r="H353" s="83"/>
      <c r="I353" s="83"/>
      <c r="J353" s="83"/>
      <c r="K353" s="83"/>
      <c r="L353" s="83"/>
      <c r="M353" s="83"/>
      <c r="N353" s="83"/>
      <c r="O353" s="83"/>
      <c r="P353" s="83"/>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c r="C354" s="83"/>
      <c r="D354" s="83"/>
      <c r="E354" s="83"/>
      <c r="F354" s="83"/>
      <c r="G354" s="83"/>
      <c r="H354" s="83"/>
      <c r="I354" s="83"/>
      <c r="J354" s="83"/>
      <c r="K354" s="83"/>
      <c r="L354" s="83"/>
      <c r="M354" s="83"/>
      <c r="N354" s="83"/>
      <c r="O354" s="83"/>
      <c r="P354" s="83"/>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c r="C355" s="83"/>
      <c r="D355" s="83"/>
      <c r="E355" s="83"/>
      <c r="F355" s="83"/>
      <c r="G355" s="83"/>
      <c r="H355" s="83"/>
      <c r="I355" s="83"/>
      <c r="J355" s="83"/>
      <c r="K355" s="83"/>
      <c r="L355" s="83"/>
      <c r="M355" s="83"/>
      <c r="N355" s="83"/>
      <c r="O355" s="83"/>
      <c r="P355" s="83"/>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c r="C356" s="83"/>
      <c r="D356" s="83"/>
      <c r="E356" s="83"/>
      <c r="F356" s="83"/>
      <c r="G356" s="83"/>
      <c r="H356" s="83"/>
      <c r="I356" s="83"/>
      <c r="J356" s="83"/>
      <c r="K356" s="83"/>
      <c r="L356" s="83"/>
      <c r="M356" s="83"/>
      <c r="N356" s="83"/>
      <c r="O356" s="83"/>
      <c r="P356" s="83"/>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c r="C357" s="83"/>
      <c r="D357" s="83"/>
      <c r="E357" s="83"/>
      <c r="F357" s="83"/>
      <c r="G357" s="83"/>
      <c r="H357" s="83"/>
      <c r="I357" s="83"/>
      <c r="J357" s="83"/>
      <c r="K357" s="83"/>
      <c r="L357" s="83"/>
      <c r="M357" s="83"/>
      <c r="N357" s="83"/>
      <c r="O357" s="83"/>
      <c r="P357" s="83"/>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c r="C358" s="83"/>
      <c r="D358" s="83"/>
      <c r="E358" s="83"/>
      <c r="F358" s="83"/>
      <c r="G358" s="83"/>
      <c r="H358" s="83"/>
      <c r="I358" s="83"/>
      <c r="J358" s="83"/>
      <c r="K358" s="83"/>
      <c r="L358" s="83"/>
      <c r="M358" s="83"/>
      <c r="N358" s="83"/>
      <c r="O358" s="83"/>
      <c r="P358" s="83"/>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c r="C359" s="83"/>
      <c r="D359" s="83"/>
      <c r="E359" s="83"/>
      <c r="F359" s="83"/>
      <c r="G359" s="83"/>
      <c r="H359" s="83"/>
      <c r="I359" s="83"/>
      <c r="J359" s="83"/>
      <c r="K359" s="83"/>
      <c r="L359" s="83"/>
      <c r="M359" s="83"/>
      <c r="N359" s="83"/>
      <c r="O359" s="83"/>
      <c r="P359" s="83"/>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c r="C360" s="83"/>
      <c r="D360" s="83"/>
      <c r="E360" s="83"/>
      <c r="F360" s="83"/>
      <c r="G360" s="83"/>
      <c r="H360" s="83"/>
      <c r="I360" s="83"/>
      <c r="J360" s="83"/>
      <c r="K360" s="83"/>
      <c r="L360" s="83"/>
      <c r="M360" s="83"/>
      <c r="N360" s="83"/>
      <c r="O360" s="83"/>
      <c r="P360" s="83"/>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c r="C361" s="83"/>
      <c r="D361" s="83"/>
      <c r="E361" s="83"/>
      <c r="F361" s="83"/>
      <c r="G361" s="83"/>
      <c r="H361" s="83"/>
      <c r="I361" s="83"/>
      <c r="J361" s="83"/>
      <c r="K361" s="83"/>
      <c r="L361" s="83"/>
      <c r="M361" s="83"/>
      <c r="N361" s="83"/>
      <c r="O361" s="83"/>
      <c r="P361" s="83"/>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c r="C362" s="83"/>
      <c r="D362" s="83"/>
      <c r="E362" s="83"/>
      <c r="F362" s="83"/>
      <c r="G362" s="83"/>
      <c r="H362" s="83"/>
      <c r="I362" s="83"/>
      <c r="J362" s="83"/>
      <c r="K362" s="83"/>
      <c r="L362" s="83"/>
      <c r="M362" s="83"/>
      <c r="N362" s="83"/>
      <c r="O362" s="83"/>
      <c r="P362" s="83"/>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c r="C363" s="83"/>
      <c r="D363" s="83"/>
      <c r="E363" s="83"/>
      <c r="F363" s="83"/>
      <c r="G363" s="83"/>
      <c r="H363" s="83"/>
      <c r="I363" s="83"/>
      <c r="J363" s="83"/>
      <c r="K363" s="83"/>
      <c r="L363" s="83"/>
      <c r="M363" s="83"/>
      <c r="N363" s="83"/>
      <c r="O363" s="83"/>
      <c r="P363" s="83"/>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c r="C364" s="83"/>
      <c r="D364" s="83"/>
      <c r="E364" s="83"/>
      <c r="F364" s="83"/>
      <c r="G364" s="83"/>
      <c r="H364" s="83"/>
      <c r="I364" s="83"/>
      <c r="J364" s="83"/>
      <c r="K364" s="83"/>
      <c r="L364" s="83"/>
      <c r="M364" s="83"/>
      <c r="N364" s="83"/>
      <c r="O364" s="83"/>
      <c r="P364" s="83"/>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c r="C365" s="83"/>
      <c r="D365" s="83"/>
      <c r="E365" s="83"/>
      <c r="F365" s="83"/>
      <c r="G365" s="83"/>
      <c r="H365" s="83"/>
      <c r="I365" s="83"/>
      <c r="J365" s="83"/>
      <c r="K365" s="83"/>
      <c r="L365" s="83"/>
      <c r="M365" s="83"/>
      <c r="N365" s="83"/>
      <c r="O365" s="83"/>
      <c r="P365" s="83"/>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c r="C366" s="83"/>
      <c r="D366" s="83"/>
      <c r="E366" s="83"/>
      <c r="F366" s="83"/>
      <c r="G366" s="83"/>
      <c r="H366" s="83"/>
      <c r="I366" s="83"/>
      <c r="J366" s="83"/>
      <c r="K366" s="83"/>
      <c r="L366" s="83"/>
      <c r="M366" s="83"/>
      <c r="N366" s="83"/>
      <c r="O366" s="83"/>
      <c r="P366" s="83"/>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c r="C367" s="83"/>
      <c r="D367" s="83"/>
      <c r="E367" s="83"/>
      <c r="F367" s="83"/>
      <c r="G367" s="83"/>
      <c r="H367" s="83"/>
      <c r="I367" s="83"/>
      <c r="J367" s="83"/>
      <c r="K367" s="83"/>
      <c r="L367" s="83"/>
      <c r="M367" s="83"/>
      <c r="N367" s="83"/>
      <c r="O367" s="83"/>
      <c r="P367" s="83"/>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c r="C368" s="83"/>
      <c r="D368" s="83"/>
      <c r="E368" s="83"/>
      <c r="F368" s="83"/>
      <c r="G368" s="83"/>
      <c r="H368" s="83"/>
      <c r="I368" s="83"/>
      <c r="J368" s="83"/>
      <c r="K368" s="83"/>
      <c r="L368" s="83"/>
      <c r="M368" s="83"/>
      <c r="N368" s="83"/>
      <c r="O368" s="83"/>
      <c r="P368" s="83"/>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c r="C369" s="83"/>
      <c r="D369" s="83"/>
      <c r="E369" s="83"/>
      <c r="F369" s="83"/>
      <c r="G369" s="83"/>
      <c r="H369" s="83"/>
      <c r="I369" s="83"/>
      <c r="J369" s="83"/>
      <c r="K369" s="83"/>
      <c r="L369" s="83"/>
      <c r="M369" s="83"/>
      <c r="N369" s="83"/>
      <c r="O369" s="83"/>
      <c r="P369" s="83"/>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c r="C370" s="83"/>
      <c r="D370" s="83"/>
      <c r="E370" s="83"/>
      <c r="F370" s="83"/>
      <c r="G370" s="83"/>
      <c r="H370" s="83"/>
      <c r="I370" s="83"/>
      <c r="J370" s="83"/>
      <c r="K370" s="83"/>
      <c r="L370" s="83"/>
      <c r="M370" s="83"/>
      <c r="N370" s="83"/>
      <c r="O370" s="83"/>
      <c r="P370" s="83"/>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c r="C371" s="83"/>
      <c r="D371" s="83"/>
      <c r="E371" s="83"/>
      <c r="F371" s="83"/>
      <c r="G371" s="83"/>
      <c r="H371" s="83"/>
      <c r="I371" s="83"/>
      <c r="J371" s="83"/>
      <c r="K371" s="83"/>
      <c r="L371" s="83"/>
      <c r="M371" s="83"/>
      <c r="N371" s="83"/>
      <c r="O371" s="83"/>
      <c r="P371" s="83"/>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c r="C372" s="83"/>
      <c r="D372" s="83"/>
      <c r="E372" s="83"/>
      <c r="F372" s="83"/>
      <c r="G372" s="83"/>
      <c r="H372" s="83"/>
      <c r="I372" s="83"/>
      <c r="J372" s="83"/>
      <c r="K372" s="83"/>
      <c r="L372" s="83"/>
      <c r="M372" s="83"/>
      <c r="N372" s="83"/>
      <c r="O372" s="83"/>
      <c r="P372" s="83"/>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c r="C373" s="83"/>
      <c r="D373" s="83"/>
      <c r="E373" s="83"/>
      <c r="F373" s="83"/>
      <c r="G373" s="83"/>
      <c r="H373" s="83"/>
      <c r="I373" s="83"/>
      <c r="J373" s="83"/>
      <c r="K373" s="83"/>
      <c r="L373" s="83"/>
      <c r="M373" s="83"/>
      <c r="N373" s="83"/>
      <c r="O373" s="83"/>
      <c r="P373" s="83"/>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c r="C374" s="83"/>
      <c r="D374" s="83"/>
      <c r="E374" s="83"/>
      <c r="F374" s="83"/>
      <c r="G374" s="83"/>
      <c r="H374" s="83"/>
      <c r="I374" s="83"/>
      <c r="J374" s="83"/>
      <c r="K374" s="83"/>
      <c r="L374" s="83"/>
      <c r="M374" s="83"/>
      <c r="N374" s="83"/>
      <c r="O374" s="83"/>
      <c r="P374" s="83"/>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c r="C375" s="83"/>
      <c r="D375" s="83"/>
      <c r="E375" s="83"/>
      <c r="F375" s="83"/>
      <c r="G375" s="83"/>
      <c r="H375" s="83"/>
      <c r="I375" s="83"/>
      <c r="J375" s="83"/>
      <c r="K375" s="83"/>
      <c r="L375" s="83"/>
      <c r="M375" s="83"/>
      <c r="N375" s="83"/>
      <c r="O375" s="83"/>
      <c r="P375" s="83"/>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c r="C376" s="83"/>
      <c r="D376" s="83"/>
      <c r="E376" s="83"/>
      <c r="F376" s="83"/>
      <c r="G376" s="83"/>
      <c r="H376" s="83"/>
      <c r="I376" s="83"/>
      <c r="J376" s="83"/>
      <c r="K376" s="83"/>
      <c r="L376" s="83"/>
      <c r="M376" s="83"/>
      <c r="N376" s="83"/>
      <c r="O376" s="83"/>
      <c r="P376" s="83"/>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c r="C377" s="83"/>
      <c r="D377" s="83"/>
      <c r="E377" s="83"/>
      <c r="F377" s="83"/>
      <c r="G377" s="83"/>
      <c r="H377" s="83"/>
      <c r="I377" s="83"/>
      <c r="J377" s="83"/>
      <c r="K377" s="83"/>
      <c r="L377" s="83"/>
      <c r="M377" s="83"/>
      <c r="N377" s="83"/>
      <c r="O377" s="83"/>
      <c r="P377" s="83"/>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c r="C378" s="83"/>
      <c r="D378" s="83"/>
      <c r="E378" s="83"/>
      <c r="F378" s="83"/>
      <c r="G378" s="83"/>
      <c r="H378" s="83"/>
      <c r="I378" s="83"/>
      <c r="J378" s="83"/>
      <c r="K378" s="83"/>
      <c r="L378" s="83"/>
      <c r="M378" s="83"/>
      <c r="N378" s="83"/>
      <c r="O378" s="83"/>
      <c r="P378" s="83"/>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c r="C379" s="83"/>
      <c r="D379" s="83"/>
      <c r="E379" s="83"/>
      <c r="F379" s="83"/>
      <c r="G379" s="83"/>
      <c r="H379" s="83"/>
      <c r="I379" s="83"/>
      <c r="J379" s="83"/>
      <c r="K379" s="83"/>
      <c r="L379" s="83"/>
      <c r="M379" s="83"/>
      <c r="N379" s="83"/>
      <c r="O379" s="83"/>
      <c r="P379" s="83"/>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c r="C380" s="83"/>
      <c r="D380" s="83"/>
      <c r="E380" s="83"/>
      <c r="F380" s="83"/>
      <c r="G380" s="83"/>
      <c r="H380" s="83"/>
      <c r="I380" s="83"/>
      <c r="J380" s="83"/>
      <c r="K380" s="83"/>
      <c r="L380" s="83"/>
      <c r="M380" s="83"/>
      <c r="N380" s="83"/>
      <c r="O380" s="83"/>
      <c r="P380" s="83"/>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c r="C381" s="83"/>
      <c r="D381" s="83"/>
      <c r="E381" s="83"/>
      <c r="F381" s="83"/>
      <c r="G381" s="83"/>
      <c r="H381" s="83"/>
      <c r="I381" s="83"/>
      <c r="J381" s="83"/>
      <c r="K381" s="83"/>
      <c r="L381" s="83"/>
      <c r="M381" s="83"/>
      <c r="N381" s="83"/>
      <c r="O381" s="83"/>
      <c r="P381" s="83"/>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c r="C382" s="83"/>
      <c r="D382" s="83"/>
      <c r="E382" s="83"/>
      <c r="F382" s="83"/>
      <c r="G382" s="83"/>
      <c r="H382" s="83"/>
      <c r="I382" s="83"/>
      <c r="J382" s="83"/>
      <c r="K382" s="83"/>
      <c r="L382" s="83"/>
      <c r="M382" s="83"/>
      <c r="N382" s="83"/>
      <c r="O382" s="83"/>
      <c r="P382" s="83"/>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c r="C383" s="83"/>
      <c r="D383" s="83"/>
      <c r="E383" s="83"/>
      <c r="F383" s="83"/>
      <c r="G383" s="83"/>
      <c r="H383" s="83"/>
      <c r="I383" s="83"/>
      <c r="J383" s="83"/>
      <c r="K383" s="83"/>
      <c r="L383" s="83"/>
      <c r="M383" s="83"/>
      <c r="N383" s="83"/>
      <c r="O383" s="83"/>
      <c r="P383" s="83"/>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c r="C384" s="83"/>
      <c r="D384" s="83"/>
      <c r="E384" s="83"/>
      <c r="F384" s="83"/>
      <c r="G384" s="83"/>
      <c r="H384" s="83"/>
      <c r="I384" s="83"/>
      <c r="J384" s="83"/>
      <c r="K384" s="83"/>
      <c r="L384" s="83"/>
      <c r="M384" s="83"/>
      <c r="N384" s="83"/>
      <c r="O384" s="83"/>
      <c r="P384" s="83"/>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c r="C385" s="83"/>
      <c r="D385" s="83"/>
      <c r="E385" s="83"/>
      <c r="F385" s="83"/>
      <c r="G385" s="83"/>
      <c r="H385" s="83"/>
      <c r="I385" s="83"/>
      <c r="J385" s="83"/>
      <c r="K385" s="83"/>
      <c r="L385" s="83"/>
      <c r="M385" s="83"/>
      <c r="N385" s="83"/>
      <c r="O385" s="83"/>
      <c r="P385" s="83"/>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c r="C386" s="83"/>
      <c r="D386" s="83"/>
      <c r="E386" s="83"/>
      <c r="F386" s="83"/>
      <c r="G386" s="83"/>
      <c r="H386" s="83"/>
      <c r="I386" s="83"/>
      <c r="J386" s="83"/>
      <c r="K386" s="83"/>
      <c r="L386" s="83"/>
      <c r="M386" s="83"/>
      <c r="N386" s="83"/>
      <c r="O386" s="83"/>
      <c r="P386" s="83"/>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c r="C387" s="83"/>
      <c r="D387" s="83"/>
      <c r="E387" s="83"/>
      <c r="F387" s="83"/>
      <c r="G387" s="83"/>
      <c r="H387" s="83"/>
      <c r="I387" s="83"/>
      <c r="J387" s="83"/>
      <c r="K387" s="83"/>
      <c r="L387" s="83"/>
      <c r="M387" s="83"/>
      <c r="N387" s="83"/>
      <c r="O387" s="83"/>
      <c r="P387" s="83"/>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c r="C388" s="83"/>
      <c r="D388" s="83"/>
      <c r="E388" s="83"/>
      <c r="F388" s="83"/>
      <c r="G388" s="83"/>
      <c r="H388" s="83"/>
      <c r="I388" s="83"/>
      <c r="J388" s="83"/>
      <c r="K388" s="83"/>
      <c r="L388" s="83"/>
      <c r="M388" s="83"/>
      <c r="N388" s="83"/>
      <c r="O388" s="83"/>
      <c r="P388" s="83"/>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c r="C389" s="83"/>
      <c r="D389" s="83"/>
      <c r="E389" s="83"/>
      <c r="F389" s="83"/>
      <c r="G389" s="83"/>
      <c r="H389" s="83"/>
      <c r="I389" s="83"/>
      <c r="J389" s="83"/>
      <c r="K389" s="83"/>
      <c r="L389" s="83"/>
      <c r="M389" s="83"/>
      <c r="N389" s="83"/>
      <c r="O389" s="83"/>
      <c r="P389" s="83"/>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c r="C390" s="83"/>
      <c r="D390" s="83"/>
      <c r="E390" s="83"/>
      <c r="F390" s="83"/>
      <c r="G390" s="83"/>
      <c r="H390" s="83"/>
      <c r="I390" s="83"/>
      <c r="J390" s="83"/>
      <c r="K390" s="83"/>
      <c r="L390" s="83"/>
      <c r="M390" s="83"/>
      <c r="N390" s="83"/>
      <c r="O390" s="83"/>
      <c r="P390" s="83"/>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c r="C391" s="83"/>
      <c r="D391" s="83"/>
      <c r="E391" s="83"/>
      <c r="F391" s="83"/>
      <c r="G391" s="83"/>
      <c r="H391" s="83"/>
      <c r="I391" s="83"/>
      <c r="J391" s="83"/>
      <c r="K391" s="83"/>
      <c r="L391" s="83"/>
      <c r="M391" s="83"/>
      <c r="N391" s="83"/>
      <c r="O391" s="83"/>
      <c r="P391" s="83"/>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c r="C392" s="83"/>
      <c r="D392" s="83"/>
      <c r="E392" s="83"/>
      <c r="F392" s="83"/>
      <c r="G392" s="83"/>
      <c r="H392" s="83"/>
      <c r="I392" s="83"/>
      <c r="J392" s="83"/>
      <c r="K392" s="83"/>
      <c r="L392" s="83"/>
      <c r="M392" s="83"/>
      <c r="N392" s="83"/>
      <c r="O392" s="83"/>
      <c r="P392" s="83"/>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c r="C393" s="83"/>
      <c r="D393" s="83"/>
      <c r="E393" s="83"/>
      <c r="F393" s="83"/>
      <c r="G393" s="83"/>
      <c r="H393" s="83"/>
      <c r="I393" s="83"/>
      <c r="J393" s="83"/>
      <c r="K393" s="83"/>
      <c r="L393" s="83"/>
      <c r="M393" s="83"/>
      <c r="N393" s="83"/>
      <c r="O393" s="83"/>
      <c r="P393" s="83"/>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c r="C394" s="83"/>
      <c r="D394" s="83"/>
      <c r="E394" s="83"/>
      <c r="F394" s="83"/>
      <c r="G394" s="83"/>
      <c r="H394" s="83"/>
      <c r="I394" s="83"/>
      <c r="J394" s="83"/>
      <c r="K394" s="83"/>
      <c r="L394" s="83"/>
      <c r="M394" s="83"/>
      <c r="N394" s="83"/>
      <c r="O394" s="83"/>
      <c r="P394" s="83"/>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c r="C395" s="83"/>
      <c r="D395" s="83"/>
      <c r="E395" s="83"/>
      <c r="F395" s="83"/>
      <c r="G395" s="83"/>
      <c r="H395" s="83"/>
      <c r="I395" s="83"/>
      <c r="J395" s="83"/>
      <c r="K395" s="83"/>
      <c r="L395" s="83"/>
      <c r="M395" s="83"/>
      <c r="N395" s="83"/>
      <c r="O395" s="83"/>
      <c r="P395" s="83"/>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c r="C396" s="83"/>
      <c r="D396" s="83"/>
      <c r="E396" s="83"/>
      <c r="F396" s="83"/>
      <c r="G396" s="83"/>
      <c r="H396" s="83"/>
      <c r="I396" s="83"/>
      <c r="J396" s="83"/>
      <c r="K396" s="83"/>
      <c r="L396" s="83"/>
      <c r="M396" s="83"/>
      <c r="N396" s="83"/>
      <c r="O396" s="83"/>
      <c r="P396" s="83"/>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c r="C397" s="83"/>
      <c r="D397" s="83"/>
      <c r="E397" s="83"/>
      <c r="F397" s="83"/>
      <c r="G397" s="83"/>
      <c r="H397" s="83"/>
      <c r="I397" s="83"/>
      <c r="J397" s="83"/>
      <c r="K397" s="83"/>
      <c r="L397" s="83"/>
      <c r="M397" s="83"/>
      <c r="N397" s="83"/>
      <c r="O397" s="83"/>
      <c r="P397" s="83"/>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c r="C398" s="83"/>
      <c r="D398" s="83"/>
      <c r="E398" s="83"/>
      <c r="F398" s="83"/>
      <c r="G398" s="83"/>
      <c r="H398" s="83"/>
      <c r="I398" s="83"/>
      <c r="J398" s="83"/>
      <c r="K398" s="83"/>
      <c r="L398" s="83"/>
      <c r="M398" s="83"/>
      <c r="N398" s="83"/>
      <c r="O398" s="83"/>
      <c r="P398" s="83"/>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c r="C399" s="83"/>
      <c r="D399" s="83"/>
      <c r="E399" s="83"/>
      <c r="F399" s="83"/>
      <c r="G399" s="83"/>
      <c r="H399" s="83"/>
      <c r="I399" s="83"/>
      <c r="J399" s="83"/>
      <c r="K399" s="83"/>
      <c r="L399" s="83"/>
      <c r="M399" s="83"/>
      <c r="N399" s="83"/>
      <c r="O399" s="83"/>
      <c r="P399" s="83"/>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c r="C400" s="83"/>
      <c r="D400" s="83"/>
      <c r="E400" s="83"/>
      <c r="F400" s="83"/>
      <c r="G400" s="83"/>
      <c r="H400" s="83"/>
      <c r="I400" s="83"/>
      <c r="J400" s="83"/>
      <c r="K400" s="83"/>
      <c r="L400" s="83"/>
      <c r="M400" s="83"/>
      <c r="N400" s="83"/>
      <c r="O400" s="83"/>
      <c r="P400" s="83"/>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c r="C401" s="83"/>
      <c r="D401" s="83"/>
      <c r="E401" s="83"/>
      <c r="F401" s="83"/>
      <c r="G401" s="83"/>
      <c r="H401" s="83"/>
      <c r="I401" s="83"/>
      <c r="J401" s="83"/>
      <c r="K401" s="83"/>
      <c r="L401" s="83"/>
      <c r="M401" s="83"/>
      <c r="N401" s="83"/>
      <c r="O401" s="83"/>
      <c r="P401" s="83"/>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c r="C402" s="83"/>
      <c r="D402" s="83"/>
      <c r="E402" s="83"/>
      <c r="F402" s="83"/>
      <c r="G402" s="83"/>
      <c r="H402" s="83"/>
      <c r="I402" s="83"/>
      <c r="J402" s="83"/>
      <c r="K402" s="83"/>
      <c r="L402" s="83"/>
      <c r="M402" s="83"/>
      <c r="N402" s="83"/>
      <c r="O402" s="83"/>
      <c r="P402" s="83"/>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c r="C403" s="83"/>
      <c r="D403" s="83"/>
      <c r="E403" s="83"/>
      <c r="F403" s="83"/>
      <c r="G403" s="83"/>
      <c r="H403" s="83"/>
      <c r="I403" s="83"/>
      <c r="J403" s="83"/>
      <c r="K403" s="83"/>
      <c r="L403" s="83"/>
      <c r="M403" s="83"/>
      <c r="N403" s="83"/>
      <c r="O403" s="83"/>
      <c r="P403" s="83"/>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c r="C404" s="83"/>
      <c r="D404" s="83"/>
      <c r="E404" s="83"/>
      <c r="F404" s="83"/>
      <c r="G404" s="83"/>
      <c r="H404" s="83"/>
      <c r="I404" s="83"/>
      <c r="J404" s="83"/>
      <c r="K404" s="83"/>
      <c r="L404" s="83"/>
      <c r="M404" s="83"/>
      <c r="N404" s="83"/>
      <c r="O404" s="83"/>
      <c r="P404" s="83"/>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c r="C405" s="83"/>
      <c r="D405" s="83"/>
      <c r="E405" s="83"/>
      <c r="F405" s="83"/>
      <c r="G405" s="83"/>
      <c r="H405" s="83"/>
      <c r="I405" s="83"/>
      <c r="J405" s="83"/>
      <c r="K405" s="83"/>
      <c r="L405" s="83"/>
      <c r="M405" s="83"/>
      <c r="N405" s="83"/>
      <c r="O405" s="83"/>
      <c r="P405" s="83"/>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c r="C406" s="83"/>
      <c r="D406" s="83"/>
      <c r="E406" s="83"/>
      <c r="F406" s="83"/>
      <c r="G406" s="83"/>
      <c r="H406" s="83"/>
      <c r="I406" s="83"/>
      <c r="J406" s="83"/>
      <c r="K406" s="83"/>
      <c r="L406" s="83"/>
      <c r="M406" s="83"/>
      <c r="N406" s="83"/>
      <c r="O406" s="83"/>
      <c r="P406" s="83"/>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c r="C407" s="83"/>
      <c r="D407" s="83"/>
      <c r="E407" s="83"/>
      <c r="F407" s="83"/>
      <c r="G407" s="83"/>
      <c r="H407" s="83"/>
      <c r="I407" s="83"/>
      <c r="J407" s="83"/>
      <c r="K407" s="83"/>
      <c r="L407" s="83"/>
      <c r="M407" s="83"/>
      <c r="N407" s="83"/>
      <c r="O407" s="83"/>
      <c r="P407" s="83"/>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c r="C408" s="83"/>
      <c r="D408" s="83"/>
      <c r="E408" s="83"/>
      <c r="F408" s="83"/>
      <c r="G408" s="83"/>
      <c r="H408" s="83"/>
      <c r="I408" s="83"/>
      <c r="J408" s="83"/>
      <c r="K408" s="83"/>
      <c r="L408" s="83"/>
      <c r="M408" s="83"/>
      <c r="N408" s="83"/>
      <c r="O408" s="83"/>
      <c r="P408" s="83"/>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c r="C409" s="83"/>
      <c r="D409" s="83"/>
      <c r="E409" s="83"/>
      <c r="F409" s="83"/>
      <c r="G409" s="83"/>
      <c r="H409" s="83"/>
      <c r="I409" s="83"/>
      <c r="J409" s="83"/>
      <c r="K409" s="83"/>
      <c r="L409" s="83"/>
      <c r="M409" s="83"/>
      <c r="N409" s="83"/>
      <c r="O409" s="83"/>
      <c r="P409" s="83"/>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c r="C410" s="83"/>
      <c r="D410" s="83"/>
      <c r="E410" s="83"/>
      <c r="F410" s="83"/>
      <c r="G410" s="83"/>
      <c r="H410" s="83"/>
      <c r="I410" s="83"/>
      <c r="J410" s="83"/>
      <c r="K410" s="83"/>
      <c r="L410" s="83"/>
      <c r="M410" s="83"/>
      <c r="N410" s="83"/>
      <c r="O410" s="83"/>
      <c r="P410" s="83"/>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c r="C411" s="83"/>
      <c r="D411" s="83"/>
      <c r="E411" s="83"/>
      <c r="F411" s="83"/>
      <c r="G411" s="83"/>
      <c r="H411" s="83"/>
      <c r="I411" s="83"/>
      <c r="J411" s="83"/>
      <c r="K411" s="83"/>
      <c r="L411" s="83"/>
      <c r="M411" s="83"/>
      <c r="N411" s="83"/>
      <c r="O411" s="83"/>
      <c r="P411" s="83"/>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c r="C412" s="83"/>
      <c r="D412" s="83"/>
      <c r="E412" s="83"/>
      <c r="F412" s="83"/>
      <c r="G412" s="83"/>
      <c r="H412" s="83"/>
      <c r="I412" s="83"/>
      <c r="J412" s="83"/>
      <c r="K412" s="83"/>
      <c r="L412" s="83"/>
      <c r="M412" s="83"/>
      <c r="N412" s="83"/>
      <c r="O412" s="83"/>
      <c r="P412" s="83"/>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c r="C413" s="83"/>
      <c r="D413" s="83"/>
      <c r="E413" s="83"/>
      <c r="F413" s="83"/>
      <c r="G413" s="83"/>
      <c r="H413" s="83"/>
      <c r="I413" s="83"/>
      <c r="J413" s="83"/>
      <c r="K413" s="83"/>
      <c r="L413" s="83"/>
      <c r="M413" s="83"/>
      <c r="N413" s="83"/>
      <c r="O413" s="83"/>
      <c r="P413" s="83"/>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c r="C414" s="83"/>
      <c r="D414" s="83"/>
      <c r="E414" s="83"/>
      <c r="F414" s="83"/>
      <c r="G414" s="83"/>
      <c r="H414" s="83"/>
      <c r="I414" s="83"/>
      <c r="J414" s="83"/>
      <c r="K414" s="83"/>
      <c r="L414" s="83"/>
      <c r="M414" s="83"/>
      <c r="N414" s="83"/>
      <c r="O414" s="83"/>
      <c r="P414" s="83"/>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c r="C415" s="83"/>
      <c r="D415" s="83"/>
      <c r="E415" s="83"/>
      <c r="F415" s="83"/>
      <c r="G415" s="83"/>
      <c r="H415" s="83"/>
      <c r="I415" s="83"/>
      <c r="J415" s="83"/>
      <c r="K415" s="83"/>
      <c r="L415" s="83"/>
      <c r="M415" s="83"/>
      <c r="N415" s="83"/>
      <c r="O415" s="83"/>
      <c r="P415" s="83"/>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c r="C416" s="83"/>
      <c r="D416" s="83"/>
      <c r="E416" s="83"/>
      <c r="F416" s="83"/>
      <c r="G416" s="83"/>
      <c r="H416" s="83"/>
      <c r="I416" s="83"/>
      <c r="J416" s="83"/>
      <c r="K416" s="83"/>
      <c r="L416" s="83"/>
      <c r="M416" s="83"/>
      <c r="N416" s="83"/>
      <c r="O416" s="83"/>
      <c r="P416" s="83"/>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c r="C417" s="83"/>
      <c r="D417" s="83"/>
      <c r="E417" s="83"/>
      <c r="F417" s="83"/>
      <c r="G417" s="83"/>
      <c r="H417" s="83"/>
      <c r="I417" s="83"/>
      <c r="J417" s="83"/>
      <c r="K417" s="83"/>
      <c r="L417" s="83"/>
      <c r="M417" s="83"/>
      <c r="N417" s="83"/>
      <c r="O417" s="83"/>
      <c r="P417" s="83"/>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c r="C418" s="83"/>
      <c r="D418" s="83"/>
      <c r="E418" s="83"/>
      <c r="F418" s="83"/>
      <c r="G418" s="83"/>
      <c r="H418" s="83"/>
      <c r="I418" s="83"/>
      <c r="J418" s="83"/>
      <c r="K418" s="83"/>
      <c r="L418" s="83"/>
      <c r="M418" s="83"/>
      <c r="N418" s="83"/>
      <c r="O418" s="83"/>
      <c r="P418" s="83"/>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c r="C419" s="83"/>
      <c r="D419" s="83"/>
      <c r="E419" s="83"/>
      <c r="F419" s="83"/>
      <c r="G419" s="83"/>
      <c r="H419" s="83"/>
      <c r="I419" s="83"/>
      <c r="J419" s="83"/>
      <c r="K419" s="83"/>
      <c r="L419" s="83"/>
      <c r="M419" s="83"/>
      <c r="N419" s="83"/>
      <c r="O419" s="83"/>
      <c r="P419" s="83"/>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c r="C420" s="83"/>
      <c r="D420" s="83"/>
      <c r="E420" s="83"/>
      <c r="F420" s="83"/>
      <c r="G420" s="83"/>
      <c r="H420" s="83"/>
      <c r="I420" s="83"/>
      <c r="J420" s="83"/>
      <c r="K420" s="83"/>
      <c r="L420" s="83"/>
      <c r="M420" s="83"/>
      <c r="N420" s="83"/>
      <c r="O420" s="83"/>
      <c r="P420" s="83"/>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c r="C421" s="83"/>
      <c r="D421" s="83"/>
      <c r="E421" s="83"/>
      <c r="F421" s="83"/>
      <c r="G421" s="83"/>
      <c r="H421" s="83"/>
      <c r="I421" s="83"/>
      <c r="J421" s="83"/>
      <c r="K421" s="83"/>
      <c r="L421" s="83"/>
      <c r="M421" s="83"/>
      <c r="N421" s="83"/>
      <c r="O421" s="83"/>
      <c r="P421" s="83"/>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c r="C422" s="83"/>
      <c r="D422" s="83"/>
      <c r="E422" s="83"/>
      <c r="F422" s="83"/>
      <c r="G422" s="83"/>
      <c r="H422" s="83"/>
      <c r="I422" s="83"/>
      <c r="J422" s="83"/>
      <c r="K422" s="83"/>
      <c r="L422" s="83"/>
      <c r="M422" s="83"/>
      <c r="N422" s="83"/>
      <c r="O422" s="83"/>
      <c r="P422" s="83"/>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c r="C423" s="83"/>
      <c r="D423" s="83"/>
      <c r="E423" s="83"/>
      <c r="F423" s="83"/>
      <c r="G423" s="83"/>
      <c r="H423" s="83"/>
      <c r="I423" s="83"/>
      <c r="J423" s="83"/>
      <c r="K423" s="83"/>
      <c r="L423" s="83"/>
      <c r="M423" s="83"/>
      <c r="N423" s="83"/>
      <c r="O423" s="83"/>
      <c r="P423" s="83"/>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c r="C424" s="83"/>
      <c r="D424" s="83"/>
      <c r="E424" s="83"/>
      <c r="F424" s="83"/>
      <c r="G424" s="83"/>
      <c r="H424" s="83"/>
      <c r="I424" s="83"/>
      <c r="J424" s="83"/>
      <c r="K424" s="83"/>
      <c r="L424" s="83"/>
      <c r="M424" s="83"/>
      <c r="N424" s="83"/>
      <c r="O424" s="83"/>
      <c r="P424" s="83"/>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c r="C425" s="83"/>
      <c r="D425" s="83"/>
      <c r="E425" s="83"/>
      <c r="F425" s="83"/>
      <c r="G425" s="83"/>
      <c r="H425" s="83"/>
      <c r="I425" s="83"/>
      <c r="J425" s="83"/>
      <c r="K425" s="83"/>
      <c r="L425" s="83"/>
      <c r="M425" s="83"/>
      <c r="N425" s="83"/>
      <c r="O425" s="83"/>
      <c r="P425" s="83"/>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c r="C426" s="83"/>
      <c r="D426" s="83"/>
      <c r="E426" s="83"/>
      <c r="F426" s="83"/>
      <c r="G426" s="83"/>
      <c r="H426" s="83"/>
      <c r="I426" s="83"/>
      <c r="J426" s="83"/>
      <c r="K426" s="83"/>
      <c r="L426" s="83"/>
      <c r="M426" s="83"/>
      <c r="N426" s="83"/>
      <c r="O426" s="83"/>
      <c r="P426" s="83"/>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c r="C427" s="83"/>
      <c r="D427" s="83"/>
      <c r="E427" s="83"/>
      <c r="F427" s="83"/>
      <c r="G427" s="83"/>
      <c r="H427" s="83"/>
      <c r="I427" s="83"/>
      <c r="J427" s="83"/>
      <c r="K427" s="83"/>
      <c r="L427" s="83"/>
      <c r="M427" s="83"/>
      <c r="N427" s="83"/>
      <c r="O427" s="83"/>
      <c r="P427" s="83"/>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c r="C428" s="83"/>
      <c r="D428" s="83"/>
      <c r="E428" s="83"/>
      <c r="F428" s="83"/>
      <c r="G428" s="83"/>
      <c r="H428" s="83"/>
      <c r="I428" s="83"/>
      <c r="J428" s="83"/>
      <c r="K428" s="83"/>
      <c r="L428" s="83"/>
      <c r="M428" s="83"/>
      <c r="N428" s="83"/>
      <c r="O428" s="83"/>
      <c r="P428" s="83"/>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c r="C429" s="83"/>
      <c r="D429" s="83"/>
      <c r="E429" s="83"/>
      <c r="F429" s="83"/>
      <c r="G429" s="83"/>
      <c r="H429" s="83"/>
      <c r="I429" s="83"/>
      <c r="J429" s="83"/>
      <c r="K429" s="83"/>
      <c r="L429" s="83"/>
      <c r="M429" s="83"/>
      <c r="N429" s="83"/>
      <c r="O429" s="83"/>
      <c r="P429" s="83"/>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c r="C430" s="83"/>
      <c r="D430" s="83"/>
      <c r="E430" s="83"/>
      <c r="F430" s="83"/>
      <c r="G430" s="83"/>
      <c r="H430" s="83"/>
      <c r="I430" s="83"/>
      <c r="J430" s="83"/>
      <c r="K430" s="83"/>
      <c r="L430" s="83"/>
      <c r="M430" s="83"/>
      <c r="N430" s="83"/>
      <c r="O430" s="83"/>
      <c r="P430" s="83"/>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c r="C431" s="83"/>
      <c r="D431" s="83"/>
      <c r="E431" s="83"/>
      <c r="F431" s="83"/>
      <c r="G431" s="83"/>
      <c r="H431" s="83"/>
      <c r="I431" s="83"/>
      <c r="J431" s="83"/>
      <c r="K431" s="83"/>
      <c r="L431" s="83"/>
      <c r="M431" s="83"/>
      <c r="N431" s="83"/>
      <c r="O431" s="83"/>
      <c r="P431" s="83"/>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c r="C432" s="83"/>
      <c r="D432" s="83"/>
      <c r="E432" s="83"/>
      <c r="F432" s="83"/>
      <c r="G432" s="83"/>
      <c r="H432" s="83"/>
      <c r="I432" s="83"/>
      <c r="J432" s="83"/>
      <c r="K432" s="83"/>
      <c r="L432" s="83"/>
      <c r="M432" s="83"/>
      <c r="N432" s="83"/>
      <c r="O432" s="83"/>
      <c r="P432" s="83"/>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c r="C433" s="83"/>
      <c r="D433" s="83"/>
      <c r="E433" s="83"/>
      <c r="F433" s="83"/>
      <c r="G433" s="83"/>
      <c r="H433" s="83"/>
      <c r="I433" s="83"/>
      <c r="J433" s="83"/>
      <c r="K433" s="83"/>
      <c r="L433" s="83"/>
      <c r="M433" s="83"/>
      <c r="N433" s="83"/>
      <c r="O433" s="83"/>
      <c r="P433" s="83"/>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c r="C434" s="83"/>
      <c r="D434" s="83"/>
      <c r="E434" s="83"/>
      <c r="F434" s="83"/>
      <c r="G434" s="83"/>
      <c r="H434" s="83"/>
      <c r="I434" s="83"/>
      <c r="J434" s="83"/>
      <c r="K434" s="83"/>
      <c r="L434" s="83"/>
      <c r="M434" s="83"/>
      <c r="N434" s="83"/>
      <c r="O434" s="83"/>
      <c r="P434" s="83"/>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c r="C435" s="83"/>
      <c r="D435" s="83"/>
      <c r="E435" s="83"/>
      <c r="F435" s="83"/>
      <c r="G435" s="83"/>
      <c r="H435" s="83"/>
      <c r="I435" s="83"/>
      <c r="J435" s="83"/>
      <c r="K435" s="83"/>
      <c r="L435" s="83"/>
      <c r="M435" s="83"/>
      <c r="N435" s="83"/>
      <c r="O435" s="83"/>
      <c r="P435" s="83"/>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c r="C436" s="83"/>
      <c r="D436" s="83"/>
      <c r="E436" s="83"/>
      <c r="F436" s="83"/>
      <c r="G436" s="83"/>
      <c r="H436" s="83"/>
      <c r="I436" s="83"/>
      <c r="J436" s="83"/>
      <c r="K436" s="83"/>
      <c r="L436" s="83"/>
      <c r="M436" s="83"/>
      <c r="N436" s="83"/>
      <c r="O436" s="83"/>
      <c r="P436" s="83"/>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c r="C437" s="83"/>
      <c r="D437" s="83"/>
      <c r="E437" s="83"/>
      <c r="F437" s="83"/>
      <c r="G437" s="83"/>
      <c r="H437" s="83"/>
      <c r="I437" s="83"/>
      <c r="J437" s="83"/>
      <c r="K437" s="83"/>
      <c r="L437" s="83"/>
      <c r="M437" s="83"/>
      <c r="N437" s="83"/>
      <c r="O437" s="83"/>
      <c r="P437" s="83"/>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c r="C438" s="83"/>
      <c r="D438" s="83"/>
      <c r="E438" s="83"/>
      <c r="F438" s="83"/>
      <c r="G438" s="83"/>
      <c r="H438" s="83"/>
      <c r="I438" s="83"/>
      <c r="J438" s="83"/>
      <c r="K438" s="83"/>
      <c r="L438" s="83"/>
      <c r="M438" s="83"/>
      <c r="N438" s="83"/>
      <c r="O438" s="83"/>
      <c r="P438" s="83"/>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c r="C439" s="83"/>
      <c r="D439" s="83"/>
      <c r="E439" s="83"/>
      <c r="F439" s="83"/>
      <c r="G439" s="83"/>
      <c r="H439" s="83"/>
      <c r="I439" s="83"/>
      <c r="J439" s="83"/>
      <c r="K439" s="83"/>
      <c r="L439" s="83"/>
      <c r="M439" s="83"/>
      <c r="N439" s="83"/>
      <c r="O439" s="83"/>
      <c r="P439" s="83"/>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c r="C440" s="83"/>
      <c r="D440" s="83"/>
      <c r="E440" s="83"/>
      <c r="F440" s="83"/>
      <c r="G440" s="83"/>
      <c r="H440" s="83"/>
      <c r="I440" s="83"/>
      <c r="J440" s="83"/>
      <c r="K440" s="83"/>
      <c r="L440" s="83"/>
      <c r="M440" s="83"/>
      <c r="N440" s="83"/>
      <c r="O440" s="83"/>
      <c r="P440" s="83"/>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c r="C441" s="83"/>
      <c r="D441" s="83"/>
      <c r="E441" s="83"/>
      <c r="F441" s="83"/>
      <c r="G441" s="83"/>
      <c r="H441" s="83"/>
      <c r="I441" s="83"/>
      <c r="J441" s="83"/>
      <c r="K441" s="83"/>
      <c r="L441" s="83"/>
      <c r="M441" s="83"/>
      <c r="N441" s="83"/>
      <c r="O441" s="83"/>
      <c r="P441" s="83"/>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c r="C442" s="83"/>
      <c r="D442" s="83"/>
      <c r="E442" s="83"/>
      <c r="F442" s="83"/>
      <c r="G442" s="83"/>
      <c r="H442" s="83"/>
      <c r="I442" s="83"/>
      <c r="J442" s="83"/>
      <c r="K442" s="83"/>
      <c r="L442" s="83"/>
      <c r="M442" s="83"/>
      <c r="N442" s="83"/>
      <c r="O442" s="83"/>
      <c r="P442" s="83"/>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c r="C443" s="83"/>
      <c r="D443" s="83"/>
      <c r="E443" s="83"/>
      <c r="F443" s="83"/>
      <c r="G443" s="83"/>
      <c r="H443" s="83"/>
      <c r="I443" s="83"/>
      <c r="J443" s="83"/>
      <c r="K443" s="83"/>
      <c r="L443" s="83"/>
      <c r="M443" s="83"/>
      <c r="N443" s="83"/>
      <c r="O443" s="83"/>
      <c r="P443" s="83"/>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c r="C444" s="83"/>
      <c r="D444" s="83"/>
      <c r="E444" s="83"/>
      <c r="F444" s="83"/>
      <c r="G444" s="83"/>
      <c r="H444" s="83"/>
      <c r="I444" s="83"/>
      <c r="J444" s="83"/>
      <c r="K444" s="83"/>
      <c r="L444" s="83"/>
      <c r="M444" s="83"/>
      <c r="N444" s="83"/>
      <c r="O444" s="83"/>
      <c r="P444" s="83"/>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c r="C445" s="83"/>
      <c r="D445" s="83"/>
      <c r="E445" s="83"/>
      <c r="F445" s="83"/>
      <c r="G445" s="83"/>
      <c r="H445" s="83"/>
      <c r="I445" s="83"/>
      <c r="J445" s="83"/>
      <c r="K445" s="83"/>
      <c r="L445" s="83"/>
      <c r="M445" s="83"/>
      <c r="N445" s="83"/>
      <c r="O445" s="83"/>
      <c r="P445" s="83"/>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c r="C446" s="83"/>
      <c r="D446" s="83"/>
      <c r="E446" s="83"/>
      <c r="F446" s="83"/>
      <c r="G446" s="83"/>
      <c r="H446" s="83"/>
      <c r="I446" s="83"/>
      <c r="J446" s="83"/>
      <c r="K446" s="83"/>
      <c r="L446" s="83"/>
      <c r="M446" s="83"/>
      <c r="N446" s="83"/>
      <c r="O446" s="83"/>
      <c r="P446" s="83"/>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c r="C447" s="83"/>
      <c r="D447" s="83"/>
      <c r="E447" s="83"/>
      <c r="F447" s="83"/>
      <c r="G447" s="83"/>
      <c r="H447" s="83"/>
      <c r="I447" s="83"/>
      <c r="J447" s="83"/>
      <c r="K447" s="83"/>
      <c r="L447" s="83"/>
      <c r="M447" s="83"/>
      <c r="N447" s="83"/>
      <c r="O447" s="83"/>
      <c r="P447" s="83"/>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c r="C448" s="83"/>
      <c r="D448" s="83"/>
      <c r="E448" s="83"/>
      <c r="F448" s="83"/>
      <c r="G448" s="83"/>
      <c r="H448" s="83"/>
      <c r="I448" s="83"/>
      <c r="J448" s="83"/>
      <c r="K448" s="83"/>
      <c r="L448" s="83"/>
      <c r="M448" s="83"/>
      <c r="N448" s="83"/>
      <c r="O448" s="83"/>
      <c r="P448" s="83"/>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c r="C449" s="83"/>
      <c r="D449" s="83"/>
      <c r="E449" s="83"/>
      <c r="F449" s="83"/>
      <c r="G449" s="83"/>
      <c r="H449" s="83"/>
      <c r="I449" s="83"/>
      <c r="J449" s="83"/>
      <c r="K449" s="83"/>
      <c r="L449" s="83"/>
      <c r="M449" s="83"/>
      <c r="N449" s="83"/>
      <c r="O449" s="83"/>
      <c r="P449" s="83"/>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c r="C450" s="83"/>
      <c r="D450" s="83"/>
      <c r="E450" s="83"/>
      <c r="F450" s="83"/>
      <c r="G450" s="83"/>
      <c r="H450" s="83"/>
      <c r="I450" s="83"/>
      <c r="J450" s="83"/>
      <c r="K450" s="83"/>
      <c r="L450" s="83"/>
      <c r="M450" s="83"/>
      <c r="N450" s="83"/>
      <c r="O450" s="83"/>
      <c r="P450" s="83"/>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c r="C451" s="83"/>
      <c r="D451" s="83"/>
      <c r="E451" s="83"/>
      <c r="F451" s="83"/>
      <c r="G451" s="83"/>
      <c r="H451" s="83"/>
      <c r="I451" s="83"/>
      <c r="J451" s="83"/>
      <c r="K451" s="83"/>
      <c r="L451" s="83"/>
      <c r="M451" s="83"/>
      <c r="N451" s="83"/>
      <c r="O451" s="83"/>
      <c r="P451" s="83"/>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c r="C452" s="83"/>
      <c r="D452" s="83"/>
      <c r="E452" s="83"/>
      <c r="F452" s="83"/>
      <c r="G452" s="83"/>
      <c r="H452" s="83"/>
      <c r="I452" s="83"/>
      <c r="J452" s="83"/>
      <c r="K452" s="83"/>
      <c r="L452" s="83"/>
      <c r="M452" s="83"/>
      <c r="N452" s="83"/>
      <c r="O452" s="83"/>
      <c r="P452" s="83"/>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c r="C453" s="83"/>
      <c r="D453" s="83"/>
      <c r="E453" s="83"/>
      <c r="F453" s="83"/>
      <c r="G453" s="83"/>
      <c r="H453" s="83"/>
      <c r="I453" s="83"/>
      <c r="J453" s="83"/>
      <c r="K453" s="83"/>
      <c r="L453" s="83"/>
      <c r="M453" s="83"/>
      <c r="N453" s="83"/>
      <c r="O453" s="83"/>
      <c r="P453" s="83"/>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c r="C454" s="83"/>
      <c r="D454" s="83"/>
      <c r="E454" s="83"/>
      <c r="F454" s="83"/>
      <c r="G454" s="83"/>
      <c r="H454" s="83"/>
      <c r="I454" s="83"/>
      <c r="J454" s="83"/>
      <c r="K454" s="83"/>
      <c r="L454" s="83"/>
      <c r="M454" s="83"/>
      <c r="N454" s="83"/>
      <c r="O454" s="83"/>
      <c r="P454" s="83"/>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c r="C455" s="83"/>
      <c r="D455" s="83"/>
      <c r="E455" s="83"/>
      <c r="F455" s="83"/>
      <c r="G455" s="83"/>
      <c r="H455" s="83"/>
      <c r="I455" s="83"/>
      <c r="J455" s="83"/>
      <c r="K455" s="83"/>
      <c r="L455" s="83"/>
      <c r="M455" s="83"/>
      <c r="N455" s="83"/>
      <c r="O455" s="83"/>
      <c r="P455" s="83"/>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c r="C456" s="83"/>
      <c r="D456" s="83"/>
      <c r="E456" s="83"/>
      <c r="F456" s="83"/>
      <c r="G456" s="83"/>
      <c r="H456" s="83"/>
      <c r="I456" s="83"/>
      <c r="J456" s="83"/>
      <c r="K456" s="83"/>
      <c r="L456" s="83"/>
      <c r="M456" s="83"/>
      <c r="N456" s="83"/>
      <c r="O456" s="83"/>
      <c r="P456" s="83"/>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c r="C457" s="83"/>
      <c r="D457" s="83"/>
      <c r="E457" s="83"/>
      <c r="F457" s="83"/>
      <c r="G457" s="83"/>
      <c r="H457" s="83"/>
      <c r="I457" s="83"/>
      <c r="J457" s="83"/>
      <c r="K457" s="83"/>
      <c r="L457" s="83"/>
      <c r="M457" s="83"/>
      <c r="N457" s="83"/>
      <c r="O457" s="83"/>
      <c r="P457" s="83"/>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c r="C458" s="83"/>
      <c r="D458" s="83"/>
      <c r="E458" s="83"/>
      <c r="F458" s="83"/>
      <c r="G458" s="83"/>
      <c r="H458" s="83"/>
      <c r="I458" s="83"/>
      <c r="J458" s="83"/>
      <c r="K458" s="83"/>
      <c r="L458" s="83"/>
      <c r="M458" s="83"/>
      <c r="N458" s="83"/>
      <c r="O458" s="83"/>
      <c r="P458" s="83"/>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c r="C459" s="83"/>
      <c r="D459" s="83"/>
      <c r="E459" s="83"/>
      <c r="F459" s="83"/>
      <c r="G459" s="83"/>
      <c r="H459" s="83"/>
      <c r="I459" s="83"/>
      <c r="J459" s="83"/>
      <c r="K459" s="83"/>
      <c r="L459" s="83"/>
      <c r="M459" s="83"/>
      <c r="N459" s="83"/>
      <c r="O459" s="83"/>
      <c r="P459" s="83"/>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c r="C460" s="83"/>
      <c r="D460" s="83"/>
      <c r="E460" s="83"/>
      <c r="F460" s="83"/>
      <c r="G460" s="83"/>
      <c r="H460" s="83"/>
      <c r="I460" s="83"/>
      <c r="J460" s="83"/>
      <c r="K460" s="83"/>
      <c r="L460" s="83"/>
      <c r="M460" s="83"/>
      <c r="N460" s="83"/>
      <c r="O460" s="83"/>
      <c r="P460" s="83"/>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c r="C461" s="83"/>
      <c r="D461" s="83"/>
      <c r="E461" s="83"/>
      <c r="F461" s="83"/>
      <c r="G461" s="83"/>
      <c r="H461" s="83"/>
      <c r="I461" s="83"/>
      <c r="J461" s="83"/>
      <c r="K461" s="83"/>
      <c r="L461" s="83"/>
      <c r="M461" s="83"/>
      <c r="N461" s="83"/>
      <c r="O461" s="83"/>
      <c r="P461" s="83"/>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c r="C462" s="83"/>
      <c r="D462" s="83"/>
      <c r="E462" s="83"/>
      <c r="F462" s="83"/>
      <c r="G462" s="83"/>
      <c r="H462" s="83"/>
      <c r="I462" s="83"/>
      <c r="J462" s="83"/>
      <c r="K462" s="83"/>
      <c r="L462" s="83"/>
      <c r="M462" s="83"/>
      <c r="N462" s="83"/>
      <c r="O462" s="83"/>
      <c r="P462" s="83"/>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c r="C463" s="83"/>
      <c r="D463" s="83"/>
      <c r="E463" s="83"/>
      <c r="F463" s="83"/>
      <c r="G463" s="83"/>
      <c r="H463" s="83"/>
      <c r="I463" s="83"/>
      <c r="J463" s="83"/>
      <c r="K463" s="83"/>
      <c r="L463" s="83"/>
      <c r="M463" s="83"/>
      <c r="N463" s="83"/>
      <c r="O463" s="83"/>
      <c r="P463" s="83"/>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c r="C464" s="83"/>
      <c r="D464" s="83"/>
      <c r="E464" s="83"/>
      <c r="F464" s="83"/>
      <c r="G464" s="83"/>
      <c r="H464" s="83"/>
      <c r="I464" s="83"/>
      <c r="J464" s="83"/>
      <c r="K464" s="83"/>
      <c r="L464" s="83"/>
      <c r="M464" s="83"/>
      <c r="N464" s="83"/>
      <c r="O464" s="83"/>
      <c r="P464" s="83"/>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c r="C465" s="83"/>
      <c r="D465" s="83"/>
      <c r="E465" s="83"/>
      <c r="F465" s="83"/>
      <c r="G465" s="83"/>
      <c r="H465" s="83"/>
      <c r="I465" s="83"/>
      <c r="J465" s="83"/>
      <c r="K465" s="83"/>
      <c r="L465" s="83"/>
      <c r="M465" s="83"/>
      <c r="N465" s="83"/>
      <c r="O465" s="83"/>
      <c r="P465" s="83"/>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c r="C466" s="83"/>
      <c r="D466" s="83"/>
      <c r="E466" s="83"/>
      <c r="F466" s="83"/>
      <c r="G466" s="83"/>
      <c r="H466" s="83"/>
      <c r="I466" s="83"/>
      <c r="J466" s="83"/>
      <c r="K466" s="83"/>
      <c r="L466" s="83"/>
      <c r="M466" s="83"/>
      <c r="N466" s="83"/>
      <c r="O466" s="83"/>
      <c r="P466" s="83"/>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c r="C467" s="83"/>
      <c r="D467" s="83"/>
      <c r="E467" s="83"/>
      <c r="F467" s="83"/>
      <c r="G467" s="83"/>
      <c r="H467" s="83"/>
      <c r="I467" s="83"/>
      <c r="J467" s="83"/>
      <c r="K467" s="83"/>
      <c r="L467" s="83"/>
      <c r="M467" s="83"/>
      <c r="N467" s="83"/>
      <c r="O467" s="83"/>
      <c r="P467" s="83"/>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c r="C468" s="83"/>
      <c r="D468" s="83"/>
      <c r="E468" s="83"/>
      <c r="F468" s="83"/>
      <c r="G468" s="83"/>
      <c r="H468" s="83"/>
      <c r="I468" s="83"/>
      <c r="J468" s="83"/>
      <c r="K468" s="83"/>
      <c r="L468" s="83"/>
      <c r="M468" s="83"/>
      <c r="N468" s="83"/>
      <c r="O468" s="83"/>
      <c r="P468" s="83"/>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c r="C469" s="83"/>
      <c r="D469" s="83"/>
      <c r="E469" s="83"/>
      <c r="F469" s="83"/>
      <c r="G469" s="83"/>
      <c r="H469" s="83"/>
      <c r="I469" s="83"/>
      <c r="J469" s="83"/>
      <c r="K469" s="83"/>
      <c r="L469" s="83"/>
      <c r="M469" s="83"/>
      <c r="N469" s="83"/>
      <c r="O469" s="83"/>
      <c r="P469" s="83"/>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c r="C470" s="83"/>
      <c r="D470" s="83"/>
      <c r="E470" s="83"/>
      <c r="F470" s="83"/>
      <c r="G470" s="83"/>
      <c r="H470" s="83"/>
      <c r="I470" s="83"/>
      <c r="J470" s="83"/>
      <c r="K470" s="83"/>
      <c r="L470" s="83"/>
      <c r="M470" s="83"/>
      <c r="N470" s="83"/>
      <c r="O470" s="83"/>
      <c r="P470" s="83"/>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c r="C471" s="83"/>
      <c r="D471" s="83"/>
      <c r="E471" s="83"/>
      <c r="F471" s="83"/>
      <c r="G471" s="83"/>
      <c r="H471" s="83"/>
      <c r="I471" s="83"/>
      <c r="J471" s="83"/>
      <c r="K471" s="83"/>
      <c r="L471" s="83"/>
      <c r="M471" s="83"/>
      <c r="N471" s="83"/>
      <c r="O471" s="83"/>
      <c r="P471" s="83"/>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c r="C472" s="83"/>
      <c r="D472" s="83"/>
      <c r="E472" s="83"/>
      <c r="F472" s="83"/>
      <c r="G472" s="83"/>
      <c r="H472" s="83"/>
      <c r="I472" s="83"/>
      <c r="J472" s="83"/>
      <c r="K472" s="83"/>
      <c r="L472" s="83"/>
      <c r="M472" s="83"/>
      <c r="N472" s="83"/>
      <c r="O472" s="83"/>
      <c r="P472" s="83"/>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c r="C473" s="83"/>
      <c r="D473" s="83"/>
      <c r="E473" s="83"/>
      <c r="F473" s="83"/>
      <c r="G473" s="83"/>
      <c r="H473" s="83"/>
      <c r="I473" s="83"/>
      <c r="J473" s="83"/>
      <c r="K473" s="83"/>
      <c r="L473" s="83"/>
      <c r="M473" s="83"/>
      <c r="N473" s="83"/>
      <c r="O473" s="83"/>
      <c r="P473" s="83"/>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c r="C474" s="83"/>
      <c r="D474" s="83"/>
      <c r="E474" s="83"/>
      <c r="F474" s="83"/>
      <c r="G474" s="83"/>
      <c r="H474" s="83"/>
      <c r="I474" s="83"/>
      <c r="J474" s="83"/>
      <c r="K474" s="83"/>
      <c r="L474" s="83"/>
      <c r="M474" s="83"/>
      <c r="N474" s="83"/>
      <c r="O474" s="83"/>
      <c r="P474" s="83"/>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c r="C475" s="83"/>
      <c r="D475" s="83"/>
      <c r="E475" s="83"/>
      <c r="F475" s="83"/>
      <c r="G475" s="83"/>
      <c r="H475" s="83"/>
      <c r="I475" s="83"/>
      <c r="J475" s="83"/>
      <c r="K475" s="83"/>
      <c r="L475" s="83"/>
      <c r="M475" s="83"/>
      <c r="N475" s="83"/>
      <c r="O475" s="83"/>
      <c r="P475" s="83"/>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c r="C476" s="83"/>
      <c r="D476" s="83"/>
      <c r="E476" s="83"/>
      <c r="F476" s="83"/>
      <c r="G476" s="83"/>
      <c r="H476" s="83"/>
      <c r="I476" s="83"/>
      <c r="J476" s="83"/>
      <c r="K476" s="83"/>
      <c r="L476" s="83"/>
      <c r="M476" s="83"/>
      <c r="N476" s="83"/>
      <c r="O476" s="83"/>
      <c r="P476" s="83"/>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c r="C477" s="83"/>
      <c r="D477" s="83"/>
      <c r="E477" s="83"/>
      <c r="F477" s="83"/>
      <c r="G477" s="83"/>
      <c r="H477" s="83"/>
      <c r="I477" s="83"/>
      <c r="J477" s="83"/>
      <c r="K477" s="83"/>
      <c r="L477" s="83"/>
      <c r="M477" s="83"/>
      <c r="N477" s="83"/>
      <c r="O477" s="83"/>
      <c r="P477" s="83"/>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c r="C478" s="83"/>
      <c r="D478" s="83"/>
      <c r="E478" s="83"/>
      <c r="F478" s="83"/>
      <c r="G478" s="83"/>
      <c r="H478" s="83"/>
      <c r="I478" s="83"/>
      <c r="J478" s="83"/>
      <c r="K478" s="83"/>
      <c r="L478" s="83"/>
      <c r="M478" s="83"/>
      <c r="N478" s="83"/>
      <c r="O478" s="83"/>
      <c r="P478" s="83"/>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c r="C479" s="83"/>
      <c r="D479" s="83"/>
      <c r="E479" s="83"/>
      <c r="F479" s="83"/>
      <c r="G479" s="83"/>
      <c r="H479" s="83"/>
      <c r="I479" s="83"/>
      <c r="J479" s="83"/>
      <c r="K479" s="83"/>
      <c r="L479" s="83"/>
      <c r="M479" s="83"/>
      <c r="N479" s="83"/>
      <c r="O479" s="83"/>
      <c r="P479" s="83"/>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c r="C480" s="83"/>
      <c r="D480" s="83"/>
      <c r="E480" s="83"/>
      <c r="F480" s="83"/>
      <c r="G480" s="83"/>
      <c r="H480" s="83"/>
      <c r="I480" s="83"/>
      <c r="J480" s="83"/>
      <c r="K480" s="83"/>
      <c r="L480" s="83"/>
      <c r="M480" s="83"/>
      <c r="N480" s="83"/>
      <c r="O480" s="83"/>
      <c r="P480" s="83"/>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c r="C481" s="83"/>
      <c r="D481" s="83"/>
      <c r="E481" s="83"/>
      <c r="F481" s="83"/>
      <c r="G481" s="83"/>
      <c r="H481" s="83"/>
      <c r="I481" s="83"/>
      <c r="J481" s="83"/>
      <c r="K481" s="83"/>
      <c r="L481" s="83"/>
      <c r="M481" s="83"/>
      <c r="N481" s="83"/>
      <c r="O481" s="83"/>
      <c r="P481" s="83"/>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c r="C482" s="83"/>
      <c r="D482" s="83"/>
      <c r="E482" s="83"/>
      <c r="F482" s="83"/>
      <c r="G482" s="83"/>
      <c r="H482" s="83"/>
      <c r="I482" s="83"/>
      <c r="J482" s="83"/>
      <c r="K482" s="83"/>
      <c r="L482" s="83"/>
      <c r="M482" s="83"/>
      <c r="N482" s="83"/>
      <c r="O482" s="83"/>
      <c r="P482" s="83"/>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c r="C483" s="83"/>
      <c r="D483" s="83"/>
      <c r="E483" s="83"/>
      <c r="F483" s="83"/>
      <c r="G483" s="83"/>
      <c r="H483" s="83"/>
      <c r="I483" s="83"/>
      <c r="J483" s="83"/>
      <c r="K483" s="83"/>
      <c r="L483" s="83"/>
      <c r="M483" s="83"/>
      <c r="N483" s="83"/>
      <c r="O483" s="83"/>
      <c r="P483" s="83"/>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c r="C484" s="83"/>
      <c r="D484" s="83"/>
      <c r="E484" s="83"/>
      <c r="F484" s="83"/>
      <c r="G484" s="83"/>
      <c r="H484" s="83"/>
      <c r="I484" s="83"/>
      <c r="J484" s="83"/>
      <c r="K484" s="83"/>
      <c r="L484" s="83"/>
      <c r="M484" s="83"/>
      <c r="N484" s="83"/>
      <c r="O484" s="83"/>
      <c r="P484" s="83"/>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c r="C485" s="83"/>
      <c r="D485" s="83"/>
      <c r="E485" s="83"/>
      <c r="F485" s="83"/>
      <c r="G485" s="83"/>
      <c r="H485" s="83"/>
      <c r="I485" s="83"/>
      <c r="J485" s="83"/>
      <c r="K485" s="83"/>
      <c r="L485" s="83"/>
      <c r="M485" s="83"/>
      <c r="N485" s="83"/>
      <c r="O485" s="83"/>
      <c r="P485" s="83"/>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c r="C486" s="83"/>
      <c r="D486" s="83"/>
      <c r="E486" s="83"/>
      <c r="F486" s="83"/>
      <c r="G486" s="83"/>
      <c r="H486" s="83"/>
      <c r="I486" s="83"/>
      <c r="J486" s="83"/>
      <c r="K486" s="83"/>
      <c r="L486" s="83"/>
      <c r="M486" s="83"/>
      <c r="N486" s="83"/>
      <c r="O486" s="83"/>
      <c r="P486" s="83"/>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c r="C487" s="83"/>
      <c r="D487" s="83"/>
      <c r="E487" s="83"/>
      <c r="F487" s="83"/>
      <c r="G487" s="83"/>
      <c r="H487" s="83"/>
      <c r="I487" s="83"/>
      <c r="J487" s="83"/>
      <c r="K487" s="83"/>
      <c r="L487" s="83"/>
      <c r="M487" s="83"/>
      <c r="N487" s="83"/>
      <c r="O487" s="83"/>
      <c r="P487" s="83"/>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c r="C488" s="83"/>
      <c r="D488" s="83"/>
      <c r="E488" s="83"/>
      <c r="F488" s="83"/>
      <c r="G488" s="83"/>
      <c r="H488" s="83"/>
      <c r="I488" s="83"/>
      <c r="J488" s="83"/>
      <c r="K488" s="83"/>
      <c r="L488" s="83"/>
      <c r="M488" s="83"/>
      <c r="N488" s="83"/>
      <c r="O488" s="83"/>
      <c r="P488" s="83"/>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c r="C489" s="83"/>
      <c r="D489" s="83"/>
      <c r="E489" s="83"/>
      <c r="F489" s="83"/>
      <c r="G489" s="83"/>
      <c r="H489" s="83"/>
      <c r="I489" s="83"/>
      <c r="J489" s="83"/>
      <c r="K489" s="83"/>
      <c r="L489" s="83"/>
      <c r="M489" s="83"/>
      <c r="N489" s="83"/>
      <c r="O489" s="83"/>
      <c r="P489" s="83"/>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c r="C490" s="83"/>
      <c r="D490" s="83"/>
      <c r="E490" s="83"/>
      <c r="F490" s="83"/>
      <c r="G490" s="83"/>
      <c r="H490" s="83"/>
      <c r="I490" s="83"/>
      <c r="J490" s="83"/>
      <c r="K490" s="83"/>
      <c r="L490" s="83"/>
      <c r="M490" s="83"/>
      <c r="N490" s="83"/>
      <c r="O490" s="83"/>
      <c r="P490" s="83"/>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c r="C491" s="83"/>
      <c r="D491" s="83"/>
      <c r="E491" s="83"/>
      <c r="F491" s="83"/>
      <c r="G491" s="83"/>
      <c r="H491" s="83"/>
      <c r="I491" s="83"/>
      <c r="J491" s="83"/>
      <c r="K491" s="83"/>
      <c r="L491" s="83"/>
      <c r="M491" s="83"/>
      <c r="N491" s="83"/>
      <c r="O491" s="83"/>
      <c r="P491" s="83"/>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c r="C492" s="83"/>
      <c r="D492" s="83"/>
      <c r="E492" s="83"/>
      <c r="F492" s="83"/>
      <c r="G492" s="83"/>
      <c r="H492" s="83"/>
      <c r="I492" s="83"/>
      <c r="J492" s="83"/>
      <c r="K492" s="83"/>
      <c r="L492" s="83"/>
      <c r="M492" s="83"/>
      <c r="N492" s="83"/>
      <c r="O492" s="83"/>
      <c r="P492" s="83"/>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c r="C493" s="83"/>
      <c r="D493" s="83"/>
      <c r="E493" s="83"/>
      <c r="F493" s="83"/>
      <c r="G493" s="83"/>
      <c r="H493" s="83"/>
      <c r="I493" s="83"/>
      <c r="J493" s="83"/>
      <c r="K493" s="83"/>
      <c r="L493" s="83"/>
      <c r="M493" s="83"/>
      <c r="N493" s="83"/>
      <c r="O493" s="83"/>
      <c r="P493" s="83"/>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c r="C494" s="83"/>
      <c r="D494" s="83"/>
      <c r="E494" s="83"/>
      <c r="F494" s="83"/>
      <c r="G494" s="83"/>
      <c r="H494" s="83"/>
      <c r="I494" s="83"/>
      <c r="J494" s="83"/>
      <c r="K494" s="83"/>
      <c r="L494" s="83"/>
      <c r="M494" s="83"/>
      <c r="N494" s="83"/>
      <c r="O494" s="83"/>
      <c r="P494" s="83"/>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c r="C495" s="83"/>
      <c r="D495" s="83"/>
      <c r="E495" s="83"/>
      <c r="F495" s="83"/>
      <c r="G495" s="83"/>
      <c r="H495" s="83"/>
      <c r="I495" s="83"/>
      <c r="J495" s="83"/>
      <c r="K495" s="83"/>
      <c r="L495" s="83"/>
      <c r="M495" s="83"/>
      <c r="N495" s="83"/>
      <c r="O495" s="83"/>
      <c r="P495" s="83"/>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c r="C496" s="83"/>
      <c r="D496" s="83"/>
      <c r="E496" s="83"/>
      <c r="F496" s="83"/>
      <c r="G496" s="83"/>
      <c r="H496" s="83"/>
      <c r="I496" s="83"/>
      <c r="J496" s="83"/>
      <c r="K496" s="83"/>
      <c r="L496" s="83"/>
      <c r="M496" s="83"/>
      <c r="N496" s="83"/>
      <c r="O496" s="83"/>
      <c r="P496" s="83"/>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c r="C497" s="83"/>
      <c r="D497" s="83"/>
      <c r="E497" s="83"/>
      <c r="F497" s="83"/>
      <c r="G497" s="83"/>
      <c r="H497" s="83"/>
      <c r="I497" s="83"/>
      <c r="J497" s="83"/>
      <c r="K497" s="83"/>
      <c r="L497" s="83"/>
      <c r="M497" s="83"/>
      <c r="N497" s="83"/>
      <c r="O497" s="83"/>
      <c r="P497" s="83"/>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c r="C498" s="83"/>
      <c r="D498" s="83"/>
      <c r="E498" s="83"/>
      <c r="F498" s="83"/>
      <c r="G498" s="83"/>
      <c r="H498" s="83"/>
      <c r="I498" s="83"/>
      <c r="J498" s="83"/>
      <c r="K498" s="83"/>
      <c r="L498" s="83"/>
      <c r="M498" s="83"/>
      <c r="N498" s="83"/>
      <c r="O498" s="83"/>
      <c r="P498" s="83"/>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c r="C499" s="83"/>
      <c r="D499" s="83"/>
      <c r="E499" s="83"/>
      <c r="F499" s="83"/>
      <c r="G499" s="83"/>
      <c r="H499" s="83"/>
      <c r="I499" s="83"/>
      <c r="J499" s="83"/>
      <c r="K499" s="83"/>
      <c r="L499" s="83"/>
      <c r="M499" s="83"/>
      <c r="N499" s="83"/>
      <c r="O499" s="83"/>
      <c r="P499" s="83"/>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c r="C500" s="83"/>
      <c r="D500" s="83"/>
      <c r="E500" s="83"/>
      <c r="F500" s="83"/>
      <c r="G500" s="83"/>
      <c r="H500" s="83"/>
      <c r="I500" s="83"/>
      <c r="J500" s="83"/>
      <c r="K500" s="83"/>
      <c r="L500" s="83"/>
      <c r="M500" s="83"/>
      <c r="N500" s="83"/>
      <c r="O500" s="83"/>
      <c r="P500" s="83"/>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c r="C501" s="83"/>
      <c r="D501" s="83"/>
      <c r="E501" s="83"/>
      <c r="F501" s="83"/>
      <c r="G501" s="83"/>
      <c r="H501" s="83"/>
      <c r="I501" s="83"/>
      <c r="J501" s="83"/>
      <c r="K501" s="83"/>
      <c r="L501" s="83"/>
      <c r="M501" s="83"/>
      <c r="N501" s="83"/>
      <c r="O501" s="83"/>
      <c r="P501" s="83"/>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c r="C502" s="83"/>
      <c r="D502" s="83"/>
      <c r="E502" s="83"/>
      <c r="F502" s="83"/>
      <c r="G502" s="83"/>
      <c r="H502" s="83"/>
      <c r="I502" s="83"/>
      <c r="J502" s="83"/>
      <c r="K502" s="83"/>
      <c r="L502" s="83"/>
      <c r="M502" s="83"/>
      <c r="N502" s="83"/>
      <c r="O502" s="83"/>
      <c r="P502" s="83"/>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c r="C503" s="83"/>
      <c r="D503" s="83"/>
      <c r="E503" s="83"/>
      <c r="F503" s="83"/>
      <c r="G503" s="83"/>
      <c r="H503" s="83"/>
      <c r="I503" s="83"/>
      <c r="J503" s="83"/>
      <c r="K503" s="83"/>
      <c r="L503" s="83"/>
      <c r="M503" s="83"/>
      <c r="N503" s="83"/>
      <c r="O503" s="83"/>
      <c r="P503" s="83"/>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c r="C504" s="83"/>
      <c r="D504" s="83"/>
      <c r="E504" s="83"/>
      <c r="F504" s="83"/>
      <c r="G504" s="83"/>
      <c r="H504" s="83"/>
      <c r="I504" s="83"/>
      <c r="J504" s="83"/>
      <c r="K504" s="83"/>
      <c r="L504" s="83"/>
      <c r="M504" s="83"/>
      <c r="N504" s="83"/>
      <c r="O504" s="83"/>
      <c r="P504" s="83"/>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c r="C505" s="83"/>
      <c r="D505" s="83"/>
      <c r="E505" s="83"/>
      <c r="F505" s="83"/>
      <c r="G505" s="83"/>
      <c r="H505" s="83"/>
      <c r="I505" s="83"/>
      <c r="J505" s="83"/>
      <c r="K505" s="83"/>
      <c r="L505" s="83"/>
      <c r="M505" s="83"/>
      <c r="N505" s="83"/>
      <c r="O505" s="83"/>
      <c r="P505" s="83"/>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c r="C506" s="83"/>
      <c r="D506" s="83"/>
      <c r="E506" s="83"/>
      <c r="F506" s="83"/>
      <c r="G506" s="83"/>
      <c r="H506" s="83"/>
      <c r="I506" s="83"/>
      <c r="J506" s="83"/>
      <c r="K506" s="83"/>
      <c r="L506" s="83"/>
      <c r="M506" s="83"/>
      <c r="N506" s="83"/>
      <c r="O506" s="83"/>
      <c r="P506" s="83"/>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c r="C507" s="83"/>
      <c r="D507" s="83"/>
      <c r="E507" s="83"/>
      <c r="F507" s="83"/>
      <c r="G507" s="83"/>
      <c r="H507" s="83"/>
      <c r="I507" s="83"/>
      <c r="J507" s="83"/>
      <c r="K507" s="83"/>
      <c r="L507" s="83"/>
      <c r="M507" s="83"/>
      <c r="N507" s="83"/>
      <c r="O507" s="83"/>
      <c r="P507" s="83"/>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c r="C508" s="83"/>
      <c r="D508" s="83"/>
      <c r="E508" s="83"/>
      <c r="F508" s="83"/>
      <c r="G508" s="83"/>
      <c r="H508" s="83"/>
      <c r="I508" s="83"/>
      <c r="J508" s="83"/>
      <c r="K508" s="83"/>
      <c r="L508" s="83"/>
      <c r="M508" s="83"/>
      <c r="N508" s="83"/>
      <c r="O508" s="83"/>
      <c r="P508" s="83"/>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c r="C509" s="83"/>
      <c r="D509" s="83"/>
      <c r="E509" s="83"/>
      <c r="F509" s="83"/>
      <c r="G509" s="83"/>
      <c r="H509" s="83"/>
      <c r="I509" s="83"/>
      <c r="J509" s="83"/>
      <c r="K509" s="83"/>
      <c r="L509" s="83"/>
      <c r="M509" s="83"/>
      <c r="N509" s="83"/>
      <c r="O509" s="83"/>
      <c r="P509" s="83"/>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c r="C510" s="83"/>
      <c r="D510" s="83"/>
      <c r="E510" s="83"/>
      <c r="F510" s="83"/>
      <c r="G510" s="83"/>
      <c r="H510" s="83"/>
      <c r="I510" s="83"/>
      <c r="J510" s="83"/>
      <c r="K510" s="83"/>
      <c r="L510" s="83"/>
      <c r="M510" s="83"/>
      <c r="N510" s="83"/>
      <c r="O510" s="83"/>
      <c r="P510" s="83"/>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c r="C511" s="83"/>
      <c r="D511" s="83"/>
      <c r="E511" s="83"/>
      <c r="F511" s="83"/>
      <c r="G511" s="83"/>
      <c r="H511" s="83"/>
      <c r="I511" s="83"/>
      <c r="J511" s="83"/>
      <c r="K511" s="83"/>
      <c r="L511" s="83"/>
      <c r="M511" s="83"/>
      <c r="N511" s="83"/>
      <c r="O511" s="83"/>
      <c r="P511" s="83"/>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c r="C512" s="83"/>
      <c r="D512" s="83"/>
      <c r="E512" s="83"/>
      <c r="F512" s="83"/>
      <c r="G512" s="83"/>
      <c r="H512" s="83"/>
      <c r="I512" s="83"/>
      <c r="J512" s="83"/>
      <c r="K512" s="83"/>
      <c r="L512" s="83"/>
      <c r="M512" s="83"/>
      <c r="N512" s="83"/>
      <c r="O512" s="83"/>
      <c r="P512" s="83"/>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c r="C513" s="83"/>
      <c r="D513" s="83"/>
      <c r="E513" s="83"/>
      <c r="F513" s="83"/>
      <c r="G513" s="83"/>
      <c r="H513" s="83"/>
      <c r="I513" s="83"/>
      <c r="J513" s="83"/>
      <c r="K513" s="83"/>
      <c r="L513" s="83"/>
      <c r="M513" s="83"/>
      <c r="N513" s="83"/>
      <c r="O513" s="83"/>
      <c r="P513" s="83"/>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row r="514" spans="3:50">
      <c r="C514" s="83"/>
      <c r="D514" s="83"/>
      <c r="E514" s="83"/>
      <c r="F514" s="83"/>
      <c r="G514" s="83"/>
      <c r="H514" s="83"/>
      <c r="I514" s="83"/>
      <c r="J514" s="83"/>
      <c r="K514" s="83"/>
      <c r="L514" s="83"/>
      <c r="M514" s="83"/>
      <c r="N514" s="83"/>
      <c r="O514" s="83"/>
      <c r="P514" s="83"/>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c r="AO514" s="82"/>
      <c r="AP514" s="82"/>
      <c r="AQ514" s="82"/>
      <c r="AR514" s="82"/>
      <c r="AS514" s="82"/>
      <c r="AT514" s="82"/>
      <c r="AU514" s="82"/>
      <c r="AV514" s="82"/>
      <c r="AW514" s="82"/>
      <c r="AX514" s="82"/>
    </row>
    <row r="515" spans="3:50">
      <c r="C515" s="83"/>
      <c r="D515" s="83"/>
      <c r="E515" s="83"/>
      <c r="F515" s="83"/>
      <c r="G515" s="83"/>
      <c r="H515" s="83"/>
      <c r="I515" s="83"/>
      <c r="J515" s="83"/>
      <c r="K515" s="83"/>
      <c r="L515" s="83"/>
      <c r="M515" s="83"/>
      <c r="N515" s="83"/>
      <c r="O515" s="83"/>
      <c r="P515" s="83"/>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c r="AO515" s="82"/>
      <c r="AP515" s="82"/>
      <c r="AQ515" s="82"/>
      <c r="AR515" s="82"/>
      <c r="AS515" s="82"/>
      <c r="AT515" s="82"/>
      <c r="AU515" s="82"/>
      <c r="AV515" s="82"/>
      <c r="AW515" s="82"/>
      <c r="AX515" s="82"/>
    </row>
    <row r="516" spans="3:50">
      <c r="C516" s="83"/>
      <c r="D516" s="83"/>
      <c r="E516" s="83"/>
      <c r="F516" s="83"/>
      <c r="G516" s="83"/>
      <c r="H516" s="83"/>
      <c r="I516" s="83"/>
      <c r="J516" s="83"/>
      <c r="K516" s="83"/>
      <c r="L516" s="83"/>
      <c r="M516" s="83"/>
      <c r="N516" s="83"/>
      <c r="O516" s="83"/>
      <c r="P516" s="83"/>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c r="AO516" s="82"/>
      <c r="AP516" s="82"/>
      <c r="AQ516" s="82"/>
      <c r="AR516" s="82"/>
      <c r="AS516" s="82"/>
      <c r="AT516" s="82"/>
      <c r="AU516" s="82"/>
      <c r="AV516" s="82"/>
      <c r="AW516" s="82"/>
      <c r="AX516" s="82"/>
    </row>
    <row r="517" spans="3:50">
      <c r="C517" s="83"/>
      <c r="D517" s="83"/>
      <c r="E517" s="83"/>
      <c r="F517" s="83"/>
      <c r="G517" s="83"/>
      <c r="H517" s="83"/>
      <c r="I517" s="83"/>
      <c r="J517" s="83"/>
      <c r="K517" s="83"/>
      <c r="L517" s="83"/>
      <c r="M517" s="83"/>
      <c r="N517" s="83"/>
      <c r="O517" s="83"/>
      <c r="P517" s="83"/>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c r="AO517" s="82"/>
      <c r="AP517" s="82"/>
      <c r="AQ517" s="82"/>
      <c r="AR517" s="82"/>
      <c r="AS517" s="82"/>
      <c r="AT517" s="82"/>
      <c r="AU517" s="82"/>
      <c r="AV517" s="82"/>
      <c r="AW517" s="82"/>
      <c r="AX517" s="82"/>
    </row>
    <row r="518" spans="3:50">
      <c r="C518" s="83"/>
      <c r="D518" s="83"/>
      <c r="E518" s="83"/>
      <c r="F518" s="83"/>
      <c r="G518" s="83"/>
      <c r="H518" s="83"/>
      <c r="I518" s="83"/>
      <c r="J518" s="83"/>
      <c r="K518" s="83"/>
      <c r="L518" s="83"/>
      <c r="M518" s="83"/>
      <c r="N518" s="83"/>
      <c r="O518" s="83"/>
      <c r="P518" s="83"/>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c r="AO518" s="82"/>
      <c r="AP518" s="82"/>
      <c r="AQ518" s="82"/>
      <c r="AR518" s="82"/>
      <c r="AS518" s="82"/>
      <c r="AT518" s="82"/>
      <c r="AU518" s="82"/>
      <c r="AV518" s="82"/>
      <c r="AW518" s="82"/>
      <c r="AX518" s="82"/>
    </row>
    <row r="519" spans="3:50">
      <c r="C519" s="83"/>
      <c r="D519" s="83"/>
      <c r="E519" s="83"/>
      <c r="F519" s="83"/>
      <c r="G519" s="83"/>
      <c r="H519" s="83"/>
      <c r="I519" s="83"/>
      <c r="J519" s="83"/>
      <c r="K519" s="83"/>
      <c r="L519" s="83"/>
      <c r="M519" s="83"/>
      <c r="N519" s="83"/>
      <c r="O519" s="83"/>
      <c r="P519" s="83"/>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c r="AO519" s="82"/>
      <c r="AP519" s="82"/>
      <c r="AQ519" s="82"/>
      <c r="AR519" s="82"/>
      <c r="AS519" s="82"/>
      <c r="AT519" s="82"/>
      <c r="AU519" s="82"/>
      <c r="AV519" s="82"/>
      <c r="AW519" s="82"/>
      <c r="AX519" s="82"/>
    </row>
    <row r="520" spans="3:50">
      <c r="C520" s="83"/>
      <c r="D520" s="83"/>
      <c r="E520" s="83"/>
      <c r="F520" s="83"/>
      <c r="G520" s="83"/>
      <c r="H520" s="83"/>
      <c r="I520" s="83"/>
      <c r="J520" s="83"/>
      <c r="K520" s="83"/>
      <c r="L520" s="83"/>
      <c r="M520" s="83"/>
      <c r="N520" s="83"/>
      <c r="O520" s="83"/>
      <c r="P520" s="83"/>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c r="AO520" s="82"/>
      <c r="AP520" s="82"/>
      <c r="AQ520" s="82"/>
      <c r="AR520" s="82"/>
      <c r="AS520" s="82"/>
      <c r="AT520" s="82"/>
      <c r="AU520" s="82"/>
      <c r="AV520" s="82"/>
      <c r="AW520" s="82"/>
      <c r="AX520" s="82"/>
    </row>
    <row r="521" spans="3:50">
      <c r="C521" s="83"/>
      <c r="D521" s="83"/>
      <c r="E521" s="83"/>
      <c r="F521" s="83"/>
      <c r="G521" s="83"/>
      <c r="H521" s="83"/>
      <c r="I521" s="83"/>
      <c r="J521" s="83"/>
      <c r="K521" s="83"/>
      <c r="L521" s="83"/>
      <c r="M521" s="83"/>
      <c r="N521" s="83"/>
      <c r="O521" s="83"/>
      <c r="P521" s="83"/>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c r="AO521" s="82"/>
      <c r="AP521" s="82"/>
      <c r="AQ521" s="82"/>
      <c r="AR521" s="82"/>
      <c r="AS521" s="82"/>
      <c r="AT521" s="82"/>
      <c r="AU521" s="82"/>
      <c r="AV521" s="82"/>
      <c r="AW521" s="82"/>
      <c r="AX521" s="82"/>
    </row>
    <row r="522" spans="3:50">
      <c r="C522" s="83"/>
      <c r="D522" s="83"/>
      <c r="E522" s="83"/>
      <c r="F522" s="83"/>
      <c r="G522" s="83"/>
      <c r="H522" s="83"/>
      <c r="I522" s="83"/>
      <c r="J522" s="83"/>
      <c r="K522" s="83"/>
      <c r="L522" s="83"/>
      <c r="M522" s="83"/>
      <c r="N522" s="83"/>
      <c r="O522" s="83"/>
      <c r="P522" s="83"/>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c r="AO522" s="82"/>
      <c r="AP522" s="82"/>
      <c r="AQ522" s="82"/>
      <c r="AR522" s="82"/>
      <c r="AS522" s="82"/>
      <c r="AT522" s="82"/>
      <c r="AU522" s="82"/>
      <c r="AV522" s="82"/>
      <c r="AW522" s="82"/>
      <c r="AX522" s="82"/>
    </row>
    <row r="523" spans="3:50">
      <c r="C523" s="83"/>
      <c r="D523" s="83"/>
      <c r="E523" s="83"/>
      <c r="F523" s="83"/>
      <c r="G523" s="83"/>
      <c r="H523" s="83"/>
      <c r="I523" s="83"/>
      <c r="J523" s="83"/>
      <c r="K523" s="83"/>
      <c r="L523" s="83"/>
      <c r="M523" s="83"/>
      <c r="N523" s="83"/>
      <c r="O523" s="83"/>
      <c r="P523" s="83"/>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c r="AO523" s="82"/>
      <c r="AP523" s="82"/>
      <c r="AQ523" s="82"/>
      <c r="AR523" s="82"/>
      <c r="AS523" s="82"/>
      <c r="AT523" s="82"/>
      <c r="AU523" s="82"/>
      <c r="AV523" s="82"/>
      <c r="AW523" s="82"/>
      <c r="AX523" s="82"/>
    </row>
    <row r="524" spans="3:50">
      <c r="C524" s="83"/>
      <c r="D524" s="83"/>
      <c r="E524" s="83"/>
      <c r="F524" s="83"/>
      <c r="G524" s="83"/>
      <c r="H524" s="83"/>
      <c r="I524" s="83"/>
      <c r="J524" s="83"/>
      <c r="K524" s="83"/>
      <c r="L524" s="83"/>
      <c r="M524" s="83"/>
      <c r="N524" s="83"/>
      <c r="O524" s="83"/>
      <c r="P524" s="83"/>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c r="AO524" s="82"/>
      <c r="AP524" s="82"/>
      <c r="AQ524" s="82"/>
      <c r="AR524" s="82"/>
      <c r="AS524" s="82"/>
      <c r="AT524" s="82"/>
      <c r="AU524" s="82"/>
      <c r="AV524" s="82"/>
      <c r="AW524" s="82"/>
      <c r="AX524" s="82"/>
    </row>
    <row r="525" spans="3:50">
      <c r="C525" s="83"/>
      <c r="D525" s="83"/>
      <c r="E525" s="83"/>
      <c r="F525" s="83"/>
      <c r="G525" s="83"/>
      <c r="H525" s="83"/>
      <c r="I525" s="83"/>
      <c r="J525" s="83"/>
      <c r="K525" s="83"/>
      <c r="L525" s="83"/>
      <c r="M525" s="83"/>
      <c r="N525" s="83"/>
      <c r="O525" s="83"/>
      <c r="P525" s="83"/>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c r="AO525" s="82"/>
      <c r="AP525" s="82"/>
      <c r="AQ525" s="82"/>
      <c r="AR525" s="82"/>
      <c r="AS525" s="82"/>
      <c r="AT525" s="82"/>
      <c r="AU525" s="82"/>
      <c r="AV525" s="82"/>
      <c r="AW525" s="82"/>
      <c r="AX525" s="82"/>
    </row>
    <row r="526" spans="3:50">
      <c r="C526" s="83"/>
      <c r="D526" s="83"/>
      <c r="E526" s="83"/>
      <c r="F526" s="83"/>
      <c r="G526" s="83"/>
      <c r="H526" s="83"/>
      <c r="I526" s="83"/>
      <c r="J526" s="83"/>
      <c r="K526" s="83"/>
      <c r="L526" s="83"/>
      <c r="M526" s="83"/>
      <c r="N526" s="83"/>
      <c r="O526" s="83"/>
      <c r="P526" s="83"/>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c r="AO526" s="82"/>
      <c r="AP526" s="82"/>
      <c r="AQ526" s="82"/>
      <c r="AR526" s="82"/>
      <c r="AS526" s="82"/>
      <c r="AT526" s="82"/>
      <c r="AU526" s="82"/>
      <c r="AV526" s="82"/>
      <c r="AW526" s="82"/>
      <c r="AX526" s="82"/>
    </row>
    <row r="527" spans="3:50">
      <c r="C527" s="83"/>
      <c r="D527" s="83"/>
      <c r="E527" s="83"/>
      <c r="F527" s="83"/>
      <c r="G527" s="83"/>
      <c r="H527" s="83"/>
      <c r="I527" s="83"/>
      <c r="J527" s="83"/>
      <c r="K527" s="83"/>
      <c r="L527" s="83"/>
      <c r="M527" s="83"/>
      <c r="N527" s="83"/>
      <c r="O527" s="83"/>
      <c r="P527" s="83"/>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c r="AO527" s="82"/>
      <c r="AP527" s="82"/>
      <c r="AQ527" s="82"/>
      <c r="AR527" s="82"/>
      <c r="AS527" s="82"/>
      <c r="AT527" s="82"/>
      <c r="AU527" s="82"/>
      <c r="AV527" s="82"/>
      <c r="AW527" s="82"/>
      <c r="AX527" s="82"/>
    </row>
    <row r="528" spans="3:50">
      <c r="C528" s="83"/>
      <c r="D528" s="83"/>
      <c r="E528" s="83"/>
      <c r="F528" s="83"/>
      <c r="G528" s="83"/>
      <c r="H528" s="83"/>
      <c r="I528" s="83"/>
      <c r="J528" s="83"/>
      <c r="K528" s="83"/>
      <c r="L528" s="83"/>
      <c r="M528" s="83"/>
      <c r="N528" s="83"/>
      <c r="O528" s="83"/>
      <c r="P528" s="83"/>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c r="AO528" s="82"/>
      <c r="AP528" s="82"/>
      <c r="AQ528" s="82"/>
      <c r="AR528" s="82"/>
      <c r="AS528" s="82"/>
      <c r="AT528" s="82"/>
      <c r="AU528" s="82"/>
      <c r="AV528" s="82"/>
      <c r="AW528" s="82"/>
      <c r="AX528" s="82"/>
    </row>
    <row r="529" spans="3:50">
      <c r="C529" s="83"/>
      <c r="D529" s="83"/>
      <c r="E529" s="83"/>
      <c r="F529" s="83"/>
      <c r="G529" s="83"/>
      <c r="H529" s="83"/>
      <c r="I529" s="83"/>
      <c r="J529" s="83"/>
      <c r="K529" s="83"/>
      <c r="L529" s="83"/>
      <c r="M529" s="83"/>
      <c r="N529" s="83"/>
      <c r="O529" s="83"/>
      <c r="P529" s="83"/>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c r="AO529" s="82"/>
      <c r="AP529" s="82"/>
      <c r="AQ529" s="82"/>
      <c r="AR529" s="82"/>
      <c r="AS529" s="82"/>
      <c r="AT529" s="82"/>
      <c r="AU529" s="82"/>
      <c r="AV529" s="82"/>
      <c r="AW529" s="82"/>
      <c r="AX529" s="82"/>
    </row>
    <row r="530" spans="3:50">
      <c r="C530" s="83"/>
      <c r="D530" s="83"/>
      <c r="E530" s="83"/>
      <c r="F530" s="83"/>
      <c r="G530" s="83"/>
      <c r="H530" s="83"/>
      <c r="I530" s="83"/>
      <c r="J530" s="83"/>
      <c r="K530" s="83"/>
      <c r="L530" s="83"/>
      <c r="M530" s="83"/>
      <c r="N530" s="83"/>
      <c r="O530" s="83"/>
      <c r="P530" s="83"/>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c r="AO530" s="82"/>
      <c r="AP530" s="82"/>
      <c r="AQ530" s="82"/>
      <c r="AR530" s="82"/>
      <c r="AS530" s="82"/>
      <c r="AT530" s="82"/>
      <c r="AU530" s="82"/>
      <c r="AV530" s="82"/>
      <c r="AW530" s="82"/>
      <c r="AX530" s="82"/>
    </row>
    <row r="531" spans="3:50">
      <c r="C531" s="83"/>
      <c r="D531" s="83"/>
      <c r="E531" s="83"/>
      <c r="F531" s="83"/>
      <c r="G531" s="83"/>
      <c r="H531" s="83"/>
      <c r="I531" s="83"/>
      <c r="J531" s="83"/>
      <c r="K531" s="83"/>
      <c r="L531" s="83"/>
      <c r="M531" s="83"/>
      <c r="N531" s="83"/>
      <c r="O531" s="83"/>
      <c r="P531" s="83"/>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c r="AO531" s="82"/>
      <c r="AP531" s="82"/>
      <c r="AQ531" s="82"/>
      <c r="AR531" s="82"/>
      <c r="AS531" s="82"/>
      <c r="AT531" s="82"/>
      <c r="AU531" s="82"/>
      <c r="AV531" s="82"/>
      <c r="AW531" s="82"/>
      <c r="AX531" s="82"/>
    </row>
    <row r="532" spans="3:50">
      <c r="C532" s="83"/>
      <c r="D532" s="83"/>
      <c r="E532" s="83"/>
      <c r="F532" s="83"/>
      <c r="G532" s="83"/>
      <c r="H532" s="83"/>
      <c r="I532" s="83"/>
      <c r="J532" s="83"/>
      <c r="K532" s="83"/>
      <c r="L532" s="83"/>
      <c r="M532" s="83"/>
      <c r="N532" s="83"/>
      <c r="O532" s="83"/>
      <c r="P532" s="83"/>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c r="AO532" s="82"/>
      <c r="AP532" s="82"/>
      <c r="AQ532" s="82"/>
      <c r="AR532" s="82"/>
      <c r="AS532" s="82"/>
      <c r="AT532" s="82"/>
      <c r="AU532" s="82"/>
      <c r="AV532" s="82"/>
      <c r="AW532" s="82"/>
      <c r="AX532" s="82"/>
    </row>
    <row r="533" spans="3:50">
      <c r="C533" s="83"/>
      <c r="D533" s="83"/>
      <c r="E533" s="83"/>
      <c r="F533" s="83"/>
      <c r="G533" s="83"/>
      <c r="H533" s="83"/>
      <c r="I533" s="83"/>
      <c r="J533" s="83"/>
      <c r="K533" s="83"/>
      <c r="L533" s="83"/>
      <c r="M533" s="83"/>
      <c r="N533" s="83"/>
      <c r="O533" s="83"/>
      <c r="P533" s="83"/>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c r="AO533" s="82"/>
      <c r="AP533" s="82"/>
      <c r="AQ533" s="82"/>
      <c r="AR533" s="82"/>
      <c r="AS533" s="82"/>
      <c r="AT533" s="82"/>
      <c r="AU533" s="82"/>
      <c r="AV533" s="82"/>
      <c r="AW533" s="82"/>
      <c r="AX533" s="82"/>
    </row>
    <row r="534" spans="3:50">
      <c r="C534" s="83"/>
      <c r="D534" s="83"/>
      <c r="E534" s="83"/>
      <c r="F534" s="83"/>
      <c r="G534" s="83"/>
      <c r="H534" s="83"/>
      <c r="I534" s="83"/>
      <c r="J534" s="83"/>
      <c r="K534" s="83"/>
      <c r="L534" s="83"/>
      <c r="M534" s="83"/>
      <c r="N534" s="83"/>
      <c r="O534" s="83"/>
      <c r="P534" s="83"/>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c r="AO534" s="82"/>
      <c r="AP534" s="82"/>
      <c r="AQ534" s="82"/>
      <c r="AR534" s="82"/>
      <c r="AS534" s="82"/>
      <c r="AT534" s="82"/>
      <c r="AU534" s="82"/>
      <c r="AV534" s="82"/>
      <c r="AW534" s="82"/>
      <c r="AX534" s="82"/>
    </row>
    <row r="535" spans="3:50">
      <c r="C535" s="83"/>
      <c r="D535" s="83"/>
      <c r="E535" s="83"/>
      <c r="F535" s="83"/>
      <c r="G535" s="83"/>
      <c r="H535" s="83"/>
      <c r="I535" s="83"/>
      <c r="J535" s="83"/>
      <c r="K535" s="83"/>
      <c r="L535" s="83"/>
      <c r="M535" s="83"/>
      <c r="N535" s="83"/>
      <c r="O535" s="83"/>
      <c r="P535" s="83"/>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c r="AO535" s="82"/>
      <c r="AP535" s="82"/>
      <c r="AQ535" s="82"/>
      <c r="AR535" s="82"/>
      <c r="AS535" s="82"/>
      <c r="AT535" s="82"/>
      <c r="AU535" s="82"/>
      <c r="AV535" s="82"/>
      <c r="AW535" s="82"/>
      <c r="AX535" s="82"/>
    </row>
    <row r="536" spans="3:50">
      <c r="C536" s="83"/>
      <c r="D536" s="83"/>
      <c r="E536" s="83"/>
      <c r="F536" s="83"/>
      <c r="G536" s="83"/>
      <c r="H536" s="83"/>
      <c r="I536" s="83"/>
      <c r="J536" s="83"/>
      <c r="K536" s="83"/>
      <c r="L536" s="83"/>
      <c r="M536" s="83"/>
      <c r="N536" s="83"/>
      <c r="O536" s="83"/>
      <c r="P536" s="83"/>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c r="AO536" s="82"/>
      <c r="AP536" s="82"/>
      <c r="AQ536" s="82"/>
      <c r="AR536" s="82"/>
      <c r="AS536" s="82"/>
      <c r="AT536" s="82"/>
      <c r="AU536" s="82"/>
      <c r="AV536" s="82"/>
      <c r="AW536" s="82"/>
      <c r="AX536" s="82"/>
    </row>
    <row r="537" spans="3:50">
      <c r="C537" s="83"/>
      <c r="D537" s="83"/>
      <c r="E537" s="83"/>
      <c r="F537" s="83"/>
      <c r="G537" s="83"/>
      <c r="H537" s="83"/>
      <c r="I537" s="83"/>
      <c r="J537" s="83"/>
      <c r="K537" s="83"/>
      <c r="L537" s="83"/>
      <c r="M537" s="83"/>
      <c r="N537" s="83"/>
      <c r="O537" s="83"/>
      <c r="P537" s="83"/>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c r="AO537" s="82"/>
      <c r="AP537" s="82"/>
      <c r="AQ537" s="82"/>
      <c r="AR537" s="82"/>
      <c r="AS537" s="82"/>
      <c r="AT537" s="82"/>
      <c r="AU537" s="82"/>
      <c r="AV537" s="82"/>
      <c r="AW537" s="82"/>
      <c r="AX537" s="82"/>
    </row>
    <row r="538" spans="3:50">
      <c r="C538" s="83"/>
      <c r="D538" s="83"/>
      <c r="E538" s="83"/>
      <c r="F538" s="83"/>
      <c r="G538" s="83"/>
      <c r="H538" s="83"/>
      <c r="I538" s="83"/>
      <c r="J538" s="83"/>
      <c r="K538" s="83"/>
      <c r="L538" s="83"/>
      <c r="M538" s="83"/>
      <c r="N538" s="83"/>
      <c r="O538" s="83"/>
      <c r="P538" s="83"/>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c r="AO538" s="82"/>
      <c r="AP538" s="82"/>
      <c r="AQ538" s="82"/>
      <c r="AR538" s="82"/>
      <c r="AS538" s="82"/>
      <c r="AT538" s="82"/>
      <c r="AU538" s="82"/>
      <c r="AV538" s="82"/>
      <c r="AW538" s="82"/>
      <c r="AX538" s="82"/>
    </row>
    <row r="539" spans="3:50">
      <c r="C539" s="83"/>
      <c r="D539" s="83"/>
      <c r="E539" s="83"/>
      <c r="F539" s="83"/>
      <c r="G539" s="83"/>
      <c r="H539" s="83"/>
      <c r="I539" s="83"/>
      <c r="J539" s="83"/>
      <c r="K539" s="83"/>
      <c r="L539" s="83"/>
      <c r="M539" s="83"/>
      <c r="N539" s="83"/>
      <c r="O539" s="83"/>
      <c r="P539" s="83"/>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c r="AO539" s="82"/>
      <c r="AP539" s="82"/>
      <c r="AQ539" s="82"/>
      <c r="AR539" s="82"/>
      <c r="AS539" s="82"/>
      <c r="AT539" s="82"/>
      <c r="AU539" s="82"/>
      <c r="AV539" s="82"/>
      <c r="AW539" s="82"/>
      <c r="AX539" s="82"/>
    </row>
    <row r="540" spans="3:50">
      <c r="C540" s="83"/>
      <c r="D540" s="83"/>
      <c r="E540" s="83"/>
      <c r="F540" s="83"/>
      <c r="G540" s="83"/>
      <c r="H540" s="83"/>
      <c r="I540" s="83"/>
      <c r="J540" s="83"/>
      <c r="K540" s="83"/>
      <c r="L540" s="83"/>
      <c r="M540" s="83"/>
      <c r="N540" s="83"/>
      <c r="O540" s="83"/>
      <c r="P540" s="83"/>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c r="AO540" s="82"/>
      <c r="AP540" s="82"/>
      <c r="AQ540" s="82"/>
      <c r="AR540" s="82"/>
      <c r="AS540" s="82"/>
      <c r="AT540" s="82"/>
      <c r="AU540" s="82"/>
      <c r="AV540" s="82"/>
      <c r="AW540" s="82"/>
      <c r="AX540" s="82"/>
    </row>
    <row r="541" spans="3:50">
      <c r="C541" s="83"/>
      <c r="D541" s="83"/>
      <c r="E541" s="83"/>
      <c r="F541" s="83"/>
      <c r="G541" s="83"/>
      <c r="H541" s="83"/>
      <c r="I541" s="83"/>
      <c r="J541" s="83"/>
      <c r="K541" s="83"/>
      <c r="L541" s="83"/>
      <c r="M541" s="83"/>
      <c r="N541" s="83"/>
      <c r="O541" s="83"/>
      <c r="P541" s="83"/>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c r="AO541" s="82"/>
      <c r="AP541" s="82"/>
      <c r="AQ541" s="82"/>
      <c r="AR541" s="82"/>
      <c r="AS541" s="82"/>
      <c r="AT541" s="82"/>
      <c r="AU541" s="82"/>
      <c r="AV541" s="82"/>
      <c r="AW541" s="82"/>
      <c r="AX541" s="82"/>
    </row>
    <row r="542" spans="3:50">
      <c r="C542" s="83"/>
      <c r="D542" s="83"/>
      <c r="E542" s="83"/>
      <c r="F542" s="83"/>
      <c r="G542" s="83"/>
      <c r="H542" s="83"/>
      <c r="I542" s="83"/>
      <c r="J542" s="83"/>
      <c r="K542" s="83"/>
      <c r="L542" s="83"/>
      <c r="M542" s="83"/>
      <c r="N542" s="83"/>
      <c r="O542" s="83"/>
      <c r="P542" s="83"/>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c r="AO542" s="82"/>
      <c r="AP542" s="82"/>
      <c r="AQ542" s="82"/>
      <c r="AR542" s="82"/>
      <c r="AS542" s="82"/>
      <c r="AT542" s="82"/>
      <c r="AU542" s="82"/>
      <c r="AV542" s="82"/>
      <c r="AW542" s="82"/>
      <c r="AX542" s="82"/>
    </row>
    <row r="543" spans="3:50">
      <c r="C543" s="83"/>
      <c r="D543" s="83"/>
      <c r="E543" s="83"/>
      <c r="F543" s="83"/>
      <c r="G543" s="83"/>
      <c r="H543" s="83"/>
      <c r="I543" s="83"/>
      <c r="J543" s="83"/>
      <c r="K543" s="83"/>
      <c r="L543" s="83"/>
      <c r="M543" s="83"/>
      <c r="N543" s="83"/>
      <c r="O543" s="83"/>
      <c r="P543" s="83"/>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c r="AO543" s="82"/>
      <c r="AP543" s="82"/>
      <c r="AQ543" s="82"/>
      <c r="AR543" s="82"/>
      <c r="AS543" s="82"/>
      <c r="AT543" s="82"/>
      <c r="AU543" s="82"/>
      <c r="AV543" s="82"/>
      <c r="AW543" s="82"/>
      <c r="AX543" s="82"/>
    </row>
    <row r="544" spans="3:50">
      <c r="C544" s="83"/>
      <c r="D544" s="83"/>
      <c r="E544" s="83"/>
      <c r="F544" s="83"/>
      <c r="G544" s="83"/>
      <c r="H544" s="83"/>
      <c r="I544" s="83"/>
      <c r="J544" s="83"/>
      <c r="K544" s="83"/>
      <c r="L544" s="83"/>
      <c r="M544" s="83"/>
      <c r="N544" s="83"/>
      <c r="O544" s="83"/>
      <c r="P544" s="83"/>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c r="AO544" s="82"/>
      <c r="AP544" s="82"/>
      <c r="AQ544" s="82"/>
      <c r="AR544" s="82"/>
      <c r="AS544" s="82"/>
      <c r="AT544" s="82"/>
      <c r="AU544" s="82"/>
      <c r="AV544" s="82"/>
      <c r="AW544" s="82"/>
      <c r="AX544" s="82"/>
    </row>
    <row r="545" spans="3:50">
      <c r="C545" s="83"/>
      <c r="D545" s="83"/>
      <c r="E545" s="83"/>
      <c r="F545" s="83"/>
      <c r="G545" s="83"/>
      <c r="H545" s="83"/>
      <c r="I545" s="83"/>
      <c r="J545" s="83"/>
      <c r="K545" s="83"/>
      <c r="L545" s="83"/>
      <c r="M545" s="83"/>
      <c r="N545" s="83"/>
      <c r="O545" s="83"/>
      <c r="P545" s="83"/>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c r="AO545" s="82"/>
      <c r="AP545" s="82"/>
      <c r="AQ545" s="82"/>
      <c r="AR545" s="82"/>
      <c r="AS545" s="82"/>
      <c r="AT545" s="82"/>
      <c r="AU545" s="82"/>
      <c r="AV545" s="82"/>
      <c r="AW545" s="82"/>
      <c r="AX545" s="82"/>
    </row>
    <row r="546" spans="3:50">
      <c r="C546" s="83"/>
      <c r="D546" s="83"/>
      <c r="E546" s="83"/>
      <c r="F546" s="83"/>
      <c r="G546" s="83"/>
      <c r="H546" s="83"/>
      <c r="I546" s="83"/>
      <c r="J546" s="83"/>
      <c r="K546" s="83"/>
      <c r="L546" s="83"/>
      <c r="M546" s="83"/>
      <c r="N546" s="83"/>
      <c r="O546" s="83"/>
      <c r="P546" s="83"/>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c r="AO546" s="82"/>
      <c r="AP546" s="82"/>
      <c r="AQ546" s="82"/>
      <c r="AR546" s="82"/>
      <c r="AS546" s="82"/>
      <c r="AT546" s="82"/>
      <c r="AU546" s="82"/>
      <c r="AV546" s="82"/>
      <c r="AW546" s="82"/>
      <c r="AX546" s="82"/>
    </row>
    <row r="547" spans="3:50">
      <c r="C547" s="83"/>
      <c r="D547" s="83"/>
      <c r="E547" s="83"/>
      <c r="F547" s="83"/>
      <c r="G547" s="83"/>
      <c r="H547" s="83"/>
      <c r="I547" s="83"/>
      <c r="J547" s="83"/>
      <c r="K547" s="83"/>
      <c r="L547" s="83"/>
      <c r="M547" s="83"/>
      <c r="N547" s="83"/>
      <c r="O547" s="83"/>
      <c r="P547" s="83"/>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c r="AO547" s="82"/>
      <c r="AP547" s="82"/>
      <c r="AQ547" s="82"/>
      <c r="AR547" s="82"/>
      <c r="AS547" s="82"/>
      <c r="AT547" s="82"/>
      <c r="AU547" s="82"/>
      <c r="AV547" s="82"/>
      <c r="AW547" s="82"/>
      <c r="AX547" s="82"/>
    </row>
    <row r="548" spans="3:50">
      <c r="C548" s="83"/>
      <c r="D548" s="83"/>
      <c r="E548" s="83"/>
      <c r="F548" s="83"/>
      <c r="G548" s="83"/>
      <c r="H548" s="83"/>
      <c r="I548" s="83"/>
      <c r="J548" s="83"/>
      <c r="K548" s="83"/>
      <c r="L548" s="83"/>
      <c r="M548" s="83"/>
      <c r="N548" s="83"/>
      <c r="O548" s="83"/>
      <c r="P548" s="83"/>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c r="AO548" s="82"/>
      <c r="AP548" s="82"/>
      <c r="AQ548" s="82"/>
      <c r="AR548" s="82"/>
      <c r="AS548" s="82"/>
      <c r="AT548" s="82"/>
      <c r="AU548" s="82"/>
      <c r="AV548" s="82"/>
      <c r="AW548" s="82"/>
      <c r="AX548" s="82"/>
    </row>
    <row r="549" spans="3:50">
      <c r="C549" s="83"/>
      <c r="D549" s="83"/>
      <c r="E549" s="83"/>
      <c r="F549" s="83"/>
      <c r="G549" s="83"/>
      <c r="H549" s="83"/>
      <c r="I549" s="83"/>
      <c r="J549" s="83"/>
      <c r="K549" s="83"/>
      <c r="L549" s="83"/>
      <c r="M549" s="83"/>
      <c r="N549" s="83"/>
      <c r="O549" s="83"/>
      <c r="P549" s="83"/>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c r="AO549" s="82"/>
      <c r="AP549" s="82"/>
      <c r="AQ549" s="82"/>
      <c r="AR549" s="82"/>
      <c r="AS549" s="82"/>
      <c r="AT549" s="82"/>
      <c r="AU549" s="82"/>
      <c r="AV549" s="82"/>
      <c r="AW549" s="82"/>
      <c r="AX549" s="82"/>
    </row>
    <row r="550" spans="3:50">
      <c r="C550" s="83"/>
      <c r="D550" s="83"/>
      <c r="E550" s="83"/>
      <c r="F550" s="83"/>
      <c r="G550" s="83"/>
      <c r="H550" s="83"/>
      <c r="I550" s="83"/>
      <c r="J550" s="83"/>
      <c r="K550" s="83"/>
      <c r="L550" s="83"/>
      <c r="M550" s="83"/>
      <c r="N550" s="83"/>
      <c r="O550" s="83"/>
      <c r="P550" s="83"/>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c r="AO550" s="82"/>
      <c r="AP550" s="82"/>
      <c r="AQ550" s="82"/>
      <c r="AR550" s="82"/>
      <c r="AS550" s="82"/>
      <c r="AT550" s="82"/>
      <c r="AU550" s="82"/>
      <c r="AV550" s="82"/>
      <c r="AW550" s="82"/>
      <c r="AX550" s="82"/>
    </row>
    <row r="551" spans="3:50">
      <c r="C551" s="83"/>
      <c r="D551" s="83"/>
      <c r="E551" s="83"/>
      <c r="F551" s="83"/>
      <c r="G551" s="83"/>
      <c r="H551" s="83"/>
      <c r="I551" s="83"/>
      <c r="J551" s="83"/>
      <c r="K551" s="83"/>
      <c r="L551" s="83"/>
      <c r="M551" s="83"/>
      <c r="N551" s="83"/>
      <c r="O551" s="83"/>
      <c r="P551" s="83"/>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c r="AO551" s="82"/>
      <c r="AP551" s="82"/>
      <c r="AQ551" s="82"/>
      <c r="AR551" s="82"/>
      <c r="AS551" s="82"/>
      <c r="AT551" s="82"/>
      <c r="AU551" s="82"/>
      <c r="AV551" s="82"/>
      <c r="AW551" s="82"/>
      <c r="AX551" s="82"/>
    </row>
    <row r="552" spans="3:50">
      <c r="C552" s="83"/>
      <c r="D552" s="83"/>
      <c r="E552" s="83"/>
      <c r="F552" s="83"/>
      <c r="G552" s="83"/>
      <c r="H552" s="83"/>
      <c r="I552" s="83"/>
      <c r="J552" s="83"/>
      <c r="K552" s="83"/>
      <c r="L552" s="83"/>
      <c r="M552" s="83"/>
      <c r="N552" s="83"/>
      <c r="O552" s="83"/>
      <c r="P552" s="83"/>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c r="AO552" s="82"/>
      <c r="AP552" s="82"/>
      <c r="AQ552" s="82"/>
      <c r="AR552" s="82"/>
      <c r="AS552" s="82"/>
      <c r="AT552" s="82"/>
      <c r="AU552" s="82"/>
      <c r="AV552" s="82"/>
      <c r="AW552" s="82"/>
      <c r="AX552" s="82"/>
    </row>
    <row r="553" spans="3:50">
      <c r="C553" s="83"/>
      <c r="D553" s="83"/>
      <c r="E553" s="83"/>
      <c r="F553" s="83"/>
      <c r="G553" s="83"/>
      <c r="H553" s="83"/>
      <c r="I553" s="83"/>
      <c r="J553" s="83"/>
      <c r="K553" s="83"/>
      <c r="L553" s="83"/>
      <c r="M553" s="83"/>
      <c r="N553" s="83"/>
      <c r="O553" s="83"/>
      <c r="P553" s="83"/>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c r="AO553" s="82"/>
      <c r="AP553" s="82"/>
      <c r="AQ553" s="82"/>
      <c r="AR553" s="82"/>
      <c r="AS553" s="82"/>
      <c r="AT553" s="82"/>
      <c r="AU553" s="82"/>
      <c r="AV553" s="82"/>
      <c r="AW553" s="82"/>
      <c r="AX553" s="82"/>
    </row>
    <row r="554" spans="3:50">
      <c r="C554" s="83"/>
      <c r="D554" s="83"/>
      <c r="E554" s="83"/>
      <c r="F554" s="83"/>
      <c r="G554" s="83"/>
      <c r="H554" s="83"/>
      <c r="I554" s="83"/>
      <c r="J554" s="83"/>
      <c r="K554" s="83"/>
      <c r="L554" s="83"/>
      <c r="M554" s="83"/>
      <c r="N554" s="83"/>
      <c r="O554" s="83"/>
      <c r="P554" s="83"/>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c r="AO554" s="82"/>
      <c r="AP554" s="82"/>
      <c r="AQ554" s="82"/>
      <c r="AR554" s="82"/>
      <c r="AS554" s="82"/>
      <c r="AT554" s="82"/>
      <c r="AU554" s="82"/>
      <c r="AV554" s="82"/>
      <c r="AW554" s="82"/>
      <c r="AX554" s="82"/>
    </row>
    <row r="555" spans="3:50">
      <c r="C555" s="83"/>
      <c r="D555" s="83"/>
      <c r="E555" s="83"/>
      <c r="F555" s="83"/>
      <c r="G555" s="83"/>
      <c r="H555" s="83"/>
      <c r="I555" s="83"/>
      <c r="J555" s="83"/>
      <c r="K555" s="83"/>
      <c r="L555" s="83"/>
      <c r="M555" s="83"/>
      <c r="N555" s="83"/>
      <c r="O555" s="83"/>
      <c r="P555" s="83"/>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c r="AO555" s="82"/>
      <c r="AP555" s="82"/>
      <c r="AQ555" s="82"/>
      <c r="AR555" s="82"/>
      <c r="AS555" s="82"/>
      <c r="AT555" s="82"/>
      <c r="AU555" s="82"/>
      <c r="AV555" s="82"/>
      <c r="AW555" s="82"/>
      <c r="AX555" s="82"/>
    </row>
    <row r="556" spans="3:50">
      <c r="C556" s="83"/>
      <c r="D556" s="83"/>
      <c r="E556" s="83"/>
      <c r="F556" s="83"/>
      <c r="G556" s="83"/>
      <c r="H556" s="83"/>
      <c r="I556" s="83"/>
      <c r="J556" s="83"/>
      <c r="K556" s="83"/>
      <c r="L556" s="83"/>
      <c r="M556" s="83"/>
      <c r="N556" s="83"/>
      <c r="O556" s="83"/>
      <c r="P556" s="83"/>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c r="AO556" s="82"/>
      <c r="AP556" s="82"/>
      <c r="AQ556" s="82"/>
      <c r="AR556" s="82"/>
      <c r="AS556" s="82"/>
      <c r="AT556" s="82"/>
      <c r="AU556" s="82"/>
      <c r="AV556" s="82"/>
      <c r="AW556" s="82"/>
      <c r="AX556" s="82"/>
    </row>
    <row r="557" spans="3:50">
      <c r="C557" s="83"/>
      <c r="D557" s="83"/>
      <c r="E557" s="83"/>
      <c r="F557" s="83"/>
      <c r="G557" s="83"/>
      <c r="H557" s="83"/>
      <c r="I557" s="83"/>
      <c r="J557" s="83"/>
      <c r="K557" s="83"/>
      <c r="L557" s="83"/>
      <c r="M557" s="83"/>
      <c r="N557" s="83"/>
      <c r="O557" s="83"/>
      <c r="P557" s="83"/>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c r="AO557" s="82"/>
      <c r="AP557" s="82"/>
      <c r="AQ557" s="82"/>
      <c r="AR557" s="82"/>
      <c r="AS557" s="82"/>
      <c r="AT557" s="82"/>
      <c r="AU557" s="82"/>
      <c r="AV557" s="82"/>
      <c r="AW557" s="82"/>
      <c r="AX557" s="82"/>
    </row>
    <row r="558" spans="3:50">
      <c r="C558" s="83"/>
      <c r="D558" s="83"/>
      <c r="E558" s="83"/>
      <c r="F558" s="83"/>
      <c r="G558" s="83"/>
      <c r="H558" s="83"/>
      <c r="I558" s="83"/>
      <c r="J558" s="83"/>
      <c r="K558" s="83"/>
      <c r="L558" s="83"/>
      <c r="M558" s="83"/>
      <c r="N558" s="83"/>
      <c r="O558" s="83"/>
      <c r="P558" s="83"/>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c r="AO558" s="82"/>
      <c r="AP558" s="82"/>
      <c r="AQ558" s="82"/>
      <c r="AR558" s="82"/>
      <c r="AS558" s="82"/>
      <c r="AT558" s="82"/>
      <c r="AU558" s="82"/>
      <c r="AV558" s="82"/>
      <c r="AW558" s="82"/>
      <c r="AX558" s="82"/>
    </row>
    <row r="559" spans="3:50">
      <c r="C559" s="83"/>
      <c r="D559" s="83"/>
      <c r="E559" s="83"/>
      <c r="F559" s="83"/>
      <c r="G559" s="83"/>
      <c r="H559" s="83"/>
      <c r="I559" s="83"/>
      <c r="J559" s="83"/>
      <c r="K559" s="83"/>
      <c r="L559" s="83"/>
      <c r="M559" s="83"/>
      <c r="N559" s="83"/>
      <c r="O559" s="83"/>
      <c r="P559" s="83"/>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c r="AO559" s="82"/>
      <c r="AP559" s="82"/>
      <c r="AQ559" s="82"/>
      <c r="AR559" s="82"/>
      <c r="AS559" s="82"/>
      <c r="AT559" s="82"/>
      <c r="AU559" s="82"/>
      <c r="AV559" s="82"/>
      <c r="AW559" s="82"/>
      <c r="AX559" s="82"/>
    </row>
    <row r="560" spans="3:50">
      <c r="C560" s="83"/>
      <c r="D560" s="83"/>
      <c r="E560" s="83"/>
      <c r="F560" s="83"/>
      <c r="G560" s="83"/>
      <c r="H560" s="83"/>
      <c r="I560" s="83"/>
      <c r="J560" s="83"/>
      <c r="K560" s="83"/>
      <c r="L560" s="83"/>
      <c r="M560" s="83"/>
      <c r="N560" s="83"/>
      <c r="O560" s="83"/>
      <c r="P560" s="83"/>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c r="AO560" s="82"/>
      <c r="AP560" s="82"/>
      <c r="AQ560" s="82"/>
      <c r="AR560" s="82"/>
      <c r="AS560" s="82"/>
      <c r="AT560" s="82"/>
      <c r="AU560" s="82"/>
      <c r="AV560" s="82"/>
      <c r="AW560" s="82"/>
      <c r="AX560" s="82"/>
    </row>
    <row r="561" spans="3:50">
      <c r="C561" s="83"/>
      <c r="D561" s="83"/>
      <c r="E561" s="83"/>
      <c r="F561" s="83"/>
      <c r="G561" s="83"/>
      <c r="H561" s="83"/>
      <c r="I561" s="83"/>
      <c r="J561" s="83"/>
      <c r="K561" s="83"/>
      <c r="L561" s="83"/>
      <c r="M561" s="83"/>
      <c r="N561" s="83"/>
      <c r="O561" s="83"/>
      <c r="P561" s="83"/>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c r="AO561" s="82"/>
      <c r="AP561" s="82"/>
      <c r="AQ561" s="82"/>
      <c r="AR561" s="82"/>
      <c r="AS561" s="82"/>
      <c r="AT561" s="82"/>
      <c r="AU561" s="82"/>
      <c r="AV561" s="82"/>
      <c r="AW561" s="82"/>
      <c r="AX561" s="82"/>
    </row>
    <row r="562" spans="3:50">
      <c r="C562" s="83"/>
      <c r="D562" s="83"/>
      <c r="E562" s="83"/>
      <c r="F562" s="83"/>
      <c r="G562" s="83"/>
      <c r="H562" s="83"/>
      <c r="I562" s="83"/>
      <c r="J562" s="83"/>
      <c r="K562" s="83"/>
      <c r="L562" s="83"/>
      <c r="M562" s="83"/>
      <c r="N562" s="83"/>
      <c r="O562" s="83"/>
      <c r="P562" s="83"/>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c r="AO562" s="82"/>
      <c r="AP562" s="82"/>
      <c r="AQ562" s="82"/>
      <c r="AR562" s="82"/>
      <c r="AS562" s="82"/>
      <c r="AT562" s="82"/>
      <c r="AU562" s="82"/>
      <c r="AV562" s="82"/>
      <c r="AW562" s="82"/>
      <c r="AX562" s="82"/>
    </row>
    <row r="563" spans="3:50">
      <c r="C563" s="83"/>
      <c r="D563" s="83"/>
      <c r="E563" s="83"/>
      <c r="F563" s="83"/>
      <c r="G563" s="83"/>
      <c r="H563" s="83"/>
      <c r="I563" s="83"/>
      <c r="J563" s="83"/>
      <c r="K563" s="83"/>
      <c r="L563" s="83"/>
      <c r="M563" s="83"/>
      <c r="N563" s="83"/>
      <c r="O563" s="83"/>
      <c r="P563" s="83"/>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c r="AO563" s="82"/>
      <c r="AP563" s="82"/>
      <c r="AQ563" s="82"/>
      <c r="AR563" s="82"/>
      <c r="AS563" s="82"/>
      <c r="AT563" s="82"/>
      <c r="AU563" s="82"/>
      <c r="AV563" s="82"/>
      <c r="AW563" s="82"/>
      <c r="AX563" s="82"/>
    </row>
    <row r="564" spans="3:50">
      <c r="C564" s="83"/>
      <c r="D564" s="83"/>
      <c r="E564" s="83"/>
      <c r="F564" s="83"/>
      <c r="G564" s="83"/>
      <c r="H564" s="83"/>
      <c r="I564" s="83"/>
      <c r="J564" s="83"/>
      <c r="K564" s="83"/>
      <c r="L564" s="83"/>
      <c r="M564" s="83"/>
      <c r="N564" s="83"/>
      <c r="O564" s="83"/>
      <c r="P564" s="83"/>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c r="AO564" s="82"/>
      <c r="AP564" s="82"/>
      <c r="AQ564" s="82"/>
      <c r="AR564" s="82"/>
      <c r="AS564" s="82"/>
      <c r="AT564" s="82"/>
      <c r="AU564" s="82"/>
      <c r="AV564" s="82"/>
      <c r="AW564" s="82"/>
      <c r="AX564" s="82"/>
    </row>
    <row r="565" spans="3:50">
      <c r="C565" s="83"/>
      <c r="D565" s="83"/>
      <c r="E565" s="83"/>
      <c r="F565" s="83"/>
      <c r="G565" s="83"/>
      <c r="H565" s="83"/>
      <c r="I565" s="83"/>
      <c r="J565" s="83"/>
      <c r="K565" s="83"/>
      <c r="L565" s="83"/>
      <c r="M565" s="83"/>
      <c r="N565" s="83"/>
      <c r="O565" s="83"/>
      <c r="P565" s="83"/>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c r="AO565" s="82"/>
      <c r="AP565" s="82"/>
      <c r="AQ565" s="82"/>
      <c r="AR565" s="82"/>
      <c r="AS565" s="82"/>
      <c r="AT565" s="82"/>
      <c r="AU565" s="82"/>
      <c r="AV565" s="82"/>
      <c r="AW565" s="82"/>
      <c r="AX565" s="82"/>
    </row>
    <row r="566" spans="3:50">
      <c r="C566" s="83"/>
      <c r="D566" s="83"/>
      <c r="E566" s="83"/>
      <c r="F566" s="83"/>
      <c r="G566" s="83"/>
      <c r="H566" s="83"/>
      <c r="I566" s="83"/>
      <c r="J566" s="83"/>
      <c r="K566" s="83"/>
      <c r="L566" s="83"/>
      <c r="M566" s="83"/>
      <c r="N566" s="83"/>
      <c r="O566" s="83"/>
      <c r="P566" s="83"/>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c r="AO566" s="82"/>
      <c r="AP566" s="82"/>
      <c r="AQ566" s="82"/>
      <c r="AR566" s="82"/>
      <c r="AS566" s="82"/>
      <c r="AT566" s="82"/>
      <c r="AU566" s="82"/>
      <c r="AV566" s="82"/>
      <c r="AW566" s="82"/>
      <c r="AX566" s="82"/>
    </row>
    <row r="567" spans="3:50">
      <c r="C567" s="83"/>
      <c r="D567" s="83"/>
      <c r="E567" s="83"/>
      <c r="F567" s="83"/>
      <c r="G567" s="83"/>
      <c r="H567" s="83"/>
      <c r="I567" s="83"/>
      <c r="J567" s="83"/>
      <c r="K567" s="83"/>
      <c r="L567" s="83"/>
      <c r="M567" s="83"/>
      <c r="N567" s="83"/>
      <c r="O567" s="83"/>
      <c r="P567" s="83"/>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c r="AO567" s="82"/>
      <c r="AP567" s="82"/>
      <c r="AQ567" s="82"/>
      <c r="AR567" s="82"/>
      <c r="AS567" s="82"/>
      <c r="AT567" s="82"/>
      <c r="AU567" s="82"/>
      <c r="AV567" s="82"/>
      <c r="AW567" s="82"/>
      <c r="AX567" s="82"/>
    </row>
    <row r="568" spans="3:50">
      <c r="C568" s="83"/>
      <c r="D568" s="83"/>
      <c r="E568" s="83"/>
      <c r="F568" s="83"/>
      <c r="G568" s="83"/>
      <c r="H568" s="83"/>
      <c r="I568" s="83"/>
      <c r="J568" s="83"/>
      <c r="K568" s="83"/>
      <c r="L568" s="83"/>
      <c r="M568" s="83"/>
      <c r="N568" s="83"/>
      <c r="O568" s="83"/>
      <c r="P568" s="83"/>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c r="AO568" s="82"/>
      <c r="AP568" s="82"/>
      <c r="AQ568" s="82"/>
      <c r="AR568" s="82"/>
      <c r="AS568" s="82"/>
      <c r="AT568" s="82"/>
      <c r="AU568" s="82"/>
      <c r="AV568" s="82"/>
      <c r="AW568" s="82"/>
      <c r="AX568" s="82"/>
    </row>
    <row r="569" spans="3:50">
      <c r="C569" s="83"/>
      <c r="D569" s="83"/>
      <c r="E569" s="83"/>
      <c r="F569" s="83"/>
      <c r="G569" s="83"/>
      <c r="H569" s="83"/>
      <c r="I569" s="83"/>
      <c r="J569" s="83"/>
      <c r="K569" s="83"/>
      <c r="L569" s="83"/>
      <c r="M569" s="83"/>
      <c r="N569" s="83"/>
      <c r="O569" s="83"/>
      <c r="P569" s="83"/>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c r="AO569" s="82"/>
      <c r="AP569" s="82"/>
      <c r="AQ569" s="82"/>
      <c r="AR569" s="82"/>
      <c r="AS569" s="82"/>
      <c r="AT569" s="82"/>
      <c r="AU569" s="82"/>
      <c r="AV569" s="82"/>
      <c r="AW569" s="82"/>
      <c r="AX569" s="82"/>
    </row>
    <row r="570" spans="3:50">
      <c r="C570" s="83"/>
      <c r="D570" s="83"/>
      <c r="E570" s="83"/>
      <c r="F570" s="83"/>
      <c r="G570" s="83"/>
      <c r="H570" s="83"/>
      <c r="I570" s="83"/>
      <c r="J570" s="83"/>
      <c r="K570" s="83"/>
      <c r="L570" s="83"/>
      <c r="M570" s="83"/>
      <c r="N570" s="83"/>
      <c r="O570" s="83"/>
      <c r="P570" s="83"/>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c r="AO570" s="82"/>
      <c r="AP570" s="82"/>
      <c r="AQ570" s="82"/>
      <c r="AR570" s="82"/>
      <c r="AS570" s="82"/>
      <c r="AT570" s="82"/>
      <c r="AU570" s="82"/>
      <c r="AV570" s="82"/>
      <c r="AW570" s="82"/>
      <c r="AX570" s="82"/>
    </row>
    <row r="571" spans="3:50">
      <c r="C571" s="83"/>
      <c r="D571" s="83"/>
      <c r="E571" s="83"/>
      <c r="F571" s="83"/>
      <c r="G571" s="83"/>
      <c r="H571" s="83"/>
      <c r="I571" s="83"/>
      <c r="J571" s="83"/>
      <c r="K571" s="83"/>
      <c r="L571" s="83"/>
      <c r="M571" s="83"/>
      <c r="N571" s="83"/>
      <c r="O571" s="83"/>
      <c r="P571" s="83"/>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c r="AO571" s="82"/>
      <c r="AP571" s="82"/>
      <c r="AQ571" s="82"/>
      <c r="AR571" s="82"/>
      <c r="AS571" s="82"/>
      <c r="AT571" s="82"/>
      <c r="AU571" s="82"/>
      <c r="AV571" s="82"/>
      <c r="AW571" s="82"/>
      <c r="AX571" s="82"/>
    </row>
    <row r="572" spans="3:50">
      <c r="C572" s="83"/>
      <c r="D572" s="83"/>
      <c r="E572" s="83"/>
      <c r="F572" s="83"/>
      <c r="G572" s="83"/>
      <c r="H572" s="83"/>
      <c r="I572" s="83"/>
      <c r="J572" s="83"/>
      <c r="K572" s="83"/>
      <c r="L572" s="83"/>
      <c r="M572" s="83"/>
      <c r="N572" s="83"/>
      <c r="O572" s="83"/>
      <c r="P572" s="83"/>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c r="AO572" s="82"/>
      <c r="AP572" s="82"/>
      <c r="AQ572" s="82"/>
      <c r="AR572" s="82"/>
      <c r="AS572" s="82"/>
      <c r="AT572" s="82"/>
      <c r="AU572" s="82"/>
      <c r="AV572" s="82"/>
      <c r="AW572" s="82"/>
      <c r="AX572" s="82"/>
    </row>
    <row r="573" spans="3:50">
      <c r="C573" s="83"/>
      <c r="D573" s="83"/>
      <c r="E573" s="83"/>
      <c r="F573" s="83"/>
      <c r="G573" s="83"/>
      <c r="H573" s="83"/>
      <c r="I573" s="83"/>
      <c r="J573" s="83"/>
      <c r="K573" s="83"/>
      <c r="L573" s="83"/>
      <c r="M573" s="83"/>
      <c r="N573" s="83"/>
      <c r="O573" s="83"/>
      <c r="P573" s="83"/>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c r="AO573" s="82"/>
      <c r="AP573" s="82"/>
      <c r="AQ573" s="82"/>
      <c r="AR573" s="82"/>
      <c r="AS573" s="82"/>
      <c r="AT573" s="82"/>
      <c r="AU573" s="82"/>
      <c r="AV573" s="82"/>
      <c r="AW573" s="82"/>
      <c r="AX573" s="82"/>
    </row>
    <row r="574" spans="3:50">
      <c r="C574" s="83"/>
      <c r="D574" s="83"/>
      <c r="E574" s="83"/>
      <c r="F574" s="83"/>
      <c r="G574" s="83"/>
      <c r="H574" s="83"/>
      <c r="I574" s="83"/>
      <c r="J574" s="83"/>
      <c r="K574" s="83"/>
      <c r="L574" s="83"/>
      <c r="M574" s="83"/>
      <c r="N574" s="83"/>
      <c r="O574" s="83"/>
      <c r="P574" s="83"/>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c r="AO574" s="82"/>
      <c r="AP574" s="82"/>
      <c r="AQ574" s="82"/>
      <c r="AR574" s="82"/>
      <c r="AS574" s="82"/>
      <c r="AT574" s="82"/>
      <c r="AU574" s="82"/>
      <c r="AV574" s="82"/>
      <c r="AW574" s="82"/>
      <c r="AX574" s="82"/>
    </row>
    <row r="575" spans="3:50">
      <c r="C575" s="83"/>
      <c r="D575" s="83"/>
      <c r="E575" s="83"/>
      <c r="F575" s="83"/>
      <c r="G575" s="83"/>
      <c r="H575" s="83"/>
      <c r="I575" s="83"/>
      <c r="J575" s="83"/>
      <c r="K575" s="83"/>
      <c r="L575" s="83"/>
      <c r="M575" s="83"/>
      <c r="N575" s="83"/>
      <c r="O575" s="83"/>
      <c r="P575" s="83"/>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c r="AO575" s="82"/>
      <c r="AP575" s="82"/>
      <c r="AQ575" s="82"/>
      <c r="AR575" s="82"/>
      <c r="AS575" s="82"/>
      <c r="AT575" s="82"/>
      <c r="AU575" s="82"/>
      <c r="AV575" s="82"/>
      <c r="AW575" s="82"/>
      <c r="AX575" s="82"/>
    </row>
    <row r="576" spans="3:50">
      <c r="C576" s="83"/>
      <c r="D576" s="83"/>
      <c r="E576" s="83"/>
      <c r="F576" s="83"/>
      <c r="G576" s="83"/>
      <c r="H576" s="83"/>
      <c r="I576" s="83"/>
      <c r="J576" s="83"/>
      <c r="K576" s="83"/>
      <c r="L576" s="83"/>
      <c r="M576" s="83"/>
      <c r="N576" s="83"/>
      <c r="O576" s="83"/>
      <c r="P576" s="83"/>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c r="AO576" s="82"/>
      <c r="AP576" s="82"/>
      <c r="AQ576" s="82"/>
      <c r="AR576" s="82"/>
      <c r="AS576" s="82"/>
      <c r="AT576" s="82"/>
      <c r="AU576" s="82"/>
      <c r="AV576" s="82"/>
      <c r="AW576" s="82"/>
      <c r="AX576" s="82"/>
    </row>
    <row r="577" spans="3:50">
      <c r="C577" s="83"/>
      <c r="D577" s="83"/>
      <c r="E577" s="83"/>
      <c r="F577" s="83"/>
      <c r="G577" s="83"/>
      <c r="H577" s="83"/>
      <c r="I577" s="83"/>
      <c r="J577" s="83"/>
      <c r="K577" s="83"/>
      <c r="L577" s="83"/>
      <c r="M577" s="83"/>
      <c r="N577" s="83"/>
      <c r="O577" s="83"/>
      <c r="P577" s="83"/>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c r="AO577" s="82"/>
      <c r="AP577" s="82"/>
      <c r="AQ577" s="82"/>
      <c r="AR577" s="82"/>
      <c r="AS577" s="82"/>
      <c r="AT577" s="82"/>
      <c r="AU577" s="82"/>
      <c r="AV577" s="82"/>
      <c r="AW577" s="82"/>
      <c r="AX577" s="82"/>
    </row>
    <row r="578" spans="3:50">
      <c r="C578" s="83"/>
      <c r="D578" s="83"/>
      <c r="E578" s="83"/>
      <c r="F578" s="83"/>
      <c r="G578" s="83"/>
      <c r="H578" s="83"/>
      <c r="I578" s="83"/>
      <c r="J578" s="83"/>
      <c r="K578" s="83"/>
      <c r="L578" s="83"/>
      <c r="M578" s="83"/>
      <c r="N578" s="83"/>
      <c r="O578" s="83"/>
      <c r="P578" s="83"/>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c r="AO578" s="82"/>
      <c r="AP578" s="82"/>
      <c r="AQ578" s="82"/>
      <c r="AR578" s="82"/>
      <c r="AS578" s="82"/>
      <c r="AT578" s="82"/>
      <c r="AU578" s="82"/>
      <c r="AV578" s="82"/>
      <c r="AW578" s="82"/>
      <c r="AX578" s="82"/>
    </row>
    <row r="579" spans="3:50">
      <c r="C579" s="83"/>
      <c r="D579" s="83"/>
      <c r="E579" s="83"/>
      <c r="F579" s="83"/>
      <c r="G579" s="83"/>
      <c r="H579" s="83"/>
      <c r="I579" s="83"/>
      <c r="J579" s="83"/>
      <c r="K579" s="83"/>
      <c r="L579" s="83"/>
      <c r="M579" s="83"/>
      <c r="N579" s="83"/>
      <c r="O579" s="83"/>
      <c r="P579" s="83"/>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c r="AO579" s="82"/>
      <c r="AP579" s="82"/>
      <c r="AQ579" s="82"/>
      <c r="AR579" s="82"/>
      <c r="AS579" s="82"/>
      <c r="AT579" s="82"/>
      <c r="AU579" s="82"/>
      <c r="AV579" s="82"/>
      <c r="AW579" s="82"/>
      <c r="AX579" s="82"/>
    </row>
    <row r="580" spans="3:50">
      <c r="C580" s="83"/>
      <c r="D580" s="83"/>
      <c r="E580" s="83"/>
      <c r="F580" s="83"/>
      <c r="G580" s="83"/>
      <c r="H580" s="83"/>
      <c r="I580" s="83"/>
      <c r="J580" s="83"/>
      <c r="K580" s="83"/>
      <c r="L580" s="83"/>
      <c r="M580" s="83"/>
      <c r="N580" s="83"/>
      <c r="O580" s="83"/>
      <c r="P580" s="83"/>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c r="AO580" s="82"/>
      <c r="AP580" s="82"/>
      <c r="AQ580" s="82"/>
      <c r="AR580" s="82"/>
      <c r="AS580" s="82"/>
      <c r="AT580" s="82"/>
      <c r="AU580" s="82"/>
      <c r="AV580" s="82"/>
      <c r="AW580" s="82"/>
      <c r="AX580" s="82"/>
    </row>
    <row r="581" spans="3:50">
      <c r="C581" s="83"/>
      <c r="D581" s="83"/>
      <c r="E581" s="83"/>
      <c r="F581" s="83"/>
      <c r="G581" s="83"/>
      <c r="H581" s="83"/>
      <c r="I581" s="83"/>
      <c r="J581" s="83"/>
      <c r="K581" s="83"/>
      <c r="L581" s="83"/>
      <c r="M581" s="83"/>
      <c r="N581" s="83"/>
      <c r="O581" s="83"/>
      <c r="P581" s="83"/>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c r="AO581" s="82"/>
      <c r="AP581" s="82"/>
      <c r="AQ581" s="82"/>
      <c r="AR581" s="82"/>
      <c r="AS581" s="82"/>
      <c r="AT581" s="82"/>
      <c r="AU581" s="82"/>
      <c r="AV581" s="82"/>
      <c r="AW581" s="82"/>
      <c r="AX581" s="82"/>
    </row>
    <row r="582" spans="3:50">
      <c r="C582" s="83"/>
      <c r="D582" s="83"/>
      <c r="E582" s="83"/>
      <c r="F582" s="83"/>
      <c r="G582" s="83"/>
      <c r="H582" s="83"/>
      <c r="I582" s="83"/>
      <c r="J582" s="83"/>
      <c r="K582" s="83"/>
      <c r="L582" s="83"/>
      <c r="M582" s="83"/>
      <c r="N582" s="83"/>
      <c r="O582" s="83"/>
      <c r="P582" s="83"/>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c r="AO582" s="82"/>
      <c r="AP582" s="82"/>
      <c r="AQ582" s="82"/>
      <c r="AR582" s="82"/>
      <c r="AS582" s="82"/>
      <c r="AT582" s="82"/>
      <c r="AU582" s="82"/>
      <c r="AV582" s="82"/>
      <c r="AW582" s="82"/>
      <c r="AX582" s="82"/>
    </row>
    <row r="583" spans="3:50">
      <c r="C583" s="83"/>
      <c r="D583" s="83"/>
      <c r="E583" s="83"/>
      <c r="F583" s="83"/>
      <c r="G583" s="83"/>
      <c r="H583" s="83"/>
      <c r="I583" s="83"/>
      <c r="J583" s="83"/>
      <c r="K583" s="83"/>
      <c r="L583" s="83"/>
      <c r="M583" s="83"/>
      <c r="N583" s="83"/>
      <c r="O583" s="83"/>
      <c r="P583" s="83"/>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c r="AO583" s="82"/>
      <c r="AP583" s="82"/>
      <c r="AQ583" s="82"/>
      <c r="AR583" s="82"/>
      <c r="AS583" s="82"/>
      <c r="AT583" s="82"/>
      <c r="AU583" s="82"/>
      <c r="AV583" s="82"/>
      <c r="AW583" s="82"/>
      <c r="AX583" s="82"/>
    </row>
    <row r="584" spans="3:50">
      <c r="C584" s="83"/>
      <c r="D584" s="83"/>
      <c r="E584" s="83"/>
      <c r="F584" s="83"/>
      <c r="G584" s="83"/>
      <c r="H584" s="83"/>
      <c r="I584" s="83"/>
      <c r="J584" s="83"/>
      <c r="K584" s="83"/>
      <c r="L584" s="83"/>
      <c r="M584" s="83"/>
      <c r="N584" s="83"/>
      <c r="O584" s="83"/>
      <c r="P584" s="83"/>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c r="AO584" s="82"/>
      <c r="AP584" s="82"/>
      <c r="AQ584" s="82"/>
      <c r="AR584" s="82"/>
      <c r="AS584" s="82"/>
      <c r="AT584" s="82"/>
      <c r="AU584" s="82"/>
      <c r="AV584" s="82"/>
      <c r="AW584" s="82"/>
      <c r="AX584" s="82"/>
    </row>
    <row r="585" spans="3:50">
      <c r="C585" s="83"/>
      <c r="D585" s="83"/>
      <c r="E585" s="83"/>
      <c r="F585" s="83"/>
      <c r="G585" s="83"/>
      <c r="H585" s="83"/>
      <c r="I585" s="83"/>
      <c r="J585" s="83"/>
      <c r="K585" s="83"/>
      <c r="L585" s="83"/>
      <c r="M585" s="83"/>
      <c r="N585" s="83"/>
      <c r="O585" s="83"/>
      <c r="P585" s="83"/>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c r="AO585" s="82"/>
      <c r="AP585" s="82"/>
      <c r="AQ585" s="82"/>
      <c r="AR585" s="82"/>
      <c r="AS585" s="82"/>
      <c r="AT585" s="82"/>
      <c r="AU585" s="82"/>
      <c r="AV585" s="82"/>
      <c r="AW585" s="82"/>
      <c r="AX585" s="82"/>
    </row>
    <row r="586" spans="3:50">
      <c r="C586" s="83"/>
      <c r="D586" s="83"/>
      <c r="E586" s="83"/>
      <c r="F586" s="83"/>
      <c r="G586" s="83"/>
      <c r="H586" s="83"/>
      <c r="I586" s="83"/>
      <c r="J586" s="83"/>
      <c r="K586" s="83"/>
      <c r="L586" s="83"/>
      <c r="M586" s="83"/>
      <c r="N586" s="83"/>
      <c r="O586" s="83"/>
      <c r="P586" s="83"/>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c r="AO586" s="82"/>
      <c r="AP586" s="82"/>
      <c r="AQ586" s="82"/>
      <c r="AR586" s="82"/>
      <c r="AS586" s="82"/>
      <c r="AT586" s="82"/>
      <c r="AU586" s="82"/>
      <c r="AV586" s="82"/>
      <c r="AW586" s="82"/>
      <c r="AX586" s="82"/>
    </row>
    <row r="587" spans="3:50">
      <c r="C587" s="83"/>
      <c r="D587" s="83"/>
      <c r="E587" s="83"/>
      <c r="F587" s="83"/>
      <c r="G587" s="83"/>
      <c r="H587" s="83"/>
      <c r="I587" s="83"/>
      <c r="J587" s="83"/>
      <c r="K587" s="83"/>
      <c r="L587" s="83"/>
      <c r="M587" s="83"/>
      <c r="N587" s="83"/>
      <c r="O587" s="83"/>
      <c r="P587" s="83"/>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c r="AO587" s="82"/>
      <c r="AP587" s="82"/>
      <c r="AQ587" s="82"/>
      <c r="AR587" s="82"/>
      <c r="AS587" s="82"/>
      <c r="AT587" s="82"/>
      <c r="AU587" s="82"/>
      <c r="AV587" s="82"/>
      <c r="AW587" s="82"/>
      <c r="AX587" s="82"/>
    </row>
    <row r="588" spans="3:50">
      <c r="C588" s="83"/>
      <c r="D588" s="83"/>
      <c r="E588" s="83"/>
      <c r="F588" s="83"/>
      <c r="G588" s="83"/>
      <c r="H588" s="83"/>
      <c r="I588" s="83"/>
      <c r="J588" s="83"/>
      <c r="K588" s="83"/>
      <c r="L588" s="83"/>
      <c r="M588" s="83"/>
      <c r="N588" s="83"/>
      <c r="O588" s="83"/>
      <c r="P588" s="83"/>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c r="AO588" s="82"/>
      <c r="AP588" s="82"/>
      <c r="AQ588" s="82"/>
      <c r="AR588" s="82"/>
      <c r="AS588" s="82"/>
      <c r="AT588" s="82"/>
      <c r="AU588" s="82"/>
      <c r="AV588" s="82"/>
      <c r="AW588" s="82"/>
      <c r="AX588" s="82"/>
    </row>
    <row r="589" spans="3:50">
      <c r="C589" s="83"/>
      <c r="D589" s="83"/>
      <c r="E589" s="83"/>
      <c r="F589" s="83"/>
      <c r="G589" s="83"/>
      <c r="H589" s="83"/>
      <c r="I589" s="83"/>
      <c r="J589" s="83"/>
      <c r="K589" s="83"/>
      <c r="L589" s="83"/>
      <c r="M589" s="83"/>
      <c r="N589" s="83"/>
      <c r="O589" s="83"/>
      <c r="P589" s="83"/>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c r="AO589" s="82"/>
      <c r="AP589" s="82"/>
      <c r="AQ589" s="82"/>
      <c r="AR589" s="82"/>
      <c r="AS589" s="82"/>
      <c r="AT589" s="82"/>
      <c r="AU589" s="82"/>
      <c r="AV589" s="82"/>
      <c r="AW589" s="82"/>
      <c r="AX589" s="82"/>
    </row>
    <row r="590" spans="3:50">
      <c r="C590" s="83"/>
      <c r="D590" s="83"/>
      <c r="E590" s="83"/>
      <c r="F590" s="83"/>
      <c r="G590" s="83"/>
      <c r="H590" s="83"/>
      <c r="I590" s="83"/>
      <c r="J590" s="83"/>
      <c r="K590" s="83"/>
      <c r="L590" s="83"/>
      <c r="M590" s="83"/>
      <c r="N590" s="83"/>
      <c r="O590" s="83"/>
      <c r="P590" s="83"/>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c r="AO590" s="82"/>
      <c r="AP590" s="82"/>
      <c r="AQ590" s="82"/>
      <c r="AR590" s="82"/>
      <c r="AS590" s="82"/>
      <c r="AT590" s="82"/>
      <c r="AU590" s="82"/>
      <c r="AV590" s="82"/>
      <c r="AW590" s="82"/>
      <c r="AX590" s="82"/>
    </row>
    <row r="591" spans="3:50">
      <c r="C591" s="83"/>
      <c r="D591" s="83"/>
      <c r="E591" s="83"/>
      <c r="F591" s="83"/>
      <c r="G591" s="83"/>
      <c r="H591" s="83"/>
      <c r="I591" s="83"/>
      <c r="J591" s="83"/>
      <c r="K591" s="83"/>
      <c r="L591" s="83"/>
      <c r="M591" s="83"/>
      <c r="N591" s="83"/>
      <c r="O591" s="83"/>
      <c r="P591" s="83"/>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c r="AO591" s="82"/>
      <c r="AP591" s="82"/>
      <c r="AQ591" s="82"/>
      <c r="AR591" s="82"/>
      <c r="AS591" s="82"/>
      <c r="AT591" s="82"/>
      <c r="AU591" s="82"/>
      <c r="AV591" s="82"/>
      <c r="AW591" s="82"/>
      <c r="AX591" s="82"/>
    </row>
    <row r="592" spans="3:50">
      <c r="C592" s="83"/>
      <c r="D592" s="83"/>
      <c r="E592" s="83"/>
      <c r="F592" s="83"/>
      <c r="G592" s="83"/>
      <c r="H592" s="83"/>
      <c r="I592" s="83"/>
      <c r="J592" s="83"/>
      <c r="K592" s="83"/>
      <c r="L592" s="83"/>
      <c r="M592" s="83"/>
      <c r="N592" s="83"/>
      <c r="O592" s="83"/>
      <c r="P592" s="83"/>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c r="AO592" s="82"/>
      <c r="AP592" s="82"/>
      <c r="AQ592" s="82"/>
      <c r="AR592" s="82"/>
      <c r="AS592" s="82"/>
      <c r="AT592" s="82"/>
      <c r="AU592" s="82"/>
      <c r="AV592" s="82"/>
      <c r="AW592" s="82"/>
      <c r="AX592" s="82"/>
    </row>
    <row r="593" spans="3:50">
      <c r="C593" s="83"/>
      <c r="D593" s="83"/>
      <c r="E593" s="83"/>
      <c r="F593" s="83"/>
      <c r="G593" s="83"/>
      <c r="H593" s="83"/>
      <c r="I593" s="83"/>
      <c r="J593" s="83"/>
      <c r="K593" s="83"/>
      <c r="L593" s="83"/>
      <c r="M593" s="83"/>
      <c r="N593" s="83"/>
      <c r="O593" s="83"/>
      <c r="P593" s="83"/>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c r="AO593" s="82"/>
      <c r="AP593" s="82"/>
      <c r="AQ593" s="82"/>
      <c r="AR593" s="82"/>
      <c r="AS593" s="82"/>
      <c r="AT593" s="82"/>
      <c r="AU593" s="82"/>
      <c r="AV593" s="82"/>
      <c r="AW593" s="82"/>
      <c r="AX593" s="82"/>
    </row>
    <row r="594" spans="3:50">
      <c r="C594" s="83"/>
      <c r="D594" s="83"/>
      <c r="E594" s="83"/>
      <c r="F594" s="83"/>
      <c r="G594" s="83"/>
      <c r="H594" s="83"/>
      <c r="I594" s="83"/>
      <c r="J594" s="83"/>
      <c r="K594" s="83"/>
      <c r="L594" s="83"/>
      <c r="M594" s="83"/>
      <c r="N594" s="83"/>
      <c r="O594" s="83"/>
      <c r="P594" s="83"/>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c r="AO594" s="82"/>
      <c r="AP594" s="82"/>
      <c r="AQ594" s="82"/>
      <c r="AR594" s="82"/>
      <c r="AS594" s="82"/>
      <c r="AT594" s="82"/>
      <c r="AU594" s="82"/>
      <c r="AV594" s="82"/>
      <c r="AW594" s="82"/>
      <c r="AX594" s="82"/>
    </row>
    <row r="595" spans="3:50">
      <c r="C595" s="83"/>
      <c r="D595" s="83"/>
      <c r="E595" s="83"/>
      <c r="F595" s="83"/>
      <c r="G595" s="83"/>
      <c r="H595" s="83"/>
      <c r="I595" s="83"/>
      <c r="J595" s="83"/>
      <c r="K595" s="83"/>
      <c r="L595" s="83"/>
      <c r="M595" s="83"/>
      <c r="N595" s="83"/>
      <c r="O595" s="83"/>
      <c r="P595" s="83"/>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c r="AO595" s="82"/>
      <c r="AP595" s="82"/>
      <c r="AQ595" s="82"/>
      <c r="AR595" s="82"/>
      <c r="AS595" s="82"/>
      <c r="AT595" s="82"/>
      <c r="AU595" s="82"/>
      <c r="AV595" s="82"/>
      <c r="AW595" s="82"/>
      <c r="AX595" s="82"/>
    </row>
    <row r="596" spans="3:50">
      <c r="C596" s="83"/>
      <c r="D596" s="83"/>
      <c r="E596" s="83"/>
      <c r="F596" s="83"/>
      <c r="G596" s="83"/>
      <c r="H596" s="83"/>
      <c r="I596" s="83"/>
      <c r="J596" s="83"/>
      <c r="K596" s="83"/>
      <c r="L596" s="83"/>
      <c r="M596" s="83"/>
      <c r="N596" s="83"/>
      <c r="O596" s="83"/>
      <c r="P596" s="83"/>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c r="AO596" s="82"/>
      <c r="AP596" s="82"/>
      <c r="AQ596" s="82"/>
      <c r="AR596" s="82"/>
      <c r="AS596" s="82"/>
      <c r="AT596" s="82"/>
      <c r="AU596" s="82"/>
      <c r="AV596" s="82"/>
      <c r="AW596" s="82"/>
      <c r="AX596" s="82"/>
    </row>
    <row r="597" spans="3:50">
      <c r="C597" s="83"/>
      <c r="D597" s="83"/>
      <c r="E597" s="83"/>
      <c r="F597" s="83"/>
      <c r="G597" s="83"/>
      <c r="H597" s="83"/>
      <c r="I597" s="83"/>
      <c r="J597" s="83"/>
      <c r="K597" s="83"/>
      <c r="L597" s="83"/>
      <c r="M597" s="83"/>
      <c r="N597" s="83"/>
      <c r="O597" s="83"/>
      <c r="P597" s="83"/>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c r="AO597" s="82"/>
      <c r="AP597" s="82"/>
      <c r="AQ597" s="82"/>
      <c r="AR597" s="82"/>
      <c r="AS597" s="82"/>
      <c r="AT597" s="82"/>
      <c r="AU597" s="82"/>
      <c r="AV597" s="82"/>
      <c r="AW597" s="82"/>
      <c r="AX597" s="82"/>
    </row>
    <row r="598" spans="3:50">
      <c r="C598" s="83"/>
      <c r="D598" s="83"/>
      <c r="E598" s="83"/>
      <c r="F598" s="83"/>
      <c r="G598" s="83"/>
      <c r="H598" s="83"/>
      <c r="I598" s="83"/>
      <c r="J598" s="83"/>
      <c r="K598" s="83"/>
      <c r="L598" s="83"/>
      <c r="M598" s="83"/>
      <c r="N598" s="83"/>
      <c r="O598" s="83"/>
      <c r="P598" s="83"/>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c r="AO598" s="82"/>
      <c r="AP598" s="82"/>
      <c r="AQ598" s="82"/>
      <c r="AR598" s="82"/>
      <c r="AS598" s="82"/>
      <c r="AT598" s="82"/>
      <c r="AU598" s="82"/>
      <c r="AV598" s="82"/>
      <c r="AW598" s="82"/>
      <c r="AX598" s="82"/>
    </row>
    <row r="599" spans="3:50">
      <c r="C599" s="83"/>
      <c r="D599" s="83"/>
      <c r="E599" s="83"/>
      <c r="F599" s="83"/>
      <c r="G599" s="83"/>
      <c r="H599" s="83"/>
      <c r="I599" s="83"/>
      <c r="J599" s="83"/>
      <c r="K599" s="83"/>
      <c r="L599" s="83"/>
      <c r="M599" s="83"/>
      <c r="N599" s="83"/>
      <c r="O599" s="83"/>
      <c r="P599" s="83"/>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c r="AO599" s="82"/>
      <c r="AP599" s="82"/>
      <c r="AQ599" s="82"/>
      <c r="AR599" s="82"/>
      <c r="AS599" s="82"/>
      <c r="AT599" s="82"/>
      <c r="AU599" s="82"/>
      <c r="AV599" s="82"/>
      <c r="AW599" s="82"/>
      <c r="AX599" s="82"/>
    </row>
    <row r="600" spans="3:50">
      <c r="C600" s="83"/>
      <c r="D600" s="83"/>
      <c r="E600" s="83"/>
      <c r="F600" s="83"/>
      <c r="G600" s="83"/>
      <c r="H600" s="83"/>
      <c r="I600" s="83"/>
      <c r="J600" s="83"/>
      <c r="K600" s="83"/>
      <c r="L600" s="83"/>
      <c r="M600" s="83"/>
      <c r="N600" s="83"/>
      <c r="O600" s="83"/>
      <c r="P600" s="83"/>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c r="AO600" s="82"/>
      <c r="AP600" s="82"/>
      <c r="AQ600" s="82"/>
      <c r="AR600" s="82"/>
      <c r="AS600" s="82"/>
      <c r="AT600" s="82"/>
      <c r="AU600" s="82"/>
      <c r="AV600" s="82"/>
      <c r="AW600" s="82"/>
      <c r="AX600" s="82"/>
    </row>
    <row r="601" spans="3:50">
      <c r="C601" s="83"/>
      <c r="D601" s="83"/>
      <c r="E601" s="83"/>
      <c r="F601" s="83"/>
      <c r="G601" s="83"/>
      <c r="H601" s="83"/>
      <c r="I601" s="83"/>
      <c r="J601" s="83"/>
      <c r="K601" s="83"/>
      <c r="L601" s="83"/>
      <c r="M601" s="83"/>
      <c r="N601" s="83"/>
      <c r="O601" s="83"/>
      <c r="P601" s="83"/>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c r="AO601" s="82"/>
      <c r="AP601" s="82"/>
      <c r="AQ601" s="82"/>
      <c r="AR601" s="82"/>
      <c r="AS601" s="82"/>
      <c r="AT601" s="82"/>
      <c r="AU601" s="82"/>
      <c r="AV601" s="82"/>
      <c r="AW601" s="82"/>
      <c r="AX601" s="82"/>
    </row>
    <row r="602" spans="3:50">
      <c r="C602" s="83"/>
      <c r="D602" s="83"/>
      <c r="E602" s="83"/>
      <c r="F602" s="83"/>
      <c r="G602" s="83"/>
      <c r="H602" s="83"/>
      <c r="I602" s="83"/>
      <c r="J602" s="83"/>
      <c r="K602" s="83"/>
      <c r="L602" s="83"/>
      <c r="M602" s="83"/>
      <c r="N602" s="83"/>
      <c r="O602" s="83"/>
      <c r="P602" s="83"/>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c r="AO602" s="82"/>
      <c r="AP602" s="82"/>
      <c r="AQ602" s="82"/>
      <c r="AR602" s="82"/>
      <c r="AS602" s="82"/>
      <c r="AT602" s="82"/>
      <c r="AU602" s="82"/>
      <c r="AV602" s="82"/>
      <c r="AW602" s="82"/>
      <c r="AX602" s="82"/>
    </row>
    <row r="603" spans="3:50">
      <c r="C603" s="83"/>
      <c r="D603" s="83"/>
      <c r="E603" s="83"/>
      <c r="F603" s="83"/>
      <c r="G603" s="83"/>
      <c r="H603" s="83"/>
      <c r="I603" s="83"/>
      <c r="J603" s="83"/>
      <c r="K603" s="83"/>
      <c r="L603" s="83"/>
      <c r="M603" s="83"/>
      <c r="N603" s="83"/>
      <c r="O603" s="83"/>
      <c r="P603" s="83"/>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c r="AO603" s="82"/>
      <c r="AP603" s="82"/>
      <c r="AQ603" s="82"/>
      <c r="AR603" s="82"/>
      <c r="AS603" s="82"/>
      <c r="AT603" s="82"/>
      <c r="AU603" s="82"/>
      <c r="AV603" s="82"/>
      <c r="AW603" s="82"/>
      <c r="AX603" s="82"/>
    </row>
    <row r="604" spans="3:50">
      <c r="C604" s="83"/>
      <c r="D604" s="83"/>
      <c r="E604" s="83"/>
      <c r="F604" s="83"/>
      <c r="G604" s="83"/>
      <c r="H604" s="83"/>
      <c r="I604" s="83"/>
      <c r="J604" s="83"/>
      <c r="K604" s="83"/>
      <c r="L604" s="83"/>
      <c r="M604" s="83"/>
      <c r="N604" s="83"/>
      <c r="O604" s="83"/>
      <c r="P604" s="83"/>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c r="AO604" s="82"/>
      <c r="AP604" s="82"/>
      <c r="AQ604" s="82"/>
      <c r="AR604" s="82"/>
      <c r="AS604" s="82"/>
      <c r="AT604" s="82"/>
      <c r="AU604" s="82"/>
      <c r="AV604" s="82"/>
      <c r="AW604" s="82"/>
      <c r="AX604" s="82"/>
    </row>
    <row r="605" spans="3:50">
      <c r="C605" s="83"/>
      <c r="D605" s="83"/>
      <c r="E605" s="83"/>
      <c r="F605" s="83"/>
      <c r="G605" s="83"/>
      <c r="H605" s="83"/>
      <c r="I605" s="83"/>
      <c r="J605" s="83"/>
      <c r="K605" s="83"/>
      <c r="L605" s="83"/>
      <c r="M605" s="83"/>
      <c r="N605" s="83"/>
      <c r="O605" s="83"/>
      <c r="P605" s="83"/>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c r="AO605" s="82"/>
      <c r="AP605" s="82"/>
      <c r="AQ605" s="82"/>
      <c r="AR605" s="82"/>
      <c r="AS605" s="82"/>
      <c r="AT605" s="82"/>
      <c r="AU605" s="82"/>
      <c r="AV605" s="82"/>
      <c r="AW605" s="82"/>
      <c r="AX605" s="82"/>
    </row>
    <row r="606" spans="3:50">
      <c r="C606" s="83"/>
      <c r="D606" s="83"/>
      <c r="E606" s="83"/>
      <c r="F606" s="83"/>
      <c r="G606" s="83"/>
      <c r="H606" s="83"/>
      <c r="I606" s="83"/>
      <c r="J606" s="83"/>
      <c r="K606" s="83"/>
      <c r="L606" s="83"/>
      <c r="M606" s="83"/>
      <c r="N606" s="83"/>
      <c r="O606" s="83"/>
      <c r="P606" s="83"/>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c r="AO606" s="82"/>
      <c r="AP606" s="82"/>
      <c r="AQ606" s="82"/>
      <c r="AR606" s="82"/>
      <c r="AS606" s="82"/>
      <c r="AT606" s="82"/>
      <c r="AU606" s="82"/>
      <c r="AV606" s="82"/>
      <c r="AW606" s="82"/>
      <c r="AX606" s="82"/>
    </row>
    <row r="607" spans="3:50">
      <c r="C607" s="83"/>
      <c r="D607" s="83"/>
      <c r="E607" s="83"/>
      <c r="F607" s="83"/>
      <c r="G607" s="83"/>
      <c r="H607" s="83"/>
      <c r="I607" s="83"/>
      <c r="J607" s="83"/>
      <c r="K607" s="83"/>
      <c r="L607" s="83"/>
      <c r="M607" s="83"/>
      <c r="N607" s="83"/>
      <c r="O607" s="83"/>
      <c r="P607" s="83"/>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c r="AO607" s="82"/>
      <c r="AP607" s="82"/>
      <c r="AQ607" s="82"/>
      <c r="AR607" s="82"/>
      <c r="AS607" s="82"/>
      <c r="AT607" s="82"/>
      <c r="AU607" s="82"/>
      <c r="AV607" s="82"/>
      <c r="AW607" s="82"/>
      <c r="AX607" s="82"/>
    </row>
    <row r="608" spans="3:50">
      <c r="C608" s="83"/>
      <c r="D608" s="83"/>
      <c r="E608" s="83"/>
      <c r="F608" s="83"/>
      <c r="G608" s="83"/>
      <c r="H608" s="83"/>
      <c r="I608" s="83"/>
      <c r="J608" s="83"/>
      <c r="K608" s="83"/>
      <c r="L608" s="83"/>
      <c r="M608" s="83"/>
      <c r="N608" s="83"/>
      <c r="O608" s="83"/>
      <c r="P608" s="83"/>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c r="AO608" s="82"/>
      <c r="AP608" s="82"/>
      <c r="AQ608" s="82"/>
      <c r="AR608" s="82"/>
      <c r="AS608" s="82"/>
      <c r="AT608" s="82"/>
      <c r="AU608" s="82"/>
      <c r="AV608" s="82"/>
      <c r="AW608" s="82"/>
      <c r="AX608" s="82"/>
    </row>
    <row r="609" spans="3:50">
      <c r="C609" s="83"/>
      <c r="D609" s="83"/>
      <c r="E609" s="83"/>
      <c r="F609" s="83"/>
      <c r="G609" s="83"/>
      <c r="H609" s="83"/>
      <c r="I609" s="83"/>
      <c r="J609" s="83"/>
      <c r="K609" s="83"/>
      <c r="L609" s="83"/>
      <c r="M609" s="83"/>
      <c r="N609" s="83"/>
      <c r="O609" s="83"/>
      <c r="P609" s="83"/>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c r="AO609" s="82"/>
      <c r="AP609" s="82"/>
      <c r="AQ609" s="82"/>
      <c r="AR609" s="82"/>
      <c r="AS609" s="82"/>
      <c r="AT609" s="82"/>
      <c r="AU609" s="82"/>
      <c r="AV609" s="82"/>
      <c r="AW609" s="82"/>
      <c r="AX609" s="82"/>
    </row>
    <row r="610" spans="3:50">
      <c r="C610" s="83"/>
      <c r="D610" s="83"/>
      <c r="E610" s="83"/>
      <c r="F610" s="83"/>
      <c r="G610" s="83"/>
      <c r="H610" s="83"/>
      <c r="I610" s="83"/>
      <c r="J610" s="83"/>
      <c r="K610" s="83"/>
      <c r="L610" s="83"/>
      <c r="M610" s="83"/>
      <c r="N610" s="83"/>
      <c r="O610" s="83"/>
      <c r="P610" s="83"/>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c r="AO610" s="82"/>
      <c r="AP610" s="82"/>
      <c r="AQ610" s="82"/>
      <c r="AR610" s="82"/>
      <c r="AS610" s="82"/>
      <c r="AT610" s="82"/>
      <c r="AU610" s="82"/>
      <c r="AV610" s="82"/>
      <c r="AW610" s="82"/>
      <c r="AX610" s="82"/>
    </row>
    <row r="611" spans="3:50">
      <c r="C611" s="83"/>
      <c r="D611" s="83"/>
      <c r="E611" s="83"/>
      <c r="F611" s="83"/>
      <c r="G611" s="83"/>
      <c r="H611" s="83"/>
      <c r="I611" s="83"/>
      <c r="J611" s="83"/>
      <c r="K611" s="83"/>
      <c r="L611" s="83"/>
      <c r="M611" s="83"/>
      <c r="N611" s="83"/>
      <c r="O611" s="83"/>
      <c r="P611" s="83"/>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c r="AO611" s="82"/>
      <c r="AP611" s="82"/>
      <c r="AQ611" s="82"/>
      <c r="AR611" s="82"/>
      <c r="AS611" s="82"/>
      <c r="AT611" s="82"/>
      <c r="AU611" s="82"/>
      <c r="AV611" s="82"/>
      <c r="AW611" s="82"/>
      <c r="AX611" s="82"/>
    </row>
    <row r="612" spans="3:50">
      <c r="C612" s="83"/>
      <c r="D612" s="83"/>
      <c r="E612" s="83"/>
      <c r="F612" s="83"/>
      <c r="G612" s="83"/>
      <c r="H612" s="83"/>
      <c r="I612" s="83"/>
      <c r="J612" s="83"/>
      <c r="K612" s="83"/>
      <c r="L612" s="83"/>
      <c r="M612" s="83"/>
      <c r="N612" s="83"/>
      <c r="O612" s="83"/>
      <c r="P612" s="83"/>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c r="AO612" s="82"/>
      <c r="AP612" s="82"/>
      <c r="AQ612" s="82"/>
      <c r="AR612" s="82"/>
      <c r="AS612" s="82"/>
      <c r="AT612" s="82"/>
      <c r="AU612" s="82"/>
      <c r="AV612" s="82"/>
      <c r="AW612" s="82"/>
      <c r="AX612" s="82"/>
    </row>
    <row r="613" spans="3:50">
      <c r="C613" s="83"/>
      <c r="D613" s="83"/>
      <c r="E613" s="83"/>
      <c r="F613" s="83"/>
      <c r="G613" s="83"/>
      <c r="H613" s="83"/>
      <c r="I613" s="83"/>
      <c r="J613" s="83"/>
      <c r="K613" s="83"/>
      <c r="L613" s="83"/>
      <c r="M613" s="83"/>
      <c r="N613" s="83"/>
      <c r="O613" s="83"/>
      <c r="P613" s="83"/>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c r="AO613" s="82"/>
      <c r="AP613" s="82"/>
      <c r="AQ613" s="82"/>
      <c r="AR613" s="82"/>
      <c r="AS613" s="82"/>
      <c r="AT613" s="82"/>
      <c r="AU613" s="82"/>
      <c r="AV613" s="82"/>
      <c r="AW613" s="82"/>
      <c r="AX613" s="82"/>
    </row>
    <row r="614" spans="3:50">
      <c r="C614" s="83"/>
      <c r="D614" s="83"/>
      <c r="E614" s="83"/>
      <c r="F614" s="83"/>
      <c r="G614" s="83"/>
      <c r="H614" s="83"/>
      <c r="I614" s="83"/>
      <c r="J614" s="83"/>
      <c r="K614" s="83"/>
      <c r="L614" s="83"/>
      <c r="M614" s="83"/>
      <c r="N614" s="83"/>
      <c r="O614" s="83"/>
      <c r="P614" s="83"/>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c r="AO614" s="82"/>
      <c r="AP614" s="82"/>
      <c r="AQ614" s="82"/>
      <c r="AR614" s="82"/>
      <c r="AS614" s="82"/>
      <c r="AT614" s="82"/>
      <c r="AU614" s="82"/>
      <c r="AV614" s="82"/>
      <c r="AW614" s="82"/>
      <c r="AX614" s="82"/>
    </row>
    <row r="615" spans="3:50">
      <c r="C615" s="83"/>
      <c r="D615" s="83"/>
      <c r="E615" s="83"/>
      <c r="F615" s="83"/>
      <c r="G615" s="83"/>
      <c r="H615" s="83"/>
      <c r="I615" s="83"/>
      <c r="J615" s="83"/>
      <c r="K615" s="83"/>
      <c r="L615" s="83"/>
      <c r="M615" s="83"/>
      <c r="N615" s="83"/>
      <c r="O615" s="83"/>
      <c r="P615" s="83"/>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c r="AO615" s="82"/>
      <c r="AP615" s="82"/>
      <c r="AQ615" s="82"/>
      <c r="AR615" s="82"/>
      <c r="AS615" s="82"/>
      <c r="AT615" s="82"/>
      <c r="AU615" s="82"/>
      <c r="AV615" s="82"/>
      <c r="AW615" s="82"/>
      <c r="AX615" s="82"/>
    </row>
    <row r="616" spans="3:50">
      <c r="C616" s="83"/>
      <c r="D616" s="83"/>
      <c r="E616" s="83"/>
      <c r="F616" s="83"/>
      <c r="G616" s="83"/>
      <c r="H616" s="83"/>
      <c r="I616" s="83"/>
      <c r="J616" s="83"/>
      <c r="K616" s="83"/>
      <c r="L616" s="83"/>
      <c r="M616" s="83"/>
      <c r="N616" s="83"/>
      <c r="O616" s="83"/>
      <c r="P616" s="83"/>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c r="AO616" s="82"/>
      <c r="AP616" s="82"/>
      <c r="AQ616" s="82"/>
      <c r="AR616" s="82"/>
      <c r="AS616" s="82"/>
      <c r="AT616" s="82"/>
      <c r="AU616" s="82"/>
      <c r="AV616" s="82"/>
      <c r="AW616" s="82"/>
      <c r="AX616" s="82"/>
    </row>
    <row r="617" spans="3:50">
      <c r="C617" s="83"/>
      <c r="D617" s="83"/>
      <c r="E617" s="83"/>
      <c r="F617" s="83"/>
      <c r="G617" s="83"/>
      <c r="H617" s="83"/>
      <c r="I617" s="83"/>
      <c r="J617" s="83"/>
      <c r="K617" s="83"/>
      <c r="L617" s="83"/>
      <c r="M617" s="83"/>
      <c r="N617" s="83"/>
      <c r="O617" s="83"/>
      <c r="P617" s="83"/>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c r="AO617" s="82"/>
      <c r="AP617" s="82"/>
      <c r="AQ617" s="82"/>
      <c r="AR617" s="82"/>
      <c r="AS617" s="82"/>
      <c r="AT617" s="82"/>
      <c r="AU617" s="82"/>
      <c r="AV617" s="82"/>
      <c r="AW617" s="82"/>
      <c r="AX617" s="82"/>
    </row>
    <row r="618" spans="3:50">
      <c r="C618" s="83"/>
      <c r="D618" s="83"/>
      <c r="E618" s="83"/>
      <c r="F618" s="83"/>
      <c r="G618" s="83"/>
      <c r="H618" s="83"/>
      <c r="I618" s="83"/>
      <c r="J618" s="83"/>
      <c r="K618" s="83"/>
      <c r="L618" s="83"/>
      <c r="M618" s="83"/>
      <c r="N618" s="83"/>
      <c r="O618" s="83"/>
      <c r="P618" s="83"/>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c r="AO618" s="82"/>
      <c r="AP618" s="82"/>
      <c r="AQ618" s="82"/>
      <c r="AR618" s="82"/>
      <c r="AS618" s="82"/>
      <c r="AT618" s="82"/>
      <c r="AU618" s="82"/>
      <c r="AV618" s="82"/>
      <c r="AW618" s="82"/>
      <c r="AX618" s="82"/>
    </row>
    <row r="619" spans="3:50">
      <c r="C619" s="83"/>
      <c r="D619" s="83"/>
      <c r="E619" s="83"/>
      <c r="F619" s="83"/>
      <c r="G619" s="83"/>
      <c r="H619" s="83"/>
      <c r="I619" s="83"/>
      <c r="J619" s="83"/>
      <c r="K619" s="83"/>
      <c r="L619" s="83"/>
      <c r="M619" s="83"/>
      <c r="N619" s="83"/>
      <c r="O619" s="83"/>
      <c r="P619" s="83"/>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c r="AO619" s="82"/>
      <c r="AP619" s="82"/>
      <c r="AQ619" s="82"/>
      <c r="AR619" s="82"/>
      <c r="AS619" s="82"/>
      <c r="AT619" s="82"/>
      <c r="AU619" s="82"/>
      <c r="AV619" s="82"/>
      <c r="AW619" s="82"/>
      <c r="AX619" s="82"/>
    </row>
    <row r="620" spans="3:50">
      <c r="C620" s="83"/>
      <c r="D620" s="83"/>
      <c r="E620" s="83"/>
      <c r="F620" s="83"/>
      <c r="G620" s="83"/>
      <c r="H620" s="83"/>
      <c r="I620" s="83"/>
      <c r="J620" s="83"/>
      <c r="K620" s="83"/>
      <c r="L620" s="83"/>
      <c r="M620" s="83"/>
      <c r="N620" s="83"/>
      <c r="O620" s="83"/>
      <c r="P620" s="83"/>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c r="AO620" s="82"/>
      <c r="AP620" s="82"/>
      <c r="AQ620" s="82"/>
      <c r="AR620" s="82"/>
      <c r="AS620" s="82"/>
      <c r="AT620" s="82"/>
      <c r="AU620" s="82"/>
      <c r="AV620" s="82"/>
      <c r="AW620" s="82"/>
      <c r="AX620" s="82"/>
    </row>
    <row r="621" spans="3:50">
      <c r="C621" s="83"/>
      <c r="D621" s="83"/>
      <c r="E621" s="83"/>
      <c r="F621" s="83"/>
      <c r="G621" s="83"/>
      <c r="H621" s="83"/>
      <c r="I621" s="83"/>
      <c r="J621" s="83"/>
      <c r="K621" s="83"/>
      <c r="L621" s="83"/>
      <c r="M621" s="83"/>
      <c r="N621" s="83"/>
      <c r="O621" s="83"/>
      <c r="P621" s="83"/>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c r="AO621" s="82"/>
      <c r="AP621" s="82"/>
      <c r="AQ621" s="82"/>
      <c r="AR621" s="82"/>
      <c r="AS621" s="82"/>
      <c r="AT621" s="82"/>
      <c r="AU621" s="82"/>
      <c r="AV621" s="82"/>
      <c r="AW621" s="82"/>
      <c r="AX621" s="82"/>
    </row>
    <row r="622" spans="3:50">
      <c r="C622" s="83"/>
      <c r="D622" s="83"/>
      <c r="E622" s="83"/>
      <c r="F622" s="83"/>
      <c r="G622" s="83"/>
      <c r="H622" s="83"/>
      <c r="I622" s="83"/>
      <c r="J622" s="83"/>
      <c r="K622" s="83"/>
      <c r="L622" s="83"/>
      <c r="M622" s="83"/>
      <c r="N622" s="83"/>
      <c r="O622" s="83"/>
      <c r="P622" s="83"/>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c r="AO622" s="82"/>
      <c r="AP622" s="82"/>
      <c r="AQ622" s="82"/>
      <c r="AR622" s="82"/>
      <c r="AS622" s="82"/>
      <c r="AT622" s="82"/>
      <c r="AU622" s="82"/>
      <c r="AV622" s="82"/>
      <c r="AW622" s="82"/>
      <c r="AX622" s="82"/>
    </row>
    <row r="623" spans="3:50">
      <c r="C623" s="83"/>
      <c r="D623" s="83"/>
      <c r="E623" s="83"/>
      <c r="F623" s="83"/>
      <c r="G623" s="83"/>
      <c r="H623" s="83"/>
      <c r="I623" s="83"/>
      <c r="J623" s="83"/>
      <c r="K623" s="83"/>
      <c r="L623" s="83"/>
      <c r="M623" s="83"/>
      <c r="N623" s="83"/>
      <c r="O623" s="83"/>
      <c r="P623" s="83"/>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c r="AO623" s="82"/>
      <c r="AP623" s="82"/>
      <c r="AQ623" s="82"/>
      <c r="AR623" s="82"/>
      <c r="AS623" s="82"/>
      <c r="AT623" s="82"/>
      <c r="AU623" s="82"/>
      <c r="AV623" s="82"/>
      <c r="AW623" s="82"/>
      <c r="AX623" s="82"/>
    </row>
    <row r="624" spans="3:50">
      <c r="C624" s="83"/>
      <c r="D624" s="83"/>
      <c r="E624" s="83"/>
      <c r="F624" s="83"/>
      <c r="G624" s="83"/>
      <c r="H624" s="83"/>
      <c r="I624" s="83"/>
      <c r="J624" s="83"/>
      <c r="K624" s="83"/>
      <c r="L624" s="83"/>
      <c r="M624" s="83"/>
      <c r="N624" s="83"/>
      <c r="O624" s="83"/>
      <c r="P624" s="83"/>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c r="AO624" s="82"/>
      <c r="AP624" s="82"/>
      <c r="AQ624" s="82"/>
      <c r="AR624" s="82"/>
      <c r="AS624" s="82"/>
      <c r="AT624" s="82"/>
      <c r="AU624" s="82"/>
      <c r="AV624" s="82"/>
      <c r="AW624" s="82"/>
      <c r="AX624" s="82"/>
    </row>
    <row r="625" spans="3:50">
      <c r="C625" s="83"/>
      <c r="D625" s="83"/>
      <c r="E625" s="83"/>
      <c r="F625" s="83"/>
      <c r="G625" s="83"/>
      <c r="H625" s="83"/>
      <c r="I625" s="83"/>
      <c r="J625" s="83"/>
      <c r="K625" s="83"/>
      <c r="L625" s="83"/>
      <c r="M625" s="83"/>
      <c r="N625" s="83"/>
      <c r="O625" s="83"/>
      <c r="P625" s="83"/>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c r="AO625" s="82"/>
      <c r="AP625" s="82"/>
      <c r="AQ625" s="82"/>
      <c r="AR625" s="82"/>
      <c r="AS625" s="82"/>
      <c r="AT625" s="82"/>
      <c r="AU625" s="82"/>
      <c r="AV625" s="82"/>
      <c r="AW625" s="82"/>
      <c r="AX625" s="82"/>
    </row>
    <row r="626" spans="3:50">
      <c r="C626" s="83"/>
      <c r="D626" s="83"/>
      <c r="E626" s="83"/>
      <c r="F626" s="83"/>
      <c r="G626" s="83"/>
      <c r="H626" s="83"/>
      <c r="I626" s="83"/>
      <c r="J626" s="83"/>
      <c r="K626" s="83"/>
      <c r="L626" s="83"/>
      <c r="M626" s="83"/>
      <c r="N626" s="83"/>
      <c r="O626" s="83"/>
      <c r="P626" s="83"/>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c r="AO626" s="82"/>
      <c r="AP626" s="82"/>
      <c r="AQ626" s="82"/>
      <c r="AR626" s="82"/>
      <c r="AS626" s="82"/>
      <c r="AT626" s="82"/>
      <c r="AU626" s="82"/>
      <c r="AV626" s="82"/>
      <c r="AW626" s="82"/>
      <c r="AX626" s="82"/>
    </row>
    <row r="627" spans="3:50">
      <c r="C627" s="83"/>
      <c r="D627" s="83"/>
      <c r="E627" s="83"/>
      <c r="F627" s="83"/>
      <c r="G627" s="83"/>
      <c r="H627" s="83"/>
      <c r="I627" s="83"/>
      <c r="J627" s="83"/>
      <c r="K627" s="83"/>
      <c r="L627" s="83"/>
      <c r="M627" s="83"/>
      <c r="N627" s="83"/>
      <c r="O627" s="83"/>
      <c r="P627" s="83"/>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c r="AO627" s="82"/>
      <c r="AP627" s="82"/>
      <c r="AQ627" s="82"/>
      <c r="AR627" s="82"/>
      <c r="AS627" s="82"/>
      <c r="AT627" s="82"/>
      <c r="AU627" s="82"/>
      <c r="AV627" s="82"/>
      <c r="AW627" s="82"/>
      <c r="AX627" s="82"/>
    </row>
    <row r="628" spans="3:50">
      <c r="C628" s="83"/>
      <c r="D628" s="83"/>
      <c r="E628" s="83"/>
      <c r="F628" s="83"/>
      <c r="G628" s="83"/>
      <c r="H628" s="83"/>
      <c r="I628" s="83"/>
      <c r="J628" s="83"/>
      <c r="K628" s="83"/>
      <c r="L628" s="83"/>
      <c r="M628" s="83"/>
      <c r="N628" s="83"/>
      <c r="O628" s="83"/>
      <c r="P628" s="83"/>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c r="AO628" s="82"/>
      <c r="AP628" s="82"/>
      <c r="AQ628" s="82"/>
      <c r="AR628" s="82"/>
      <c r="AS628" s="82"/>
      <c r="AT628" s="82"/>
      <c r="AU628" s="82"/>
      <c r="AV628" s="82"/>
      <c r="AW628" s="82"/>
      <c r="AX628" s="82"/>
    </row>
    <row r="629" spans="3:50">
      <c r="C629" s="83"/>
      <c r="D629" s="83"/>
      <c r="E629" s="83"/>
      <c r="F629" s="83"/>
      <c r="G629" s="83"/>
      <c r="H629" s="83"/>
      <c r="I629" s="83"/>
      <c r="J629" s="83"/>
      <c r="K629" s="83"/>
      <c r="L629" s="83"/>
      <c r="M629" s="83"/>
      <c r="N629" s="83"/>
      <c r="O629" s="83"/>
      <c r="P629" s="83"/>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c r="AO629" s="82"/>
      <c r="AP629" s="82"/>
      <c r="AQ629" s="82"/>
      <c r="AR629" s="82"/>
      <c r="AS629" s="82"/>
      <c r="AT629" s="82"/>
      <c r="AU629" s="82"/>
      <c r="AV629" s="82"/>
      <c r="AW629" s="82"/>
      <c r="AX629" s="82"/>
    </row>
    <row r="630" spans="3:50">
      <c r="C630" s="83"/>
      <c r="D630" s="83"/>
      <c r="E630" s="83"/>
      <c r="F630" s="83"/>
      <c r="G630" s="83"/>
      <c r="H630" s="83"/>
      <c r="I630" s="83"/>
      <c r="J630" s="83"/>
      <c r="K630" s="83"/>
      <c r="L630" s="83"/>
      <c r="M630" s="83"/>
      <c r="N630" s="83"/>
      <c r="O630" s="83"/>
      <c r="P630" s="83"/>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c r="AO630" s="82"/>
      <c r="AP630" s="82"/>
      <c r="AQ630" s="82"/>
      <c r="AR630" s="82"/>
      <c r="AS630" s="82"/>
      <c r="AT630" s="82"/>
      <c r="AU630" s="82"/>
      <c r="AV630" s="82"/>
      <c r="AW630" s="82"/>
      <c r="AX630" s="82"/>
    </row>
    <row r="631" spans="3:50">
      <c r="C631" s="83"/>
      <c r="D631" s="83"/>
      <c r="E631" s="83"/>
      <c r="F631" s="83"/>
      <c r="G631" s="83"/>
      <c r="H631" s="83"/>
      <c r="I631" s="83"/>
      <c r="J631" s="83"/>
      <c r="K631" s="83"/>
      <c r="L631" s="83"/>
      <c r="M631" s="83"/>
      <c r="N631" s="83"/>
      <c r="O631" s="83"/>
      <c r="P631" s="83"/>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c r="AO631" s="82"/>
      <c r="AP631" s="82"/>
      <c r="AQ631" s="82"/>
      <c r="AR631" s="82"/>
      <c r="AS631" s="82"/>
      <c r="AT631" s="82"/>
      <c r="AU631" s="82"/>
      <c r="AV631" s="82"/>
      <c r="AW631" s="82"/>
      <c r="AX631" s="82"/>
    </row>
    <row r="632" spans="3:50">
      <c r="C632" s="83"/>
      <c r="D632" s="83"/>
      <c r="E632" s="83"/>
      <c r="F632" s="83"/>
      <c r="G632" s="83"/>
      <c r="H632" s="83"/>
      <c r="I632" s="83"/>
      <c r="J632" s="83"/>
      <c r="K632" s="83"/>
      <c r="L632" s="83"/>
      <c r="M632" s="83"/>
      <c r="N632" s="83"/>
      <c r="O632" s="83"/>
      <c r="P632" s="83"/>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c r="AO632" s="82"/>
      <c r="AP632" s="82"/>
      <c r="AQ632" s="82"/>
      <c r="AR632" s="82"/>
      <c r="AS632" s="82"/>
      <c r="AT632" s="82"/>
      <c r="AU632" s="82"/>
      <c r="AV632" s="82"/>
      <c r="AW632" s="82"/>
      <c r="AX632" s="82"/>
    </row>
    <row r="633" spans="3:50">
      <c r="C633" s="83"/>
      <c r="D633" s="83"/>
      <c r="E633" s="83"/>
      <c r="F633" s="83"/>
      <c r="G633" s="83"/>
      <c r="H633" s="83"/>
      <c r="I633" s="83"/>
      <c r="J633" s="83"/>
      <c r="K633" s="83"/>
      <c r="L633" s="83"/>
      <c r="M633" s="83"/>
      <c r="N633" s="83"/>
      <c r="O633" s="83"/>
      <c r="P633" s="83"/>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c r="AO633" s="82"/>
      <c r="AP633" s="82"/>
      <c r="AQ633" s="82"/>
      <c r="AR633" s="82"/>
      <c r="AS633" s="82"/>
      <c r="AT633" s="82"/>
      <c r="AU633" s="82"/>
      <c r="AV633" s="82"/>
      <c r="AW633" s="82"/>
      <c r="AX633" s="82"/>
    </row>
    <row r="634" spans="3:50">
      <c r="C634" s="83"/>
      <c r="D634" s="83"/>
      <c r="E634" s="83"/>
      <c r="F634" s="83"/>
      <c r="G634" s="83"/>
      <c r="H634" s="83"/>
      <c r="I634" s="83"/>
      <c r="J634" s="83"/>
      <c r="K634" s="83"/>
      <c r="L634" s="83"/>
      <c r="M634" s="83"/>
      <c r="N634" s="83"/>
      <c r="O634" s="83"/>
      <c r="P634" s="83"/>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c r="AO634" s="82"/>
      <c r="AP634" s="82"/>
      <c r="AQ634" s="82"/>
      <c r="AR634" s="82"/>
      <c r="AS634" s="82"/>
      <c r="AT634" s="82"/>
      <c r="AU634" s="82"/>
      <c r="AV634" s="82"/>
      <c r="AW634" s="82"/>
      <c r="AX634" s="82"/>
    </row>
    <row r="635" spans="3:50">
      <c r="C635" s="83"/>
      <c r="D635" s="83"/>
      <c r="E635" s="83"/>
      <c r="F635" s="83"/>
      <c r="G635" s="83"/>
      <c r="H635" s="83"/>
      <c r="I635" s="83"/>
      <c r="J635" s="83"/>
      <c r="K635" s="83"/>
      <c r="L635" s="83"/>
      <c r="M635" s="83"/>
      <c r="N635" s="83"/>
      <c r="O635" s="83"/>
      <c r="P635" s="83"/>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c r="AO635" s="82"/>
      <c r="AP635" s="82"/>
      <c r="AQ635" s="82"/>
      <c r="AR635" s="82"/>
      <c r="AS635" s="82"/>
      <c r="AT635" s="82"/>
      <c r="AU635" s="82"/>
      <c r="AV635" s="82"/>
      <c r="AW635" s="82"/>
      <c r="AX635" s="82"/>
    </row>
    <row r="636" spans="3:50">
      <c r="C636" s="83"/>
      <c r="D636" s="83"/>
      <c r="E636" s="83"/>
      <c r="F636" s="83"/>
      <c r="G636" s="83"/>
      <c r="H636" s="83"/>
      <c r="I636" s="83"/>
      <c r="J636" s="83"/>
      <c r="K636" s="83"/>
      <c r="L636" s="83"/>
      <c r="M636" s="83"/>
      <c r="N636" s="83"/>
      <c r="O636" s="83"/>
      <c r="P636" s="83"/>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c r="AO636" s="82"/>
      <c r="AP636" s="82"/>
      <c r="AQ636" s="82"/>
      <c r="AR636" s="82"/>
      <c r="AS636" s="82"/>
      <c r="AT636" s="82"/>
      <c r="AU636" s="82"/>
      <c r="AV636" s="82"/>
      <c r="AW636" s="82"/>
      <c r="AX636" s="82"/>
    </row>
    <row r="637" spans="3:50">
      <c r="C637" s="83"/>
      <c r="D637" s="83"/>
      <c r="E637" s="83"/>
      <c r="F637" s="83"/>
      <c r="G637" s="83"/>
      <c r="H637" s="83"/>
      <c r="I637" s="83"/>
      <c r="J637" s="83"/>
      <c r="K637" s="83"/>
      <c r="L637" s="83"/>
      <c r="M637" s="83"/>
      <c r="N637" s="83"/>
      <c r="O637" s="83"/>
      <c r="P637" s="83"/>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c r="AO637" s="82"/>
      <c r="AP637" s="82"/>
      <c r="AQ637" s="82"/>
      <c r="AR637" s="82"/>
      <c r="AS637" s="82"/>
      <c r="AT637" s="82"/>
      <c r="AU637" s="82"/>
      <c r="AV637" s="82"/>
      <c r="AW637" s="82"/>
      <c r="AX637" s="82"/>
    </row>
    <row r="638" spans="3:50">
      <c r="C638" s="83"/>
      <c r="D638" s="83"/>
      <c r="E638" s="83"/>
      <c r="F638" s="83"/>
      <c r="G638" s="83"/>
      <c r="H638" s="83"/>
      <c r="I638" s="83"/>
      <c r="J638" s="83"/>
      <c r="K638" s="83"/>
      <c r="L638" s="83"/>
      <c r="M638" s="83"/>
      <c r="N638" s="83"/>
      <c r="O638" s="83"/>
      <c r="P638" s="83"/>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c r="AO638" s="82"/>
      <c r="AP638" s="82"/>
      <c r="AQ638" s="82"/>
      <c r="AR638" s="82"/>
      <c r="AS638" s="82"/>
      <c r="AT638" s="82"/>
      <c r="AU638" s="82"/>
      <c r="AV638" s="82"/>
      <c r="AW638" s="82"/>
      <c r="AX638" s="82"/>
    </row>
    <row r="639" spans="3:50">
      <c r="C639" s="83"/>
      <c r="D639" s="83"/>
      <c r="E639" s="83"/>
      <c r="F639" s="83"/>
      <c r="G639" s="83"/>
      <c r="H639" s="83"/>
      <c r="I639" s="83"/>
      <c r="J639" s="83"/>
      <c r="K639" s="83"/>
      <c r="L639" s="83"/>
      <c r="M639" s="83"/>
      <c r="N639" s="83"/>
      <c r="O639" s="83"/>
      <c r="P639" s="83"/>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c r="AO639" s="82"/>
      <c r="AP639" s="82"/>
      <c r="AQ639" s="82"/>
      <c r="AR639" s="82"/>
      <c r="AS639" s="82"/>
      <c r="AT639" s="82"/>
      <c r="AU639" s="82"/>
      <c r="AV639" s="82"/>
      <c r="AW639" s="82"/>
      <c r="AX639" s="82"/>
    </row>
    <row r="640" spans="3:50">
      <c r="C640" s="83"/>
      <c r="D640" s="83"/>
      <c r="E640" s="83"/>
      <c r="F640" s="83"/>
      <c r="G640" s="83"/>
      <c r="H640" s="83"/>
      <c r="I640" s="83"/>
      <c r="J640" s="83"/>
      <c r="K640" s="83"/>
      <c r="L640" s="83"/>
      <c r="M640" s="83"/>
      <c r="N640" s="83"/>
      <c r="O640" s="83"/>
      <c r="P640" s="83"/>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c r="AO640" s="82"/>
      <c r="AP640" s="82"/>
      <c r="AQ640" s="82"/>
      <c r="AR640" s="82"/>
      <c r="AS640" s="82"/>
      <c r="AT640" s="82"/>
      <c r="AU640" s="82"/>
      <c r="AV640" s="82"/>
      <c r="AW640" s="82"/>
      <c r="AX640" s="82"/>
    </row>
    <row r="641" spans="3:50">
      <c r="C641" s="83"/>
      <c r="D641" s="83"/>
      <c r="E641" s="83"/>
      <c r="F641" s="83"/>
      <c r="G641" s="83"/>
      <c r="H641" s="83"/>
      <c r="I641" s="83"/>
      <c r="J641" s="83"/>
      <c r="K641" s="83"/>
      <c r="L641" s="83"/>
      <c r="M641" s="83"/>
      <c r="N641" s="83"/>
      <c r="O641" s="83"/>
      <c r="P641" s="83"/>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c r="AO641" s="82"/>
      <c r="AP641" s="82"/>
      <c r="AQ641" s="82"/>
      <c r="AR641" s="82"/>
      <c r="AS641" s="82"/>
      <c r="AT641" s="82"/>
      <c r="AU641" s="82"/>
      <c r="AV641" s="82"/>
      <c r="AW641" s="82"/>
      <c r="AX641" s="82"/>
    </row>
    <row r="642" spans="3:50">
      <c r="C642" s="83"/>
      <c r="D642" s="83"/>
      <c r="E642" s="83"/>
      <c r="F642" s="83"/>
      <c r="G642" s="83"/>
      <c r="H642" s="83"/>
      <c r="I642" s="83"/>
      <c r="J642" s="83"/>
      <c r="K642" s="83"/>
      <c r="L642" s="83"/>
      <c r="M642" s="83"/>
      <c r="N642" s="83"/>
      <c r="O642" s="83"/>
      <c r="P642" s="83"/>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c r="AO642" s="82"/>
      <c r="AP642" s="82"/>
      <c r="AQ642" s="82"/>
      <c r="AR642" s="82"/>
      <c r="AS642" s="82"/>
      <c r="AT642" s="82"/>
      <c r="AU642" s="82"/>
      <c r="AV642" s="82"/>
      <c r="AW642" s="82"/>
      <c r="AX642" s="82"/>
    </row>
    <row r="643" spans="3:50">
      <c r="C643" s="83"/>
      <c r="D643" s="83"/>
      <c r="E643" s="83"/>
      <c r="F643" s="83"/>
      <c r="G643" s="83"/>
      <c r="H643" s="83"/>
      <c r="I643" s="83"/>
      <c r="J643" s="83"/>
      <c r="K643" s="83"/>
      <c r="L643" s="83"/>
      <c r="M643" s="83"/>
      <c r="N643" s="83"/>
      <c r="O643" s="83"/>
      <c r="P643" s="83"/>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c r="AO643" s="82"/>
      <c r="AP643" s="82"/>
      <c r="AQ643" s="82"/>
      <c r="AR643" s="82"/>
      <c r="AS643" s="82"/>
      <c r="AT643" s="82"/>
      <c r="AU643" s="82"/>
      <c r="AV643" s="82"/>
      <c r="AW643" s="82"/>
      <c r="AX643" s="82"/>
    </row>
    <row r="644" spans="3:50">
      <c r="C644" s="83"/>
      <c r="D644" s="83"/>
      <c r="E644" s="83"/>
      <c r="F644" s="83"/>
      <c r="G644" s="83"/>
      <c r="H644" s="83"/>
      <c r="I644" s="83"/>
      <c r="J644" s="83"/>
      <c r="K644" s="83"/>
      <c r="L644" s="83"/>
      <c r="M644" s="83"/>
      <c r="N644" s="83"/>
      <c r="O644" s="83"/>
      <c r="P644" s="83"/>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c r="AO644" s="82"/>
      <c r="AP644" s="82"/>
      <c r="AQ644" s="82"/>
      <c r="AR644" s="82"/>
      <c r="AS644" s="82"/>
      <c r="AT644" s="82"/>
      <c r="AU644" s="82"/>
      <c r="AV644" s="82"/>
      <c r="AW644" s="82"/>
      <c r="AX644" s="82"/>
    </row>
    <row r="645" spans="3:50">
      <c r="C645" s="83"/>
      <c r="D645" s="83"/>
      <c r="E645" s="83"/>
      <c r="F645" s="83"/>
      <c r="G645" s="83"/>
      <c r="H645" s="83"/>
      <c r="I645" s="83"/>
      <c r="J645" s="83"/>
      <c r="K645" s="83"/>
      <c r="L645" s="83"/>
      <c r="M645" s="83"/>
      <c r="N645" s="83"/>
      <c r="O645" s="83"/>
      <c r="P645" s="83"/>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c r="AO645" s="82"/>
      <c r="AP645" s="82"/>
      <c r="AQ645" s="82"/>
      <c r="AR645" s="82"/>
      <c r="AS645" s="82"/>
      <c r="AT645" s="82"/>
      <c r="AU645" s="82"/>
      <c r="AV645" s="82"/>
      <c r="AW645" s="82"/>
      <c r="AX645" s="82"/>
    </row>
    <row r="646" spans="3:50">
      <c r="C646" s="83"/>
      <c r="D646" s="83"/>
      <c r="E646" s="83"/>
      <c r="F646" s="83"/>
      <c r="G646" s="83"/>
      <c r="H646" s="83"/>
      <c r="I646" s="83"/>
      <c r="J646" s="83"/>
      <c r="K646" s="83"/>
      <c r="L646" s="83"/>
      <c r="M646" s="83"/>
      <c r="N646" s="83"/>
      <c r="O646" s="83"/>
      <c r="P646" s="83"/>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c r="AO646" s="82"/>
      <c r="AP646" s="82"/>
      <c r="AQ646" s="82"/>
      <c r="AR646" s="82"/>
      <c r="AS646" s="82"/>
      <c r="AT646" s="82"/>
      <c r="AU646" s="82"/>
      <c r="AV646" s="82"/>
      <c r="AW646" s="82"/>
      <c r="AX646" s="82"/>
    </row>
    <row r="647" spans="3:50">
      <c r="C647" s="83"/>
      <c r="D647" s="83"/>
      <c r="E647" s="83"/>
      <c r="F647" s="83"/>
      <c r="G647" s="83"/>
      <c r="H647" s="83"/>
      <c r="I647" s="83"/>
      <c r="J647" s="83"/>
      <c r="K647" s="83"/>
      <c r="L647" s="83"/>
      <c r="M647" s="83"/>
      <c r="N647" s="83"/>
      <c r="O647" s="83"/>
      <c r="P647" s="83"/>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c r="AO647" s="82"/>
      <c r="AP647" s="82"/>
      <c r="AQ647" s="82"/>
      <c r="AR647" s="82"/>
      <c r="AS647" s="82"/>
      <c r="AT647" s="82"/>
      <c r="AU647" s="82"/>
      <c r="AV647" s="82"/>
      <c r="AW647" s="82"/>
      <c r="AX647" s="82"/>
    </row>
    <row r="648" spans="3:50">
      <c r="C648" s="83"/>
      <c r="D648" s="83"/>
      <c r="E648" s="83"/>
      <c r="F648" s="83"/>
      <c r="G648" s="83"/>
      <c r="H648" s="83"/>
      <c r="I648" s="83"/>
      <c r="J648" s="83"/>
      <c r="K648" s="83"/>
      <c r="L648" s="83"/>
      <c r="M648" s="83"/>
      <c r="N648" s="83"/>
      <c r="O648" s="83"/>
      <c r="P648" s="83"/>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c r="AO648" s="82"/>
      <c r="AP648" s="82"/>
      <c r="AQ648" s="82"/>
      <c r="AR648" s="82"/>
      <c r="AS648" s="82"/>
      <c r="AT648" s="82"/>
      <c r="AU648" s="82"/>
      <c r="AV648" s="82"/>
      <c r="AW648" s="82"/>
      <c r="AX648" s="82"/>
    </row>
    <row r="649" spans="3:50">
      <c r="C649" s="83"/>
      <c r="D649" s="83"/>
      <c r="E649" s="83"/>
      <c r="F649" s="83"/>
      <c r="G649" s="83"/>
      <c r="H649" s="83"/>
      <c r="I649" s="83"/>
      <c r="J649" s="83"/>
      <c r="K649" s="83"/>
      <c r="L649" s="83"/>
      <c r="M649" s="83"/>
      <c r="N649" s="83"/>
      <c r="O649" s="83"/>
      <c r="P649" s="83"/>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c r="AO649" s="82"/>
      <c r="AP649" s="82"/>
      <c r="AQ649" s="82"/>
      <c r="AR649" s="82"/>
      <c r="AS649" s="82"/>
      <c r="AT649" s="82"/>
      <c r="AU649" s="82"/>
      <c r="AV649" s="82"/>
      <c r="AW649" s="82"/>
      <c r="AX649" s="82"/>
    </row>
    <row r="650" spans="3:50">
      <c r="C650" s="83"/>
      <c r="D650" s="83"/>
      <c r="E650" s="83"/>
      <c r="F650" s="83"/>
      <c r="G650" s="83"/>
      <c r="H650" s="83"/>
      <c r="I650" s="83"/>
      <c r="J650" s="83"/>
      <c r="K650" s="83"/>
      <c r="L650" s="83"/>
      <c r="M650" s="83"/>
      <c r="N650" s="83"/>
      <c r="O650" s="83"/>
      <c r="P650" s="83"/>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c r="AO650" s="82"/>
      <c r="AP650" s="82"/>
      <c r="AQ650" s="82"/>
      <c r="AR650" s="82"/>
      <c r="AS650" s="82"/>
      <c r="AT650" s="82"/>
      <c r="AU650" s="82"/>
      <c r="AV650" s="82"/>
      <c r="AW650" s="82"/>
      <c r="AX650" s="82"/>
    </row>
    <row r="651" spans="3:50">
      <c r="C651" s="83"/>
      <c r="D651" s="83"/>
      <c r="E651" s="83"/>
      <c r="F651" s="83"/>
      <c r="G651" s="83"/>
      <c r="H651" s="83"/>
      <c r="I651" s="83"/>
      <c r="J651" s="83"/>
      <c r="K651" s="83"/>
      <c r="L651" s="83"/>
      <c r="M651" s="83"/>
      <c r="N651" s="83"/>
      <c r="O651" s="83"/>
      <c r="P651" s="83"/>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c r="AO651" s="82"/>
      <c r="AP651" s="82"/>
      <c r="AQ651" s="82"/>
      <c r="AR651" s="82"/>
      <c r="AS651" s="82"/>
      <c r="AT651" s="82"/>
      <c r="AU651" s="82"/>
      <c r="AV651" s="82"/>
      <c r="AW651" s="82"/>
      <c r="AX651" s="82"/>
    </row>
    <row r="652" spans="3:50">
      <c r="C652" s="83"/>
      <c r="D652" s="83"/>
      <c r="E652" s="83"/>
      <c r="F652" s="83"/>
      <c r="G652" s="83"/>
      <c r="H652" s="83"/>
      <c r="I652" s="83"/>
      <c r="J652" s="83"/>
      <c r="K652" s="83"/>
      <c r="L652" s="83"/>
      <c r="M652" s="83"/>
      <c r="N652" s="83"/>
      <c r="O652" s="83"/>
      <c r="P652" s="83"/>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c r="AO652" s="82"/>
      <c r="AP652" s="82"/>
      <c r="AQ652" s="82"/>
      <c r="AR652" s="82"/>
      <c r="AS652" s="82"/>
      <c r="AT652" s="82"/>
      <c r="AU652" s="82"/>
      <c r="AV652" s="82"/>
      <c r="AW652" s="82"/>
      <c r="AX652" s="82"/>
    </row>
    <row r="653" spans="3:50">
      <c r="C653" s="83"/>
      <c r="D653" s="83"/>
      <c r="E653" s="83"/>
      <c r="F653" s="83"/>
      <c r="G653" s="83"/>
      <c r="H653" s="83"/>
      <c r="I653" s="83"/>
      <c r="J653" s="83"/>
      <c r="K653" s="83"/>
      <c r="L653" s="83"/>
      <c r="M653" s="83"/>
      <c r="N653" s="83"/>
      <c r="O653" s="83"/>
      <c r="P653" s="83"/>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c r="AO653" s="82"/>
      <c r="AP653" s="82"/>
      <c r="AQ653" s="82"/>
      <c r="AR653" s="82"/>
      <c r="AS653" s="82"/>
      <c r="AT653" s="82"/>
      <c r="AU653" s="82"/>
      <c r="AV653" s="82"/>
      <c r="AW653" s="82"/>
      <c r="AX653" s="82"/>
    </row>
    <row r="654" spans="3:50">
      <c r="C654" s="83"/>
      <c r="D654" s="83"/>
      <c r="E654" s="83"/>
      <c r="F654" s="83"/>
      <c r="G654" s="83"/>
      <c r="H654" s="83"/>
      <c r="I654" s="83"/>
      <c r="J654" s="83"/>
      <c r="K654" s="83"/>
      <c r="L654" s="83"/>
      <c r="M654" s="83"/>
      <c r="N654" s="83"/>
      <c r="O654" s="83"/>
      <c r="P654" s="83"/>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c r="AO654" s="82"/>
      <c r="AP654" s="82"/>
      <c r="AQ654" s="82"/>
      <c r="AR654" s="82"/>
      <c r="AS654" s="82"/>
      <c r="AT654" s="82"/>
      <c r="AU654" s="82"/>
      <c r="AV654" s="82"/>
      <c r="AW654" s="82"/>
      <c r="AX654" s="82"/>
    </row>
    <row r="655" spans="3:50">
      <c r="C655" s="83"/>
      <c r="D655" s="83"/>
      <c r="E655" s="83"/>
      <c r="F655" s="83"/>
      <c r="G655" s="83"/>
      <c r="H655" s="83"/>
      <c r="I655" s="83"/>
      <c r="J655" s="83"/>
      <c r="K655" s="83"/>
      <c r="L655" s="83"/>
      <c r="M655" s="83"/>
      <c r="N655" s="83"/>
      <c r="O655" s="83"/>
      <c r="P655" s="83"/>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c r="AO655" s="82"/>
      <c r="AP655" s="82"/>
      <c r="AQ655" s="82"/>
      <c r="AR655" s="82"/>
      <c r="AS655" s="82"/>
      <c r="AT655" s="82"/>
      <c r="AU655" s="82"/>
      <c r="AV655" s="82"/>
      <c r="AW655" s="82"/>
      <c r="AX655" s="82"/>
    </row>
    <row r="656" spans="3:50">
      <c r="C656" s="83"/>
      <c r="D656" s="83"/>
      <c r="E656" s="83"/>
      <c r="F656" s="83"/>
      <c r="G656" s="83"/>
      <c r="H656" s="83"/>
      <c r="I656" s="83"/>
      <c r="J656" s="83"/>
      <c r="K656" s="83"/>
      <c r="L656" s="83"/>
      <c r="M656" s="83"/>
      <c r="N656" s="83"/>
      <c r="O656" s="83"/>
      <c r="P656" s="83"/>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c r="AO656" s="82"/>
      <c r="AP656" s="82"/>
      <c r="AQ656" s="82"/>
      <c r="AR656" s="82"/>
      <c r="AS656" s="82"/>
      <c r="AT656" s="82"/>
      <c r="AU656" s="82"/>
      <c r="AV656" s="82"/>
      <c r="AW656" s="82"/>
      <c r="AX656" s="82"/>
    </row>
    <row r="657" spans="3:50">
      <c r="C657" s="83"/>
      <c r="D657" s="83"/>
      <c r="E657" s="83"/>
      <c r="F657" s="83"/>
      <c r="G657" s="83"/>
      <c r="H657" s="83"/>
      <c r="I657" s="83"/>
      <c r="J657" s="83"/>
      <c r="K657" s="83"/>
      <c r="L657" s="83"/>
      <c r="M657" s="83"/>
      <c r="N657" s="83"/>
      <c r="O657" s="83"/>
      <c r="P657" s="83"/>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c r="AO657" s="82"/>
      <c r="AP657" s="82"/>
      <c r="AQ657" s="82"/>
      <c r="AR657" s="82"/>
      <c r="AS657" s="82"/>
      <c r="AT657" s="82"/>
      <c r="AU657" s="82"/>
      <c r="AV657" s="82"/>
      <c r="AW657" s="82"/>
      <c r="AX657" s="82"/>
    </row>
    <row r="658" spans="3:50">
      <c r="C658" s="83"/>
      <c r="D658" s="83"/>
      <c r="E658" s="83"/>
      <c r="F658" s="83"/>
      <c r="G658" s="83"/>
      <c r="H658" s="83"/>
      <c r="I658" s="83"/>
      <c r="J658" s="83"/>
      <c r="K658" s="83"/>
      <c r="L658" s="83"/>
      <c r="M658" s="83"/>
      <c r="N658" s="83"/>
      <c r="O658" s="83"/>
      <c r="P658" s="83"/>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c r="AO658" s="82"/>
      <c r="AP658" s="82"/>
      <c r="AQ658" s="82"/>
      <c r="AR658" s="82"/>
      <c r="AS658" s="82"/>
      <c r="AT658" s="82"/>
      <c r="AU658" s="82"/>
      <c r="AV658" s="82"/>
      <c r="AW658" s="82"/>
      <c r="AX658" s="82"/>
    </row>
    <row r="659" spans="3:50">
      <c r="C659" s="83"/>
      <c r="D659" s="83"/>
      <c r="E659" s="83"/>
      <c r="F659" s="83"/>
      <c r="G659" s="83"/>
      <c r="H659" s="83"/>
      <c r="I659" s="83"/>
      <c r="J659" s="83"/>
      <c r="K659" s="83"/>
      <c r="L659" s="83"/>
      <c r="M659" s="83"/>
      <c r="N659" s="83"/>
      <c r="O659" s="83"/>
      <c r="P659" s="83"/>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c r="AO659" s="82"/>
      <c r="AP659" s="82"/>
      <c r="AQ659" s="82"/>
      <c r="AR659" s="82"/>
      <c r="AS659" s="82"/>
      <c r="AT659" s="82"/>
      <c r="AU659" s="82"/>
      <c r="AV659" s="82"/>
      <c r="AW659" s="82"/>
      <c r="AX659" s="82"/>
    </row>
    <row r="660" spans="3:50">
      <c r="C660" s="83"/>
      <c r="D660" s="83"/>
      <c r="E660" s="83"/>
      <c r="F660" s="83"/>
      <c r="G660" s="83"/>
      <c r="H660" s="83"/>
      <c r="I660" s="83"/>
      <c r="J660" s="83"/>
      <c r="K660" s="83"/>
      <c r="L660" s="83"/>
      <c r="M660" s="83"/>
      <c r="N660" s="83"/>
      <c r="O660" s="83"/>
      <c r="P660" s="83"/>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c r="AO660" s="82"/>
      <c r="AP660" s="82"/>
      <c r="AQ660" s="82"/>
      <c r="AR660" s="82"/>
      <c r="AS660" s="82"/>
      <c r="AT660" s="82"/>
      <c r="AU660" s="82"/>
      <c r="AV660" s="82"/>
      <c r="AW660" s="82"/>
      <c r="AX660" s="82"/>
    </row>
    <row r="661" spans="3:50">
      <c r="C661" s="83"/>
      <c r="D661" s="83"/>
      <c r="E661" s="83"/>
      <c r="F661" s="83"/>
      <c r="G661" s="83"/>
      <c r="H661" s="83"/>
      <c r="I661" s="83"/>
      <c r="J661" s="83"/>
      <c r="K661" s="83"/>
      <c r="L661" s="83"/>
      <c r="M661" s="83"/>
      <c r="N661" s="83"/>
      <c r="O661" s="83"/>
      <c r="P661" s="83"/>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c r="AO661" s="82"/>
      <c r="AP661" s="82"/>
      <c r="AQ661" s="82"/>
      <c r="AR661" s="82"/>
      <c r="AS661" s="82"/>
      <c r="AT661" s="82"/>
      <c r="AU661" s="82"/>
      <c r="AV661" s="82"/>
      <c r="AW661" s="82"/>
      <c r="AX661" s="82"/>
    </row>
    <row r="662" spans="3:50">
      <c r="C662" s="83"/>
      <c r="D662" s="83"/>
      <c r="E662" s="83"/>
      <c r="F662" s="83"/>
      <c r="G662" s="83"/>
      <c r="H662" s="83"/>
      <c r="I662" s="83"/>
      <c r="J662" s="83"/>
      <c r="K662" s="83"/>
      <c r="L662" s="83"/>
      <c r="M662" s="83"/>
      <c r="N662" s="83"/>
      <c r="O662" s="83"/>
      <c r="P662" s="83"/>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c r="AO662" s="82"/>
      <c r="AP662" s="82"/>
      <c r="AQ662" s="82"/>
      <c r="AR662" s="82"/>
      <c r="AS662" s="82"/>
      <c r="AT662" s="82"/>
      <c r="AU662" s="82"/>
      <c r="AV662" s="82"/>
      <c r="AW662" s="82"/>
      <c r="AX662" s="82"/>
    </row>
    <row r="663" spans="3:50">
      <c r="C663" s="83"/>
      <c r="D663" s="83"/>
      <c r="E663" s="83"/>
      <c r="F663" s="83"/>
      <c r="G663" s="83"/>
      <c r="H663" s="83"/>
      <c r="I663" s="83"/>
      <c r="J663" s="83"/>
      <c r="K663" s="83"/>
      <c r="L663" s="83"/>
      <c r="M663" s="83"/>
      <c r="N663" s="83"/>
      <c r="O663" s="83"/>
      <c r="P663" s="83"/>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c r="AO663" s="82"/>
      <c r="AP663" s="82"/>
      <c r="AQ663" s="82"/>
      <c r="AR663" s="82"/>
      <c r="AS663" s="82"/>
      <c r="AT663" s="82"/>
      <c r="AU663" s="82"/>
      <c r="AV663" s="82"/>
      <c r="AW663" s="82"/>
      <c r="AX663" s="82"/>
    </row>
    <row r="664" spans="3:50">
      <c r="C664" s="83"/>
      <c r="D664" s="83"/>
      <c r="E664" s="83"/>
      <c r="F664" s="83"/>
      <c r="G664" s="83"/>
      <c r="H664" s="83"/>
      <c r="I664" s="83"/>
      <c r="J664" s="83"/>
      <c r="K664" s="83"/>
      <c r="L664" s="83"/>
      <c r="M664" s="83"/>
      <c r="N664" s="83"/>
      <c r="O664" s="83"/>
      <c r="P664" s="83"/>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c r="AO664" s="82"/>
      <c r="AP664" s="82"/>
      <c r="AQ664" s="82"/>
      <c r="AR664" s="82"/>
      <c r="AS664" s="82"/>
      <c r="AT664" s="82"/>
      <c r="AU664" s="82"/>
      <c r="AV664" s="82"/>
      <c r="AW664" s="82"/>
      <c r="AX664" s="82"/>
    </row>
    <row r="665" spans="3:50">
      <c r="C665" s="83"/>
      <c r="D665" s="83"/>
      <c r="E665" s="83"/>
      <c r="F665" s="83"/>
      <c r="G665" s="83"/>
      <c r="H665" s="83"/>
      <c r="I665" s="83"/>
      <c r="J665" s="83"/>
      <c r="K665" s="83"/>
      <c r="L665" s="83"/>
      <c r="M665" s="83"/>
      <c r="N665" s="83"/>
      <c r="O665" s="83"/>
      <c r="P665" s="83"/>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c r="AO665" s="82"/>
      <c r="AP665" s="82"/>
      <c r="AQ665" s="82"/>
      <c r="AR665" s="82"/>
      <c r="AS665" s="82"/>
      <c r="AT665" s="82"/>
      <c r="AU665" s="82"/>
      <c r="AV665" s="82"/>
      <c r="AW665" s="82"/>
      <c r="AX665" s="82"/>
    </row>
    <row r="666" spans="3:50">
      <c r="C666" s="83"/>
      <c r="D666" s="83"/>
      <c r="E666" s="83"/>
      <c r="F666" s="83"/>
      <c r="G666" s="83"/>
      <c r="H666" s="83"/>
      <c r="I666" s="83"/>
      <c r="J666" s="83"/>
      <c r="K666" s="83"/>
      <c r="L666" s="83"/>
      <c r="M666" s="83"/>
      <c r="N666" s="83"/>
      <c r="O666" s="83"/>
      <c r="P666" s="83"/>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c r="AO666" s="82"/>
      <c r="AP666" s="82"/>
      <c r="AQ666" s="82"/>
      <c r="AR666" s="82"/>
      <c r="AS666" s="82"/>
      <c r="AT666" s="82"/>
      <c r="AU666" s="82"/>
      <c r="AV666" s="82"/>
      <c r="AW666" s="82"/>
      <c r="AX666" s="82"/>
    </row>
    <row r="667" spans="3:50">
      <c r="C667" s="83"/>
      <c r="D667" s="83"/>
      <c r="E667" s="83"/>
      <c r="F667" s="83"/>
      <c r="G667" s="83"/>
      <c r="H667" s="83"/>
      <c r="I667" s="83"/>
      <c r="J667" s="83"/>
      <c r="K667" s="83"/>
      <c r="L667" s="83"/>
      <c r="M667" s="83"/>
      <c r="N667" s="83"/>
      <c r="O667" s="83"/>
      <c r="P667" s="83"/>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c r="AO667" s="82"/>
      <c r="AP667" s="82"/>
      <c r="AQ667" s="82"/>
      <c r="AR667" s="82"/>
      <c r="AS667" s="82"/>
      <c r="AT667" s="82"/>
      <c r="AU667" s="82"/>
      <c r="AV667" s="82"/>
      <c r="AW667" s="82"/>
      <c r="AX667" s="82"/>
    </row>
    <row r="668" spans="3:50">
      <c r="C668" s="83"/>
      <c r="D668" s="83"/>
      <c r="E668" s="83"/>
      <c r="F668" s="83"/>
      <c r="G668" s="83"/>
      <c r="H668" s="83"/>
      <c r="I668" s="83"/>
      <c r="J668" s="83"/>
      <c r="K668" s="83"/>
      <c r="L668" s="83"/>
      <c r="M668" s="83"/>
      <c r="N668" s="83"/>
      <c r="O668" s="83"/>
      <c r="P668" s="83"/>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c r="AO668" s="82"/>
      <c r="AP668" s="82"/>
      <c r="AQ668" s="82"/>
      <c r="AR668" s="82"/>
      <c r="AS668" s="82"/>
      <c r="AT668" s="82"/>
      <c r="AU668" s="82"/>
      <c r="AV668" s="82"/>
      <c r="AW668" s="82"/>
      <c r="AX668" s="82"/>
    </row>
    <row r="669" spans="3:50">
      <c r="C669" s="83"/>
      <c r="D669" s="83"/>
      <c r="E669" s="83"/>
      <c r="F669" s="83"/>
      <c r="G669" s="83"/>
      <c r="H669" s="83"/>
      <c r="I669" s="83"/>
      <c r="J669" s="83"/>
      <c r="K669" s="83"/>
      <c r="L669" s="83"/>
      <c r="M669" s="83"/>
      <c r="N669" s="83"/>
      <c r="O669" s="83"/>
      <c r="P669" s="83"/>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c r="AO669" s="82"/>
      <c r="AP669" s="82"/>
      <c r="AQ669" s="82"/>
      <c r="AR669" s="82"/>
      <c r="AS669" s="82"/>
      <c r="AT669" s="82"/>
      <c r="AU669" s="82"/>
      <c r="AV669" s="82"/>
      <c r="AW669" s="82"/>
      <c r="AX669" s="82"/>
    </row>
    <row r="670" spans="3:50">
      <c r="C670" s="83"/>
      <c r="D670" s="83"/>
      <c r="E670" s="83"/>
      <c r="F670" s="83"/>
      <c r="G670" s="83"/>
      <c r="H670" s="83"/>
      <c r="I670" s="83"/>
      <c r="J670" s="83"/>
      <c r="K670" s="83"/>
      <c r="L670" s="83"/>
      <c r="M670" s="83"/>
      <c r="N670" s="83"/>
      <c r="O670" s="83"/>
      <c r="P670" s="83"/>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c r="AO670" s="82"/>
      <c r="AP670" s="82"/>
      <c r="AQ670" s="82"/>
      <c r="AR670" s="82"/>
      <c r="AS670" s="82"/>
      <c r="AT670" s="82"/>
      <c r="AU670" s="82"/>
      <c r="AV670" s="82"/>
      <c r="AW670" s="82"/>
      <c r="AX670" s="82"/>
    </row>
    <row r="671" spans="3:50">
      <c r="C671" s="83"/>
      <c r="D671" s="83"/>
      <c r="E671" s="83"/>
      <c r="F671" s="83"/>
      <c r="G671" s="83"/>
      <c r="H671" s="83"/>
      <c r="I671" s="83"/>
      <c r="J671" s="83"/>
      <c r="K671" s="83"/>
      <c r="L671" s="83"/>
      <c r="M671" s="83"/>
      <c r="N671" s="83"/>
      <c r="O671" s="83"/>
      <c r="P671" s="83"/>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c r="AO671" s="82"/>
      <c r="AP671" s="82"/>
      <c r="AQ671" s="82"/>
      <c r="AR671" s="82"/>
      <c r="AS671" s="82"/>
      <c r="AT671" s="82"/>
      <c r="AU671" s="82"/>
      <c r="AV671" s="82"/>
      <c r="AW671" s="82"/>
      <c r="AX671" s="82"/>
    </row>
    <row r="672" spans="3:50">
      <c r="C672" s="83"/>
      <c r="D672" s="83"/>
      <c r="E672" s="83"/>
      <c r="F672" s="83"/>
      <c r="G672" s="83"/>
      <c r="H672" s="83"/>
      <c r="I672" s="83"/>
      <c r="J672" s="83"/>
      <c r="K672" s="83"/>
      <c r="L672" s="83"/>
      <c r="M672" s="83"/>
      <c r="N672" s="83"/>
      <c r="O672" s="83"/>
      <c r="P672" s="83"/>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c r="AO672" s="82"/>
      <c r="AP672" s="82"/>
      <c r="AQ672" s="82"/>
      <c r="AR672" s="82"/>
      <c r="AS672" s="82"/>
      <c r="AT672" s="82"/>
      <c r="AU672" s="82"/>
      <c r="AV672" s="82"/>
      <c r="AW672" s="82"/>
      <c r="AX672" s="82"/>
    </row>
    <row r="673" spans="3:50">
      <c r="C673" s="83"/>
      <c r="D673" s="83"/>
      <c r="E673" s="83"/>
      <c r="F673" s="83"/>
      <c r="G673" s="83"/>
      <c r="H673" s="83"/>
      <c r="I673" s="83"/>
      <c r="J673" s="83"/>
      <c r="K673" s="83"/>
      <c r="L673" s="83"/>
      <c r="M673" s="83"/>
      <c r="N673" s="83"/>
      <c r="O673" s="83"/>
      <c r="P673" s="83"/>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c r="AO673" s="82"/>
      <c r="AP673" s="82"/>
      <c r="AQ673" s="82"/>
      <c r="AR673" s="82"/>
      <c r="AS673" s="82"/>
      <c r="AT673" s="82"/>
      <c r="AU673" s="82"/>
      <c r="AV673" s="82"/>
      <c r="AW673" s="82"/>
      <c r="AX673" s="82"/>
    </row>
    <row r="674" spans="3:50">
      <c r="C674" s="83"/>
      <c r="D674" s="83"/>
      <c r="E674" s="83"/>
      <c r="F674" s="83"/>
      <c r="G674" s="83"/>
      <c r="H674" s="83"/>
      <c r="I674" s="83"/>
      <c r="J674" s="83"/>
      <c r="K674" s="83"/>
      <c r="L674" s="83"/>
      <c r="M674" s="83"/>
      <c r="N674" s="83"/>
      <c r="O674" s="83"/>
      <c r="P674" s="83"/>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c r="AO674" s="82"/>
      <c r="AP674" s="82"/>
      <c r="AQ674" s="82"/>
      <c r="AR674" s="82"/>
      <c r="AS674" s="82"/>
      <c r="AT674" s="82"/>
      <c r="AU674" s="82"/>
      <c r="AV674" s="82"/>
      <c r="AW674" s="82"/>
      <c r="AX674" s="82"/>
    </row>
    <row r="675" spans="3:50">
      <c r="C675" s="83"/>
      <c r="D675" s="83"/>
      <c r="E675" s="83"/>
      <c r="F675" s="83"/>
      <c r="G675" s="83"/>
      <c r="H675" s="83"/>
      <c r="I675" s="83"/>
      <c r="J675" s="83"/>
      <c r="K675" s="83"/>
      <c r="L675" s="83"/>
      <c r="M675" s="83"/>
      <c r="N675" s="83"/>
      <c r="O675" s="83"/>
      <c r="P675" s="83"/>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c r="AO675" s="82"/>
      <c r="AP675" s="82"/>
      <c r="AQ675" s="82"/>
      <c r="AR675" s="82"/>
      <c r="AS675" s="82"/>
      <c r="AT675" s="82"/>
      <c r="AU675" s="82"/>
      <c r="AV675" s="82"/>
      <c r="AW675" s="82"/>
      <c r="AX675" s="82"/>
    </row>
    <row r="676" spans="3:50">
      <c r="C676" s="83"/>
      <c r="D676" s="83"/>
      <c r="E676" s="83"/>
      <c r="F676" s="83"/>
      <c r="G676" s="83"/>
      <c r="H676" s="83"/>
      <c r="I676" s="83"/>
      <c r="J676" s="83"/>
      <c r="K676" s="83"/>
      <c r="L676" s="83"/>
      <c r="M676" s="83"/>
      <c r="N676" s="83"/>
      <c r="O676" s="83"/>
      <c r="P676" s="83"/>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c r="AO676" s="82"/>
      <c r="AP676" s="82"/>
      <c r="AQ676" s="82"/>
      <c r="AR676" s="82"/>
      <c r="AS676" s="82"/>
      <c r="AT676" s="82"/>
      <c r="AU676" s="82"/>
      <c r="AV676" s="82"/>
      <c r="AW676" s="82"/>
      <c r="AX676" s="82"/>
    </row>
    <row r="677" spans="3:50">
      <c r="C677" s="83"/>
      <c r="D677" s="83"/>
      <c r="E677" s="83"/>
      <c r="F677" s="83"/>
      <c r="G677" s="83"/>
      <c r="H677" s="83"/>
      <c r="I677" s="83"/>
      <c r="J677" s="83"/>
      <c r="K677" s="83"/>
      <c r="L677" s="83"/>
      <c r="M677" s="83"/>
      <c r="N677" s="83"/>
      <c r="O677" s="83"/>
      <c r="P677" s="83"/>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c r="AO677" s="82"/>
      <c r="AP677" s="82"/>
      <c r="AQ677" s="82"/>
      <c r="AR677" s="82"/>
      <c r="AS677" s="82"/>
      <c r="AT677" s="82"/>
      <c r="AU677" s="82"/>
      <c r="AV677" s="82"/>
      <c r="AW677" s="82"/>
      <c r="AX677" s="82"/>
    </row>
  </sheetData>
  <mergeCells count="2">
    <mergeCell ref="B4:Q4"/>
    <mergeCell ref="B3:Q3"/>
  </mergeCells>
  <phoneticPr fontId="25" type="noConversion"/>
  <printOptions horizontalCentered="1"/>
  <pageMargins left="0.2" right="0.2" top="0.28000000000000003" bottom="0.4" header="0.26" footer="0.22"/>
  <pageSetup scale="87" orientation="landscape" r:id="rId1"/>
  <headerFooter alignWithMargins="0">
    <oddFooter>&amp;C&amp;A&amp;R&amp;8&amp;F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106"/>
  <sheetViews>
    <sheetView zoomScaleNormal="100" workbookViewId="0">
      <selection activeCell="D35" sqref="D35"/>
    </sheetView>
  </sheetViews>
  <sheetFormatPr defaultColWidth="11.42578125" defaultRowHeight="13.2"/>
  <cols>
    <col min="1" max="1" width="8.28515625" style="5" customWidth="1"/>
    <col min="2" max="2" width="46" style="5" customWidth="1"/>
    <col min="3" max="3" width="17.140625" style="5" customWidth="1"/>
    <col min="4" max="4" width="11.42578125" style="5" customWidth="1"/>
    <col min="5" max="5" width="14.28515625" style="5" customWidth="1"/>
    <col min="6" max="6" width="13.42578125" style="5" customWidth="1"/>
    <col min="7" max="7" width="12.85546875" style="5" customWidth="1"/>
    <col min="8" max="8" width="11.85546875" style="5" customWidth="1"/>
    <col min="9" max="253" width="8.85546875" style="5" customWidth="1"/>
    <col min="254" max="16384" width="11.42578125" style="5"/>
  </cols>
  <sheetData>
    <row r="1" spans="1:8">
      <c r="A1" s="3" t="s">
        <v>36</v>
      </c>
      <c r="B1" s="4"/>
      <c r="C1" s="4"/>
      <c r="D1" s="4"/>
      <c r="E1" s="4"/>
      <c r="F1" s="4"/>
      <c r="G1" s="4"/>
      <c r="H1" s="4"/>
    </row>
    <row r="2" spans="1:8" ht="16.2">
      <c r="A2" s="34"/>
      <c r="B2" s="293" t="s">
        <v>90</v>
      </c>
      <c r="C2" s="173"/>
      <c r="D2" s="173"/>
      <c r="E2" s="173"/>
      <c r="F2" s="173"/>
    </row>
    <row r="3" spans="1:8" ht="16.2">
      <c r="A3" s="34"/>
      <c r="B3" s="293" t="s">
        <v>91</v>
      </c>
      <c r="C3" s="173"/>
      <c r="D3" s="173"/>
      <c r="E3" s="173"/>
      <c r="F3" s="173"/>
    </row>
    <row r="4" spans="1:8" ht="15.75" customHeight="1">
      <c r="B4" s="294" t="str">
        <f>'Cost of Capital'!B5</f>
        <v>For The 12 Months Ending June 30, 2023</v>
      </c>
      <c r="C4" s="174"/>
      <c r="D4" s="174"/>
      <c r="E4" s="174"/>
      <c r="F4" s="174"/>
    </row>
    <row r="5" spans="1:8" ht="12.75" customHeight="1">
      <c r="B5" s="6"/>
      <c r="C5" s="6"/>
      <c r="D5" s="7"/>
      <c r="E5" s="7"/>
      <c r="F5" s="7"/>
    </row>
    <row r="6" spans="1:8">
      <c r="A6" s="3" t="s">
        <v>36</v>
      </c>
    </row>
    <row r="7" spans="1:8">
      <c r="A7" s="3" t="s">
        <v>36</v>
      </c>
      <c r="C7" s="5" t="s">
        <v>36</v>
      </c>
    </row>
    <row r="8" spans="1:8">
      <c r="A8" s="3">
        <v>1</v>
      </c>
      <c r="B8" s="68" t="s">
        <v>31</v>
      </c>
      <c r="C8" s="68" t="s">
        <v>32</v>
      </c>
      <c r="D8" s="68" t="s">
        <v>33</v>
      </c>
      <c r="E8" s="68" t="s">
        <v>34</v>
      </c>
      <c r="F8" s="68" t="s">
        <v>35</v>
      </c>
      <c r="G8" s="587"/>
    </row>
    <row r="9" spans="1:8">
      <c r="A9" s="3">
        <f t="shared" ref="A9:A28" si="0">A8+1</f>
        <v>2</v>
      </c>
      <c r="B9" s="67"/>
      <c r="C9" s="68"/>
      <c r="D9" s="67"/>
      <c r="E9" s="67"/>
      <c r="F9" s="67"/>
      <c r="G9" s="587"/>
    </row>
    <row r="10" spans="1:8">
      <c r="A10" s="3">
        <f t="shared" si="0"/>
        <v>3</v>
      </c>
      <c r="B10" s="67"/>
      <c r="C10" s="68" t="s">
        <v>92</v>
      </c>
      <c r="D10" s="68" t="s">
        <v>93</v>
      </c>
      <c r="E10" s="68" t="s">
        <v>94</v>
      </c>
      <c r="F10" s="68" t="s">
        <v>3</v>
      </c>
      <c r="G10" s="587"/>
    </row>
    <row r="11" spans="1:8">
      <c r="A11" s="3">
        <f t="shared" si="0"/>
        <v>4</v>
      </c>
      <c r="B11" s="69" t="s">
        <v>39</v>
      </c>
      <c r="C11" s="69" t="s">
        <v>95</v>
      </c>
      <c r="D11" s="69" t="s">
        <v>96</v>
      </c>
      <c r="E11" s="69" t="s">
        <v>97</v>
      </c>
      <c r="F11" s="69" t="s">
        <v>96</v>
      </c>
      <c r="G11" s="587"/>
    </row>
    <row r="12" spans="1:8">
      <c r="A12" s="3">
        <f t="shared" si="0"/>
        <v>5</v>
      </c>
      <c r="B12" s="588"/>
      <c r="C12" s="589"/>
      <c r="D12" s="589"/>
      <c r="E12" s="590"/>
      <c r="F12" s="589"/>
      <c r="G12" s="587"/>
    </row>
    <row r="13" spans="1:8">
      <c r="A13" s="3">
        <f t="shared" si="0"/>
        <v>6</v>
      </c>
      <c r="B13" s="588" t="s">
        <v>67</v>
      </c>
      <c r="C13" s="591">
        <f>'Pg 4 STD OS &amp; Comm Fees'!C11</f>
        <v>101912013.62</v>
      </c>
      <c r="D13" s="183">
        <f>IF(E13=0,"NA",(E13/C13))</f>
        <v>4.5845448480895196E-2</v>
      </c>
      <c r="E13" s="592">
        <f>'Pg 4 STD OS &amp; Comm Fees'!D11</f>
        <v>4672201.97</v>
      </c>
      <c r="F13" s="593"/>
      <c r="G13" s="594"/>
    </row>
    <row r="14" spans="1:8">
      <c r="A14" s="3">
        <f t="shared" si="0"/>
        <v>7</v>
      </c>
      <c r="B14" s="587" t="s">
        <v>98</v>
      </c>
      <c r="C14" s="77">
        <f>'Pg 4 STD OS &amp; Comm Fees'!C12</f>
        <v>0</v>
      </c>
      <c r="D14" s="183" t="str">
        <f>IF(E14=0,"NA",(E14/C14))</f>
        <v>NA</v>
      </c>
      <c r="E14" s="592">
        <f>'Pg 4 STD OS &amp; Comm Fees'!D12</f>
        <v>0</v>
      </c>
      <c r="F14" s="593"/>
      <c r="G14" s="594"/>
    </row>
    <row r="15" spans="1:8">
      <c r="A15" s="3">
        <v>10</v>
      </c>
      <c r="B15" s="587" t="s">
        <v>99</v>
      </c>
      <c r="C15" s="77">
        <f>'Pg 4 STD OS &amp; Comm Fees'!C13</f>
        <v>0</v>
      </c>
      <c r="D15" s="183" t="str">
        <f>IF(E15=0,"NA",(E15/C15))</f>
        <v>NA</v>
      </c>
      <c r="E15" s="592">
        <f>'Pg 4 STD OS &amp; Comm Fees'!D13</f>
        <v>0</v>
      </c>
      <c r="F15" s="593"/>
      <c r="G15" s="594"/>
    </row>
    <row r="16" spans="1:8">
      <c r="A16" s="3">
        <f>A15+1</f>
        <v>11</v>
      </c>
      <c r="B16" s="587" t="s">
        <v>100</v>
      </c>
      <c r="C16" s="77">
        <f>'Pg 4 STD OS &amp; Comm Fees'!C14</f>
        <v>0</v>
      </c>
      <c r="D16" s="183" t="str">
        <f>IF(E16=0,"NA",(E16/C16))</f>
        <v>NA</v>
      </c>
      <c r="E16" s="592">
        <f>'Pg 4 STD OS &amp; Comm Fees'!D14</f>
        <v>0</v>
      </c>
    </row>
    <row r="17" spans="1:7">
      <c r="A17" s="3">
        <f t="shared" si="0"/>
        <v>12</v>
      </c>
      <c r="B17" s="595" t="s">
        <v>101</v>
      </c>
      <c r="C17" s="288">
        <f>SUM(C13:C16)</f>
        <v>101912013.62</v>
      </c>
      <c r="D17" s="289">
        <f>IF(E17=0,"NA",(E17/C17))</f>
        <v>4.5845448480895196E-2</v>
      </c>
      <c r="E17" s="596">
        <f>SUM(E13:E16)</f>
        <v>4672201.97</v>
      </c>
      <c r="F17" s="593">
        <f>E17/C23</f>
        <v>4.5845448480895196E-2</v>
      </c>
      <c r="G17" s="594"/>
    </row>
    <row r="18" spans="1:7">
      <c r="A18" s="3">
        <f t="shared" si="0"/>
        <v>13</v>
      </c>
      <c r="B18" s="587"/>
      <c r="C18" s="78"/>
      <c r="D18" s="184"/>
      <c r="E18" s="597"/>
      <c r="F18" s="587"/>
      <c r="G18" s="594"/>
    </row>
    <row r="19" spans="1:7">
      <c r="A19" s="3">
        <f t="shared" si="0"/>
        <v>14</v>
      </c>
      <c r="B19" s="588" t="s">
        <v>44</v>
      </c>
      <c r="C19" s="79"/>
      <c r="D19" s="80"/>
      <c r="E19" s="591">
        <f>'Pg 4 STD OS &amp; Comm Fees'!F16</f>
        <v>1532920.2099381944</v>
      </c>
      <c r="F19" s="598">
        <f>E19/C23</f>
        <v>1.5041604571311916E-2</v>
      </c>
      <c r="G19" s="164" t="s">
        <v>102</v>
      </c>
    </row>
    <row r="20" spans="1:7">
      <c r="A20" s="3">
        <f t="shared" si="0"/>
        <v>15</v>
      </c>
      <c r="B20" s="588"/>
      <c r="C20" s="70"/>
      <c r="D20" s="71"/>
      <c r="E20" s="75"/>
      <c r="F20" s="593"/>
      <c r="G20" s="594"/>
    </row>
    <row r="21" spans="1:7">
      <c r="A21" s="3">
        <f t="shared" si="0"/>
        <v>16</v>
      </c>
      <c r="B21" s="588" t="s">
        <v>103</v>
      </c>
      <c r="C21" s="70"/>
      <c r="D21" s="71"/>
      <c r="E21" s="591">
        <f>-'Pg 5 STD Amort'!H27</f>
        <v>718003.69999999984</v>
      </c>
      <c r="F21" s="598">
        <f>E21/C23</f>
        <v>7.0453293433807027E-3</v>
      </c>
      <c r="G21" s="164" t="s">
        <v>104</v>
      </c>
    </row>
    <row r="22" spans="1:7" ht="13.8" thickBot="1">
      <c r="A22" s="3">
        <f t="shared" si="0"/>
        <v>17</v>
      </c>
      <c r="B22" s="587"/>
      <c r="C22" s="597"/>
      <c r="D22" s="592"/>
      <c r="E22" s="76"/>
      <c r="G22" s="587"/>
    </row>
    <row r="23" spans="1:7" ht="13.8" thickBot="1">
      <c r="A23" s="3">
        <f t="shared" si="0"/>
        <v>18</v>
      </c>
      <c r="B23" s="72" t="s">
        <v>105</v>
      </c>
      <c r="C23" s="73">
        <f>C17</f>
        <v>101912013.62</v>
      </c>
      <c r="D23" s="74"/>
      <c r="E23" s="73">
        <f>SUM(E17:E22)</f>
        <v>6923125.8799381945</v>
      </c>
      <c r="F23" s="188">
        <f>E23/C23</f>
        <v>6.7932382395587826E-2</v>
      </c>
      <c r="G23" s="594"/>
    </row>
    <row r="24" spans="1:7">
      <c r="A24" s="3">
        <f t="shared" si="0"/>
        <v>19</v>
      </c>
      <c r="B24" s="587"/>
      <c r="C24" s="587"/>
      <c r="D24" s="587"/>
      <c r="E24" s="587"/>
      <c r="F24" s="587"/>
      <c r="G24" s="594"/>
    </row>
    <row r="25" spans="1:7">
      <c r="A25" s="3">
        <f t="shared" si="0"/>
        <v>20</v>
      </c>
      <c r="E25" s="10"/>
      <c r="F25" s="9"/>
      <c r="G25" s="10"/>
    </row>
    <row r="26" spans="1:7">
      <c r="A26" s="3">
        <f t="shared" si="0"/>
        <v>21</v>
      </c>
      <c r="B26" s="118" t="s">
        <v>106</v>
      </c>
      <c r="C26" s="447"/>
      <c r="D26" s="447"/>
      <c r="E26" s="447"/>
      <c r="F26" s="588"/>
      <c r="G26" s="10"/>
    </row>
    <row r="27" spans="1:7">
      <c r="A27" s="3">
        <f t="shared" si="0"/>
        <v>22</v>
      </c>
      <c r="B27" s="118" t="s">
        <v>107</v>
      </c>
      <c r="C27" s="447"/>
      <c r="D27" s="447"/>
      <c r="E27" s="447"/>
      <c r="F27" s="588"/>
      <c r="G27" s="10"/>
    </row>
    <row r="28" spans="1:7">
      <c r="A28" s="3">
        <f t="shared" si="0"/>
        <v>23</v>
      </c>
      <c r="B28" s="118" t="s">
        <v>108</v>
      </c>
      <c r="C28" s="588"/>
      <c r="D28" s="588"/>
      <c r="E28" s="588"/>
      <c r="F28" s="588"/>
      <c r="G28" s="10"/>
    </row>
    <row r="29" spans="1:7">
      <c r="A29" s="3"/>
      <c r="B29" s="118"/>
    </row>
    <row r="30" spans="1:7">
      <c r="A30" s="3"/>
      <c r="B30" s="8"/>
    </row>
    <row r="31" spans="1:7">
      <c r="A31" s="3"/>
      <c r="B31" s="8"/>
    </row>
    <row r="32" spans="1:7">
      <c r="A32" s="3" t="s">
        <v>36</v>
      </c>
    </row>
    <row r="33" spans="1:7" ht="12.75" customHeight="1">
      <c r="A33" s="11"/>
    </row>
    <row r="34" spans="1:7">
      <c r="A34" s="3" t="s">
        <v>36</v>
      </c>
      <c r="E34" s="10"/>
      <c r="F34" s="9"/>
      <c r="G34" s="10"/>
    </row>
    <row r="35" spans="1:7">
      <c r="A35" s="3" t="s">
        <v>36</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S36"/>
  <sheetViews>
    <sheetView zoomScaleNormal="100" workbookViewId="0">
      <selection activeCell="H33" sqref="H33"/>
    </sheetView>
  </sheetViews>
  <sheetFormatPr defaultRowHeight="10.199999999999999"/>
  <cols>
    <col min="1" max="1" width="5.7109375" bestFit="1" customWidth="1"/>
    <col min="2" max="2" width="24.7109375" customWidth="1"/>
    <col min="3" max="3" width="16.140625" customWidth="1"/>
    <col min="4" max="4" width="15.140625" customWidth="1"/>
    <col min="5" max="5" width="11.85546875" customWidth="1"/>
    <col min="6" max="6" width="17.140625" customWidth="1"/>
    <col min="7" max="7" width="15" customWidth="1"/>
    <col min="8" max="8" width="14.85546875" bestFit="1" customWidth="1"/>
    <col min="9" max="9" width="12.85546875" customWidth="1"/>
    <col min="10" max="10" width="12.140625" bestFit="1" customWidth="1"/>
    <col min="11" max="11" width="5.85546875" customWidth="1"/>
    <col min="12" max="12" width="8.42578125" customWidth="1"/>
    <col min="13" max="13" width="16" customWidth="1"/>
    <col min="14" max="14" width="11.140625" customWidth="1"/>
    <col min="15" max="15" width="11.42578125" customWidth="1"/>
  </cols>
  <sheetData>
    <row r="1" spans="1:15" ht="12">
      <c r="A1" s="35"/>
      <c r="B1" s="36" t="s">
        <v>109</v>
      </c>
      <c r="C1" s="36"/>
      <c r="D1" s="35"/>
      <c r="E1" s="35"/>
      <c r="F1" s="35"/>
      <c r="G1" s="36"/>
      <c r="H1" s="36"/>
      <c r="I1" s="36"/>
      <c r="J1" s="36"/>
      <c r="K1" s="35"/>
      <c r="L1" s="35"/>
      <c r="M1" s="35"/>
      <c r="N1" s="35"/>
      <c r="O1" s="35"/>
    </row>
    <row r="2" spans="1:15" ht="12">
      <c r="A2" s="35"/>
      <c r="B2" s="36" t="s">
        <v>110</v>
      </c>
      <c r="C2" s="36"/>
      <c r="D2" s="35"/>
      <c r="E2" s="35"/>
      <c r="F2" s="35"/>
      <c r="G2" s="36"/>
      <c r="H2" s="36"/>
      <c r="I2" s="36"/>
      <c r="J2" s="36"/>
      <c r="K2" s="37"/>
      <c r="L2" s="35"/>
      <c r="N2" s="35"/>
      <c r="O2" s="35"/>
    </row>
    <row r="3" spans="1:15" ht="13.2">
      <c r="A3" s="35"/>
      <c r="B3" s="236" t="str">
        <f>'Cost of Capital'!B5</f>
        <v>For The 12 Months Ending June 30, 2023</v>
      </c>
      <c r="C3" s="227"/>
      <c r="D3" s="228"/>
      <c r="E3" s="228"/>
      <c r="F3" s="228"/>
      <c r="G3" s="229"/>
      <c r="H3" s="229"/>
      <c r="I3" s="229"/>
      <c r="J3" s="229"/>
      <c r="K3" s="35"/>
      <c r="L3" s="35"/>
      <c r="N3" s="35"/>
      <c r="O3" s="35"/>
    </row>
    <row r="4" spans="1:15" ht="12">
      <c r="A4" s="35"/>
      <c r="B4" s="36"/>
      <c r="C4" s="43"/>
      <c r="D4" s="35"/>
      <c r="E4" s="35"/>
      <c r="F4" s="35"/>
      <c r="G4" s="35"/>
      <c r="H4" s="35"/>
      <c r="I4" s="35"/>
      <c r="J4" s="35"/>
      <c r="K4" s="35"/>
      <c r="L4" s="35"/>
      <c r="N4" s="35"/>
      <c r="O4" s="35"/>
    </row>
    <row r="5" spans="1:15" ht="13.8" thickBot="1">
      <c r="A5" s="165">
        <v>1</v>
      </c>
      <c r="B5" s="307" t="s">
        <v>31</v>
      </c>
      <c r="C5" s="307" t="s">
        <v>32</v>
      </c>
      <c r="D5" s="307" t="s">
        <v>33</v>
      </c>
      <c r="E5" s="307" t="s">
        <v>34</v>
      </c>
      <c r="F5" s="307" t="s">
        <v>35</v>
      </c>
      <c r="G5" s="307" t="s">
        <v>55</v>
      </c>
      <c r="H5" s="307" t="s">
        <v>56</v>
      </c>
      <c r="I5" s="307" t="s">
        <v>57</v>
      </c>
      <c r="J5" s="307" t="s">
        <v>58</v>
      </c>
      <c r="K5" s="68"/>
      <c r="L5" s="68"/>
      <c r="N5" s="35"/>
      <c r="O5" s="35"/>
    </row>
    <row r="6" spans="1:15" ht="12">
      <c r="A6" s="165">
        <f>+A5+1</f>
        <v>2</v>
      </c>
      <c r="B6" s="308" t="s">
        <v>111</v>
      </c>
      <c r="C6" s="309"/>
      <c r="D6" s="309"/>
      <c r="E6" s="309"/>
      <c r="F6" s="309"/>
      <c r="G6" s="309"/>
      <c r="H6" s="135"/>
      <c r="I6" s="135"/>
      <c r="J6" s="135"/>
      <c r="K6" s="310"/>
      <c r="M6" s="35"/>
      <c r="N6" s="35"/>
      <c r="O6" s="35"/>
    </row>
    <row r="7" spans="1:15" ht="11.4">
      <c r="A7" s="165">
        <f>+A6+1</f>
        <v>3</v>
      </c>
      <c r="B7" s="177"/>
      <c r="C7" s="178"/>
      <c r="D7" s="178"/>
      <c r="E7" s="178"/>
      <c r="F7" s="178" t="s">
        <v>36</v>
      </c>
      <c r="G7" s="38" t="s">
        <v>36</v>
      </c>
      <c r="H7" s="38"/>
      <c r="I7" s="38"/>
      <c r="J7" s="38"/>
      <c r="K7" s="311" t="s">
        <v>36</v>
      </c>
      <c r="L7" s="35"/>
      <c r="M7" s="243"/>
      <c r="N7" s="35"/>
      <c r="O7" s="35"/>
    </row>
    <row r="8" spans="1:15" ht="11.4">
      <c r="A8" s="165">
        <f>A7+1</f>
        <v>4</v>
      </c>
      <c r="B8" s="177"/>
      <c r="C8" s="185" t="s">
        <v>112</v>
      </c>
      <c r="D8" s="185" t="s">
        <v>113</v>
      </c>
      <c r="E8" s="185" t="s">
        <v>112</v>
      </c>
      <c r="F8" s="185" t="s">
        <v>114</v>
      </c>
      <c r="G8" s="38"/>
      <c r="H8" s="38"/>
      <c r="I8" s="38"/>
      <c r="J8" s="38"/>
      <c r="K8" s="311"/>
      <c r="L8" s="176"/>
      <c r="M8" s="35"/>
      <c r="N8" s="35"/>
      <c r="O8" s="35"/>
    </row>
    <row r="9" spans="1:15" ht="11.4">
      <c r="A9" s="165">
        <f>A8+1</f>
        <v>5</v>
      </c>
      <c r="B9" s="177"/>
      <c r="C9" s="186" t="s">
        <v>115</v>
      </c>
      <c r="D9" s="186" t="s">
        <v>93</v>
      </c>
      <c r="E9" s="186" t="s">
        <v>116</v>
      </c>
      <c r="F9" s="186" t="s">
        <v>117</v>
      </c>
      <c r="G9" s="40"/>
      <c r="H9" s="40"/>
      <c r="I9" s="38"/>
      <c r="J9" s="38"/>
      <c r="K9" s="311"/>
      <c r="L9" s="176"/>
      <c r="M9" s="211"/>
      <c r="N9" s="35"/>
      <c r="O9" s="35"/>
    </row>
    <row r="10" spans="1:15" ht="11.4">
      <c r="A10" s="165">
        <f>A9+1</f>
        <v>6</v>
      </c>
      <c r="B10" s="177"/>
      <c r="C10" s="81"/>
      <c r="D10" s="81"/>
      <c r="E10" s="81"/>
      <c r="F10" s="287"/>
      <c r="G10" s="38"/>
      <c r="H10" s="38"/>
      <c r="I10" s="38"/>
      <c r="J10" s="38"/>
      <c r="K10" s="311"/>
      <c r="L10" s="35"/>
      <c r="M10" s="35"/>
      <c r="O10" s="35"/>
    </row>
    <row r="11" spans="1:15" ht="11.4">
      <c r="A11" s="165">
        <f t="shared" ref="A11:A36" si="0">A10+1</f>
        <v>7</v>
      </c>
      <c r="B11" s="177" t="s">
        <v>67</v>
      </c>
      <c r="C11" s="283">
        <v>101912013.62</v>
      </c>
      <c r="D11" s="283">
        <v>4672201.97</v>
      </c>
      <c r="E11" s="238">
        <f>IF(C11=0,"NA",(D11/C11))</f>
        <v>4.5845448480895196E-2</v>
      </c>
      <c r="F11" s="333">
        <v>0</v>
      </c>
      <c r="G11" s="304"/>
      <c r="H11" s="552"/>
      <c r="I11" s="38"/>
      <c r="J11" s="38"/>
      <c r="K11" s="311"/>
      <c r="L11" s="35"/>
      <c r="M11" s="322"/>
      <c r="O11" s="35"/>
    </row>
    <row r="12" spans="1:15" ht="11.4">
      <c r="A12" s="165">
        <f t="shared" si="0"/>
        <v>8</v>
      </c>
      <c r="B12" s="177" t="s">
        <v>98</v>
      </c>
      <c r="C12" s="283">
        <v>0</v>
      </c>
      <c r="D12" s="283">
        <v>0</v>
      </c>
      <c r="E12" s="238" t="str">
        <f>IF(C12=0,"NA",(D12/C12))</f>
        <v>NA</v>
      </c>
      <c r="F12" s="333">
        <v>0</v>
      </c>
      <c r="G12" s="304"/>
      <c r="H12" s="284"/>
      <c r="I12" s="38"/>
      <c r="J12" s="38"/>
      <c r="K12" s="311"/>
      <c r="L12" s="35"/>
      <c r="M12" s="322"/>
      <c r="O12" s="35"/>
    </row>
    <row r="13" spans="1:15" ht="11.4" hidden="1">
      <c r="A13" s="165">
        <v>9</v>
      </c>
      <c r="B13" s="177" t="s">
        <v>99</v>
      </c>
      <c r="C13" s="283">
        <v>0</v>
      </c>
      <c r="D13" s="283">
        <v>0</v>
      </c>
      <c r="E13" s="238" t="str">
        <f>IF(C13=0,"NA",(D13/C13))</f>
        <v>NA</v>
      </c>
      <c r="F13" s="182">
        <f>J26</f>
        <v>0</v>
      </c>
      <c r="G13" s="304"/>
      <c r="H13" s="321"/>
      <c r="I13" s="38"/>
      <c r="J13" s="38"/>
      <c r="K13" s="311"/>
      <c r="L13" s="35"/>
      <c r="M13" s="322"/>
      <c r="O13" s="35"/>
    </row>
    <row r="14" spans="1:15" ht="11.4">
      <c r="A14" s="165">
        <f>A13+1</f>
        <v>10</v>
      </c>
      <c r="B14" s="177" t="s">
        <v>100</v>
      </c>
      <c r="C14" s="283">
        <v>0</v>
      </c>
      <c r="D14" s="283">
        <v>0</v>
      </c>
      <c r="E14" s="238" t="str">
        <f>IF(C14=0,"NA",(D14/C14))</f>
        <v>NA</v>
      </c>
      <c r="F14" s="182">
        <f>J27</f>
        <v>1419444.4443999999</v>
      </c>
      <c r="G14" s="304"/>
      <c r="H14" s="284"/>
      <c r="I14" s="38"/>
      <c r="J14" s="38"/>
      <c r="K14" s="311"/>
      <c r="L14" s="35"/>
      <c r="M14" s="175"/>
      <c r="N14" s="35"/>
      <c r="O14" s="35"/>
    </row>
    <row r="15" spans="1:15" ht="11.4">
      <c r="A15" s="165">
        <f t="shared" si="0"/>
        <v>11</v>
      </c>
      <c r="B15" s="177" t="s">
        <v>118</v>
      </c>
      <c r="C15" s="283">
        <v>0</v>
      </c>
      <c r="D15" s="283">
        <v>0</v>
      </c>
      <c r="E15" s="238" t="str">
        <f>IF(C15=0,"NA",(D15/C15))</f>
        <v>NA</v>
      </c>
      <c r="F15" s="182">
        <f>J33</f>
        <v>113475.76553819444</v>
      </c>
      <c r="G15" s="38"/>
      <c r="H15" s="38"/>
      <c r="I15" s="38"/>
      <c r="J15" s="38"/>
      <c r="K15" s="311"/>
      <c r="L15" s="35"/>
      <c r="M15" s="35"/>
      <c r="N15" s="35"/>
      <c r="O15" s="35"/>
    </row>
    <row r="16" spans="1:15" ht="12.6" thickBot="1">
      <c r="A16" s="165">
        <f t="shared" si="0"/>
        <v>12</v>
      </c>
      <c r="B16" s="291" t="s">
        <v>119</v>
      </c>
      <c r="C16" s="325">
        <f>SUM(C10:C15)</f>
        <v>101912013.62</v>
      </c>
      <c r="D16" s="327">
        <f>SUM(D10:D15)</f>
        <v>4672201.97</v>
      </c>
      <c r="E16" s="326">
        <f>D16/C16</f>
        <v>4.5845448480895196E-2</v>
      </c>
      <c r="F16" s="327">
        <f>SUM(F10:F15)</f>
        <v>1532920.2099381944</v>
      </c>
      <c r="G16" s="38"/>
      <c r="H16" s="38"/>
      <c r="I16" s="38"/>
      <c r="J16" s="38"/>
      <c r="K16" s="311"/>
      <c r="L16" s="35"/>
      <c r="M16" s="35"/>
      <c r="N16" s="35"/>
      <c r="O16" s="35"/>
    </row>
    <row r="17" spans="1:15" ht="12.6" thickTop="1">
      <c r="A17" s="165"/>
      <c r="B17" s="291"/>
      <c r="C17" s="450"/>
      <c r="D17" s="513"/>
      <c r="E17" s="514"/>
      <c r="F17" s="513"/>
      <c r="G17" s="38"/>
      <c r="H17" s="38"/>
      <c r="I17" s="38"/>
      <c r="J17" s="38"/>
      <c r="K17" s="311"/>
      <c r="L17" s="35"/>
      <c r="M17" s="35"/>
      <c r="N17" s="35"/>
      <c r="O17" s="35"/>
    </row>
    <row r="18" spans="1:15" ht="12">
      <c r="A18" s="165"/>
      <c r="B18" s="506" t="s">
        <v>120</v>
      </c>
      <c r="C18" s="179"/>
      <c r="D18" s="180"/>
      <c r="E18" s="178"/>
      <c r="F18" s="505">
        <f>'Cost of Capital'!C30</f>
        <v>9730930239</v>
      </c>
      <c r="G18" s="38"/>
      <c r="H18" s="38"/>
      <c r="I18" s="38"/>
      <c r="J18" s="38"/>
      <c r="K18" s="311"/>
      <c r="L18" s="35"/>
      <c r="M18" s="35"/>
      <c r="N18" s="35"/>
      <c r="O18" s="35"/>
    </row>
    <row r="19" spans="1:15" ht="11.4">
      <c r="A19" s="165"/>
      <c r="B19" s="177"/>
      <c r="C19" s="179"/>
      <c r="D19" s="180"/>
      <c r="E19" s="178"/>
      <c r="F19" s="179"/>
      <c r="G19" s="38"/>
      <c r="H19" s="38"/>
      <c r="I19" s="38"/>
      <c r="J19" s="38"/>
      <c r="K19" s="311"/>
      <c r="L19" s="35"/>
      <c r="M19" s="35"/>
      <c r="N19" s="35"/>
      <c r="O19" s="35"/>
    </row>
    <row r="20" spans="1:15" ht="12">
      <c r="A20" s="165"/>
      <c r="B20" s="506" t="s">
        <v>121</v>
      </c>
      <c r="C20" s="179"/>
      <c r="D20" s="180"/>
      <c r="E20" s="178"/>
      <c r="F20" s="501">
        <f>ROUND(F16/F18,4)</f>
        <v>2.0000000000000001E-4</v>
      </c>
      <c r="G20" s="38"/>
      <c r="H20" s="38"/>
      <c r="I20" s="38"/>
      <c r="J20" s="38"/>
      <c r="K20" s="311"/>
      <c r="L20" s="35"/>
      <c r="M20" s="35"/>
      <c r="N20" s="35"/>
      <c r="O20" s="35"/>
    </row>
    <row r="21" spans="1:15" ht="12" thickBot="1">
      <c r="A21" s="165">
        <f>A16+1</f>
        <v>13</v>
      </c>
      <c r="B21" s="306"/>
      <c r="C21" s="181"/>
      <c r="D21" s="181"/>
      <c r="E21" s="181"/>
      <c r="F21" s="181"/>
      <c r="G21" s="312"/>
      <c r="H21" s="312"/>
      <c r="I21" s="312"/>
      <c r="J21" s="312"/>
      <c r="K21" s="313"/>
      <c r="L21" s="38"/>
      <c r="M21" s="35"/>
      <c r="N21" s="35"/>
      <c r="O21" s="35"/>
    </row>
    <row r="22" spans="1:15" ht="12">
      <c r="A22" s="165">
        <f t="shared" si="0"/>
        <v>14</v>
      </c>
      <c r="B22" s="619" t="s">
        <v>122</v>
      </c>
      <c r="C22" s="620"/>
      <c r="D22" s="135"/>
      <c r="E22" s="135"/>
      <c r="F22" s="135"/>
      <c r="G22" s="135"/>
      <c r="H22" s="158"/>
      <c r="I22" s="158"/>
      <c r="J22" s="158"/>
      <c r="K22" s="132"/>
      <c r="L22" s="38" t="s">
        <v>36</v>
      </c>
      <c r="M22" s="35"/>
      <c r="N22" s="35"/>
      <c r="O22" s="35"/>
    </row>
    <row r="23" spans="1:15" ht="12">
      <c r="A23" s="165">
        <f t="shared" si="0"/>
        <v>15</v>
      </c>
      <c r="B23" s="617" t="s">
        <v>123</v>
      </c>
      <c r="C23" s="618"/>
      <c r="D23" s="38"/>
      <c r="E23" s="38"/>
      <c r="F23" s="38"/>
      <c r="G23" s="191" t="s">
        <v>124</v>
      </c>
      <c r="H23" s="191" t="s">
        <v>124</v>
      </c>
      <c r="I23" s="42"/>
      <c r="J23" s="42"/>
      <c r="K23" s="137"/>
      <c r="L23" s="38"/>
      <c r="M23" s="35"/>
      <c r="N23" s="35"/>
      <c r="O23" s="35"/>
    </row>
    <row r="24" spans="1:15" ht="12">
      <c r="A24" s="165">
        <f t="shared" si="0"/>
        <v>16</v>
      </c>
      <c r="B24" s="556"/>
      <c r="C24" s="557"/>
      <c r="D24" s="38"/>
      <c r="E24" s="38"/>
      <c r="F24" s="38"/>
      <c r="G24" s="191" t="s">
        <v>125</v>
      </c>
      <c r="H24" s="191" t="s">
        <v>126</v>
      </c>
      <c r="I24" s="42"/>
      <c r="J24" s="42"/>
      <c r="K24" s="137"/>
      <c r="L24" s="38"/>
      <c r="M24" s="35"/>
      <c r="N24" s="35"/>
      <c r="O24" s="35"/>
    </row>
    <row r="25" spans="1:15" ht="11.4">
      <c r="A25" s="165">
        <f t="shared" si="0"/>
        <v>17</v>
      </c>
      <c r="B25" s="136"/>
      <c r="C25" s="39" t="s">
        <v>127</v>
      </c>
      <c r="D25" s="39" t="s">
        <v>128</v>
      </c>
      <c r="E25" s="40" t="s">
        <v>129</v>
      </c>
      <c r="F25" s="40" t="s">
        <v>114</v>
      </c>
      <c r="G25" s="40" t="s">
        <v>130</v>
      </c>
      <c r="H25" s="40" t="s">
        <v>114</v>
      </c>
      <c r="I25" s="40" t="s">
        <v>131</v>
      </c>
      <c r="J25" s="40" t="s">
        <v>132</v>
      </c>
      <c r="K25" s="159"/>
      <c r="L25" s="38"/>
      <c r="M25" s="35"/>
      <c r="N25" s="35"/>
      <c r="O25" s="35"/>
    </row>
    <row r="26" spans="1:15" ht="11.4" hidden="1">
      <c r="A26" s="165">
        <v>18</v>
      </c>
      <c r="B26" s="177" t="s">
        <v>99</v>
      </c>
      <c r="C26" s="284"/>
      <c r="D26" s="284"/>
      <c r="E26" s="305">
        <f>D26-C26</f>
        <v>0</v>
      </c>
      <c r="F26" s="323">
        <v>650000000</v>
      </c>
      <c r="G26" s="230">
        <f>C13+H32</f>
        <v>14172603</v>
      </c>
      <c r="H26" s="230">
        <f>F26-G26</f>
        <v>635827397</v>
      </c>
      <c r="I26" s="334">
        <v>1.75E-3</v>
      </c>
      <c r="J26" s="182">
        <f>ROUND(H26*I26*E26/360,4)</f>
        <v>0</v>
      </c>
      <c r="K26" s="137"/>
      <c r="L26" s="38"/>
      <c r="M26" s="35"/>
      <c r="N26" s="35"/>
      <c r="O26" s="35"/>
    </row>
    <row r="27" spans="1:15" ht="11.4">
      <c r="A27" s="165">
        <f>A26+1</f>
        <v>19</v>
      </c>
      <c r="B27" s="177" t="s">
        <v>100</v>
      </c>
      <c r="C27" s="284">
        <v>44743</v>
      </c>
      <c r="D27" s="284">
        <v>45107</v>
      </c>
      <c r="E27" s="305">
        <f>D27-C27+1</f>
        <v>365</v>
      </c>
      <c r="F27" s="323">
        <v>800000000</v>
      </c>
      <c r="G27" s="230">
        <f>C14+H33</f>
        <v>0</v>
      </c>
      <c r="H27" s="230">
        <f>F27-G27</f>
        <v>800000000</v>
      </c>
      <c r="I27" s="334">
        <v>1.75E-3</v>
      </c>
      <c r="J27" s="182">
        <f>ROUND(H27*I27*E27/360,4)</f>
        <v>1419444.4443999999</v>
      </c>
      <c r="K27" s="160"/>
      <c r="L27" s="38"/>
      <c r="M27" s="35"/>
      <c r="N27" s="35"/>
      <c r="O27" s="35"/>
    </row>
    <row r="28" spans="1:15" ht="12" thickBot="1">
      <c r="A28" s="165">
        <f t="shared" si="0"/>
        <v>20</v>
      </c>
      <c r="B28" s="234" t="s">
        <v>133</v>
      </c>
      <c r="C28" s="41"/>
      <c r="D28" s="245"/>
      <c r="E28" s="305"/>
      <c r="F28" s="457"/>
      <c r="G28" s="468"/>
      <c r="H28" s="468"/>
      <c r="I28" s="245"/>
      <c r="J28" s="512">
        <f>+J26+J27</f>
        <v>1419444.4443999999</v>
      </c>
      <c r="K28" s="160"/>
      <c r="L28" s="38"/>
      <c r="M28" s="35"/>
      <c r="N28" s="35"/>
      <c r="O28" s="35"/>
    </row>
    <row r="29" spans="1:15" ht="12" thickTop="1">
      <c r="A29" s="165">
        <f t="shared" si="0"/>
        <v>21</v>
      </c>
      <c r="B29" s="215"/>
      <c r="C29" s="41"/>
      <c r="D29" s="245"/>
      <c r="E29" s="305"/>
      <c r="F29" s="305"/>
      <c r="G29" s="245"/>
      <c r="H29" s="460"/>
      <c r="I29" s="460"/>
      <c r="J29" s="460"/>
      <c r="K29" s="160"/>
      <c r="L29" s="38"/>
      <c r="M29" s="35"/>
      <c r="N29" s="35"/>
      <c r="O29" s="35"/>
    </row>
    <row r="30" spans="1:15" ht="12">
      <c r="A30" s="165">
        <f t="shared" si="0"/>
        <v>22</v>
      </c>
      <c r="B30" s="233" t="s">
        <v>134</v>
      </c>
      <c r="C30" s="284"/>
      <c r="D30" s="284"/>
      <c r="E30" s="81"/>
      <c r="F30" s="40" t="s">
        <v>135</v>
      </c>
      <c r="G30" s="40" t="s">
        <v>129</v>
      </c>
      <c r="H30" s="40" t="s">
        <v>136</v>
      </c>
      <c r="I30" s="245"/>
      <c r="J30" s="460"/>
      <c r="K30" s="160"/>
      <c r="L30" s="38"/>
      <c r="M30" s="35"/>
      <c r="N30" s="35"/>
      <c r="O30" s="35"/>
    </row>
    <row r="31" spans="1:15" ht="11.4">
      <c r="A31" s="165">
        <f t="shared" si="0"/>
        <v>23</v>
      </c>
      <c r="B31" s="234" t="s">
        <v>137</v>
      </c>
      <c r="C31" s="468"/>
      <c r="D31" s="81"/>
      <c r="E31" s="81"/>
      <c r="F31" s="511" t="s">
        <v>138</v>
      </c>
      <c r="G31" s="305">
        <f>E27</f>
        <v>365</v>
      </c>
      <c r="H31" s="283">
        <v>2316500</v>
      </c>
      <c r="I31" s="334">
        <v>0.01</v>
      </c>
      <c r="J31" s="182">
        <f>(I31*H31)*(G31/360)+(15*12)</f>
        <v>23666.736111111109</v>
      </c>
      <c r="K31" s="160"/>
      <c r="L31" s="38"/>
      <c r="M31" s="35"/>
      <c r="N31" s="35"/>
      <c r="O31" s="35"/>
    </row>
    <row r="32" spans="1:15" ht="12.75" customHeight="1">
      <c r="A32" s="165">
        <f>A31+1</f>
        <v>24</v>
      </c>
      <c r="B32" s="234" t="s">
        <v>139</v>
      </c>
      <c r="C32" s="468"/>
      <c r="D32" s="81"/>
      <c r="E32" s="81"/>
      <c r="F32" s="511" t="s">
        <v>140</v>
      </c>
      <c r="G32" s="305">
        <f>E27</f>
        <v>365</v>
      </c>
      <c r="H32" s="283">
        <v>14172603</v>
      </c>
      <c r="I32" s="334">
        <v>6.2500000000000003E-3</v>
      </c>
      <c r="J32" s="182">
        <f>(I32*H32)*(G32/360)</f>
        <v>89809.029427083326</v>
      </c>
      <c r="K32" s="137"/>
      <c r="L32" s="38"/>
      <c r="M32" s="35"/>
      <c r="N32" s="35"/>
      <c r="O32" s="35"/>
    </row>
    <row r="33" spans="1:19" ht="12.75" customHeight="1" thickBot="1">
      <c r="A33" s="165">
        <f t="shared" si="0"/>
        <v>25</v>
      </c>
      <c r="B33" s="290" t="s">
        <v>141</v>
      </c>
      <c r="C33" s="468"/>
      <c r="D33" s="468"/>
      <c r="E33" s="599"/>
      <c r="F33" s="323"/>
      <c r="G33" s="305"/>
      <c r="H33" s="42"/>
      <c r="I33" s="42"/>
      <c r="J33" s="512">
        <f>SUM(J31:J32)</f>
        <v>113475.76553819444</v>
      </c>
      <c r="K33" s="137"/>
      <c r="L33" s="38"/>
      <c r="M33" s="35"/>
      <c r="N33" s="35"/>
      <c r="O33" s="35"/>
    </row>
    <row r="34" spans="1:19" ht="12.75" customHeight="1" thickTop="1">
      <c r="A34" s="165">
        <f t="shared" si="0"/>
        <v>26</v>
      </c>
      <c r="B34" s="234"/>
      <c r="C34" s="468"/>
      <c r="D34" s="468"/>
      <c r="E34" s="468"/>
      <c r="F34" s="285"/>
      <c r="G34" s="286"/>
      <c r="H34" s="42"/>
      <c r="I34" s="42"/>
      <c r="J34" s="42"/>
      <c r="K34" s="137"/>
      <c r="L34" s="38"/>
      <c r="M34" s="35"/>
      <c r="N34" s="35"/>
      <c r="O34" s="35"/>
    </row>
    <row r="35" spans="1:19" ht="12">
      <c r="A35" s="165">
        <f t="shared" si="0"/>
        <v>27</v>
      </c>
      <c r="B35" s="556"/>
      <c r="C35" s="557"/>
      <c r="D35" s="557"/>
      <c r="E35" s="81"/>
      <c r="F35" s="81"/>
      <c r="G35" s="81"/>
      <c r="H35" s="133"/>
      <c r="I35" s="133"/>
      <c r="J35" s="133"/>
      <c r="K35" s="137"/>
    </row>
    <row r="36" spans="1:19" ht="12.6" thickBot="1">
      <c r="A36" s="165">
        <f t="shared" si="0"/>
        <v>28</v>
      </c>
      <c r="B36" s="113" t="s">
        <v>142</v>
      </c>
      <c r="C36" s="162"/>
      <c r="D36" s="162"/>
      <c r="E36" s="138"/>
      <c r="F36" s="138"/>
      <c r="G36" s="138"/>
      <c r="H36" s="163"/>
      <c r="I36" s="163"/>
      <c r="J36" s="163"/>
      <c r="K36" s="161"/>
      <c r="S36" s="112"/>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5"/>
  <sheetViews>
    <sheetView topLeftCell="A9" zoomScaleNormal="100" workbookViewId="0">
      <selection activeCell="F18" sqref="F18"/>
    </sheetView>
  </sheetViews>
  <sheetFormatPr defaultRowHeight="10.199999999999999"/>
  <cols>
    <col min="1" max="1" width="5.7109375" bestFit="1" customWidth="1"/>
    <col min="2" max="2" width="52.7109375" bestFit="1" customWidth="1"/>
    <col min="3" max="7" width="21.7109375" customWidth="1"/>
    <col min="8" max="8" width="15.85546875" customWidth="1"/>
    <col min="9" max="10" width="12" style="112" customWidth="1"/>
  </cols>
  <sheetData>
    <row r="1" spans="1:9" ht="12">
      <c r="B1" s="36" t="s">
        <v>109</v>
      </c>
    </row>
    <row r="2" spans="1:9" ht="12">
      <c r="A2" s="81"/>
      <c r="B2" s="114" t="s">
        <v>143</v>
      </c>
    </row>
    <row r="3" spans="1:9" ht="12">
      <c r="A3" s="81"/>
      <c r="B3" s="554" t="str">
        <f>'Cost of Capital'!B5</f>
        <v>For The 12 Months Ending June 30, 2023</v>
      </c>
    </row>
    <row r="4" spans="1:9" ht="12">
      <c r="A4" s="38"/>
      <c r="B4" s="36"/>
      <c r="C4" s="35"/>
      <c r="D4" s="35"/>
      <c r="E4" s="35"/>
      <c r="F4" s="35"/>
      <c r="G4" s="35"/>
      <c r="H4" s="35"/>
    </row>
    <row r="5" spans="1:9" ht="12">
      <c r="A5" s="335" t="s">
        <v>31</v>
      </c>
      <c r="B5" s="335" t="s">
        <v>32</v>
      </c>
      <c r="C5" s="335" t="s">
        <v>33</v>
      </c>
      <c r="D5" s="335" t="s">
        <v>34</v>
      </c>
      <c r="E5" s="335" t="s">
        <v>35</v>
      </c>
      <c r="F5" s="335" t="s">
        <v>55</v>
      </c>
      <c r="G5" s="335" t="s">
        <v>56</v>
      </c>
      <c r="H5" s="335" t="s">
        <v>57</v>
      </c>
    </row>
    <row r="6" spans="1:9" ht="11.25" customHeight="1">
      <c r="A6" s="35"/>
      <c r="B6" s="336"/>
      <c r="C6" s="336"/>
      <c r="D6" s="336"/>
      <c r="E6" s="336"/>
      <c r="F6" s="336"/>
      <c r="G6" s="336"/>
      <c r="H6" s="336"/>
    </row>
    <row r="7" spans="1:9" ht="11.25" customHeight="1">
      <c r="A7" s="165"/>
      <c r="B7" s="147"/>
      <c r="C7" s="295"/>
      <c r="D7" s="295"/>
      <c r="E7" s="295"/>
      <c r="F7" s="295"/>
      <c r="G7" s="295"/>
    </row>
    <row r="8" spans="1:9" ht="11.25" customHeight="1">
      <c r="A8" s="165">
        <v>1</v>
      </c>
      <c r="B8" s="337" t="s">
        <v>39</v>
      </c>
      <c r="C8" s="338" t="s">
        <v>144</v>
      </c>
      <c r="D8" s="338" t="s">
        <v>145</v>
      </c>
      <c r="E8" s="338" t="s">
        <v>144</v>
      </c>
      <c r="F8" s="338" t="s">
        <v>145</v>
      </c>
      <c r="G8" s="338" t="s">
        <v>145</v>
      </c>
      <c r="H8" s="35"/>
    </row>
    <row r="9" spans="1:9" ht="11.25" customHeight="1">
      <c r="A9" s="165">
        <f>A8+1</f>
        <v>2</v>
      </c>
      <c r="B9" s="337"/>
      <c r="C9" s="339" t="s">
        <v>146</v>
      </c>
      <c r="D9" s="339" t="s">
        <v>146</v>
      </c>
      <c r="E9" s="339" t="s">
        <v>147</v>
      </c>
      <c r="F9" s="339" t="s">
        <v>146</v>
      </c>
      <c r="G9" s="339" t="s">
        <v>147</v>
      </c>
      <c r="H9" s="340" t="s">
        <v>148</v>
      </c>
    </row>
    <row r="10" spans="1:9" ht="11.25" customHeight="1">
      <c r="A10" s="165">
        <f t="shared" ref="A10:A35" si="0">A9+1</f>
        <v>3</v>
      </c>
      <c r="B10" s="114" t="s">
        <v>149</v>
      </c>
      <c r="C10" s="341">
        <v>18100673</v>
      </c>
      <c r="D10" s="341">
        <v>18100683</v>
      </c>
      <c r="E10" s="341">
        <v>18900473</v>
      </c>
      <c r="F10" s="341">
        <v>18101223</v>
      </c>
      <c r="G10" s="341">
        <v>18900483</v>
      </c>
      <c r="H10" s="341" t="s">
        <v>150</v>
      </c>
    </row>
    <row r="11" spans="1:9" ht="11.25" customHeight="1">
      <c r="A11" s="165">
        <f t="shared" si="0"/>
        <v>4</v>
      </c>
      <c r="B11" s="114"/>
      <c r="C11" s="35"/>
      <c r="D11" s="35"/>
      <c r="H11" s="35"/>
    </row>
    <row r="12" spans="1:9" ht="11.4">
      <c r="A12" s="165">
        <f t="shared" si="0"/>
        <v>5</v>
      </c>
      <c r="B12" s="178" t="s">
        <v>151</v>
      </c>
      <c r="C12" s="35"/>
      <c r="D12" s="35"/>
      <c r="E12" s="35"/>
      <c r="F12" s="35"/>
      <c r="G12" s="35"/>
      <c r="H12" s="343"/>
    </row>
    <row r="13" spans="1:9" ht="11.4">
      <c r="A13" s="165">
        <f t="shared" si="0"/>
        <v>6</v>
      </c>
      <c r="B13" s="499" t="s">
        <v>152</v>
      </c>
      <c r="C13" s="497">
        <v>40845.660000000003</v>
      </c>
      <c r="D13" s="497">
        <v>0</v>
      </c>
      <c r="E13" s="497">
        <v>6320.26</v>
      </c>
      <c r="F13" s="497">
        <v>3110191.47</v>
      </c>
      <c r="G13" s="497">
        <v>93427.86</v>
      </c>
      <c r="H13" s="343"/>
    </row>
    <row r="14" spans="1:9" ht="11.4">
      <c r="A14" s="165">
        <f t="shared" si="0"/>
        <v>7</v>
      </c>
      <c r="B14" s="35"/>
      <c r="C14" s="344"/>
      <c r="D14" s="344"/>
      <c r="E14" s="344"/>
      <c r="F14" s="344"/>
      <c r="G14" s="344"/>
      <c r="H14" s="343"/>
    </row>
    <row r="15" spans="1:9" ht="11.4">
      <c r="A15" s="165">
        <f t="shared" si="0"/>
        <v>8</v>
      </c>
      <c r="B15" s="351">
        <v>44743</v>
      </c>
      <c r="C15" s="344">
        <v>-10211.44</v>
      </c>
      <c r="D15" s="344"/>
      <c r="E15" s="344">
        <v>-1580.06</v>
      </c>
      <c r="F15" s="344">
        <v>-53623.99</v>
      </c>
      <c r="G15" s="344">
        <v>-1597.06</v>
      </c>
      <c r="H15" s="343"/>
    </row>
    <row r="16" spans="1:9" ht="11.4">
      <c r="A16" s="165">
        <f t="shared" si="0"/>
        <v>9</v>
      </c>
      <c r="B16" s="351">
        <v>44774</v>
      </c>
      <c r="C16" s="344">
        <v>-10211.44</v>
      </c>
      <c r="D16" s="344"/>
      <c r="E16" s="344">
        <v>-1580.06</v>
      </c>
      <c r="F16" s="344">
        <v>-53864.07</v>
      </c>
      <c r="G16" s="344">
        <v>-1597.06</v>
      </c>
      <c r="H16" s="342"/>
      <c r="I16" s="320"/>
    </row>
    <row r="17" spans="1:8" ht="11.4">
      <c r="A17" s="165">
        <f t="shared" si="0"/>
        <v>10</v>
      </c>
      <c r="B17" s="351">
        <v>44805</v>
      </c>
      <c r="C17" s="344">
        <v>-10211.44</v>
      </c>
      <c r="D17" s="344"/>
      <c r="E17" s="344">
        <v>-1580.06</v>
      </c>
      <c r="F17" s="344">
        <v>-56713.97</v>
      </c>
      <c r="G17" s="344">
        <v>-1597.06</v>
      </c>
      <c r="H17" s="343"/>
    </row>
    <row r="18" spans="1:8" ht="11.4">
      <c r="A18" s="165">
        <f t="shared" si="0"/>
        <v>11</v>
      </c>
      <c r="B18" s="351">
        <v>44835</v>
      </c>
      <c r="C18" s="344">
        <v>-10211.44</v>
      </c>
      <c r="D18" s="344"/>
      <c r="E18" s="344">
        <v>-1580.06</v>
      </c>
      <c r="F18" s="344">
        <v>-55643.42</v>
      </c>
      <c r="G18" s="344">
        <v>-1597.06</v>
      </c>
      <c r="H18" s="343"/>
    </row>
    <row r="19" spans="1:8" ht="11.4">
      <c r="A19" s="165">
        <f t="shared" si="0"/>
        <v>12</v>
      </c>
      <c r="B19" s="351">
        <v>44866</v>
      </c>
      <c r="C19" s="344"/>
      <c r="D19" s="344"/>
      <c r="E19" s="344"/>
      <c r="F19" s="344">
        <v>-53914.07</v>
      </c>
      <c r="G19" s="344">
        <v>-1597.06</v>
      </c>
      <c r="H19" s="343"/>
    </row>
    <row r="20" spans="1:8" ht="11.4">
      <c r="A20" s="165">
        <f t="shared" si="0"/>
        <v>13</v>
      </c>
      <c r="B20" s="351">
        <v>44896</v>
      </c>
      <c r="C20" s="344"/>
      <c r="D20" s="344"/>
      <c r="E20" s="344"/>
      <c r="F20" s="344">
        <v>-53987.09</v>
      </c>
      <c r="G20" s="344">
        <v>-1597.06</v>
      </c>
      <c r="H20" s="343"/>
    </row>
    <row r="21" spans="1:8" ht="11.4">
      <c r="A21" s="165">
        <f t="shared" si="0"/>
        <v>14</v>
      </c>
      <c r="B21" s="351">
        <v>44927</v>
      </c>
      <c r="C21" s="344"/>
      <c r="D21" s="344"/>
      <c r="E21" s="344"/>
      <c r="F21" s="344">
        <v>-53987.09</v>
      </c>
      <c r="G21" s="344">
        <v>-1597.06</v>
      </c>
      <c r="H21" s="343"/>
    </row>
    <row r="22" spans="1:8" ht="11.4">
      <c r="A22" s="165">
        <f t="shared" si="0"/>
        <v>15</v>
      </c>
      <c r="B22" s="351">
        <v>44958</v>
      </c>
      <c r="C22" s="344"/>
      <c r="D22" s="344"/>
      <c r="E22" s="344"/>
      <c r="F22" s="344">
        <v>-53987.09</v>
      </c>
      <c r="G22" s="344">
        <v>-1597.06</v>
      </c>
      <c r="H22" s="343"/>
    </row>
    <row r="23" spans="1:8" ht="11.4">
      <c r="A23" s="165">
        <f t="shared" si="0"/>
        <v>16</v>
      </c>
      <c r="B23" s="351">
        <v>44986</v>
      </c>
      <c r="C23" s="344"/>
      <c r="D23" s="344"/>
      <c r="E23" s="344"/>
      <c r="F23" s="344">
        <v>-53987.09</v>
      </c>
      <c r="G23" s="344">
        <v>-1597.06</v>
      </c>
      <c r="H23" s="343"/>
    </row>
    <row r="24" spans="1:8" ht="11.4">
      <c r="A24" s="165">
        <f t="shared" si="0"/>
        <v>17</v>
      </c>
      <c r="B24" s="351">
        <v>45017</v>
      </c>
      <c r="C24" s="344"/>
      <c r="D24" s="344"/>
      <c r="E24" s="344"/>
      <c r="F24" s="344">
        <v>-53987.09</v>
      </c>
      <c r="G24" s="344">
        <v>-1597.06</v>
      </c>
      <c r="H24" s="343"/>
    </row>
    <row r="25" spans="1:8" ht="11.4">
      <c r="A25" s="165">
        <f t="shared" si="0"/>
        <v>18</v>
      </c>
      <c r="B25" s="351">
        <v>45047</v>
      </c>
      <c r="C25" s="344"/>
      <c r="D25" s="344"/>
      <c r="E25" s="344"/>
      <c r="F25" s="344">
        <v>-53987.09</v>
      </c>
      <c r="G25" s="344">
        <v>-1597.06</v>
      </c>
      <c r="H25" s="343"/>
    </row>
    <row r="26" spans="1:8" ht="12" thickBot="1">
      <c r="A26" s="165">
        <f t="shared" si="0"/>
        <v>19</v>
      </c>
      <c r="B26" s="351">
        <v>45078</v>
      </c>
      <c r="C26" s="344"/>
      <c r="D26" s="344"/>
      <c r="E26" s="344"/>
      <c r="F26" s="344">
        <v>-53990.92</v>
      </c>
      <c r="G26" s="344">
        <v>-1597.06</v>
      </c>
      <c r="H26" s="343"/>
    </row>
    <row r="27" spans="1:8" ht="12.6" thickBot="1">
      <c r="A27" s="165">
        <f t="shared" si="0"/>
        <v>20</v>
      </c>
      <c r="B27" s="553" t="s">
        <v>153</v>
      </c>
      <c r="C27" s="348">
        <f>SUM(C15:C26)</f>
        <v>-40845.760000000002</v>
      </c>
      <c r="D27" s="348">
        <f>SUM(D15:D26)</f>
        <v>0</v>
      </c>
      <c r="E27" s="348">
        <f>SUM(E15:E26)</f>
        <v>-6320.24</v>
      </c>
      <c r="F27" s="348">
        <f>SUM(F15:F26)</f>
        <v>-651672.97999999986</v>
      </c>
      <c r="G27" s="348">
        <f>SUM(G15:G26)</f>
        <v>-19164.719999999998</v>
      </c>
      <c r="H27" s="349">
        <f>SUM(C27:G27)</f>
        <v>-718003.69999999984</v>
      </c>
    </row>
    <row r="28" spans="1:8" ht="11.4">
      <c r="A28" s="165">
        <f t="shared" si="0"/>
        <v>21</v>
      </c>
      <c r="B28" s="178"/>
      <c r="C28" s="600"/>
      <c r="D28" s="600"/>
      <c r="E28" s="600"/>
      <c r="F28" s="600"/>
      <c r="G28" s="600"/>
      <c r="H28" s="343"/>
    </row>
    <row r="29" spans="1:8" ht="11.4">
      <c r="A29" s="165">
        <f t="shared" si="0"/>
        <v>22</v>
      </c>
      <c r="B29" s="345" t="s">
        <v>154</v>
      </c>
      <c r="C29" s="344"/>
      <c r="D29" s="344"/>
      <c r="E29" s="344"/>
      <c r="F29" s="344">
        <f>13684.4+3870.45+180+7329.15</f>
        <v>25064</v>
      </c>
      <c r="G29" s="344"/>
      <c r="H29" s="343"/>
    </row>
    <row r="30" spans="1:8" ht="11.4">
      <c r="A30" s="165">
        <f t="shared" si="0"/>
        <v>23</v>
      </c>
      <c r="B30" s="345" t="s">
        <v>155</v>
      </c>
      <c r="D30" s="344"/>
      <c r="E30" s="344"/>
      <c r="F30" s="344"/>
      <c r="G30" s="344"/>
      <c r="H30" s="343"/>
    </row>
    <row r="31" spans="1:8" ht="12" thickBot="1">
      <c r="A31" s="165">
        <f t="shared" si="0"/>
        <v>24</v>
      </c>
      <c r="B31" s="178" t="s">
        <v>156</v>
      </c>
      <c r="C31" s="350">
        <f>C13+C27+C29+C30</f>
        <v>-9.9999999998544808E-2</v>
      </c>
      <c r="D31" s="350">
        <f>D13+D27+D29+D30</f>
        <v>0</v>
      </c>
      <c r="E31" s="350">
        <f>E13+E27+E29+E30</f>
        <v>2.0000000000436557E-2</v>
      </c>
      <c r="F31" s="350">
        <f>F13+F27+F29+F30</f>
        <v>2483582.4900000002</v>
      </c>
      <c r="G31" s="350">
        <f>G13+G27+G29+G30</f>
        <v>74263.14</v>
      </c>
      <c r="H31" s="343"/>
    </row>
    <row r="32" spans="1:8" ht="12.6" thickTop="1">
      <c r="A32" s="165">
        <f t="shared" si="0"/>
        <v>25</v>
      </c>
      <c r="B32" s="346"/>
      <c r="C32" s="35"/>
      <c r="D32" s="35"/>
      <c r="E32" s="35"/>
      <c r="F32" s="35"/>
      <c r="G32" s="35"/>
      <c r="H32" s="35"/>
    </row>
    <row r="33" spans="1:9" ht="12">
      <c r="A33" s="165">
        <f t="shared" si="0"/>
        <v>26</v>
      </c>
      <c r="B33" s="36" t="s">
        <v>120</v>
      </c>
      <c r="C33" s="342"/>
      <c r="D33" s="342"/>
      <c r="E33" s="342"/>
      <c r="F33" s="342"/>
      <c r="G33" s="342"/>
      <c r="H33" s="35">
        <f>'Cost of Capital'!C30</f>
        <v>9730930239</v>
      </c>
    </row>
    <row r="34" spans="1:9" ht="11.4">
      <c r="A34" s="165">
        <f t="shared" si="0"/>
        <v>27</v>
      </c>
      <c r="B34" s="35"/>
      <c r="C34" s="347"/>
      <c r="D34" s="347"/>
      <c r="E34" s="347"/>
      <c r="F34" s="347"/>
      <c r="G34" s="347"/>
      <c r="H34" s="35"/>
    </row>
    <row r="35" spans="1:9" ht="12">
      <c r="A35" s="165">
        <f t="shared" si="0"/>
        <v>28</v>
      </c>
      <c r="B35" s="36" t="s">
        <v>157</v>
      </c>
      <c r="C35" s="35"/>
      <c r="D35" s="35"/>
      <c r="E35" s="35"/>
      <c r="F35" s="35"/>
      <c r="G35" s="35"/>
      <c r="H35" s="502">
        <f>ROUND(-H27/H33,4)</f>
        <v>1E-4</v>
      </c>
      <c r="I35" s="516"/>
    </row>
    <row r="36" spans="1:9">
      <c r="A36" s="165"/>
    </row>
    <row r="37" spans="1:9">
      <c r="A37" s="165"/>
    </row>
    <row r="38" spans="1:9">
      <c r="A38" s="165"/>
      <c r="B38" s="193"/>
    </row>
    <row r="39" spans="1:9">
      <c r="A39" s="165"/>
    </row>
    <row r="40" spans="1:9">
      <c r="A40" s="165"/>
    </row>
    <row r="41" spans="1:9">
      <c r="A41" s="165"/>
    </row>
    <row r="42" spans="1:9">
      <c r="A42" s="165"/>
    </row>
    <row r="43" spans="1:9">
      <c r="A43" s="165"/>
      <c r="B43" s="145"/>
    </row>
    <row r="44" spans="1:9">
      <c r="A44" s="165"/>
    </row>
    <row r="45" spans="1:9">
      <c r="A45" s="165"/>
    </row>
    <row r="46" spans="1:9">
      <c r="A46" s="165"/>
      <c r="B46" s="195"/>
    </row>
    <row r="47" spans="1:9">
      <c r="A47" s="165"/>
    </row>
    <row r="48" spans="1:9">
      <c r="A48" s="165"/>
    </row>
    <row r="49" spans="1:2">
      <c r="A49" s="165"/>
    </row>
    <row r="50" spans="1:2">
      <c r="A50" s="165"/>
    </row>
    <row r="51" spans="1:2">
      <c r="A51" s="165"/>
    </row>
    <row r="52" spans="1:2">
      <c r="A52" s="165"/>
    </row>
    <row r="53" spans="1:2">
      <c r="A53" s="165"/>
      <c r="B53" s="146"/>
    </row>
    <row r="54" spans="1:2">
      <c r="A54" s="165"/>
      <c r="B54" s="146"/>
    </row>
    <row r="55" spans="1:2">
      <c r="A55" s="165"/>
      <c r="B55" s="195"/>
    </row>
  </sheetData>
  <phoneticPr fontId="25" type="noConversion"/>
  <pageMargins left="0.79" right="0.67" top="0.44" bottom="0.44" header="0.23" footer="0.17"/>
  <pageSetup scale="84" orientation="landscape" r:id="rId1"/>
  <headerFooter alignWithMargins="0">
    <oddFooter>&amp;C&amp;A&amp;R&amp;F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BC167"/>
  <sheetViews>
    <sheetView zoomScaleNormal="100" workbookViewId="0">
      <pane xSplit="5" ySplit="5" topLeftCell="K17" activePane="bottomRight" state="frozen"/>
      <selection pane="topRight" activeCell="F32" sqref="F32"/>
      <selection pane="bottomLeft" activeCell="F32" sqref="F32"/>
      <selection pane="bottomRight" activeCell="X26" sqref="X26"/>
    </sheetView>
  </sheetViews>
  <sheetFormatPr defaultColWidth="8.85546875" defaultRowHeight="13.2" outlineLevelCol="1"/>
  <cols>
    <col min="1" max="1" width="5.7109375" style="25" bestFit="1"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1" width="9.140625" style="23" customWidth="1"/>
    <col min="12" max="12" width="9.85546875" style="23" customWidth="1"/>
    <col min="13" max="13" width="9.140625" style="23" customWidth="1"/>
    <col min="14" max="14" width="9.85546875" style="23" customWidth="1"/>
    <col min="15" max="23" width="8.85546875" style="23" customWidth="1"/>
    <col min="24" max="24" width="8.85546875" style="23" customWidth="1" outlineLevel="1"/>
    <col min="25" max="25" width="12.28515625" style="23" customWidth="1" outlineLevel="1"/>
    <col min="26" max="26" width="14.7109375" style="23" customWidth="1" outlineLevel="1"/>
    <col min="27" max="27" width="12.7109375" style="23" customWidth="1"/>
    <col min="28" max="28" width="8.85546875" style="23"/>
    <col min="29" max="30" width="10.85546875" style="23" bestFit="1" customWidth="1"/>
    <col min="31" max="16384" width="8.85546875" style="23"/>
  </cols>
  <sheetData>
    <row r="1" spans="1:25" ht="12.75" customHeight="1">
      <c r="A1" s="205" t="s">
        <v>158</v>
      </c>
      <c r="B1" s="140"/>
      <c r="C1" s="140"/>
      <c r="D1" s="139"/>
      <c r="E1" s="141"/>
      <c r="F1" s="139"/>
      <c r="G1" s="140"/>
      <c r="H1" s="140"/>
      <c r="I1" s="140"/>
    </row>
    <row r="2" spans="1:25" s="550" customFormat="1" ht="12.75" customHeight="1">
      <c r="A2" s="237" t="str">
        <f>'Cost of Capital'!B5</f>
        <v>For The 12 Months Ending June 30, 2023</v>
      </c>
      <c r="B2" s="546"/>
      <c r="C2" s="546"/>
      <c r="D2" s="546"/>
      <c r="E2" s="547"/>
      <c r="F2" s="546"/>
      <c r="G2" s="548"/>
      <c r="H2" s="547"/>
      <c r="I2" s="546"/>
      <c r="J2" s="549"/>
      <c r="K2" s="549"/>
      <c r="L2" s="549"/>
      <c r="M2" s="549"/>
      <c r="N2" s="549"/>
      <c r="O2" s="549"/>
      <c r="P2" s="549"/>
      <c r="Q2" s="549"/>
      <c r="R2" s="549"/>
      <c r="S2" s="549"/>
      <c r="T2" s="549"/>
      <c r="U2" s="549"/>
      <c r="V2" s="549"/>
      <c r="W2" s="549"/>
    </row>
    <row r="3" spans="1:25" s="57" customFormat="1" ht="12.75" customHeight="1">
      <c r="A3" s="237"/>
      <c r="B3" s="142"/>
      <c r="C3" s="142"/>
      <c r="D3" s="142"/>
      <c r="E3" s="143"/>
      <c r="F3" s="142"/>
      <c r="G3" s="144"/>
      <c r="H3" s="143"/>
      <c r="I3" s="142"/>
      <c r="J3" s="170"/>
      <c r="K3" s="170"/>
      <c r="L3" s="170"/>
      <c r="M3" s="170"/>
      <c r="N3" s="170"/>
      <c r="O3" s="170"/>
      <c r="P3" s="170"/>
      <c r="Q3" s="170"/>
      <c r="R3" s="170"/>
      <c r="S3" s="170"/>
      <c r="T3" s="170"/>
      <c r="U3" s="170"/>
      <c r="V3" s="170"/>
      <c r="W3" s="170"/>
    </row>
    <row r="4" spans="1:25" ht="11.1" customHeight="1">
      <c r="A4" s="156" t="s">
        <v>31</v>
      </c>
      <c r="B4" s="156" t="s">
        <v>32</v>
      </c>
      <c r="C4" s="156" t="s">
        <v>33</v>
      </c>
      <c r="D4" s="156" t="s">
        <v>34</v>
      </c>
      <c r="E4" s="156" t="s">
        <v>35</v>
      </c>
      <c r="F4" s="156" t="s">
        <v>55</v>
      </c>
      <c r="G4" s="156" t="s">
        <v>56</v>
      </c>
      <c r="H4" s="156" t="s">
        <v>57</v>
      </c>
      <c r="I4" s="156" t="s">
        <v>58</v>
      </c>
      <c r="J4" s="156" t="s">
        <v>59</v>
      </c>
      <c r="K4" s="156" t="s">
        <v>60</v>
      </c>
      <c r="L4" s="156" t="s">
        <v>61</v>
      </c>
      <c r="M4" s="156" t="s">
        <v>62</v>
      </c>
      <c r="N4" s="156" t="s">
        <v>63</v>
      </c>
      <c r="O4" s="156" t="s">
        <v>64</v>
      </c>
      <c r="P4" s="156" t="s">
        <v>159</v>
      </c>
      <c r="Q4" s="156" t="s">
        <v>160</v>
      </c>
      <c r="R4" s="156" t="s">
        <v>161</v>
      </c>
      <c r="S4" s="156" t="s">
        <v>162</v>
      </c>
      <c r="T4" s="156" t="s">
        <v>163</v>
      </c>
      <c r="U4" s="156" t="s">
        <v>164</v>
      </c>
      <c r="V4" s="156" t="s">
        <v>165</v>
      </c>
      <c r="W4" s="156"/>
      <c r="X4" s="413" t="s">
        <v>166</v>
      </c>
    </row>
    <row r="5" spans="1:25" ht="31.2">
      <c r="A5" s="315">
        <v>1</v>
      </c>
      <c r="B5" s="316" t="s">
        <v>167</v>
      </c>
      <c r="C5" s="316" t="s">
        <v>168</v>
      </c>
      <c r="D5" s="316" t="s">
        <v>169</v>
      </c>
      <c r="E5" s="316" t="s">
        <v>170</v>
      </c>
      <c r="F5" s="316" t="s">
        <v>171</v>
      </c>
      <c r="G5" s="316" t="s">
        <v>172</v>
      </c>
      <c r="H5" s="316" t="s">
        <v>173</v>
      </c>
      <c r="I5" s="316" t="s">
        <v>174</v>
      </c>
      <c r="J5" s="317">
        <f>'Pg 2 CapStructure'!C6</f>
        <v>44742</v>
      </c>
      <c r="K5" s="317">
        <f>'Pg 2 CapStructure'!D6</f>
        <v>44773</v>
      </c>
      <c r="L5" s="317">
        <f>'Pg 2 CapStructure'!E6</f>
        <v>44804</v>
      </c>
      <c r="M5" s="317">
        <f>'Pg 2 CapStructure'!F6</f>
        <v>44834</v>
      </c>
      <c r="N5" s="317">
        <f>'Pg 2 CapStructure'!G6</f>
        <v>44865</v>
      </c>
      <c r="O5" s="317">
        <f>'Pg 2 CapStructure'!H6</f>
        <v>44895</v>
      </c>
      <c r="P5" s="317">
        <f>'Pg 2 CapStructure'!I6</f>
        <v>44926</v>
      </c>
      <c r="Q5" s="317">
        <f>'Pg 2 CapStructure'!J6</f>
        <v>44957</v>
      </c>
      <c r="R5" s="317">
        <f>'Pg 2 CapStructure'!K6</f>
        <v>44985</v>
      </c>
      <c r="S5" s="317">
        <f>'Pg 2 CapStructure'!L6</f>
        <v>45016</v>
      </c>
      <c r="T5" s="317">
        <f>'Pg 2 CapStructure'!M6</f>
        <v>45046</v>
      </c>
      <c r="U5" s="317">
        <f>'Pg 2 CapStructure'!N6</f>
        <v>45077</v>
      </c>
      <c r="V5" s="317">
        <f>'Pg 2 CapStructure'!O6</f>
        <v>45107</v>
      </c>
      <c r="W5" s="317"/>
      <c r="X5" s="414" t="s">
        <v>93</v>
      </c>
      <c r="Y5" s="414" t="s">
        <v>175</v>
      </c>
    </row>
    <row r="6" spans="1:25" s="28" customFormat="1">
      <c r="A6" s="529">
        <v>2</v>
      </c>
      <c r="B6" s="259" t="s">
        <v>176</v>
      </c>
      <c r="C6" s="520">
        <v>7.1499999999999994E-2</v>
      </c>
      <c r="D6" s="521">
        <v>35053</v>
      </c>
      <c r="E6" s="521">
        <v>46010</v>
      </c>
      <c r="F6" s="241">
        <f t="shared" ref="F6:F25" si="0">ROUND(((J6+V6)+(SUM(K6:U6)*2))/24,0)</f>
        <v>15000000</v>
      </c>
      <c r="G6" s="248">
        <v>99.211911999999998</v>
      </c>
      <c r="H6" s="522">
        <f>ROUND(YIELD(D6,E6,C6,G6,100,2,2),4)</f>
        <v>7.2099999999999997E-2</v>
      </c>
      <c r="I6" s="241">
        <f>ROUND(+H6*F6,0)</f>
        <v>1081500</v>
      </c>
      <c r="J6" s="241">
        <v>15000000</v>
      </c>
      <c r="K6" s="241">
        <v>15000000</v>
      </c>
      <c r="L6" s="241">
        <v>15000000</v>
      </c>
      <c r="M6" s="241">
        <v>15000000</v>
      </c>
      <c r="N6" s="241">
        <v>15000000</v>
      </c>
      <c r="O6" s="241">
        <v>15000000</v>
      </c>
      <c r="P6" s="241">
        <v>15000000</v>
      </c>
      <c r="Q6" s="241">
        <v>15000000</v>
      </c>
      <c r="R6" s="241">
        <v>15000000</v>
      </c>
      <c r="S6" s="241">
        <v>15000000</v>
      </c>
      <c r="T6" s="241">
        <v>15000000</v>
      </c>
      <c r="U6" s="241">
        <v>15000000</v>
      </c>
      <c r="V6" s="241">
        <v>15000000</v>
      </c>
      <c r="W6" s="241"/>
      <c r="X6" s="241">
        <f t="shared" ref="X6:X25" si="1">H6*V6</f>
        <v>1081500</v>
      </c>
    </row>
    <row r="7" spans="1:25" s="28" customFormat="1">
      <c r="A7" s="519">
        <v>3</v>
      </c>
      <c r="B7" s="259" t="s">
        <v>176</v>
      </c>
      <c r="C7" s="520">
        <v>7.1999999999999995E-2</v>
      </c>
      <c r="D7" s="521">
        <v>35054</v>
      </c>
      <c r="E7" s="521">
        <v>46013</v>
      </c>
      <c r="F7" s="241">
        <f t="shared" si="0"/>
        <v>2000000</v>
      </c>
      <c r="G7" s="248">
        <v>99.211600000000004</v>
      </c>
      <c r="H7" s="522">
        <f>ROUND(YIELD(D7,E7,C7,G7,100,2,2),4)</f>
        <v>7.2599999999999998E-2</v>
      </c>
      <c r="I7" s="241">
        <f>ROUND(+H7*F7,0)</f>
        <v>145200</v>
      </c>
      <c r="J7" s="241">
        <v>2000000</v>
      </c>
      <c r="K7" s="241">
        <v>2000000</v>
      </c>
      <c r="L7" s="241">
        <v>2000000</v>
      </c>
      <c r="M7" s="241">
        <v>2000000</v>
      </c>
      <c r="N7" s="241">
        <v>2000000</v>
      </c>
      <c r="O7" s="241">
        <v>2000000</v>
      </c>
      <c r="P7" s="241">
        <v>2000000</v>
      </c>
      <c r="Q7" s="241">
        <v>2000000</v>
      </c>
      <c r="R7" s="241">
        <v>2000000</v>
      </c>
      <c r="S7" s="241">
        <v>2000000</v>
      </c>
      <c r="T7" s="241">
        <v>2000000</v>
      </c>
      <c r="U7" s="241">
        <v>2000000</v>
      </c>
      <c r="V7" s="241">
        <v>2000000</v>
      </c>
      <c r="W7" s="241"/>
      <c r="X7" s="241">
        <f t="shared" si="1"/>
        <v>145200</v>
      </c>
    </row>
    <row r="8" spans="1:25" s="28" customFormat="1">
      <c r="A8" s="529">
        <v>4</v>
      </c>
      <c r="B8" s="259" t="s">
        <v>177</v>
      </c>
      <c r="C8" s="520">
        <v>7.0199999999999999E-2</v>
      </c>
      <c r="D8" s="521">
        <v>35786</v>
      </c>
      <c r="E8" s="521">
        <v>46722</v>
      </c>
      <c r="F8" s="241">
        <f t="shared" si="0"/>
        <v>300000000</v>
      </c>
      <c r="G8" s="248">
        <v>98.985735776666658</v>
      </c>
      <c r="H8" s="522">
        <f>ROUND(YIELD(D8,E8,C8,G8,100,2,2),4)</f>
        <v>7.0999999999999994E-2</v>
      </c>
      <c r="I8" s="241">
        <f>ROUND(+H8*F8,0)</f>
        <v>21300000</v>
      </c>
      <c r="J8" s="241">
        <v>300000000</v>
      </c>
      <c r="K8" s="241">
        <v>300000000</v>
      </c>
      <c r="L8" s="241">
        <v>300000000</v>
      </c>
      <c r="M8" s="241">
        <v>300000000</v>
      </c>
      <c r="N8" s="241">
        <v>300000000</v>
      </c>
      <c r="O8" s="241">
        <v>300000000</v>
      </c>
      <c r="P8" s="241">
        <v>300000000</v>
      </c>
      <c r="Q8" s="241">
        <v>300000000</v>
      </c>
      <c r="R8" s="241">
        <v>300000000</v>
      </c>
      <c r="S8" s="241">
        <v>300000000</v>
      </c>
      <c r="T8" s="241">
        <v>300000000</v>
      </c>
      <c r="U8" s="241">
        <v>300000000</v>
      </c>
      <c r="V8" s="241">
        <v>300000000</v>
      </c>
      <c r="W8" s="241"/>
      <c r="X8" s="241">
        <f t="shared" si="1"/>
        <v>21299999.999999996</v>
      </c>
    </row>
    <row r="9" spans="1:25" s="258" customFormat="1">
      <c r="A9" s="519">
        <v>5</v>
      </c>
      <c r="B9" s="259" t="s">
        <v>178</v>
      </c>
      <c r="C9" s="520">
        <v>7.0000000000000007E-2</v>
      </c>
      <c r="D9" s="521">
        <v>36228</v>
      </c>
      <c r="E9" s="521">
        <v>47186</v>
      </c>
      <c r="F9" s="241">
        <f t="shared" si="0"/>
        <v>100000000</v>
      </c>
      <c r="G9" s="248">
        <v>99.042870549999989</v>
      </c>
      <c r="H9" s="522">
        <f>ROUND(YIELD(D9,E9,C9,G9,100,2,2),4)</f>
        <v>7.0800000000000002E-2</v>
      </c>
      <c r="I9" s="241">
        <f>ROUND(+H9*F9,0)</f>
        <v>7080000</v>
      </c>
      <c r="J9" s="241">
        <v>100000000</v>
      </c>
      <c r="K9" s="241">
        <v>100000000</v>
      </c>
      <c r="L9" s="241">
        <v>100000000</v>
      </c>
      <c r="M9" s="241">
        <v>100000000</v>
      </c>
      <c r="N9" s="241">
        <v>100000000</v>
      </c>
      <c r="O9" s="241">
        <v>100000000</v>
      </c>
      <c r="P9" s="241">
        <v>100000000</v>
      </c>
      <c r="Q9" s="241">
        <v>100000000</v>
      </c>
      <c r="R9" s="241">
        <v>100000000</v>
      </c>
      <c r="S9" s="241">
        <v>100000000</v>
      </c>
      <c r="T9" s="241">
        <v>100000000</v>
      </c>
      <c r="U9" s="241">
        <v>100000000</v>
      </c>
      <c r="V9" s="241">
        <v>100000000</v>
      </c>
      <c r="W9" s="241"/>
      <c r="X9" s="241">
        <f t="shared" si="1"/>
        <v>7080000</v>
      </c>
      <c r="Y9" s="28"/>
    </row>
    <row r="10" spans="1:25" s="258" customFormat="1">
      <c r="A10" s="529">
        <v>6</v>
      </c>
      <c r="B10" s="530" t="s">
        <v>179</v>
      </c>
      <c r="C10" s="520">
        <v>3.9E-2</v>
      </c>
      <c r="D10" s="531">
        <v>41417</v>
      </c>
      <c r="E10" s="532">
        <v>47908</v>
      </c>
      <c r="F10" s="241">
        <f t="shared" si="0"/>
        <v>138460000</v>
      </c>
      <c r="G10" s="248">
        <v>98.939099999999996</v>
      </c>
      <c r="H10" s="522">
        <f t="shared" ref="H10:H22" si="2">ROUND(YIELD(D10,E10,C10,G10,100,2,2),4)</f>
        <v>3.9800000000000002E-2</v>
      </c>
      <c r="I10" s="241">
        <f t="shared" ref="I10:I25" si="3">ROUND(+H10*F10,0)</f>
        <v>5510708</v>
      </c>
      <c r="J10" s="241">
        <v>138460000</v>
      </c>
      <c r="K10" s="241">
        <v>138460000</v>
      </c>
      <c r="L10" s="241">
        <v>138460000</v>
      </c>
      <c r="M10" s="241">
        <v>138460000</v>
      </c>
      <c r="N10" s="241">
        <v>138460000</v>
      </c>
      <c r="O10" s="241">
        <v>138460000</v>
      </c>
      <c r="P10" s="241">
        <v>138460000</v>
      </c>
      <c r="Q10" s="241">
        <v>138460000</v>
      </c>
      <c r="R10" s="241">
        <v>138460000</v>
      </c>
      <c r="S10" s="241">
        <v>138460000</v>
      </c>
      <c r="T10" s="241">
        <v>138460000</v>
      </c>
      <c r="U10" s="241">
        <v>138460000</v>
      </c>
      <c r="V10" s="241">
        <v>138460000</v>
      </c>
      <c r="W10" s="241"/>
      <c r="X10" s="241">
        <f t="shared" si="1"/>
        <v>5510708</v>
      </c>
    </row>
    <row r="11" spans="1:25" s="258" customFormat="1">
      <c r="A11" s="519">
        <v>7</v>
      </c>
      <c r="B11" s="530" t="s">
        <v>179</v>
      </c>
      <c r="C11" s="520">
        <v>0.04</v>
      </c>
      <c r="D11" s="531">
        <v>41417</v>
      </c>
      <c r="E11" s="532">
        <v>47908</v>
      </c>
      <c r="F11" s="241">
        <f t="shared" si="0"/>
        <v>23400000</v>
      </c>
      <c r="G11" s="248">
        <v>98.939099999999996</v>
      </c>
      <c r="H11" s="522">
        <f t="shared" si="2"/>
        <v>4.0800000000000003E-2</v>
      </c>
      <c r="I11" s="241">
        <f t="shared" si="3"/>
        <v>954720</v>
      </c>
      <c r="J11" s="241">
        <v>23400000</v>
      </c>
      <c r="K11" s="241">
        <v>23400000</v>
      </c>
      <c r="L11" s="241">
        <v>23400000</v>
      </c>
      <c r="M11" s="241">
        <v>23400000</v>
      </c>
      <c r="N11" s="241">
        <v>23400000</v>
      </c>
      <c r="O11" s="241">
        <v>23400000</v>
      </c>
      <c r="P11" s="241">
        <v>23400000</v>
      </c>
      <c r="Q11" s="241">
        <v>23400000</v>
      </c>
      <c r="R11" s="241">
        <v>23400000</v>
      </c>
      <c r="S11" s="241">
        <v>23400000</v>
      </c>
      <c r="T11" s="241">
        <v>23400000</v>
      </c>
      <c r="U11" s="241">
        <v>23400000</v>
      </c>
      <c r="V11" s="241">
        <v>23400000</v>
      </c>
      <c r="W11" s="241"/>
      <c r="X11" s="241">
        <f t="shared" si="1"/>
        <v>954720.00000000012</v>
      </c>
    </row>
    <row r="12" spans="1:25" s="258" customFormat="1">
      <c r="A12" s="529">
        <v>8</v>
      </c>
      <c r="B12" s="259" t="s">
        <v>180</v>
      </c>
      <c r="C12" s="520">
        <v>5.4829999999999997E-2</v>
      </c>
      <c r="D12" s="521">
        <v>38499</v>
      </c>
      <c r="E12" s="521">
        <v>49461</v>
      </c>
      <c r="F12" s="241">
        <f t="shared" si="0"/>
        <v>250000000</v>
      </c>
      <c r="G12" s="248">
        <v>84.886606835999999</v>
      </c>
      <c r="H12" s="522">
        <f t="shared" si="2"/>
        <v>6.6500000000000004E-2</v>
      </c>
      <c r="I12" s="244">
        <f t="shared" si="3"/>
        <v>16625000</v>
      </c>
      <c r="J12" s="244">
        <v>250000000</v>
      </c>
      <c r="K12" s="244">
        <v>250000000</v>
      </c>
      <c r="L12" s="244">
        <v>250000000</v>
      </c>
      <c r="M12" s="244">
        <v>250000000</v>
      </c>
      <c r="N12" s="244">
        <v>250000000</v>
      </c>
      <c r="O12" s="244">
        <v>250000000</v>
      </c>
      <c r="P12" s="244">
        <v>250000000</v>
      </c>
      <c r="Q12" s="244">
        <v>250000000</v>
      </c>
      <c r="R12" s="244">
        <v>250000000</v>
      </c>
      <c r="S12" s="244">
        <v>250000000</v>
      </c>
      <c r="T12" s="244">
        <v>250000000</v>
      </c>
      <c r="U12" s="244">
        <v>250000000</v>
      </c>
      <c r="V12" s="244">
        <v>250000000</v>
      </c>
      <c r="W12" s="244"/>
      <c r="X12" s="241">
        <f t="shared" si="1"/>
        <v>16625000</v>
      </c>
    </row>
    <row r="13" spans="1:25" s="258" customFormat="1">
      <c r="A13" s="519">
        <v>9</v>
      </c>
      <c r="B13" s="259" t="s">
        <v>180</v>
      </c>
      <c r="C13" s="520">
        <v>6.7239999999999994E-2</v>
      </c>
      <c r="D13" s="521">
        <v>38898</v>
      </c>
      <c r="E13" s="521">
        <v>49841</v>
      </c>
      <c r="F13" s="241">
        <f t="shared" si="0"/>
        <v>250000000</v>
      </c>
      <c r="G13" s="248">
        <v>107.515271756</v>
      </c>
      <c r="H13" s="522">
        <f t="shared" si="2"/>
        <v>6.1699999999999998E-2</v>
      </c>
      <c r="I13" s="244">
        <f t="shared" si="3"/>
        <v>15425000</v>
      </c>
      <c r="J13" s="244">
        <v>250000000</v>
      </c>
      <c r="K13" s="244">
        <v>250000000</v>
      </c>
      <c r="L13" s="244">
        <v>250000000</v>
      </c>
      <c r="M13" s="244">
        <v>250000000</v>
      </c>
      <c r="N13" s="244">
        <v>250000000</v>
      </c>
      <c r="O13" s="244">
        <v>250000000</v>
      </c>
      <c r="P13" s="244">
        <v>250000000</v>
      </c>
      <c r="Q13" s="244">
        <v>250000000</v>
      </c>
      <c r="R13" s="244">
        <v>250000000</v>
      </c>
      <c r="S13" s="244">
        <v>250000000</v>
      </c>
      <c r="T13" s="244">
        <v>250000000</v>
      </c>
      <c r="U13" s="244">
        <v>250000000</v>
      </c>
      <c r="V13" s="244">
        <v>250000000</v>
      </c>
      <c r="W13" s="244"/>
      <c r="X13" s="241">
        <f t="shared" si="1"/>
        <v>15425000</v>
      </c>
    </row>
    <row r="14" spans="1:25" s="258" customFormat="1">
      <c r="A14" s="529">
        <v>10</v>
      </c>
      <c r="B14" s="259" t="s">
        <v>180</v>
      </c>
      <c r="C14" s="520">
        <v>6.2740000000000004E-2</v>
      </c>
      <c r="D14" s="521">
        <v>38978</v>
      </c>
      <c r="E14" s="521">
        <v>50114</v>
      </c>
      <c r="F14" s="241">
        <f t="shared" si="0"/>
        <v>300000000</v>
      </c>
      <c r="G14" s="248">
        <v>98.812700000000007</v>
      </c>
      <c r="H14" s="522">
        <f t="shared" si="2"/>
        <v>6.3600000000000004E-2</v>
      </c>
      <c r="I14" s="244">
        <f t="shared" si="3"/>
        <v>19080000</v>
      </c>
      <c r="J14" s="244">
        <v>300000000</v>
      </c>
      <c r="K14" s="244">
        <v>300000000</v>
      </c>
      <c r="L14" s="244">
        <v>300000000</v>
      </c>
      <c r="M14" s="244">
        <v>300000000</v>
      </c>
      <c r="N14" s="244">
        <v>300000000</v>
      </c>
      <c r="O14" s="244">
        <v>300000000</v>
      </c>
      <c r="P14" s="244">
        <v>300000000</v>
      </c>
      <c r="Q14" s="244">
        <v>300000000</v>
      </c>
      <c r="R14" s="244">
        <v>300000000</v>
      </c>
      <c r="S14" s="244">
        <v>300000000</v>
      </c>
      <c r="T14" s="244">
        <v>300000000</v>
      </c>
      <c r="U14" s="244">
        <v>300000000</v>
      </c>
      <c r="V14" s="244">
        <v>300000000</v>
      </c>
      <c r="W14" s="244"/>
      <c r="X14" s="241">
        <f t="shared" si="1"/>
        <v>19080000</v>
      </c>
    </row>
    <row r="15" spans="1:25" s="258" customFormat="1">
      <c r="A15" s="519">
        <v>11</v>
      </c>
      <c r="B15" s="259" t="s">
        <v>180</v>
      </c>
      <c r="C15" s="520">
        <v>5.7570000000000003E-2</v>
      </c>
      <c r="D15" s="521">
        <v>40067</v>
      </c>
      <c r="E15" s="521">
        <v>51058</v>
      </c>
      <c r="F15" s="241">
        <f t="shared" si="0"/>
        <v>350000000</v>
      </c>
      <c r="G15" s="248">
        <v>98.983599999999996</v>
      </c>
      <c r="H15" s="522">
        <f t="shared" si="2"/>
        <v>5.8299999999999998E-2</v>
      </c>
      <c r="I15" s="244">
        <f t="shared" si="3"/>
        <v>20405000</v>
      </c>
      <c r="J15" s="244">
        <v>350000000</v>
      </c>
      <c r="K15" s="244">
        <v>350000000</v>
      </c>
      <c r="L15" s="244">
        <v>350000000</v>
      </c>
      <c r="M15" s="244">
        <v>350000000</v>
      </c>
      <c r="N15" s="244">
        <v>350000000</v>
      </c>
      <c r="O15" s="244">
        <v>350000000</v>
      </c>
      <c r="P15" s="244">
        <v>350000000</v>
      </c>
      <c r="Q15" s="244">
        <v>350000000</v>
      </c>
      <c r="R15" s="244">
        <v>350000000</v>
      </c>
      <c r="S15" s="244">
        <v>350000000</v>
      </c>
      <c r="T15" s="244">
        <v>350000000</v>
      </c>
      <c r="U15" s="244">
        <v>350000000</v>
      </c>
      <c r="V15" s="244">
        <v>350000000</v>
      </c>
      <c r="W15" s="244"/>
      <c r="X15" s="241">
        <f t="shared" si="1"/>
        <v>20405000</v>
      </c>
    </row>
    <row r="16" spans="1:25" s="258" customFormat="1">
      <c r="A16" s="529">
        <v>12</v>
      </c>
      <c r="B16" s="259" t="s">
        <v>180</v>
      </c>
      <c r="C16" s="520">
        <v>5.7950000000000002E-2</v>
      </c>
      <c r="D16" s="521">
        <v>40245</v>
      </c>
      <c r="E16" s="521">
        <v>51210</v>
      </c>
      <c r="F16" s="241">
        <f t="shared" si="0"/>
        <v>325000000</v>
      </c>
      <c r="G16" s="248">
        <v>98.958799999999997</v>
      </c>
      <c r="H16" s="522">
        <f t="shared" si="2"/>
        <v>5.8700000000000002E-2</v>
      </c>
      <c r="I16" s="244">
        <f t="shared" si="3"/>
        <v>19077500</v>
      </c>
      <c r="J16" s="244">
        <v>325000000</v>
      </c>
      <c r="K16" s="244">
        <v>325000000</v>
      </c>
      <c r="L16" s="244">
        <v>325000000</v>
      </c>
      <c r="M16" s="244">
        <v>325000000</v>
      </c>
      <c r="N16" s="244">
        <v>325000000</v>
      </c>
      <c r="O16" s="244">
        <v>325000000</v>
      </c>
      <c r="P16" s="244">
        <v>325000000</v>
      </c>
      <c r="Q16" s="244">
        <v>325000000</v>
      </c>
      <c r="R16" s="244">
        <v>325000000</v>
      </c>
      <c r="S16" s="244">
        <v>325000000</v>
      </c>
      <c r="T16" s="244">
        <v>325000000</v>
      </c>
      <c r="U16" s="244">
        <v>325000000</v>
      </c>
      <c r="V16" s="244">
        <v>325000000</v>
      </c>
      <c r="W16" s="244"/>
      <c r="X16" s="241">
        <f t="shared" si="1"/>
        <v>19077500</v>
      </c>
    </row>
    <row r="17" spans="1:25" s="258" customFormat="1">
      <c r="A17" s="519">
        <v>13</v>
      </c>
      <c r="B17" s="259" t="s">
        <v>180</v>
      </c>
      <c r="C17" s="520">
        <v>5.7639999999999997E-2</v>
      </c>
      <c r="D17" s="521">
        <v>40358</v>
      </c>
      <c r="E17" s="521">
        <v>51332</v>
      </c>
      <c r="F17" s="241">
        <f t="shared" si="0"/>
        <v>250000000</v>
      </c>
      <c r="G17" s="248">
        <v>98.965199999999996</v>
      </c>
      <c r="H17" s="522">
        <f t="shared" si="2"/>
        <v>5.8400000000000001E-2</v>
      </c>
      <c r="I17" s="244">
        <f t="shared" si="3"/>
        <v>14600000</v>
      </c>
      <c r="J17" s="244">
        <v>250000000</v>
      </c>
      <c r="K17" s="244">
        <v>250000000</v>
      </c>
      <c r="L17" s="244">
        <v>250000000</v>
      </c>
      <c r="M17" s="244">
        <v>250000000</v>
      </c>
      <c r="N17" s="244">
        <v>250000000</v>
      </c>
      <c r="O17" s="244">
        <v>250000000</v>
      </c>
      <c r="P17" s="244">
        <v>250000000</v>
      </c>
      <c r="Q17" s="244">
        <v>250000000</v>
      </c>
      <c r="R17" s="244">
        <v>250000000</v>
      </c>
      <c r="S17" s="244">
        <v>250000000</v>
      </c>
      <c r="T17" s="244">
        <v>250000000</v>
      </c>
      <c r="U17" s="244">
        <v>250000000</v>
      </c>
      <c r="V17" s="244">
        <v>250000000</v>
      </c>
      <c r="W17" s="244"/>
      <c r="X17" s="241">
        <f t="shared" si="1"/>
        <v>14600000</v>
      </c>
    </row>
    <row r="18" spans="1:25" s="258" customFormat="1">
      <c r="A18" s="529">
        <v>14</v>
      </c>
      <c r="B18" s="259" t="s">
        <v>180</v>
      </c>
      <c r="C18" s="520">
        <v>5.638E-2</v>
      </c>
      <c r="D18" s="521">
        <v>40627</v>
      </c>
      <c r="E18" s="521">
        <v>51606</v>
      </c>
      <c r="F18" s="241">
        <f t="shared" si="0"/>
        <v>300000000</v>
      </c>
      <c r="G18" s="248">
        <v>98.971000000000004</v>
      </c>
      <c r="H18" s="522">
        <f t="shared" si="2"/>
        <v>5.7099999999999998E-2</v>
      </c>
      <c r="I18" s="244">
        <f t="shared" si="3"/>
        <v>17130000</v>
      </c>
      <c r="J18" s="244">
        <v>300000000</v>
      </c>
      <c r="K18" s="244">
        <v>300000000</v>
      </c>
      <c r="L18" s="244">
        <v>300000000</v>
      </c>
      <c r="M18" s="244">
        <v>300000000</v>
      </c>
      <c r="N18" s="244">
        <v>300000000</v>
      </c>
      <c r="O18" s="244">
        <v>300000000</v>
      </c>
      <c r="P18" s="244">
        <v>300000000</v>
      </c>
      <c r="Q18" s="244">
        <v>300000000</v>
      </c>
      <c r="R18" s="244">
        <v>300000000</v>
      </c>
      <c r="S18" s="244">
        <v>300000000</v>
      </c>
      <c r="T18" s="244">
        <v>300000000</v>
      </c>
      <c r="U18" s="244">
        <v>300000000</v>
      </c>
      <c r="V18" s="244">
        <v>300000000</v>
      </c>
      <c r="W18" s="244"/>
      <c r="X18" s="241">
        <f t="shared" si="1"/>
        <v>17130000</v>
      </c>
    </row>
    <row r="19" spans="1:25" s="258" customFormat="1">
      <c r="A19" s="519">
        <v>15</v>
      </c>
      <c r="B19" s="259" t="s">
        <v>180</v>
      </c>
      <c r="C19" s="520">
        <v>4.4339999999999997E-2</v>
      </c>
      <c r="D19" s="521">
        <v>40863</v>
      </c>
      <c r="E19" s="521">
        <v>51820</v>
      </c>
      <c r="F19" s="241">
        <f t="shared" si="0"/>
        <v>250000000</v>
      </c>
      <c r="G19" s="248">
        <v>98.962999999999994</v>
      </c>
      <c r="H19" s="522">
        <f t="shared" si="2"/>
        <v>4.4999999999999998E-2</v>
      </c>
      <c r="I19" s="244">
        <f t="shared" si="3"/>
        <v>11250000</v>
      </c>
      <c r="J19" s="244">
        <v>250000000</v>
      </c>
      <c r="K19" s="244">
        <v>250000000</v>
      </c>
      <c r="L19" s="244">
        <v>250000000</v>
      </c>
      <c r="M19" s="244">
        <v>250000000</v>
      </c>
      <c r="N19" s="244">
        <v>250000000</v>
      </c>
      <c r="O19" s="244">
        <v>250000000</v>
      </c>
      <c r="P19" s="244">
        <v>250000000</v>
      </c>
      <c r="Q19" s="244">
        <v>250000000</v>
      </c>
      <c r="R19" s="244">
        <v>250000000</v>
      </c>
      <c r="S19" s="244">
        <v>250000000</v>
      </c>
      <c r="T19" s="244">
        <v>250000000</v>
      </c>
      <c r="U19" s="244">
        <v>250000000</v>
      </c>
      <c r="V19" s="244">
        <v>250000000</v>
      </c>
      <c r="W19" s="244"/>
      <c r="X19" s="241">
        <f t="shared" si="1"/>
        <v>11250000</v>
      </c>
    </row>
    <row r="20" spans="1:25" s="258" customFormat="1">
      <c r="A20" s="529">
        <v>16</v>
      </c>
      <c r="B20" s="259" t="s">
        <v>180</v>
      </c>
      <c r="C20" s="520">
        <v>4.7E-2</v>
      </c>
      <c r="D20" s="521">
        <v>40869</v>
      </c>
      <c r="E20" s="521">
        <v>55472</v>
      </c>
      <c r="F20" s="241">
        <f t="shared" si="0"/>
        <v>45000000</v>
      </c>
      <c r="G20" s="248">
        <v>98.863900000000001</v>
      </c>
      <c r="H20" s="522">
        <f t="shared" si="2"/>
        <v>4.7600000000000003E-2</v>
      </c>
      <c r="I20" s="244">
        <f t="shared" si="3"/>
        <v>2142000</v>
      </c>
      <c r="J20" s="244">
        <v>45000000</v>
      </c>
      <c r="K20" s="244">
        <v>45000000</v>
      </c>
      <c r="L20" s="244">
        <v>45000000</v>
      </c>
      <c r="M20" s="244">
        <v>45000000</v>
      </c>
      <c r="N20" s="244">
        <v>45000000</v>
      </c>
      <c r="O20" s="244">
        <v>45000000</v>
      </c>
      <c r="P20" s="244">
        <v>45000000</v>
      </c>
      <c r="Q20" s="244">
        <v>45000000</v>
      </c>
      <c r="R20" s="244">
        <v>45000000</v>
      </c>
      <c r="S20" s="244">
        <v>45000000</v>
      </c>
      <c r="T20" s="244">
        <v>45000000</v>
      </c>
      <c r="U20" s="244">
        <v>45000000</v>
      </c>
      <c r="V20" s="244">
        <v>45000000</v>
      </c>
      <c r="W20" s="244"/>
      <c r="X20" s="241">
        <f t="shared" si="1"/>
        <v>2142000</v>
      </c>
    </row>
    <row r="21" spans="1:25" s="258" customFormat="1">
      <c r="A21" s="519">
        <v>17</v>
      </c>
      <c r="B21" s="259" t="s">
        <v>180</v>
      </c>
      <c r="C21" s="520">
        <v>4.2999999999999997E-2</v>
      </c>
      <c r="D21" s="521">
        <v>42150</v>
      </c>
      <c r="E21" s="521">
        <v>53102</v>
      </c>
      <c r="F21" s="241">
        <f t="shared" si="0"/>
        <v>425000000</v>
      </c>
      <c r="G21" s="248">
        <v>98.464100000000002</v>
      </c>
      <c r="H21" s="522">
        <f t="shared" si="2"/>
        <v>4.3900000000000002E-2</v>
      </c>
      <c r="I21" s="244">
        <f t="shared" si="3"/>
        <v>18657500</v>
      </c>
      <c r="J21" s="241">
        <v>425000000</v>
      </c>
      <c r="K21" s="241">
        <v>425000000</v>
      </c>
      <c r="L21" s="241">
        <v>425000000</v>
      </c>
      <c r="M21" s="241">
        <v>425000000</v>
      </c>
      <c r="N21" s="241">
        <v>425000000</v>
      </c>
      <c r="O21" s="241">
        <v>425000000</v>
      </c>
      <c r="P21" s="241">
        <v>425000000</v>
      </c>
      <c r="Q21" s="241">
        <v>425000000</v>
      </c>
      <c r="R21" s="241">
        <v>425000000</v>
      </c>
      <c r="S21" s="241">
        <v>425000000</v>
      </c>
      <c r="T21" s="241">
        <v>425000000</v>
      </c>
      <c r="U21" s="241">
        <v>425000000</v>
      </c>
      <c r="V21" s="241">
        <v>425000000</v>
      </c>
      <c r="W21" s="241"/>
      <c r="X21" s="241">
        <f t="shared" si="1"/>
        <v>18657500</v>
      </c>
    </row>
    <row r="22" spans="1:25" s="258" customFormat="1">
      <c r="A22" s="529">
        <v>18</v>
      </c>
      <c r="B22" s="259" t="s">
        <v>180</v>
      </c>
      <c r="C22" s="520">
        <v>4.2229999999999997E-2</v>
      </c>
      <c r="D22" s="521">
        <v>43265</v>
      </c>
      <c r="E22" s="521">
        <v>54224</v>
      </c>
      <c r="F22" s="241">
        <f t="shared" si="0"/>
        <v>600000000</v>
      </c>
      <c r="G22" s="248">
        <v>98.884299999999996</v>
      </c>
      <c r="H22" s="522">
        <f t="shared" si="2"/>
        <v>4.2900000000000001E-2</v>
      </c>
      <c r="I22" s="244">
        <f t="shared" si="3"/>
        <v>25740000</v>
      </c>
      <c r="J22" s="241">
        <v>600000000</v>
      </c>
      <c r="K22" s="241">
        <v>600000000</v>
      </c>
      <c r="L22" s="241">
        <v>600000000</v>
      </c>
      <c r="M22" s="241">
        <v>600000000</v>
      </c>
      <c r="N22" s="241">
        <v>600000000</v>
      </c>
      <c r="O22" s="241">
        <v>600000000</v>
      </c>
      <c r="P22" s="241">
        <v>600000000</v>
      </c>
      <c r="Q22" s="241">
        <v>600000000</v>
      </c>
      <c r="R22" s="241">
        <v>600000000</v>
      </c>
      <c r="S22" s="241">
        <v>600000000</v>
      </c>
      <c r="T22" s="241">
        <v>600000000</v>
      </c>
      <c r="U22" s="241">
        <v>600000000</v>
      </c>
      <c r="V22" s="241">
        <v>600000000</v>
      </c>
      <c r="W22" s="241"/>
      <c r="X22" s="244">
        <f t="shared" si="1"/>
        <v>25740000</v>
      </c>
    </row>
    <row r="23" spans="1:25">
      <c r="A23" s="519">
        <v>19</v>
      </c>
      <c r="B23" s="500" t="s">
        <v>180</v>
      </c>
      <c r="C23" s="246">
        <v>3.2500000000000001E-2</v>
      </c>
      <c r="D23" s="247">
        <v>43707</v>
      </c>
      <c r="E23" s="247">
        <v>54681</v>
      </c>
      <c r="F23" s="241">
        <f t="shared" si="0"/>
        <v>450000000</v>
      </c>
      <c r="G23" s="248">
        <v>98.8309</v>
      </c>
      <c r="H23" s="522">
        <f>ROUND(YIELD(D23,E23,C23,G23,100,2,2),4)</f>
        <v>3.3099999999999997E-2</v>
      </c>
      <c r="I23" s="244">
        <f t="shared" si="3"/>
        <v>14895000</v>
      </c>
      <c r="J23" s="241">
        <v>450000000</v>
      </c>
      <c r="K23" s="241">
        <v>450000000</v>
      </c>
      <c r="L23" s="241">
        <v>450000000</v>
      </c>
      <c r="M23" s="241">
        <v>450000000</v>
      </c>
      <c r="N23" s="241">
        <v>450000000</v>
      </c>
      <c r="O23" s="241">
        <v>450000000</v>
      </c>
      <c r="P23" s="241">
        <v>450000000</v>
      </c>
      <c r="Q23" s="241">
        <v>450000000</v>
      </c>
      <c r="R23" s="241">
        <v>450000000</v>
      </c>
      <c r="S23" s="241">
        <v>450000000</v>
      </c>
      <c r="T23" s="241">
        <v>450000000</v>
      </c>
      <c r="U23" s="241">
        <v>450000000</v>
      </c>
      <c r="V23" s="241">
        <v>450000000</v>
      </c>
      <c r="W23" s="241"/>
      <c r="X23" s="244">
        <f t="shared" si="1"/>
        <v>14894999.999999998</v>
      </c>
    </row>
    <row r="24" spans="1:25">
      <c r="A24" s="519">
        <v>20</v>
      </c>
      <c r="B24" s="500" t="s">
        <v>180</v>
      </c>
      <c r="C24" s="246">
        <v>2.8930000000000001E-2</v>
      </c>
      <c r="D24" s="247">
        <v>44454</v>
      </c>
      <c r="E24" s="247">
        <v>55411</v>
      </c>
      <c r="F24" s="241">
        <f t="shared" si="0"/>
        <v>450000000</v>
      </c>
      <c r="G24" s="248">
        <v>98.850399999999993</v>
      </c>
      <c r="H24" s="522">
        <f>ROUND(YIELD(D24,E24,C24,G24,100,2,2),4)</f>
        <v>2.9499999999999998E-2</v>
      </c>
      <c r="I24" s="244">
        <f t="shared" si="3"/>
        <v>13275000</v>
      </c>
      <c r="J24" s="241">
        <v>450000000</v>
      </c>
      <c r="K24" s="241">
        <v>450000000</v>
      </c>
      <c r="L24" s="241">
        <v>450000000</v>
      </c>
      <c r="M24" s="241">
        <v>450000000</v>
      </c>
      <c r="N24" s="241">
        <v>450000000</v>
      </c>
      <c r="O24" s="241">
        <v>450000000</v>
      </c>
      <c r="P24" s="241">
        <v>450000000</v>
      </c>
      <c r="Q24" s="241">
        <v>450000000</v>
      </c>
      <c r="R24" s="241">
        <v>450000000</v>
      </c>
      <c r="S24" s="241">
        <v>450000000</v>
      </c>
      <c r="T24" s="241">
        <v>450000000</v>
      </c>
      <c r="U24" s="241">
        <v>450000000</v>
      </c>
      <c r="V24" s="241">
        <v>450000000</v>
      </c>
      <c r="W24" s="241"/>
      <c r="X24" s="244">
        <f t="shared" si="1"/>
        <v>13275000</v>
      </c>
    </row>
    <row r="25" spans="1:25">
      <c r="A25" s="519">
        <v>21</v>
      </c>
      <c r="B25" s="500" t="s">
        <v>180</v>
      </c>
      <c r="C25" s="246">
        <v>5.4480000000000001E-2</v>
      </c>
      <c r="D25" s="247">
        <v>45064</v>
      </c>
      <c r="E25" s="247">
        <v>56036</v>
      </c>
      <c r="F25" s="241">
        <f t="shared" si="0"/>
        <v>50000000</v>
      </c>
      <c r="G25" s="248">
        <v>98.836100000000002</v>
      </c>
      <c r="H25" s="157">
        <f>ROUND(YIELD(D25,E25,C25,G25,100,2,2),4)</f>
        <v>5.5300000000000002E-2</v>
      </c>
      <c r="I25" s="244">
        <f t="shared" si="3"/>
        <v>2765000</v>
      </c>
      <c r="J25" s="241"/>
      <c r="K25" s="241"/>
      <c r="L25" s="241"/>
      <c r="M25" s="241"/>
      <c r="N25" s="241"/>
      <c r="O25" s="241"/>
      <c r="P25" s="241"/>
      <c r="Q25" s="241"/>
      <c r="R25" s="241"/>
      <c r="S25" s="241"/>
      <c r="T25" s="241"/>
      <c r="U25" s="241">
        <v>400000000</v>
      </c>
      <c r="V25" s="555">
        <v>400000000</v>
      </c>
      <c r="W25" s="241"/>
      <c r="X25" s="244">
        <f t="shared" si="1"/>
        <v>22120000</v>
      </c>
    </row>
    <row r="26" spans="1:25">
      <c r="A26" s="519"/>
      <c r="B26" s="123"/>
      <c r="C26" s="246"/>
      <c r="D26" s="247"/>
      <c r="E26" s="247"/>
      <c r="F26" s="241"/>
      <c r="G26" s="256"/>
      <c r="H26" s="157"/>
      <c r="I26" s="244"/>
      <c r="J26" s="241"/>
      <c r="K26" s="241"/>
      <c r="L26" s="241"/>
      <c r="M26" s="241"/>
      <c r="N26" s="241"/>
      <c r="O26" s="241"/>
      <c r="P26" s="241"/>
      <c r="Q26" s="241"/>
      <c r="R26" s="241"/>
      <c r="S26" s="241"/>
      <c r="T26" s="241"/>
      <c r="U26" s="241"/>
      <c r="V26" s="241"/>
      <c r="W26" s="241"/>
      <c r="X26" s="415">
        <f>SUM(X6:X25)</f>
        <v>266494128</v>
      </c>
    </row>
    <row r="27" spans="1:25" ht="13.8" thickBot="1">
      <c r="A27" s="529">
        <v>22</v>
      </c>
      <c r="B27" s="123"/>
      <c r="C27" s="125" t="s">
        <v>181</v>
      </c>
      <c r="D27" s="247"/>
      <c r="E27" s="247"/>
      <c r="F27" s="241"/>
      <c r="G27" s="252"/>
      <c r="H27" s="157"/>
      <c r="I27" s="253">
        <f>'Pg 7 Reacquired Debt'!I32</f>
        <v>2091418.9200000002</v>
      </c>
      <c r="J27" s="202"/>
      <c r="K27" s="202"/>
      <c r="L27" s="202"/>
      <c r="M27" s="202"/>
      <c r="N27" s="202"/>
      <c r="O27" s="202"/>
      <c r="P27" s="202"/>
      <c r="Q27" s="202"/>
      <c r="R27" s="202"/>
      <c r="S27" s="202"/>
      <c r="T27" s="202"/>
      <c r="U27" s="202"/>
      <c r="V27" s="202"/>
      <c r="W27" s="244"/>
      <c r="X27" s="415">
        <f>I27</f>
        <v>2091418.9200000002</v>
      </c>
    </row>
    <row r="28" spans="1:25" ht="13.8" thickBot="1">
      <c r="A28" s="519">
        <v>23</v>
      </c>
      <c r="B28" s="125" t="s">
        <v>182</v>
      </c>
      <c r="C28" s="246"/>
      <c r="D28" s="247"/>
      <c r="E28" s="247"/>
      <c r="F28" s="253">
        <f>SUM(F6:F27)</f>
        <v>4873860000</v>
      </c>
      <c r="G28" s="254"/>
      <c r="H28" s="187">
        <f>ROUND(+I28/F28,4)</f>
        <v>5.11E-2</v>
      </c>
      <c r="I28" s="257">
        <f t="shared" ref="I28:V28" si="4">SUM(I6:I27)</f>
        <v>249230546.91999999</v>
      </c>
      <c r="J28" s="257">
        <f>SUM(J6:J27)</f>
        <v>4823860000</v>
      </c>
      <c r="K28" s="257">
        <f>SUM(K6:K27)</f>
        <v>4823860000</v>
      </c>
      <c r="L28" s="257">
        <f>SUM(L6:L27)</f>
        <v>4823860000</v>
      </c>
      <c r="M28" s="257">
        <f t="shared" si="4"/>
        <v>4823860000</v>
      </c>
      <c r="N28" s="257">
        <f t="shared" si="4"/>
        <v>4823860000</v>
      </c>
      <c r="O28" s="257">
        <f t="shared" si="4"/>
        <v>4823860000</v>
      </c>
      <c r="P28" s="257">
        <f t="shared" si="4"/>
        <v>4823860000</v>
      </c>
      <c r="Q28" s="257">
        <f t="shared" si="4"/>
        <v>4823860000</v>
      </c>
      <c r="R28" s="257">
        <f t="shared" si="4"/>
        <v>4823860000</v>
      </c>
      <c r="S28" s="257">
        <f t="shared" si="4"/>
        <v>4823860000</v>
      </c>
      <c r="T28" s="257">
        <f t="shared" si="4"/>
        <v>4823860000</v>
      </c>
      <c r="U28" s="257">
        <f t="shared" si="4"/>
        <v>5223860000</v>
      </c>
      <c r="V28" s="257">
        <f t="shared" si="4"/>
        <v>5223860000</v>
      </c>
      <c r="W28" s="255"/>
      <c r="X28" s="257">
        <f>SUM(X26:X27)</f>
        <v>268585546.92000002</v>
      </c>
      <c r="Y28" s="416">
        <f>X28/V28</f>
        <v>5.1415150275849662E-2</v>
      </c>
    </row>
    <row r="29" spans="1:25" ht="13.8" thickBot="1">
      <c r="A29" s="529">
        <v>24</v>
      </c>
      <c r="B29" s="123"/>
      <c r="C29" s="246"/>
      <c r="D29" s="247"/>
      <c r="E29" s="247"/>
      <c r="F29" s="255"/>
      <c r="G29" s="252"/>
      <c r="H29" s="217"/>
      <c r="I29" s="255"/>
      <c r="J29" s="428"/>
      <c r="K29" s="428"/>
      <c r="L29" s="428"/>
      <c r="M29" s="428"/>
      <c r="N29" s="428"/>
      <c r="O29" s="428"/>
      <c r="P29" s="428"/>
      <c r="Q29" s="428"/>
      <c r="R29" s="428"/>
      <c r="S29" s="428"/>
      <c r="T29" s="428"/>
      <c r="U29" s="428"/>
      <c r="V29" s="428"/>
      <c r="W29" s="428"/>
      <c r="X29" s="242">
        <f>H29*S29</f>
        <v>0</v>
      </c>
    </row>
    <row r="30" spans="1:25" ht="13.8" thickBot="1">
      <c r="A30" s="519">
        <v>25</v>
      </c>
      <c r="B30" s="125" t="s">
        <v>183</v>
      </c>
      <c r="C30" s="246"/>
      <c r="D30" s="247"/>
      <c r="E30" s="247"/>
      <c r="F30" s="255">
        <f>F28</f>
        <v>4873860000</v>
      </c>
      <c r="G30" s="255">
        <f>SUM(I6:I25)</f>
        <v>247139128</v>
      </c>
      <c r="H30" s="187">
        <f>ROUND(+G30/F30,4)</f>
        <v>5.0700000000000002E-2</v>
      </c>
      <c r="J30" s="551"/>
      <c r="K30" s="428"/>
      <c r="L30" s="428"/>
      <c r="M30" s="428"/>
      <c r="N30" s="428"/>
      <c r="O30" s="428"/>
      <c r="P30" s="428"/>
      <c r="Q30" s="428"/>
      <c r="R30" s="428"/>
      <c r="S30" s="428"/>
      <c r="T30" s="428"/>
      <c r="U30" s="428"/>
      <c r="V30" s="428"/>
      <c r="W30" s="428"/>
      <c r="X30" s="242"/>
    </row>
    <row r="31" spans="1:25">
      <c r="A31" s="519">
        <v>26</v>
      </c>
      <c r="B31" s="123"/>
      <c r="C31" s="246"/>
      <c r="D31" s="247"/>
      <c r="E31" s="247"/>
      <c r="F31" s="255"/>
      <c r="G31" s="252"/>
      <c r="H31" s="217"/>
      <c r="I31" s="255"/>
      <c r="J31" s="428"/>
      <c r="K31" s="428"/>
      <c r="L31" s="428"/>
      <c r="M31" s="428"/>
      <c r="N31" s="428"/>
      <c r="O31" s="428"/>
      <c r="P31" s="428"/>
      <c r="Q31" s="428"/>
      <c r="R31" s="428"/>
      <c r="S31" s="428"/>
      <c r="T31" s="428"/>
      <c r="U31" s="428"/>
      <c r="V31" s="428"/>
      <c r="W31" s="428"/>
      <c r="X31" s="242"/>
    </row>
    <row r="32" spans="1:25">
      <c r="A32" s="519">
        <v>27</v>
      </c>
      <c r="B32" s="500" t="s">
        <v>184</v>
      </c>
      <c r="C32" s="246"/>
      <c r="D32" s="247"/>
      <c r="E32" s="247"/>
      <c r="F32" s="255">
        <f>'Pg 3 STD Cost Rate'!C17</f>
        <v>101912013.62</v>
      </c>
      <c r="G32" s="255">
        <f>'Pg 3 STD Cost Rate'!E17</f>
        <v>4672201.97</v>
      </c>
      <c r="H32" s="507">
        <f>ROUND(G32/F32,4)</f>
        <v>4.58E-2</v>
      </c>
      <c r="J32" s="428"/>
      <c r="K32" s="428"/>
      <c r="L32" s="428"/>
      <c r="M32" s="428"/>
      <c r="N32" s="428"/>
      <c r="O32" s="428"/>
      <c r="P32" s="428"/>
      <c r="Q32" s="428"/>
      <c r="R32" s="428"/>
      <c r="S32" s="428"/>
      <c r="T32" s="428"/>
      <c r="U32" s="428"/>
      <c r="V32" s="428"/>
      <c r="W32" s="428"/>
      <c r="X32" s="242"/>
    </row>
    <row r="33" spans="1:55">
      <c r="A33" s="529">
        <v>28</v>
      </c>
      <c r="B33" s="123"/>
      <c r="C33" s="246"/>
      <c r="D33" s="247"/>
      <c r="E33" s="247"/>
      <c r="F33" s="255"/>
      <c r="G33" s="252"/>
      <c r="H33" s="217"/>
      <c r="I33" s="255"/>
      <c r="J33" s="428"/>
      <c r="K33" s="428"/>
      <c r="L33" s="428"/>
      <c r="M33" s="428"/>
      <c r="N33" s="428"/>
      <c r="O33" s="428"/>
      <c r="P33" s="428"/>
      <c r="Q33" s="428"/>
      <c r="R33" s="428"/>
      <c r="S33" s="428"/>
      <c r="T33" s="428"/>
      <c r="U33" s="428"/>
      <c r="V33" s="428"/>
      <c r="W33" s="428"/>
      <c r="X33" s="242"/>
    </row>
    <row r="34" spans="1:55">
      <c r="A34" s="519">
        <v>29</v>
      </c>
      <c r="B34" s="508" t="s">
        <v>185</v>
      </c>
      <c r="C34" s="246"/>
      <c r="D34" s="247"/>
      <c r="E34" s="247"/>
      <c r="F34" s="255">
        <f>F32+F28</f>
        <v>4975772013.6199999</v>
      </c>
      <c r="G34" s="255">
        <f>G32+G30</f>
        <v>251811329.97</v>
      </c>
      <c r="H34" s="507">
        <f>ROUND(G34/F34,4)</f>
        <v>5.0599999999999999E-2</v>
      </c>
      <c r="J34" s="428"/>
      <c r="K34" s="428"/>
      <c r="L34" s="428"/>
      <c r="M34" s="428"/>
      <c r="N34" s="428"/>
      <c r="O34" s="428"/>
      <c r="P34" s="428"/>
      <c r="Q34" s="428"/>
      <c r="R34" s="428"/>
      <c r="S34" s="428"/>
      <c r="T34" s="428"/>
      <c r="U34" s="428"/>
      <c r="V34" s="428"/>
      <c r="W34" s="428"/>
      <c r="X34" s="242"/>
    </row>
    <row r="35" spans="1:55">
      <c r="A35" s="529">
        <v>30</v>
      </c>
      <c r="B35" s="123"/>
      <c r="C35" s="246"/>
      <c r="D35" s="247"/>
      <c r="E35" s="247"/>
      <c r="F35" s="255"/>
      <c r="G35" s="252"/>
      <c r="H35" s="217"/>
      <c r="I35" s="255"/>
      <c r="J35" s="428"/>
      <c r="K35" s="428"/>
      <c r="L35" s="428"/>
      <c r="M35" s="428"/>
      <c r="N35" s="428"/>
      <c r="O35" s="428"/>
      <c r="P35" s="428"/>
      <c r="Q35" s="428"/>
      <c r="R35" s="428"/>
      <c r="S35" s="428"/>
      <c r="T35" s="428"/>
      <c r="U35" s="428"/>
      <c r="V35" s="428"/>
      <c r="W35" s="428"/>
      <c r="X35" s="242"/>
    </row>
    <row r="36" spans="1:55">
      <c r="A36" s="519">
        <v>31</v>
      </c>
      <c r="B36" s="121" t="s">
        <v>186</v>
      </c>
      <c r="C36" s="122"/>
      <c r="D36" s="122"/>
      <c r="E36" s="122"/>
      <c r="F36" s="122"/>
      <c r="G36" s="122"/>
      <c r="H36" s="122"/>
      <c r="I36" s="122"/>
      <c r="X36" s="255"/>
      <c r="Y36" s="217"/>
    </row>
    <row r="37" spans="1:55">
      <c r="A37" s="519">
        <v>32</v>
      </c>
      <c r="B37" s="121" t="s">
        <v>187</v>
      </c>
      <c r="C37" s="122"/>
      <c r="D37" s="122"/>
      <c r="E37" s="122"/>
      <c r="F37" s="122"/>
      <c r="G37" s="124"/>
      <c r="H37" s="122"/>
      <c r="I37" s="122"/>
    </row>
    <row r="38" spans="1:55">
      <c r="A38" s="119"/>
      <c r="B38" s="121"/>
      <c r="C38" s="122"/>
      <c r="D38" s="122"/>
      <c r="E38" s="122"/>
      <c r="F38" s="122"/>
      <c r="G38" s="124"/>
      <c r="H38" s="122"/>
      <c r="I38" s="122"/>
    </row>
    <row r="39" spans="1:55">
      <c r="A39" s="119"/>
      <c r="B39" s="121"/>
      <c r="C39" s="122"/>
      <c r="D39" s="122"/>
      <c r="E39" s="122"/>
      <c r="F39" s="122"/>
      <c r="G39" s="124"/>
      <c r="H39" s="122"/>
      <c r="I39" s="122"/>
    </row>
    <row r="40" spans="1:55">
      <c r="A40" s="119"/>
      <c r="B40" s="120"/>
      <c r="C40" s="120"/>
      <c r="D40" s="120"/>
      <c r="E40" s="281"/>
      <c r="G40" s="120"/>
      <c r="H40" s="122"/>
      <c r="I40" s="155"/>
      <c r="J40" s="241"/>
      <c r="K40" s="241"/>
      <c r="L40" s="241"/>
      <c r="M40" s="241"/>
      <c r="N40" s="241"/>
      <c r="O40" s="241"/>
      <c r="P40" s="241"/>
      <c r="Q40" s="241"/>
      <c r="R40" s="241"/>
      <c r="S40" s="241"/>
      <c r="T40" s="241"/>
      <c r="U40" s="241"/>
      <c r="V40" s="241"/>
      <c r="W40" s="241"/>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row>
    <row r="41" spans="1:55">
      <c r="A41" s="44"/>
      <c r="B41" s="258"/>
      <c r="C41" s="258"/>
      <c r="D41" s="258"/>
      <c r="E41" s="258"/>
      <c r="F41" s="240"/>
      <c r="G41" s="258"/>
      <c r="H41" s="122"/>
      <c r="I41" s="155"/>
      <c r="J41" s="259"/>
      <c r="K41" s="123"/>
      <c r="L41" s="123"/>
      <c r="M41" s="123"/>
      <c r="N41" s="123"/>
      <c r="O41" s="123"/>
      <c r="P41" s="123"/>
      <c r="Q41" s="123"/>
      <c r="R41" s="123"/>
      <c r="S41" s="123"/>
      <c r="T41" s="123"/>
      <c r="U41" s="123"/>
      <c r="V41" s="123"/>
      <c r="W41" s="123"/>
    </row>
    <row r="42" spans="1:55">
      <c r="A42" s="44"/>
      <c r="B42" s="258"/>
      <c r="C42" s="258"/>
      <c r="D42" s="258"/>
      <c r="E42" s="258"/>
      <c r="F42" s="239"/>
      <c r="G42" s="258"/>
      <c r="H42" s="120"/>
      <c r="I42" s="155"/>
      <c r="J42" s="242"/>
      <c r="K42" s="242"/>
      <c r="L42" s="242"/>
      <c r="M42" s="242"/>
      <c r="N42" s="242"/>
      <c r="O42" s="242"/>
      <c r="P42" s="242"/>
      <c r="Q42" s="242"/>
      <c r="R42" s="242"/>
      <c r="S42" s="242"/>
      <c r="T42" s="242"/>
      <c r="U42" s="242"/>
      <c r="V42" s="242"/>
      <c r="W42" s="242"/>
    </row>
    <row r="43" spans="1:55">
      <c r="A43" s="44"/>
      <c r="B43" s="28"/>
      <c r="C43" s="28"/>
      <c r="D43" s="28"/>
      <c r="E43" s="28"/>
      <c r="F43" s="240"/>
      <c r="G43" s="28"/>
      <c r="H43" s="28"/>
      <c r="I43" s="45"/>
      <c r="J43" s="192" t="str">
        <f t="shared" ref="J43:S43" si="5">IF(J42&lt;&gt;0,"ERROR","")</f>
        <v/>
      </c>
      <c r="K43" s="192" t="str">
        <f t="shared" si="5"/>
        <v/>
      </c>
      <c r="L43" s="192" t="str">
        <f t="shared" si="5"/>
        <v/>
      </c>
      <c r="M43" s="192" t="str">
        <f t="shared" si="5"/>
        <v/>
      </c>
      <c r="N43" s="192" t="str">
        <f t="shared" si="5"/>
        <v/>
      </c>
      <c r="O43" s="192" t="str">
        <f t="shared" si="5"/>
        <v/>
      </c>
      <c r="P43" s="192" t="str">
        <f t="shared" si="5"/>
        <v/>
      </c>
      <c r="Q43" s="192" t="str">
        <f t="shared" si="5"/>
        <v/>
      </c>
      <c r="R43" s="192" t="str">
        <f t="shared" si="5"/>
        <v/>
      </c>
      <c r="S43" s="44" t="str">
        <f t="shared" si="5"/>
        <v/>
      </c>
      <c r="T43" s="44"/>
      <c r="U43" s="44"/>
      <c r="V43" s="44"/>
      <c r="W43" s="44"/>
    </row>
    <row r="44" spans="1:55">
      <c r="A44" s="44"/>
      <c r="B44" s="28"/>
      <c r="C44" s="28"/>
      <c r="D44" s="28"/>
      <c r="E44" s="545"/>
      <c r="F44" s="45"/>
      <c r="G44" s="28"/>
      <c r="H44" s="157"/>
      <c r="Y44" s="523"/>
    </row>
    <row r="45" spans="1:55">
      <c r="A45" s="46"/>
      <c r="B45" s="47"/>
      <c r="C45" s="48"/>
      <c r="D45" s="49"/>
      <c r="E45" s="49"/>
      <c r="F45" s="231"/>
      <c r="G45" s="51"/>
      <c r="H45" s="157"/>
      <c r="I45" s="89"/>
      <c r="Y45" s="523"/>
    </row>
    <row r="46" spans="1:55">
      <c r="A46" s="46"/>
      <c r="B46" s="47"/>
      <c r="C46" s="48"/>
      <c r="D46" s="49"/>
      <c r="E46" s="49"/>
      <c r="F46" s="50"/>
      <c r="G46" s="51"/>
      <c r="H46" s="52"/>
      <c r="I46" s="53"/>
      <c r="Y46" s="523"/>
    </row>
    <row r="47" spans="1:55">
      <c r="A47" s="46"/>
      <c r="B47" s="47"/>
      <c r="C47" s="48"/>
      <c r="D47" s="49"/>
      <c r="E47" s="49"/>
      <c r="F47" s="50"/>
      <c r="G47" s="51"/>
      <c r="H47" s="52"/>
      <c r="I47" s="53"/>
      <c r="Y47" s="523"/>
    </row>
    <row r="48" spans="1:55" hidden="1">
      <c r="A48" s="54"/>
      <c r="B48" s="28"/>
      <c r="C48" s="28"/>
      <c r="D48" s="28"/>
      <c r="E48" s="28"/>
      <c r="F48" s="45"/>
      <c r="G48" s="28"/>
      <c r="H48" s="55"/>
      <c r="I48" s="45"/>
      <c r="Y48" s="523"/>
    </row>
    <row r="49" spans="1:25" hidden="1">
      <c r="A49" s="54"/>
      <c r="B49" s="28"/>
      <c r="C49" s="28"/>
      <c r="D49" s="28"/>
      <c r="E49" s="28"/>
      <c r="F49" s="45"/>
      <c r="G49" s="28"/>
      <c r="H49" s="56"/>
      <c r="I49" s="45"/>
      <c r="Y49" s="523"/>
    </row>
    <row r="50" spans="1:25" hidden="1">
      <c r="A50" s="54"/>
      <c r="B50" s="28"/>
      <c r="C50" s="28"/>
      <c r="D50" s="28"/>
      <c r="E50" s="28"/>
      <c r="F50" s="45"/>
      <c r="G50" s="28"/>
      <c r="H50" s="28"/>
      <c r="I50" s="45"/>
      <c r="Y50" s="523"/>
    </row>
    <row r="51" spans="1:25">
      <c r="A51" s="46"/>
      <c r="B51" s="47"/>
      <c r="C51" s="48"/>
      <c r="D51" s="49"/>
      <c r="E51" s="49"/>
      <c r="F51" s="50"/>
      <c r="G51" s="51"/>
      <c r="H51" s="52"/>
      <c r="I51" s="53"/>
      <c r="Y51" s="523"/>
    </row>
    <row r="52" spans="1:25">
      <c r="A52" s="46"/>
      <c r="B52" s="47"/>
      <c r="C52" s="48"/>
      <c r="D52" s="49"/>
      <c r="E52" s="49"/>
      <c r="F52" s="50"/>
      <c r="G52" s="51"/>
      <c r="H52" s="52"/>
      <c r="I52" s="53"/>
      <c r="Y52" s="523"/>
    </row>
    <row r="53" spans="1:25">
      <c r="A53" s="54"/>
      <c r="B53" s="28"/>
      <c r="C53" s="28"/>
      <c r="D53" s="28"/>
      <c r="E53" s="28"/>
      <c r="F53" s="45"/>
      <c r="G53" s="28"/>
      <c r="H53" s="28"/>
      <c r="I53" s="45"/>
      <c r="Y53" s="523"/>
    </row>
    <row r="54" spans="1:25">
      <c r="A54" s="54"/>
      <c r="B54" s="28"/>
      <c r="C54" s="28"/>
      <c r="D54" s="28"/>
      <c r="E54" s="28"/>
      <c r="F54" s="45"/>
      <c r="G54" s="28"/>
      <c r="H54" s="28"/>
      <c r="I54" s="45"/>
      <c r="Y54" s="523"/>
    </row>
    <row r="55" spans="1:25">
      <c r="A55" s="54"/>
      <c r="B55" s="28"/>
      <c r="C55" s="28"/>
      <c r="D55" s="28"/>
      <c r="E55" s="28"/>
      <c r="F55" s="45"/>
      <c r="G55" s="28"/>
      <c r="H55" s="28"/>
      <c r="I55" s="45"/>
      <c r="Y55" s="523"/>
    </row>
    <row r="56" spans="1:25">
      <c r="A56" s="54"/>
      <c r="B56" s="28"/>
      <c r="C56" s="28"/>
      <c r="D56" s="28"/>
      <c r="E56" s="28"/>
      <c r="F56" s="45"/>
      <c r="G56" s="28"/>
      <c r="H56" s="28"/>
      <c r="I56" s="45"/>
      <c r="Y56" s="523"/>
    </row>
    <row r="57" spans="1:25">
      <c r="A57" s="54"/>
      <c r="B57" s="28"/>
      <c r="C57" s="28"/>
      <c r="D57" s="28"/>
      <c r="E57" s="28"/>
      <c r="F57" s="45"/>
      <c r="G57" s="28"/>
      <c r="H57" s="28"/>
      <c r="I57" s="45"/>
      <c r="Y57" s="523"/>
    </row>
    <row r="58" spans="1:25">
      <c r="A58" s="54"/>
      <c r="B58" s="28"/>
      <c r="C58" s="28"/>
      <c r="D58" s="28"/>
      <c r="E58" s="28"/>
      <c r="F58" s="45"/>
      <c r="G58" s="28"/>
      <c r="H58" s="28"/>
      <c r="I58" s="45"/>
      <c r="Y58" s="523"/>
    </row>
    <row r="59" spans="1:25">
      <c r="A59" s="54"/>
      <c r="B59" s="28"/>
      <c r="C59" s="28"/>
      <c r="D59" s="28"/>
      <c r="E59" s="28"/>
      <c r="F59" s="45"/>
      <c r="G59" s="28"/>
      <c r="H59" s="28"/>
      <c r="I59" s="45"/>
      <c r="Y59" s="523"/>
    </row>
    <row r="60" spans="1:25">
      <c r="A60" s="54"/>
      <c r="B60" s="28"/>
      <c r="C60" s="28"/>
      <c r="D60" s="28"/>
      <c r="E60" s="28"/>
      <c r="F60" s="45"/>
      <c r="G60" s="28"/>
      <c r="H60" s="28"/>
      <c r="I60" s="45"/>
      <c r="Y60" s="523"/>
    </row>
    <row r="61" spans="1:25">
      <c r="A61" s="54"/>
      <c r="B61" s="28"/>
      <c r="C61" s="28"/>
      <c r="D61" s="28"/>
      <c r="E61" s="28"/>
      <c r="F61" s="45"/>
      <c r="G61" s="28"/>
      <c r="H61" s="28"/>
      <c r="I61" s="45"/>
      <c r="Y61" s="523"/>
    </row>
    <row r="62" spans="1:25">
      <c r="A62" s="44"/>
      <c r="B62" s="28"/>
      <c r="C62" s="47"/>
      <c r="D62" s="28"/>
      <c r="E62" s="28"/>
      <c r="F62" s="45"/>
      <c r="G62" s="28"/>
      <c r="H62" s="28"/>
      <c r="I62" s="45"/>
      <c r="Y62" s="523"/>
    </row>
    <row r="63" spans="1:25">
      <c r="C63" s="24"/>
      <c r="E63" s="30"/>
      <c r="Y63" s="523"/>
    </row>
    <row r="64" spans="1:25">
      <c r="C64" s="29"/>
      <c r="Y64" s="523"/>
    </row>
    <row r="65" spans="25:25">
      <c r="Y65" s="523"/>
    </row>
    <row r="66" spans="25:25">
      <c r="Y66" s="523"/>
    </row>
    <row r="67" spans="25:25">
      <c r="Y67" s="523"/>
    </row>
    <row r="68" spans="25:25">
      <c r="Y68" s="523"/>
    </row>
    <row r="69" spans="25:25">
      <c r="Y69" s="523"/>
    </row>
    <row r="70" spans="25:25">
      <c r="Y70" s="523"/>
    </row>
    <row r="71" spans="25:25">
      <c r="Y71" s="523"/>
    </row>
    <row r="72" spans="25:25">
      <c r="Y72" s="523"/>
    </row>
    <row r="73" spans="25:25">
      <c r="Y73" s="523"/>
    </row>
    <row r="74" spans="25:25">
      <c r="Y74" s="523"/>
    </row>
    <row r="75" spans="25:25">
      <c r="Y75" s="523"/>
    </row>
    <row r="76" spans="25:25">
      <c r="Y76" s="523"/>
    </row>
    <row r="77" spans="25:25">
      <c r="Y77" s="523"/>
    </row>
    <row r="78" spans="25:25">
      <c r="Y78" s="523"/>
    </row>
    <row r="79" spans="25:25">
      <c r="Y79" s="523"/>
    </row>
    <row r="80" spans="25:25">
      <c r="Y80" s="523"/>
    </row>
    <row r="81" spans="25:25">
      <c r="Y81" s="523"/>
    </row>
    <row r="82" spans="25:25">
      <c r="Y82" s="523"/>
    </row>
    <row r="83" spans="25:25">
      <c r="Y83" s="523"/>
    </row>
    <row r="84" spans="25:25">
      <c r="Y84" s="523"/>
    </row>
    <row r="85" spans="25:25">
      <c r="Y85" s="523"/>
    </row>
    <row r="86" spans="25:25">
      <c r="Y86" s="523"/>
    </row>
    <row r="87" spans="25:25">
      <c r="Y87" s="523"/>
    </row>
    <row r="88" spans="25:25">
      <c r="Y88" s="523"/>
    </row>
    <row r="89" spans="25:25">
      <c r="Y89" s="523"/>
    </row>
    <row r="90" spans="25:25">
      <c r="Y90" s="523"/>
    </row>
    <row r="91" spans="25:25">
      <c r="Y91" s="523"/>
    </row>
    <row r="92" spans="25:25">
      <c r="Y92" s="523"/>
    </row>
    <row r="93" spans="25:25">
      <c r="Y93" s="523"/>
    </row>
    <row r="94" spans="25:25">
      <c r="Y94" s="523"/>
    </row>
    <row r="95" spans="25:25">
      <c r="Y95" s="523"/>
    </row>
    <row r="96" spans="25:25">
      <c r="Y96" s="523"/>
    </row>
    <row r="97" spans="25:25">
      <c r="Y97" s="523"/>
    </row>
    <row r="98" spans="25:25">
      <c r="Y98" s="523"/>
    </row>
    <row r="99" spans="25:25">
      <c r="Y99" s="523"/>
    </row>
    <row r="100" spans="25:25">
      <c r="Y100" s="523"/>
    </row>
    <row r="101" spans="25:25">
      <c r="Y101" s="523"/>
    </row>
    <row r="102" spans="25:25">
      <c r="Y102" s="523"/>
    </row>
    <row r="103" spans="25:25">
      <c r="Y103" s="523"/>
    </row>
    <row r="104" spans="25:25">
      <c r="Y104" s="523"/>
    </row>
    <row r="107" spans="25:25">
      <c r="Y107" s="523"/>
    </row>
    <row r="108" spans="25:25">
      <c r="Y108" s="523"/>
    </row>
    <row r="109" spans="25:25">
      <c r="Y109" s="523"/>
    </row>
    <row r="110" spans="25:25">
      <c r="Y110" s="523"/>
    </row>
    <row r="111" spans="25:25">
      <c r="Y111" s="523"/>
    </row>
    <row r="112" spans="25:25">
      <c r="Y112" s="523"/>
    </row>
    <row r="113" spans="25:25">
      <c r="Y113" s="523"/>
    </row>
    <row r="114" spans="25:25">
      <c r="Y114" s="523"/>
    </row>
    <row r="115" spans="25:25">
      <c r="Y115" s="523"/>
    </row>
    <row r="116" spans="25:25">
      <c r="Y116" s="523"/>
    </row>
    <row r="117" spans="25:25">
      <c r="Y117" s="523"/>
    </row>
    <row r="118" spans="25:25">
      <c r="Y118" s="523"/>
    </row>
    <row r="119" spans="25:25">
      <c r="Y119" s="523"/>
    </row>
    <row r="120" spans="25:25">
      <c r="Y120" s="523"/>
    </row>
    <row r="121" spans="25:25">
      <c r="Y121" s="523"/>
    </row>
    <row r="122" spans="25:25">
      <c r="Y122" s="523"/>
    </row>
    <row r="123" spans="25:25">
      <c r="Y123" s="523"/>
    </row>
    <row r="124" spans="25:25">
      <c r="Y124" s="523"/>
    </row>
    <row r="125" spans="25:25">
      <c r="Y125" s="523"/>
    </row>
    <row r="126" spans="25:25">
      <c r="Y126" s="523"/>
    </row>
    <row r="127" spans="25:25">
      <c r="Y127" s="523"/>
    </row>
    <row r="128" spans="25:25">
      <c r="Y128" s="523"/>
    </row>
    <row r="129" spans="25:25">
      <c r="Y129" s="523"/>
    </row>
    <row r="130" spans="25:25">
      <c r="Y130" s="523"/>
    </row>
    <row r="131" spans="25:25">
      <c r="Y131" s="523"/>
    </row>
    <row r="132" spans="25:25">
      <c r="Y132" s="523"/>
    </row>
    <row r="133" spans="25:25">
      <c r="Y133" s="523"/>
    </row>
    <row r="134" spans="25:25">
      <c r="Y134" s="523"/>
    </row>
    <row r="135" spans="25:25">
      <c r="Y135" s="523"/>
    </row>
    <row r="136" spans="25:25">
      <c r="Y136" s="523"/>
    </row>
    <row r="138" spans="25:25">
      <c r="Y138" s="523"/>
    </row>
    <row r="139" spans="25:25">
      <c r="Y139" s="523"/>
    </row>
    <row r="140" spans="25:25">
      <c r="Y140" s="523"/>
    </row>
    <row r="141" spans="25:25">
      <c r="Y141" s="523"/>
    </row>
    <row r="142" spans="25:25">
      <c r="Y142" s="523"/>
    </row>
    <row r="143" spans="25:25">
      <c r="Y143" s="523"/>
    </row>
    <row r="144" spans="25:25">
      <c r="Y144" s="523"/>
    </row>
    <row r="145" spans="25:25">
      <c r="Y145" s="523"/>
    </row>
    <row r="146" spans="25:25">
      <c r="Y146" s="523"/>
    </row>
    <row r="147" spans="25:25">
      <c r="Y147" s="523"/>
    </row>
    <row r="148" spans="25:25">
      <c r="Y148" s="523"/>
    </row>
    <row r="149" spans="25:25">
      <c r="Y149" s="523"/>
    </row>
    <row r="150" spans="25:25">
      <c r="Y150" s="523"/>
    </row>
    <row r="151" spans="25:25">
      <c r="Y151" s="523"/>
    </row>
    <row r="152" spans="25:25">
      <c r="Y152" s="523"/>
    </row>
    <row r="153" spans="25:25">
      <c r="Y153" s="523"/>
    </row>
    <row r="154" spans="25:25">
      <c r="Y154" s="523"/>
    </row>
    <row r="155" spans="25:25">
      <c r="Y155" s="523"/>
    </row>
    <row r="156" spans="25:25">
      <c r="Y156" s="523"/>
    </row>
    <row r="157" spans="25:25">
      <c r="Y157" s="523"/>
    </row>
    <row r="158" spans="25:25">
      <c r="Y158" s="523"/>
    </row>
    <row r="159" spans="25:25">
      <c r="Y159" s="523"/>
    </row>
    <row r="160" spans="25:25">
      <c r="Y160" s="523"/>
    </row>
    <row r="161" spans="25:25">
      <c r="Y161" s="523"/>
    </row>
    <row r="162" spans="25:25">
      <c r="Y162" s="523"/>
    </row>
    <row r="163" spans="25:25">
      <c r="Y163" s="523"/>
    </row>
    <row r="164" spans="25:25">
      <c r="Y164" s="523"/>
    </row>
    <row r="165" spans="25:25">
      <c r="Y165" s="523"/>
    </row>
    <row r="166" spans="25:25">
      <c r="Y166" s="523"/>
    </row>
    <row r="167" spans="25:25">
      <c r="Y167" s="523"/>
    </row>
  </sheetData>
  <phoneticPr fontId="25" type="noConversion"/>
  <printOptions horizontalCentered="1"/>
  <pageMargins left="0.2" right="0.2" top="0.41" bottom="0.35" header="0.17" footer="0.17"/>
  <pageSetup scale="90" orientation="landscape" r:id="rId1"/>
  <headerFooter alignWithMargins="0">
    <oddFooter>&amp;C&amp;A&amp;R&amp;8&amp;F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1">
    <pageSetUpPr fitToPage="1"/>
  </sheetPr>
  <dimension ref="A1:U84"/>
  <sheetViews>
    <sheetView zoomScaleNormal="100" workbookViewId="0">
      <pane xSplit="2" ySplit="7" topLeftCell="C8" activePane="bottomRight" state="frozen"/>
      <selection pane="topRight" activeCell="F32" sqref="F32"/>
      <selection pane="bottomLeft" activeCell="F32" sqref="F32"/>
      <selection pane="bottomRight" activeCell="H16" sqref="H16"/>
    </sheetView>
  </sheetViews>
  <sheetFormatPr defaultColWidth="8.85546875" defaultRowHeight="15" outlineLevelCol="1"/>
  <cols>
    <col min="1" max="1" width="4.7109375" style="31" customWidth="1"/>
    <col min="2" max="2" width="46" style="31" customWidth="1"/>
    <col min="3" max="3" width="10.85546875" style="31" customWidth="1"/>
    <col min="4" max="4" width="11.85546875" style="31" customWidth="1"/>
    <col min="5" max="5" width="12.85546875" style="31" customWidth="1"/>
    <col min="6" max="6" width="15.85546875" style="31" customWidth="1"/>
    <col min="7" max="7" width="13" style="31" customWidth="1"/>
    <col min="8" max="8" width="13.85546875" style="31" customWidth="1"/>
    <col min="9" max="9" width="18" style="31" customWidth="1"/>
    <col min="10" max="10" width="12.140625" style="31" customWidth="1"/>
    <col min="11" max="11" width="15.7109375" style="542" customWidth="1"/>
    <col min="12" max="12" width="12" style="31" hidden="1" customWidth="1" outlineLevel="1"/>
    <col min="13" max="13" width="14.7109375" style="31" hidden="1" customWidth="1" outlineLevel="1"/>
    <col min="14" max="14" width="15.140625" style="31" hidden="1" customWidth="1" outlineLevel="1"/>
    <col min="15" max="15" width="8.42578125" style="31" hidden="1" customWidth="1" outlineLevel="1"/>
    <col min="16" max="16" width="2.42578125" style="31" hidden="1" customWidth="1" outlineLevel="1"/>
    <col min="17" max="17" width="13.42578125" style="31" bestFit="1" customWidth="1" collapsed="1"/>
    <col min="18" max="18" width="13.42578125" style="31" bestFit="1" customWidth="1"/>
    <col min="19" max="19" width="12.85546875" style="31" customWidth="1"/>
    <col min="20" max="16384" width="8.85546875" style="31"/>
  </cols>
  <sheetData>
    <row r="1" spans="1:21" ht="12.75" customHeight="1">
      <c r="B1" s="66" t="s">
        <v>90</v>
      </c>
      <c r="C1" s="59"/>
      <c r="D1" s="59"/>
      <c r="E1" s="59"/>
      <c r="F1" s="59"/>
      <c r="G1" s="59"/>
      <c r="H1" s="59"/>
      <c r="I1" s="59"/>
      <c r="J1" s="60"/>
      <c r="K1" s="60"/>
      <c r="L1" s="58"/>
      <c r="M1" s="58"/>
      <c r="N1" s="58"/>
      <c r="O1" s="58"/>
      <c r="P1" s="58"/>
    </row>
    <row r="2" spans="1:21" s="32" customFormat="1" ht="12.75" customHeight="1">
      <c r="B2" s="66" t="s">
        <v>188</v>
      </c>
      <c r="C2" s="59"/>
      <c r="D2" s="59"/>
      <c r="E2" s="59"/>
      <c r="F2" s="59"/>
      <c r="G2" s="59"/>
      <c r="H2" s="59"/>
      <c r="I2" s="59"/>
      <c r="J2" s="62"/>
      <c r="K2" s="60"/>
      <c r="L2" s="58"/>
      <c r="M2" s="58"/>
      <c r="N2" s="58"/>
      <c r="O2" s="58"/>
      <c r="P2" s="58"/>
    </row>
    <row r="3" spans="1:21" s="32" customFormat="1" ht="12.75" customHeight="1">
      <c r="B3" s="621" t="str">
        <f>'Cost of Capital'!B5</f>
        <v>For The 12 Months Ending June 30, 2023</v>
      </c>
      <c r="C3" s="621"/>
      <c r="D3" s="621"/>
      <c r="E3" s="59"/>
      <c r="F3" s="59"/>
      <c r="G3" s="59"/>
      <c r="H3" s="59"/>
      <c r="I3" s="59"/>
      <c r="J3" s="60"/>
      <c r="K3" s="60"/>
      <c r="L3" s="58"/>
      <c r="M3" s="58"/>
      <c r="N3" s="58"/>
      <c r="O3" s="58"/>
      <c r="P3" s="58"/>
    </row>
    <row r="4" spans="1:21" s="32" customFormat="1" ht="12.75" customHeight="1">
      <c r="B4" s="111"/>
      <c r="C4" s="111"/>
      <c r="D4" s="111"/>
      <c r="E4" s="59"/>
      <c r="F4" s="59"/>
      <c r="G4" s="59"/>
      <c r="H4" s="59"/>
      <c r="I4" s="59"/>
      <c r="J4" s="60"/>
      <c r="K4" s="60"/>
      <c r="L4" s="436" t="s">
        <v>189</v>
      </c>
      <c r="M4" s="58"/>
      <c r="N4" s="58"/>
      <c r="O4" s="58"/>
      <c r="P4" s="58"/>
    </row>
    <row r="5" spans="1:21" s="32" customFormat="1" ht="12.75" customHeight="1">
      <c r="A5" s="208">
        <v>1</v>
      </c>
      <c r="B5" s="115" t="s">
        <v>31</v>
      </c>
      <c r="C5" s="115" t="s">
        <v>32</v>
      </c>
      <c r="D5" s="115" t="s">
        <v>33</v>
      </c>
      <c r="E5" s="115" t="s">
        <v>34</v>
      </c>
      <c r="F5" s="115" t="s">
        <v>35</v>
      </c>
      <c r="G5" s="232" t="s">
        <v>55</v>
      </c>
      <c r="H5" s="115" t="s">
        <v>56</v>
      </c>
      <c r="I5" s="115" t="s">
        <v>57</v>
      </c>
      <c r="J5" s="115" t="s">
        <v>58</v>
      </c>
      <c r="K5" s="60"/>
      <c r="L5" s="58"/>
      <c r="M5" s="58"/>
      <c r="N5" s="58"/>
      <c r="O5" s="58"/>
      <c r="P5" s="58"/>
    </row>
    <row r="6" spans="1:21" s="32" customFormat="1" ht="12.75" customHeight="1">
      <c r="A6" s="208">
        <f t="shared" ref="A6:A41" si="0">A5+1</f>
        <v>2</v>
      </c>
      <c r="B6" s="61" t="s">
        <v>36</v>
      </c>
      <c r="C6" s="220" t="s">
        <v>190</v>
      </c>
      <c r="D6" s="221" t="s">
        <v>191</v>
      </c>
      <c r="E6" s="194" t="s">
        <v>192</v>
      </c>
      <c r="F6" s="194" t="s">
        <v>193</v>
      </c>
      <c r="G6" s="194" t="s">
        <v>193</v>
      </c>
      <c r="H6" s="194" t="s">
        <v>194</v>
      </c>
      <c r="I6" s="221" t="s">
        <v>94</v>
      </c>
      <c r="J6" s="60"/>
      <c r="K6" s="60"/>
      <c r="L6" s="435" t="s">
        <v>195</v>
      </c>
      <c r="M6" s="58"/>
      <c r="N6" s="58"/>
      <c r="O6" s="58"/>
      <c r="P6" s="58"/>
    </row>
    <row r="7" spans="1:21" s="32" customFormat="1" ht="12.75" customHeight="1">
      <c r="A7" s="208">
        <f t="shared" si="0"/>
        <v>3</v>
      </c>
      <c r="B7" s="101" t="s">
        <v>190</v>
      </c>
      <c r="C7" s="63" t="s">
        <v>196</v>
      </c>
      <c r="D7" s="63" t="s">
        <v>196</v>
      </c>
      <c r="E7" s="63" t="s">
        <v>196</v>
      </c>
      <c r="F7" s="63" t="s">
        <v>190</v>
      </c>
      <c r="G7" s="63" t="s">
        <v>196</v>
      </c>
      <c r="H7" s="63" t="s">
        <v>197</v>
      </c>
      <c r="I7" s="63" t="s">
        <v>198</v>
      </c>
      <c r="J7" s="64" t="s">
        <v>199</v>
      </c>
      <c r="K7" s="60"/>
      <c r="L7" s="435" t="s">
        <v>200</v>
      </c>
      <c r="M7" s="58"/>
      <c r="N7" s="58"/>
      <c r="O7" s="431">
        <v>40543</v>
      </c>
      <c r="P7" s="58"/>
    </row>
    <row r="8" spans="1:21" s="32" customFormat="1" ht="12.75" customHeight="1">
      <c r="A8" s="208">
        <f t="shared" si="0"/>
        <v>4</v>
      </c>
      <c r="B8" s="102"/>
      <c r="C8" s="103"/>
      <c r="D8" s="103"/>
      <c r="E8" s="103"/>
      <c r="F8" s="103"/>
      <c r="G8" s="103"/>
      <c r="H8" s="260"/>
      <c r="I8" s="65"/>
      <c r="J8" s="104"/>
      <c r="K8" s="207"/>
      <c r="L8" s="432">
        <v>40543</v>
      </c>
      <c r="M8" s="430" t="s">
        <v>201</v>
      </c>
      <c r="N8" s="430" t="s">
        <v>202</v>
      </c>
      <c r="O8" s="430" t="s">
        <v>203</v>
      </c>
      <c r="P8" s="430" t="s">
        <v>204</v>
      </c>
    </row>
    <row r="9" spans="1:21" s="32" customFormat="1" ht="12.75" customHeight="1">
      <c r="A9" s="208">
        <f>A8+1</f>
        <v>5</v>
      </c>
      <c r="B9" s="102">
        <v>0.10249999999999999</v>
      </c>
      <c r="C9" s="103">
        <v>32140</v>
      </c>
      <c r="D9" s="103">
        <v>35779</v>
      </c>
      <c r="E9" s="103">
        <v>35048</v>
      </c>
      <c r="F9" s="103"/>
      <c r="G9" s="103"/>
      <c r="H9" s="260">
        <v>42684</v>
      </c>
      <c r="I9" s="261">
        <v>0</v>
      </c>
      <c r="J9" s="104">
        <v>18900013</v>
      </c>
      <c r="K9" s="207"/>
      <c r="L9" s="429"/>
      <c r="M9" s="434"/>
      <c r="N9" s="434"/>
      <c r="O9" s="433"/>
      <c r="P9" s="434"/>
      <c r="Q9" s="261"/>
      <c r="R9" s="261"/>
      <c r="S9" s="492"/>
    </row>
    <row r="10" spans="1:21" s="32" customFormat="1" ht="12.75" customHeight="1">
      <c r="A10" s="208">
        <f t="shared" si="0"/>
        <v>6</v>
      </c>
      <c r="B10" s="102" t="s">
        <v>205</v>
      </c>
      <c r="C10" s="103">
        <v>35587</v>
      </c>
      <c r="D10" s="103">
        <v>46539</v>
      </c>
      <c r="E10" s="103">
        <v>39234</v>
      </c>
      <c r="F10" s="103" t="s">
        <v>206</v>
      </c>
      <c r="G10" s="103">
        <v>39237</v>
      </c>
      <c r="H10" s="260">
        <v>42887</v>
      </c>
      <c r="I10" s="261">
        <v>0</v>
      </c>
      <c r="J10" s="104">
        <v>18900383</v>
      </c>
      <c r="K10" s="207"/>
      <c r="L10" s="429"/>
      <c r="M10" s="434"/>
      <c r="N10" s="434"/>
      <c r="O10" s="433"/>
      <c r="P10" s="434"/>
      <c r="Q10" s="510"/>
      <c r="R10" s="509"/>
      <c r="S10" s="492"/>
    </row>
    <row r="11" spans="1:21" s="32" customFormat="1" ht="12.75" customHeight="1">
      <c r="A11" s="208">
        <f t="shared" si="0"/>
        <v>7</v>
      </c>
      <c r="B11" s="102" t="s">
        <v>207</v>
      </c>
      <c r="C11" s="103">
        <v>33410</v>
      </c>
      <c r="D11" s="103">
        <v>37063</v>
      </c>
      <c r="E11" s="103">
        <v>35961</v>
      </c>
      <c r="F11" s="103" t="s">
        <v>208</v>
      </c>
      <c r="G11" s="103">
        <v>35961</v>
      </c>
      <c r="H11" s="260">
        <v>43266</v>
      </c>
      <c r="I11" s="261">
        <v>0</v>
      </c>
      <c r="J11" s="104">
        <v>18900243</v>
      </c>
      <c r="K11" s="207"/>
      <c r="L11" s="429"/>
      <c r="M11" s="434"/>
      <c r="N11" s="434"/>
      <c r="O11" s="433"/>
      <c r="P11" s="434"/>
      <c r="Q11" s="261"/>
      <c r="R11" s="509"/>
      <c r="S11" s="492"/>
    </row>
    <row r="12" spans="1:21" s="207" customFormat="1" ht="12.75" customHeight="1">
      <c r="A12" s="208">
        <f t="shared" si="0"/>
        <v>8</v>
      </c>
      <c r="B12" s="262" t="s">
        <v>209</v>
      </c>
      <c r="C12" s="103">
        <v>33616</v>
      </c>
      <c r="D12" s="103">
        <f>DATE(2022,1,12)</f>
        <v>44573</v>
      </c>
      <c r="E12" s="263">
        <v>37701</v>
      </c>
      <c r="F12" s="263"/>
      <c r="G12" s="263"/>
      <c r="H12" s="260">
        <f>DATE(2022,1,12)</f>
        <v>44573</v>
      </c>
      <c r="I12" s="261">
        <v>0</v>
      </c>
      <c r="J12" s="104">
        <v>18900293</v>
      </c>
      <c r="K12" s="541"/>
      <c r="L12" s="429"/>
      <c r="M12" s="533"/>
      <c r="N12" s="533"/>
      <c r="O12" s="534"/>
      <c r="P12" s="533"/>
      <c r="Q12" s="261"/>
      <c r="R12" s="261"/>
      <c r="S12" s="261"/>
      <c r="T12" s="492"/>
      <c r="U12" s="32"/>
    </row>
    <row r="13" spans="1:21" s="207" customFormat="1" ht="12.75" customHeight="1">
      <c r="A13" s="208">
        <f t="shared" si="0"/>
        <v>9</v>
      </c>
      <c r="B13" s="262" t="s">
        <v>210</v>
      </c>
      <c r="C13" s="103">
        <v>33616</v>
      </c>
      <c r="D13" s="103">
        <f>DATE(2022,1,13)</f>
        <v>44574</v>
      </c>
      <c r="E13" s="263">
        <v>37701</v>
      </c>
      <c r="F13" s="263"/>
      <c r="G13" s="263"/>
      <c r="H13" s="260">
        <f>DATE(2022,1,13)</f>
        <v>44574</v>
      </c>
      <c r="I13" s="261">
        <v>0</v>
      </c>
      <c r="J13" s="104">
        <v>18900303</v>
      </c>
      <c r="K13" s="541"/>
      <c r="L13" s="535"/>
      <c r="M13" s="533"/>
      <c r="N13" s="533"/>
      <c r="O13" s="534"/>
      <c r="P13" s="533"/>
      <c r="Q13" s="261"/>
      <c r="R13" s="510"/>
      <c r="S13" s="509"/>
      <c r="T13" s="492"/>
      <c r="U13" s="32"/>
    </row>
    <row r="14" spans="1:21" s="207" customFormat="1" ht="12.75" customHeight="1">
      <c r="A14" s="208">
        <f t="shared" si="0"/>
        <v>10</v>
      </c>
      <c r="B14" s="262" t="s">
        <v>211</v>
      </c>
      <c r="C14" s="103">
        <v>33828</v>
      </c>
      <c r="D14" s="103">
        <v>44785</v>
      </c>
      <c r="E14" s="263">
        <v>37770</v>
      </c>
      <c r="F14" s="263"/>
      <c r="G14" s="263"/>
      <c r="H14" s="260">
        <v>44785</v>
      </c>
      <c r="I14" s="261">
        <v>0</v>
      </c>
      <c r="J14" s="104">
        <v>18900323</v>
      </c>
      <c r="K14" s="541"/>
      <c r="L14" s="535"/>
      <c r="M14" s="533"/>
      <c r="N14" s="533"/>
      <c r="O14" s="534"/>
      <c r="P14" s="533"/>
      <c r="Q14" s="261"/>
      <c r="R14" s="261"/>
      <c r="S14" s="509"/>
      <c r="T14" s="492"/>
      <c r="U14" s="32"/>
    </row>
    <row r="15" spans="1:21" s="207" customFormat="1" ht="12.75" customHeight="1">
      <c r="A15" s="208">
        <f t="shared" si="0"/>
        <v>11</v>
      </c>
      <c r="B15" s="262" t="s">
        <v>212</v>
      </c>
      <c r="C15" s="103">
        <v>34199</v>
      </c>
      <c r="D15" s="103">
        <v>45156</v>
      </c>
      <c r="E15" s="263">
        <v>37851</v>
      </c>
      <c r="H15" s="260">
        <v>45156</v>
      </c>
      <c r="I15" s="261">
        <v>10655.88</v>
      </c>
      <c r="J15" s="104">
        <v>18900353</v>
      </c>
      <c r="K15" s="541"/>
      <c r="L15" s="535"/>
      <c r="M15" s="533"/>
      <c r="N15" s="533"/>
      <c r="O15" s="534"/>
      <c r="P15" s="533"/>
      <c r="Q15" s="261"/>
      <c r="R15" s="261"/>
      <c r="S15" s="509"/>
      <c r="T15" s="492"/>
      <c r="U15" s="32"/>
    </row>
    <row r="16" spans="1:21" s="207" customFormat="1" ht="12.75" customHeight="1">
      <c r="A16" s="208">
        <f t="shared" si="0"/>
        <v>12</v>
      </c>
      <c r="B16" s="102" t="s">
        <v>213</v>
      </c>
      <c r="C16" s="103">
        <v>33161</v>
      </c>
      <c r="D16" s="103">
        <v>35718</v>
      </c>
      <c r="E16" s="103">
        <v>34372</v>
      </c>
      <c r="F16" s="103" t="s">
        <v>214</v>
      </c>
      <c r="G16" s="103">
        <v>34366</v>
      </c>
      <c r="H16" s="260">
        <v>45323</v>
      </c>
      <c r="I16" s="261">
        <v>168880.08</v>
      </c>
      <c r="J16" s="104">
        <v>18900173</v>
      </c>
      <c r="K16" s="541"/>
      <c r="L16" s="429"/>
      <c r="M16" s="533"/>
      <c r="N16" s="533"/>
      <c r="O16" s="534"/>
      <c r="P16" s="533"/>
      <c r="Q16" s="261"/>
      <c r="R16" s="261"/>
      <c r="S16" s="509"/>
      <c r="T16" s="32"/>
      <c r="U16" s="32"/>
    </row>
    <row r="17" spans="1:21" s="207" customFormat="1" ht="12.75" customHeight="1">
      <c r="A17" s="208">
        <f t="shared" si="0"/>
        <v>13</v>
      </c>
      <c r="B17" s="102" t="s">
        <v>215</v>
      </c>
      <c r="C17" s="103">
        <v>35587</v>
      </c>
      <c r="D17" s="103">
        <v>46539</v>
      </c>
      <c r="E17" s="103">
        <v>38504</v>
      </c>
      <c r="F17" s="103"/>
      <c r="G17" s="103"/>
      <c r="H17" s="260">
        <v>46539</v>
      </c>
      <c r="I17" s="261">
        <v>229804.2</v>
      </c>
      <c r="J17" s="104">
        <v>18900193</v>
      </c>
      <c r="K17" s="541"/>
      <c r="L17" s="429"/>
      <c r="M17" s="533"/>
      <c r="N17" s="533"/>
      <c r="O17" s="534"/>
      <c r="P17" s="533"/>
      <c r="Q17" s="261"/>
      <c r="R17" s="261"/>
      <c r="S17" s="509"/>
      <c r="T17" s="32"/>
      <c r="U17" s="32"/>
    </row>
    <row r="18" spans="1:21" s="207" customFormat="1" ht="12.75" customHeight="1">
      <c r="A18" s="208">
        <f t="shared" si="0"/>
        <v>14</v>
      </c>
      <c r="B18" s="262" t="s">
        <v>216</v>
      </c>
      <c r="C18" s="103">
        <v>33457</v>
      </c>
      <c r="D18" s="103">
        <f>DATE(2021,8,1)</f>
        <v>44409</v>
      </c>
      <c r="E18" s="263">
        <v>37691</v>
      </c>
      <c r="F18" s="263" t="s">
        <v>217</v>
      </c>
      <c r="G18" s="263">
        <v>37691</v>
      </c>
      <c r="H18" s="260">
        <v>47908</v>
      </c>
      <c r="I18" s="261">
        <v>45480.480000000003</v>
      </c>
      <c r="J18" s="104">
        <v>18900253</v>
      </c>
      <c r="K18" s="541"/>
      <c r="L18" s="429"/>
      <c r="M18" s="533"/>
      <c r="N18" s="533"/>
      <c r="O18" s="534"/>
      <c r="P18" s="533"/>
      <c r="Q18" s="261"/>
      <c r="R18" s="261"/>
      <c r="S18" s="509"/>
      <c r="T18" s="32"/>
      <c r="U18" s="32"/>
    </row>
    <row r="19" spans="1:21" s="207" customFormat="1" ht="12.75" customHeight="1">
      <c r="A19" s="208">
        <f t="shared" si="0"/>
        <v>15</v>
      </c>
      <c r="B19" s="262" t="s">
        <v>218</v>
      </c>
      <c r="C19" s="103">
        <v>33457</v>
      </c>
      <c r="D19" s="103">
        <f>DATE(2021,8,1)</f>
        <v>44409</v>
      </c>
      <c r="E19" s="263">
        <v>37691</v>
      </c>
      <c r="F19" s="263" t="s">
        <v>217</v>
      </c>
      <c r="G19" s="263">
        <v>37691</v>
      </c>
      <c r="H19" s="260">
        <v>47908</v>
      </c>
      <c r="I19" s="261">
        <v>34561.440000000002</v>
      </c>
      <c r="J19" s="104">
        <v>18900263</v>
      </c>
      <c r="K19" s="541"/>
      <c r="L19" s="429"/>
      <c r="M19" s="533"/>
      <c r="N19" s="533"/>
      <c r="O19" s="534"/>
      <c r="P19" s="533"/>
      <c r="Q19" s="261"/>
      <c r="R19" s="261"/>
      <c r="S19" s="509"/>
      <c r="T19" s="32"/>
      <c r="U19" s="32"/>
    </row>
    <row r="20" spans="1:21" s="207" customFormat="1" ht="12.75" customHeight="1">
      <c r="A20" s="208">
        <f t="shared" si="0"/>
        <v>16</v>
      </c>
      <c r="B20" s="262" t="s">
        <v>219</v>
      </c>
      <c r="C20" s="103">
        <v>33664</v>
      </c>
      <c r="D20" s="103">
        <f>DATE(2022,3,1)</f>
        <v>44621</v>
      </c>
      <c r="E20" s="263">
        <v>37691</v>
      </c>
      <c r="F20" s="263" t="s">
        <v>217</v>
      </c>
      <c r="G20" s="263">
        <v>37691</v>
      </c>
      <c r="H20" s="260">
        <v>47908</v>
      </c>
      <c r="I20" s="261">
        <v>105825.48</v>
      </c>
      <c r="J20" s="104">
        <v>18900273</v>
      </c>
      <c r="K20" s="541"/>
      <c r="L20" s="429"/>
      <c r="M20" s="533"/>
      <c r="N20" s="533"/>
      <c r="O20" s="534"/>
      <c r="P20" s="533"/>
      <c r="Q20" s="261"/>
      <c r="R20" s="261"/>
      <c r="S20" s="509"/>
      <c r="T20" s="32"/>
      <c r="U20" s="32"/>
    </row>
    <row r="21" spans="1:21" s="207" customFormat="1" ht="12.75" customHeight="1">
      <c r="A21" s="208">
        <f t="shared" si="0"/>
        <v>17</v>
      </c>
      <c r="B21" s="262" t="s">
        <v>220</v>
      </c>
      <c r="C21" s="103">
        <v>33664</v>
      </c>
      <c r="D21" s="103">
        <f>DATE(2022,3,1)</f>
        <v>44621</v>
      </c>
      <c r="E21" s="263">
        <v>37691</v>
      </c>
      <c r="F21" s="263" t="s">
        <v>217</v>
      </c>
      <c r="G21" s="263">
        <v>37691</v>
      </c>
      <c r="H21" s="260">
        <v>47908</v>
      </c>
      <c r="I21" s="261">
        <v>32297.759999999998</v>
      </c>
      <c r="J21" s="104">
        <v>18900283</v>
      </c>
      <c r="K21" s="541"/>
      <c r="L21" s="429"/>
      <c r="M21" s="533"/>
      <c r="N21" s="533"/>
      <c r="O21" s="534"/>
      <c r="P21" s="533"/>
      <c r="Q21" s="261"/>
      <c r="R21" s="261"/>
    </row>
    <row r="22" spans="1:21" s="207" customFormat="1" ht="12.75" customHeight="1">
      <c r="A22" s="208">
        <f t="shared" si="0"/>
        <v>18</v>
      </c>
      <c r="B22" s="262" t="s">
        <v>221</v>
      </c>
      <c r="C22" s="103">
        <v>37691</v>
      </c>
      <c r="D22" s="103">
        <v>47908</v>
      </c>
      <c r="E22" s="263">
        <v>41449</v>
      </c>
      <c r="F22" s="263" t="s">
        <v>222</v>
      </c>
      <c r="G22" s="263">
        <v>41417</v>
      </c>
      <c r="H22" s="260">
        <v>47908</v>
      </c>
      <c r="I22" s="261">
        <v>299128.68</v>
      </c>
      <c r="J22" s="104">
        <v>18900433</v>
      </c>
      <c r="K22" s="541"/>
      <c r="L22" s="429"/>
      <c r="M22" s="533"/>
      <c r="N22" s="533"/>
      <c r="O22" s="534"/>
      <c r="P22" s="533"/>
      <c r="Q22" s="261"/>
      <c r="R22" s="261"/>
    </row>
    <row r="23" spans="1:21" s="207" customFormat="1" ht="12.75" customHeight="1">
      <c r="A23" s="208">
        <f t="shared" si="0"/>
        <v>19</v>
      </c>
      <c r="B23" s="262" t="s">
        <v>221</v>
      </c>
      <c r="C23" s="103">
        <v>37691</v>
      </c>
      <c r="D23" s="103">
        <v>47908</v>
      </c>
      <c r="E23" s="263">
        <v>41449</v>
      </c>
      <c r="F23" s="263" t="s">
        <v>222</v>
      </c>
      <c r="G23" s="263">
        <v>41417</v>
      </c>
      <c r="H23" s="260">
        <v>47908</v>
      </c>
      <c r="I23" s="261">
        <v>50553.24</v>
      </c>
      <c r="J23" s="104">
        <v>18900533</v>
      </c>
      <c r="K23" s="541"/>
      <c r="L23" s="429"/>
      <c r="M23" s="533"/>
      <c r="N23" s="533"/>
      <c r="O23" s="534"/>
      <c r="P23" s="533"/>
      <c r="Q23" s="261"/>
      <c r="R23" s="261"/>
    </row>
    <row r="24" spans="1:21" s="207" customFormat="1" ht="12.75" customHeight="1">
      <c r="A24" s="208">
        <f>A23+1</f>
        <v>20</v>
      </c>
      <c r="B24" s="102" t="s">
        <v>223</v>
      </c>
      <c r="C24" s="103">
        <v>38183</v>
      </c>
      <c r="D24" s="103">
        <v>38913</v>
      </c>
      <c r="E24" s="103">
        <v>38499</v>
      </c>
      <c r="F24" s="103" t="s">
        <v>224</v>
      </c>
      <c r="G24" s="103">
        <v>38499</v>
      </c>
      <c r="H24" s="260">
        <v>49456</v>
      </c>
      <c r="I24" s="261">
        <f>17086.56</f>
        <v>17086.560000000001</v>
      </c>
      <c r="J24" s="104">
        <v>18900183</v>
      </c>
      <c r="K24" s="541"/>
      <c r="L24" s="429"/>
      <c r="M24" s="533"/>
      <c r="N24" s="533"/>
      <c r="O24" s="534"/>
      <c r="P24" s="533"/>
      <c r="Q24" s="261"/>
      <c r="R24" s="261"/>
    </row>
    <row r="25" spans="1:21" s="207" customFormat="1" ht="12.75" customHeight="1">
      <c r="A25" s="208">
        <f t="shared" si="0"/>
        <v>21</v>
      </c>
      <c r="B25" s="102" t="s">
        <v>225</v>
      </c>
      <c r="C25" s="103">
        <v>37035</v>
      </c>
      <c r="D25" s="103">
        <v>51682</v>
      </c>
      <c r="E25" s="103">
        <v>38898</v>
      </c>
      <c r="F25" s="103" t="s">
        <v>226</v>
      </c>
      <c r="G25" s="103">
        <v>38898</v>
      </c>
      <c r="H25" s="260">
        <v>49841</v>
      </c>
      <c r="I25" s="261">
        <f>(16418.45*12)</f>
        <v>197021.40000000002</v>
      </c>
      <c r="J25" s="104">
        <v>18900373</v>
      </c>
      <c r="K25" s="541"/>
      <c r="L25" s="429"/>
      <c r="M25" s="533"/>
      <c r="N25" s="533"/>
      <c r="O25" s="534"/>
      <c r="P25" s="533"/>
      <c r="Q25" s="261"/>
      <c r="R25" s="261"/>
    </row>
    <row r="26" spans="1:21" s="207" customFormat="1" ht="12.75" customHeight="1">
      <c r="A26" s="208">
        <f t="shared" si="0"/>
        <v>22</v>
      </c>
      <c r="B26" s="102" t="s">
        <v>227</v>
      </c>
      <c r="C26" s="103">
        <v>33117</v>
      </c>
      <c r="D26" s="103">
        <v>44075</v>
      </c>
      <c r="E26" s="103">
        <v>40900</v>
      </c>
      <c r="F26" s="103" t="s">
        <v>228</v>
      </c>
      <c r="G26" s="103">
        <v>40869</v>
      </c>
      <c r="H26" s="260">
        <v>55472</v>
      </c>
      <c r="I26" s="261">
        <v>400518.84</v>
      </c>
      <c r="J26" s="104">
        <v>18900393</v>
      </c>
      <c r="K26" s="541"/>
      <c r="L26" s="429"/>
      <c r="M26" s="534"/>
      <c r="N26" s="534"/>
      <c r="O26" s="534"/>
      <c r="P26" s="534"/>
      <c r="Q26" s="261"/>
      <c r="R26" s="261"/>
    </row>
    <row r="27" spans="1:21" s="207" customFormat="1" ht="12.75" customHeight="1">
      <c r="A27" s="208">
        <f t="shared" si="0"/>
        <v>23</v>
      </c>
      <c r="B27" s="102" t="s">
        <v>229</v>
      </c>
      <c r="C27" s="103">
        <v>38637</v>
      </c>
      <c r="D27" s="103">
        <v>42278</v>
      </c>
      <c r="E27" s="103">
        <v>42160</v>
      </c>
      <c r="F27" s="103" t="s">
        <v>230</v>
      </c>
      <c r="G27" s="103">
        <v>42150</v>
      </c>
      <c r="H27" s="260">
        <v>53102</v>
      </c>
      <c r="I27" s="261">
        <v>82302.48</v>
      </c>
      <c r="J27" s="104">
        <v>18900203</v>
      </c>
      <c r="K27" s="541"/>
      <c r="L27" s="429"/>
      <c r="M27" s="534"/>
      <c r="N27" s="534"/>
      <c r="O27" s="534"/>
      <c r="P27" s="534"/>
      <c r="Q27" s="261"/>
      <c r="R27" s="261"/>
    </row>
    <row r="28" spans="1:21" s="207" customFormat="1" ht="12.75" customHeight="1">
      <c r="A28" s="208">
        <f t="shared" si="0"/>
        <v>24</v>
      </c>
      <c r="B28" s="102" t="s">
        <v>231</v>
      </c>
      <c r="C28" s="103">
        <v>39836</v>
      </c>
      <c r="D28" s="103">
        <v>42384</v>
      </c>
      <c r="E28" s="103">
        <v>42160</v>
      </c>
      <c r="F28" s="103" t="s">
        <v>230</v>
      </c>
      <c r="G28" s="103">
        <v>42150</v>
      </c>
      <c r="H28" s="260">
        <v>53102</v>
      </c>
      <c r="I28" s="261">
        <v>316649.76</v>
      </c>
      <c r="J28" s="104">
        <v>18900213</v>
      </c>
      <c r="K28" s="541"/>
      <c r="L28" s="429"/>
      <c r="M28" s="534"/>
      <c r="N28" s="534"/>
      <c r="O28" s="534"/>
      <c r="P28" s="534"/>
      <c r="Q28" s="261"/>
      <c r="R28" s="261"/>
    </row>
    <row r="29" spans="1:21" s="207" customFormat="1" ht="12.75" customHeight="1">
      <c r="A29" s="208">
        <f t="shared" si="0"/>
        <v>25</v>
      </c>
      <c r="B29" s="102" t="s">
        <v>72</v>
      </c>
      <c r="C29" s="103">
        <v>39237</v>
      </c>
      <c r="D29" s="103">
        <v>24624</v>
      </c>
      <c r="E29" s="103">
        <v>43217</v>
      </c>
      <c r="F29" s="103"/>
      <c r="G29" s="103"/>
      <c r="H29" s="260">
        <v>61149</v>
      </c>
      <c r="I29" s="261">
        <v>100652.64</v>
      </c>
      <c r="J29" s="104">
        <v>18900233</v>
      </c>
      <c r="K29" s="541"/>
      <c r="L29" s="429"/>
      <c r="M29" s="534"/>
      <c r="N29" s="534"/>
      <c r="O29" s="534"/>
      <c r="P29" s="534"/>
      <c r="Q29" s="261"/>
      <c r="R29" s="261"/>
    </row>
    <row r="30" spans="1:21" s="207" customFormat="1" ht="12.75" customHeight="1">
      <c r="A30" s="208">
        <v>26</v>
      </c>
      <c r="B30" s="102"/>
      <c r="C30" s="103"/>
      <c r="D30" s="103"/>
      <c r="E30" s="103"/>
      <c r="F30" s="103"/>
      <c r="G30" s="103"/>
      <c r="H30" s="260"/>
      <c r="I30" s="261"/>
      <c r="J30" s="104"/>
      <c r="K30" s="541"/>
      <c r="L30" s="429"/>
      <c r="M30" s="534"/>
      <c r="N30" s="534"/>
      <c r="O30" s="534"/>
      <c r="P30" s="534"/>
      <c r="Q30" s="261"/>
      <c r="R30" s="261"/>
    </row>
    <row r="31" spans="1:21" s="32" customFormat="1" ht="12.75" customHeight="1">
      <c r="A31" s="208">
        <f t="shared" si="0"/>
        <v>27</v>
      </c>
      <c r="B31" s="102"/>
      <c r="C31" s="103"/>
      <c r="D31" s="103"/>
      <c r="E31" s="103"/>
      <c r="F31" s="103"/>
      <c r="G31" s="103"/>
      <c r="H31" s="260"/>
      <c r="I31" s="264"/>
      <c r="J31" s="104"/>
      <c r="K31" s="207"/>
    </row>
    <row r="32" spans="1:21" s="32" customFormat="1" ht="15" customHeight="1" thickBot="1">
      <c r="A32" s="208">
        <f t="shared" si="0"/>
        <v>28</v>
      </c>
      <c r="B32" s="100" t="s">
        <v>232</v>
      </c>
      <c r="C32" s="105"/>
      <c r="D32" s="105"/>
      <c r="E32" s="105"/>
      <c r="F32" s="105"/>
      <c r="G32" s="105"/>
      <c r="H32" s="105"/>
      <c r="I32" s="265">
        <f>SUM(I8:I31)</f>
        <v>2091418.9200000002</v>
      </c>
      <c r="J32" s="107"/>
      <c r="K32" s="207"/>
    </row>
    <row r="33" spans="1:11" s="32" customFormat="1" ht="12.75" customHeight="1" thickTop="1">
      <c r="A33" s="208">
        <f t="shared" si="0"/>
        <v>29</v>
      </c>
      <c r="B33" s="108"/>
      <c r="C33" s="109"/>
      <c r="D33" s="109"/>
      <c r="E33" s="109"/>
      <c r="F33" s="109"/>
      <c r="G33" s="109"/>
      <c r="H33" s="109"/>
      <c r="I33" s="65"/>
      <c r="J33" s="106"/>
      <c r="K33" s="207"/>
    </row>
    <row r="34" spans="1:11" s="32" customFormat="1" ht="12.75" customHeight="1">
      <c r="A34" s="208">
        <f t="shared" si="0"/>
        <v>30</v>
      </c>
      <c r="B34" s="108" t="s">
        <v>120</v>
      </c>
      <c r="C34" s="109"/>
      <c r="D34" s="109"/>
      <c r="E34" s="109"/>
      <c r="F34" s="109"/>
      <c r="G34" s="109"/>
      <c r="H34" s="109"/>
      <c r="I34" s="261">
        <f>'Cost of Capital'!C30</f>
        <v>9730930239</v>
      </c>
      <c r="J34" s="106"/>
      <c r="K34" s="207"/>
    </row>
    <row r="35" spans="1:11" s="32" customFormat="1" ht="12.75" customHeight="1">
      <c r="A35" s="208">
        <v>27</v>
      </c>
      <c r="B35" s="108"/>
      <c r="C35" s="109"/>
      <c r="D35" s="109"/>
      <c r="E35" s="109"/>
      <c r="F35" s="109"/>
      <c r="G35" s="109"/>
      <c r="H35" s="109"/>
      <c r="I35" s="65"/>
      <c r="J35" s="106"/>
      <c r="K35" s="207"/>
    </row>
    <row r="36" spans="1:11" s="32" customFormat="1" ht="12.75" customHeight="1">
      <c r="A36" s="208">
        <f t="shared" si="0"/>
        <v>28</v>
      </c>
      <c r="B36" s="108" t="s">
        <v>233</v>
      </c>
      <c r="C36" s="109"/>
      <c r="D36" s="109"/>
      <c r="E36" s="109"/>
      <c r="F36" s="109"/>
      <c r="G36" s="109"/>
      <c r="H36" s="109"/>
      <c r="I36" s="503">
        <f>ROUND(I32/I34,4)</f>
        <v>2.0000000000000001E-4</v>
      </c>
      <c r="J36" s="517"/>
      <c r="K36" s="207"/>
    </row>
    <row r="37" spans="1:11" s="32" customFormat="1" ht="12.75" customHeight="1">
      <c r="A37" s="208">
        <f t="shared" si="0"/>
        <v>29</v>
      </c>
      <c r="B37" s="108"/>
      <c r="C37" s="109"/>
      <c r="D37" s="109"/>
      <c r="E37" s="109"/>
      <c r="F37" s="109"/>
      <c r="G37" s="109"/>
      <c r="H37" s="109"/>
      <c r="I37" s="65"/>
      <c r="J37" s="106"/>
      <c r="K37" s="207"/>
    </row>
    <row r="38" spans="1:11" s="32" customFormat="1" ht="12.75" customHeight="1">
      <c r="A38" s="208">
        <f t="shared" si="0"/>
        <v>30</v>
      </c>
      <c r="C38" s="58"/>
      <c r="D38" s="58"/>
      <c r="E38" s="58"/>
      <c r="F38" s="58"/>
      <c r="G38" s="58"/>
      <c r="H38" s="134"/>
      <c r="I38" s="65"/>
      <c r="J38" s="106"/>
      <c r="K38" s="207"/>
    </row>
    <row r="39" spans="1:11" s="32" customFormat="1" ht="12.75" customHeight="1">
      <c r="A39" s="208">
        <f t="shared" si="0"/>
        <v>31</v>
      </c>
      <c r="B39" s="206"/>
      <c r="C39" s="207"/>
      <c r="D39" s="207"/>
      <c r="E39" s="207"/>
      <c r="F39" s="207"/>
      <c r="H39" s="33"/>
      <c r="I39" s="65"/>
      <c r="K39" s="207"/>
    </row>
    <row r="40" spans="1:11" s="32" customFormat="1" ht="12.75" customHeight="1">
      <c r="A40" s="208">
        <v>28</v>
      </c>
      <c r="B40" s="58" t="s">
        <v>234</v>
      </c>
      <c r="H40" s="33"/>
      <c r="I40" s="65"/>
      <c r="J40" s="104"/>
      <c r="K40" s="207"/>
    </row>
    <row r="41" spans="1:11" s="32" customFormat="1" ht="12.75" customHeight="1">
      <c r="A41" s="208">
        <f t="shared" si="0"/>
        <v>29</v>
      </c>
      <c r="B41" s="235" t="s">
        <v>235</v>
      </c>
      <c r="H41" s="33"/>
      <c r="I41" s="33"/>
      <c r="K41" s="207"/>
    </row>
    <row r="42" spans="1:11" s="32" customFormat="1" ht="12.75" customHeight="1">
      <c r="A42" s="209"/>
      <c r="H42" s="33"/>
      <c r="I42" s="33"/>
      <c r="K42" s="207"/>
    </row>
    <row r="43" spans="1:11" s="32" customFormat="1" ht="12.75" customHeight="1">
      <c r="H43" s="33"/>
      <c r="I43" s="33"/>
      <c r="K43" s="207"/>
    </row>
    <row r="44" spans="1:11" s="32" customFormat="1" ht="12.75" customHeight="1">
      <c r="H44" s="33"/>
      <c r="I44" s="196"/>
      <c r="K44" s="207"/>
    </row>
    <row r="45" spans="1:11" s="32" customFormat="1" ht="12.75" customHeight="1">
      <c r="H45" s="33"/>
      <c r="I45" s="33"/>
      <c r="K45" s="207"/>
    </row>
    <row r="46" spans="1:11" s="32" customFormat="1" ht="12.75" customHeight="1">
      <c r="H46" s="33"/>
      <c r="I46" s="33"/>
      <c r="K46" s="207"/>
    </row>
    <row r="47" spans="1:11" s="32" customFormat="1" ht="12.75" customHeight="1">
      <c r="H47" s="33"/>
      <c r="I47" s="33"/>
      <c r="K47" s="207"/>
    </row>
    <row r="48" spans="1:11" s="32" customFormat="1" ht="12.75" customHeight="1">
      <c r="H48" s="33"/>
      <c r="I48" s="33"/>
      <c r="K48" s="207"/>
    </row>
    <row r="49" spans="8:11" s="32" customFormat="1" ht="12.75" customHeight="1">
      <c r="H49" s="33"/>
      <c r="I49" s="33"/>
      <c r="K49" s="207"/>
    </row>
    <row r="50" spans="8:11" s="32" customFormat="1" ht="12.75" customHeight="1">
      <c r="H50" s="33"/>
      <c r="I50" s="33"/>
      <c r="K50" s="207"/>
    </row>
    <row r="51" spans="8:11" s="32" customFormat="1" ht="12.75" customHeight="1">
      <c r="H51" s="33"/>
      <c r="I51" s="33"/>
      <c r="K51" s="207"/>
    </row>
    <row r="52" spans="8:11" s="32" customFormat="1" ht="12.75" customHeight="1">
      <c r="H52" s="33"/>
      <c r="I52" s="33"/>
      <c r="K52" s="207"/>
    </row>
    <row r="53" spans="8:11" s="32" customFormat="1" ht="12.75" customHeight="1">
      <c r="K53" s="207"/>
    </row>
    <row r="54" spans="8:11" s="32" customFormat="1" ht="12.75" customHeight="1">
      <c r="K54" s="207"/>
    </row>
    <row r="55" spans="8:11" s="32" customFormat="1" ht="12.75" customHeight="1">
      <c r="K55" s="207"/>
    </row>
    <row r="56" spans="8:11" s="32" customFormat="1" ht="12.75" customHeight="1">
      <c r="K56" s="207"/>
    </row>
    <row r="57" spans="8:11" s="32" customFormat="1" ht="12.75" customHeight="1">
      <c r="K57" s="207"/>
    </row>
    <row r="58" spans="8:11" s="32" customFormat="1" ht="12.75" customHeight="1">
      <c r="K58" s="207"/>
    </row>
    <row r="59" spans="8:11" s="32" customFormat="1" ht="12.75" customHeight="1">
      <c r="K59" s="207"/>
    </row>
    <row r="60" spans="8:11" s="32" customFormat="1" ht="15.6">
      <c r="K60" s="207"/>
    </row>
    <row r="61" spans="8:11" s="32" customFormat="1" ht="15.6">
      <c r="K61" s="207"/>
    </row>
    <row r="62" spans="8:11" s="32" customFormat="1" ht="15.6">
      <c r="K62" s="207"/>
    </row>
    <row r="63" spans="8:11" s="32" customFormat="1" ht="15.6">
      <c r="K63" s="207"/>
    </row>
    <row r="64" spans="8:11" s="32" customFormat="1" ht="15.6">
      <c r="K64" s="207"/>
    </row>
    <row r="65" spans="11:11" s="32" customFormat="1" ht="15.6">
      <c r="K65" s="207"/>
    </row>
    <row r="66" spans="11:11" s="32" customFormat="1" ht="15.6">
      <c r="K66" s="207"/>
    </row>
    <row r="67" spans="11:11" s="32" customFormat="1" ht="15.6">
      <c r="K67" s="207"/>
    </row>
    <row r="68" spans="11:11" s="32" customFormat="1" ht="15.6">
      <c r="K68" s="207"/>
    </row>
    <row r="69" spans="11:11" s="32" customFormat="1" ht="15.6">
      <c r="K69" s="207"/>
    </row>
    <row r="70" spans="11:11" s="32" customFormat="1" ht="15.6">
      <c r="K70" s="207"/>
    </row>
    <row r="71" spans="11:11" s="32" customFormat="1" ht="15.6">
      <c r="K71" s="207"/>
    </row>
    <row r="72" spans="11:11" s="32" customFormat="1" ht="15.6">
      <c r="K72" s="207"/>
    </row>
    <row r="73" spans="11:11" s="32" customFormat="1" ht="15.6">
      <c r="K73" s="207"/>
    </row>
    <row r="74" spans="11:11" s="32" customFormat="1" ht="15.6">
      <c r="K74" s="207"/>
    </row>
    <row r="75" spans="11:11" s="32" customFormat="1" ht="15.6">
      <c r="K75" s="207"/>
    </row>
    <row r="76" spans="11:11" s="32" customFormat="1" ht="15.6">
      <c r="K76" s="207"/>
    </row>
    <row r="77" spans="11:11" s="32" customFormat="1" ht="15.6">
      <c r="K77" s="207"/>
    </row>
    <row r="78" spans="11:11" s="32" customFormat="1" ht="15.6">
      <c r="K78" s="207"/>
    </row>
    <row r="79" spans="11:11" s="32" customFormat="1" ht="15.6">
      <c r="K79" s="207"/>
    </row>
    <row r="80" spans="11:11" s="32" customFormat="1" ht="15.6">
      <c r="K80" s="207"/>
    </row>
    <row r="81" spans="11:11" s="32" customFormat="1" ht="15.6">
      <c r="K81" s="207"/>
    </row>
    <row r="82" spans="11:11" s="32" customFormat="1" ht="15.6">
      <c r="K82" s="207"/>
    </row>
    <row r="83" spans="11:11" s="32" customFormat="1" ht="15.6">
      <c r="K83" s="207"/>
    </row>
    <row r="84" spans="11:11" s="32" customFormat="1" ht="15.6">
      <c r="K84" s="207"/>
    </row>
  </sheetData>
  <mergeCells count="1">
    <mergeCell ref="B3:D3"/>
  </mergeCells>
  <phoneticPr fontId="25" type="noConversion"/>
  <printOptions horizontalCentered="1"/>
  <pageMargins left="0.2" right="0.2" top="0.75" bottom="0.4" header="0.36" footer="0.17"/>
  <pageSetup scale="93" orientation="landscape" r:id="rId1"/>
  <headerFooter alignWithMargins="0">
    <oddFooter>&amp;C&amp;A&amp;R&amp;7&amp;F</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61"/>
  <sheetViews>
    <sheetView workbookViewId="0">
      <selection activeCell="M8" sqref="M8"/>
    </sheetView>
  </sheetViews>
  <sheetFormatPr defaultColWidth="8.85546875" defaultRowHeight="13.2" outlineLevelCol="1"/>
  <cols>
    <col min="1" max="1" width="5.7109375" style="25" bestFit="1"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0" width="10.42578125" style="23" customWidth="1"/>
    <col min="11" max="14" width="9.140625" style="23" customWidth="1"/>
    <col min="15" max="15" width="9.85546875" style="23" customWidth="1"/>
    <col min="16" max="16" width="9.140625" style="23" customWidth="1"/>
    <col min="17" max="17" width="9.85546875" style="23" customWidth="1"/>
    <col min="18" max="22" width="8.85546875" style="23" customWidth="1"/>
    <col min="23" max="24" width="6" style="23" customWidth="1"/>
    <col min="25" max="25" width="8.85546875" style="23" customWidth="1" outlineLevel="1"/>
    <col min="26" max="26" width="10.85546875" style="23" customWidth="1" outlineLevel="1"/>
    <col min="27" max="27" width="8.85546875" style="23" customWidth="1" outlineLevel="1"/>
    <col min="28" max="16384" width="8.85546875" style="23"/>
  </cols>
  <sheetData>
    <row r="1" spans="1:26" ht="12.75" customHeight="1">
      <c r="A1" s="205" t="s">
        <v>158</v>
      </c>
      <c r="B1" s="140"/>
      <c r="C1" s="140"/>
      <c r="D1" s="139"/>
      <c r="E1" s="141"/>
      <c r="F1" s="139"/>
      <c r="G1" s="140"/>
      <c r="H1" s="140"/>
      <c r="I1" s="140"/>
    </row>
    <row r="2" spans="1:26" s="57" customFormat="1" ht="12.75" customHeight="1">
      <c r="A2" s="237" t="e">
        <f>#REF!</f>
        <v>#REF!</v>
      </c>
      <c r="B2" s="142"/>
      <c r="C2" s="142"/>
      <c r="D2" s="142"/>
      <c r="E2" s="143"/>
      <c r="F2" s="142"/>
      <c r="G2" s="144"/>
      <c r="H2" s="143"/>
      <c r="I2" s="142"/>
      <c r="J2" s="170"/>
      <c r="K2" s="170"/>
      <c r="L2" s="170"/>
      <c r="M2" s="170"/>
      <c r="N2" s="170"/>
      <c r="O2" s="170"/>
      <c r="P2" s="170"/>
      <c r="Q2" s="170"/>
      <c r="R2" s="170"/>
      <c r="S2" s="170"/>
      <c r="T2" s="170"/>
      <c r="U2" s="170"/>
      <c r="V2" s="170"/>
    </row>
    <row r="3" spans="1:26" s="57" customFormat="1" ht="12.75" customHeight="1">
      <c r="A3" s="237"/>
      <c r="B3" s="142"/>
      <c r="C3" s="142"/>
      <c r="D3" s="142"/>
      <c r="E3" s="143"/>
      <c r="F3" s="142"/>
      <c r="G3" s="144"/>
      <c r="H3" s="143"/>
      <c r="I3" s="142"/>
      <c r="J3" s="170"/>
      <c r="K3" s="170"/>
      <c r="L3" s="170"/>
      <c r="M3" s="170"/>
      <c r="N3" s="170"/>
      <c r="O3" s="170"/>
      <c r="P3" s="170"/>
      <c r="Q3" s="170"/>
      <c r="R3" s="170"/>
      <c r="S3" s="170"/>
      <c r="T3" s="170"/>
      <c r="U3" s="170"/>
      <c r="V3" s="170"/>
    </row>
    <row r="4" spans="1:26" ht="11.1" customHeight="1">
      <c r="A4" s="156" t="s">
        <v>31</v>
      </c>
      <c r="B4" s="156" t="s">
        <v>32</v>
      </c>
      <c r="C4" s="156" t="s">
        <v>33</v>
      </c>
      <c r="D4" s="156" t="s">
        <v>34</v>
      </c>
      <c r="E4" s="156" t="s">
        <v>35</v>
      </c>
      <c r="F4" s="156" t="s">
        <v>55</v>
      </c>
      <c r="G4" s="156" t="s">
        <v>56</v>
      </c>
      <c r="H4" s="156" t="s">
        <v>57</v>
      </c>
      <c r="I4" s="156" t="s">
        <v>58</v>
      </c>
      <c r="J4" s="156" t="s">
        <v>59</v>
      </c>
      <c r="K4" s="156" t="s">
        <v>60</v>
      </c>
      <c r="L4" s="156" t="s">
        <v>61</v>
      </c>
      <c r="M4" s="156" t="s">
        <v>62</v>
      </c>
      <c r="N4" s="156" t="s">
        <v>63</v>
      </c>
      <c r="O4" s="156" t="s">
        <v>64</v>
      </c>
      <c r="P4" s="156" t="s">
        <v>159</v>
      </c>
      <c r="Q4" s="156" t="s">
        <v>160</v>
      </c>
      <c r="R4" s="156" t="s">
        <v>161</v>
      </c>
      <c r="S4" s="156" t="s">
        <v>162</v>
      </c>
      <c r="T4" s="156" t="s">
        <v>163</v>
      </c>
      <c r="U4" s="156" t="s">
        <v>164</v>
      </c>
      <c r="V4" s="156" t="s">
        <v>165</v>
      </c>
      <c r="Y4" s="413" t="s">
        <v>166</v>
      </c>
    </row>
    <row r="5" spans="1:26" ht="21">
      <c r="A5" s="315">
        <v>1</v>
      </c>
      <c r="B5" s="316" t="s">
        <v>167</v>
      </c>
      <c r="C5" s="316" t="s">
        <v>168</v>
      </c>
      <c r="D5" s="316" t="s">
        <v>169</v>
      </c>
      <c r="E5" s="316" t="s">
        <v>170</v>
      </c>
      <c r="F5" s="316" t="s">
        <v>171</v>
      </c>
      <c r="G5" s="316" t="s">
        <v>236</v>
      </c>
      <c r="H5" s="316" t="s">
        <v>237</v>
      </c>
      <c r="I5" s="316" t="s">
        <v>174</v>
      </c>
      <c r="J5" s="317" t="e">
        <f>'Pg 2 CapStructure'!#REF!</f>
        <v>#REF!</v>
      </c>
      <c r="K5" s="317" t="e">
        <f>'Pg 2 CapStructure'!#REF!</f>
        <v>#REF!</v>
      </c>
      <c r="L5" s="317" t="e">
        <f>'Pg 2 CapStructure'!#REF!</f>
        <v>#REF!</v>
      </c>
      <c r="M5" s="317">
        <f>'Pg 2 CapStructure'!C6</f>
        <v>44742</v>
      </c>
      <c r="N5" s="317">
        <f>'Pg 2 CapStructure'!D6</f>
        <v>44773</v>
      </c>
      <c r="O5" s="317">
        <f>'Pg 2 CapStructure'!E6</f>
        <v>44804</v>
      </c>
      <c r="P5" s="317">
        <f>'Pg 2 CapStructure'!F6</f>
        <v>44834</v>
      </c>
      <c r="Q5" s="317">
        <f>'Pg 2 CapStructure'!G6</f>
        <v>44865</v>
      </c>
      <c r="R5" s="317">
        <f>'Pg 2 CapStructure'!H6</f>
        <v>44895</v>
      </c>
      <c r="S5" s="317">
        <f>'Pg 2 CapStructure'!I6</f>
        <v>44926</v>
      </c>
      <c r="T5" s="317">
        <f>'Pg 2 CapStructure'!J6</f>
        <v>44957</v>
      </c>
      <c r="U5" s="317">
        <f>'Pg 2 CapStructure'!K6</f>
        <v>44985</v>
      </c>
      <c r="V5" s="317">
        <f>'Pg 2 CapStructure'!L6</f>
        <v>45016</v>
      </c>
      <c r="Y5" s="414" t="s">
        <v>93</v>
      </c>
      <c r="Z5" s="414" t="s">
        <v>175</v>
      </c>
    </row>
    <row r="6" spans="1:26">
      <c r="A6" s="119">
        <v>2</v>
      </c>
      <c r="B6" s="123" t="s">
        <v>176</v>
      </c>
      <c r="C6" s="246">
        <v>7.3499999999999996E-2</v>
      </c>
      <c r="D6" s="247">
        <v>34953</v>
      </c>
      <c r="E6" s="247">
        <v>42258</v>
      </c>
      <c r="F6" s="241">
        <f t="shared" ref="F6:F27" si="0">ROUND(((+J6+V6)+(SUM(K6:U6)*2))/24,0)</f>
        <v>7083333</v>
      </c>
      <c r="G6" s="248">
        <v>100</v>
      </c>
      <c r="H6" s="157">
        <f t="shared" ref="H6:H27" si="1">ROUND(YIELD(D6,E6,C6,G6,100,2,2),4)</f>
        <v>7.3499999999999996E-2</v>
      </c>
      <c r="I6" s="241">
        <f t="shared" ref="I6:I27" si="2">ROUND(+H6*F6,0)</f>
        <v>520625</v>
      </c>
      <c r="J6" s="241">
        <v>10000000</v>
      </c>
      <c r="K6" s="241">
        <v>10000000</v>
      </c>
      <c r="L6" s="241">
        <v>10000000</v>
      </c>
      <c r="M6" s="241">
        <v>10000000</v>
      </c>
      <c r="N6" s="241">
        <v>10000000</v>
      </c>
      <c r="O6" s="241">
        <v>10000000</v>
      </c>
      <c r="P6" s="241">
        <v>10000000</v>
      </c>
      <c r="Q6" s="241">
        <v>10000000</v>
      </c>
      <c r="R6" s="241">
        <v>10000000</v>
      </c>
      <c r="S6" s="241"/>
      <c r="T6" s="241"/>
      <c r="U6" s="241"/>
      <c r="V6" s="241"/>
      <c r="Y6" s="241">
        <f t="shared" ref="Y6:Y27" si="3">H6*V6</f>
        <v>0</v>
      </c>
    </row>
    <row r="7" spans="1:26" s="27" customFormat="1">
      <c r="A7" s="119">
        <f t="shared" ref="A7:A22" si="4">A6+1</f>
        <v>3</v>
      </c>
      <c r="B7" s="123" t="s">
        <v>176</v>
      </c>
      <c r="C7" s="246">
        <v>7.3599999999999999E-2</v>
      </c>
      <c r="D7" s="247">
        <v>34953</v>
      </c>
      <c r="E7" s="247">
        <v>42262</v>
      </c>
      <c r="F7" s="241">
        <f t="shared" si="0"/>
        <v>1416667</v>
      </c>
      <c r="G7" s="248">
        <v>100</v>
      </c>
      <c r="H7" s="157">
        <f t="shared" si="1"/>
        <v>7.3599999999999999E-2</v>
      </c>
      <c r="I7" s="241">
        <f t="shared" si="2"/>
        <v>104267</v>
      </c>
      <c r="J7" s="241">
        <v>2000000</v>
      </c>
      <c r="K7" s="241">
        <v>2000000</v>
      </c>
      <c r="L7" s="241">
        <v>2000000</v>
      </c>
      <c r="M7" s="241">
        <v>2000000</v>
      </c>
      <c r="N7" s="241">
        <v>2000000</v>
      </c>
      <c r="O7" s="241">
        <v>2000000</v>
      </c>
      <c r="P7" s="241">
        <v>2000000</v>
      </c>
      <c r="Q7" s="241">
        <v>2000000</v>
      </c>
      <c r="R7" s="241">
        <v>2000000</v>
      </c>
      <c r="S7" s="241"/>
      <c r="T7" s="241"/>
      <c r="U7" s="241"/>
      <c r="V7" s="241"/>
      <c r="Y7" s="241">
        <f t="shared" si="3"/>
        <v>0</v>
      </c>
      <c r="Z7" s="23"/>
    </row>
    <row r="8" spans="1:26" s="27" customFormat="1">
      <c r="A8" s="119">
        <f t="shared" si="4"/>
        <v>4</v>
      </c>
      <c r="B8" s="123" t="s">
        <v>180</v>
      </c>
      <c r="C8" s="246">
        <v>5.1970000000000002E-2</v>
      </c>
      <c r="D8" s="247">
        <v>38637</v>
      </c>
      <c r="E8" s="247">
        <v>42278</v>
      </c>
      <c r="F8" s="241">
        <f t="shared" si="0"/>
        <v>68750000</v>
      </c>
      <c r="G8" s="248">
        <v>100</v>
      </c>
      <c r="H8" s="157">
        <f t="shared" si="1"/>
        <v>5.1999999999999998E-2</v>
      </c>
      <c r="I8" s="241">
        <f>ROUND(+H8*F8,0)</f>
        <v>3575000</v>
      </c>
      <c r="J8" s="241">
        <v>150000000</v>
      </c>
      <c r="K8" s="241">
        <v>150000000</v>
      </c>
      <c r="L8" s="241">
        <v>150000000</v>
      </c>
      <c r="M8" s="241">
        <v>150000000</v>
      </c>
      <c r="N8" s="241">
        <v>150000000</v>
      </c>
      <c r="O8" s="241">
        <v>150000000</v>
      </c>
      <c r="P8" s="241"/>
      <c r="Q8" s="241"/>
      <c r="R8" s="241"/>
      <c r="S8" s="241"/>
      <c r="T8" s="241"/>
      <c r="U8" s="241"/>
      <c r="V8" s="241"/>
      <c r="Y8" s="241">
        <f t="shared" si="3"/>
        <v>0</v>
      </c>
      <c r="Z8" s="23"/>
    </row>
    <row r="9" spans="1:26" s="27" customFormat="1">
      <c r="A9" s="119">
        <f t="shared" si="4"/>
        <v>5</v>
      </c>
      <c r="B9" s="123" t="s">
        <v>180</v>
      </c>
      <c r="C9" s="246">
        <v>6.7500000000000004E-2</v>
      </c>
      <c r="D9" s="247">
        <v>39836</v>
      </c>
      <c r="E9" s="247">
        <v>42384</v>
      </c>
      <c r="F9" s="241">
        <f t="shared" si="0"/>
        <v>114583333</v>
      </c>
      <c r="G9" s="248">
        <v>100</v>
      </c>
      <c r="H9" s="157">
        <f t="shared" si="1"/>
        <v>6.7500000000000004E-2</v>
      </c>
      <c r="I9" s="241">
        <f>ROUND(+H9*F9,0)</f>
        <v>7734375</v>
      </c>
      <c r="J9" s="241">
        <v>250000000</v>
      </c>
      <c r="K9" s="241">
        <v>250000000</v>
      </c>
      <c r="L9" s="241">
        <v>250000000</v>
      </c>
      <c r="M9" s="241">
        <v>250000000</v>
      </c>
      <c r="N9" s="241">
        <v>250000000</v>
      </c>
      <c r="O9" s="241">
        <v>250000000</v>
      </c>
      <c r="P9" s="241"/>
      <c r="Q9" s="241"/>
      <c r="R9" s="241"/>
      <c r="S9" s="241"/>
      <c r="T9" s="241"/>
      <c r="U9" s="241"/>
      <c r="V9" s="241"/>
      <c r="Y9" s="241">
        <f t="shared" si="3"/>
        <v>0</v>
      </c>
      <c r="Z9" s="23"/>
    </row>
    <row r="10" spans="1:26" s="27" customFormat="1">
      <c r="A10" s="119">
        <f t="shared" si="4"/>
        <v>6</v>
      </c>
      <c r="B10" s="123" t="s">
        <v>177</v>
      </c>
      <c r="C10" s="246">
        <v>6.7400000000000002E-2</v>
      </c>
      <c r="D10" s="247">
        <v>35961</v>
      </c>
      <c r="E10" s="247">
        <v>43266</v>
      </c>
      <c r="F10" s="241">
        <f t="shared" si="0"/>
        <v>200000000</v>
      </c>
      <c r="G10" s="248">
        <v>100</v>
      </c>
      <c r="H10" s="157">
        <f t="shared" si="1"/>
        <v>6.7400000000000002E-2</v>
      </c>
      <c r="I10" s="241">
        <f t="shared" si="2"/>
        <v>13480000</v>
      </c>
      <c r="J10" s="241">
        <v>200000000</v>
      </c>
      <c r="K10" s="241">
        <v>200000000</v>
      </c>
      <c r="L10" s="241">
        <v>200000000</v>
      </c>
      <c r="M10" s="241">
        <v>200000000</v>
      </c>
      <c r="N10" s="241">
        <v>200000000</v>
      </c>
      <c r="O10" s="241">
        <v>200000000</v>
      </c>
      <c r="P10" s="241">
        <v>200000000</v>
      </c>
      <c r="Q10" s="241">
        <v>200000000</v>
      </c>
      <c r="R10" s="241">
        <v>200000000</v>
      </c>
      <c r="S10" s="241">
        <v>200000000</v>
      </c>
      <c r="T10" s="241">
        <v>200000000</v>
      </c>
      <c r="U10" s="241">
        <v>200000000</v>
      </c>
      <c r="V10" s="241">
        <v>200000000</v>
      </c>
      <c r="Y10" s="241">
        <f t="shared" si="3"/>
        <v>13480000</v>
      </c>
    </row>
    <row r="11" spans="1:26" s="28" customFormat="1">
      <c r="A11" s="119">
        <f t="shared" si="4"/>
        <v>7</v>
      </c>
      <c r="B11" s="123" t="s">
        <v>176</v>
      </c>
      <c r="C11" s="246">
        <v>7.1499999999999994E-2</v>
      </c>
      <c r="D11" s="247">
        <v>35053</v>
      </c>
      <c r="E11" s="247">
        <v>46010</v>
      </c>
      <c r="F11" s="241">
        <f t="shared" si="0"/>
        <v>15000000</v>
      </c>
      <c r="G11" s="248">
        <v>100</v>
      </c>
      <c r="H11" s="157">
        <f t="shared" si="1"/>
        <v>7.1499999999999994E-2</v>
      </c>
      <c r="I11" s="241">
        <f t="shared" si="2"/>
        <v>1072500</v>
      </c>
      <c r="J11" s="241">
        <v>15000000</v>
      </c>
      <c r="K11" s="241">
        <v>15000000</v>
      </c>
      <c r="L11" s="241">
        <v>15000000</v>
      </c>
      <c r="M11" s="241">
        <v>15000000</v>
      </c>
      <c r="N11" s="241">
        <v>15000000</v>
      </c>
      <c r="O11" s="241">
        <v>15000000</v>
      </c>
      <c r="P11" s="241">
        <v>15000000</v>
      </c>
      <c r="Q11" s="241">
        <v>15000000</v>
      </c>
      <c r="R11" s="241">
        <v>15000000</v>
      </c>
      <c r="S11" s="241">
        <v>15000000</v>
      </c>
      <c r="T11" s="241">
        <v>15000000</v>
      </c>
      <c r="U11" s="241">
        <v>15000000</v>
      </c>
      <c r="V11" s="241">
        <v>15000000</v>
      </c>
      <c r="Y11" s="241">
        <f t="shared" si="3"/>
        <v>1072500</v>
      </c>
      <c r="Z11" s="27"/>
    </row>
    <row r="12" spans="1:26" s="28" customFormat="1">
      <c r="A12" s="119">
        <f t="shared" si="4"/>
        <v>8</v>
      </c>
      <c r="B12" s="123" t="s">
        <v>176</v>
      </c>
      <c r="C12" s="246">
        <v>7.1999999999999995E-2</v>
      </c>
      <c r="D12" s="247">
        <v>35054</v>
      </c>
      <c r="E12" s="247">
        <v>46013</v>
      </c>
      <c r="F12" s="241">
        <f t="shared" si="0"/>
        <v>2000000</v>
      </c>
      <c r="G12" s="248">
        <v>100</v>
      </c>
      <c r="H12" s="157">
        <f t="shared" si="1"/>
        <v>7.1999999999999995E-2</v>
      </c>
      <c r="I12" s="241">
        <f t="shared" si="2"/>
        <v>144000</v>
      </c>
      <c r="J12" s="241">
        <v>2000000</v>
      </c>
      <c r="K12" s="241">
        <v>2000000</v>
      </c>
      <c r="L12" s="241">
        <v>2000000</v>
      </c>
      <c r="M12" s="241">
        <v>2000000</v>
      </c>
      <c r="N12" s="241">
        <v>2000000</v>
      </c>
      <c r="O12" s="241">
        <v>2000000</v>
      </c>
      <c r="P12" s="241">
        <v>2000000</v>
      </c>
      <c r="Q12" s="241">
        <v>2000000</v>
      </c>
      <c r="R12" s="241">
        <v>2000000</v>
      </c>
      <c r="S12" s="241">
        <v>2000000</v>
      </c>
      <c r="T12" s="241">
        <v>2000000</v>
      </c>
      <c r="U12" s="241">
        <v>2000000</v>
      </c>
      <c r="V12" s="241">
        <v>2000000</v>
      </c>
      <c r="Y12" s="241">
        <f t="shared" si="3"/>
        <v>144000</v>
      </c>
    </row>
    <row r="13" spans="1:26" s="28" customFormat="1">
      <c r="A13" s="119">
        <f t="shared" si="4"/>
        <v>9</v>
      </c>
      <c r="B13" s="123" t="s">
        <v>177</v>
      </c>
      <c r="C13" s="246">
        <v>7.0199999999999999E-2</v>
      </c>
      <c r="D13" s="247">
        <v>35786</v>
      </c>
      <c r="E13" s="247">
        <v>46722</v>
      </c>
      <c r="F13" s="241">
        <f t="shared" si="0"/>
        <v>300000000</v>
      </c>
      <c r="G13" s="248">
        <v>100</v>
      </c>
      <c r="H13" s="157">
        <f t="shared" si="1"/>
        <v>7.0199999999999999E-2</v>
      </c>
      <c r="I13" s="241">
        <f t="shared" si="2"/>
        <v>21060000</v>
      </c>
      <c r="J13" s="241">
        <v>300000000</v>
      </c>
      <c r="K13" s="241">
        <v>300000000</v>
      </c>
      <c r="L13" s="241">
        <v>300000000</v>
      </c>
      <c r="M13" s="241">
        <v>300000000</v>
      </c>
      <c r="N13" s="241">
        <v>300000000</v>
      </c>
      <c r="O13" s="241">
        <v>300000000</v>
      </c>
      <c r="P13" s="241">
        <v>300000000</v>
      </c>
      <c r="Q13" s="241">
        <v>300000000</v>
      </c>
      <c r="R13" s="241">
        <v>300000000</v>
      </c>
      <c r="S13" s="241">
        <v>300000000</v>
      </c>
      <c r="T13" s="241">
        <v>300000000</v>
      </c>
      <c r="U13" s="241">
        <v>300000000</v>
      </c>
      <c r="V13" s="241">
        <v>300000000</v>
      </c>
      <c r="Y13" s="241">
        <f t="shared" si="3"/>
        <v>21060000</v>
      </c>
    </row>
    <row r="14" spans="1:26">
      <c r="A14" s="119">
        <f t="shared" si="4"/>
        <v>10</v>
      </c>
      <c r="B14" s="123" t="s">
        <v>178</v>
      </c>
      <c r="C14" s="246">
        <v>7.0000000000000007E-2</v>
      </c>
      <c r="D14" s="247">
        <v>36228</v>
      </c>
      <c r="E14" s="247">
        <v>47186</v>
      </c>
      <c r="F14" s="241">
        <f t="shared" si="0"/>
        <v>100000000</v>
      </c>
      <c r="G14" s="248">
        <v>100</v>
      </c>
      <c r="H14" s="157">
        <f t="shared" si="1"/>
        <v>7.0000000000000007E-2</v>
      </c>
      <c r="I14" s="241">
        <f t="shared" si="2"/>
        <v>7000000</v>
      </c>
      <c r="J14" s="241">
        <v>100000000</v>
      </c>
      <c r="K14" s="241">
        <v>100000000</v>
      </c>
      <c r="L14" s="241">
        <v>100000000</v>
      </c>
      <c r="M14" s="241">
        <v>100000000</v>
      </c>
      <c r="N14" s="241">
        <v>100000000</v>
      </c>
      <c r="O14" s="241">
        <v>100000000</v>
      </c>
      <c r="P14" s="241">
        <v>100000000</v>
      </c>
      <c r="Q14" s="241">
        <v>100000000</v>
      </c>
      <c r="R14" s="241">
        <v>100000000</v>
      </c>
      <c r="S14" s="241">
        <v>100000000</v>
      </c>
      <c r="T14" s="241">
        <v>100000000</v>
      </c>
      <c r="U14" s="241">
        <v>100000000</v>
      </c>
      <c r="V14" s="241">
        <v>100000000</v>
      </c>
      <c r="Y14" s="241">
        <f t="shared" si="3"/>
        <v>7000000.0000000009</v>
      </c>
      <c r="Z14" s="28"/>
    </row>
    <row r="15" spans="1:26">
      <c r="A15" s="119">
        <f t="shared" si="4"/>
        <v>11</v>
      </c>
      <c r="B15" s="249" t="s">
        <v>179</v>
      </c>
      <c r="C15" s="246">
        <v>3.9E-2</v>
      </c>
      <c r="D15" s="250">
        <v>41417</v>
      </c>
      <c r="E15" s="251">
        <v>47908</v>
      </c>
      <c r="F15" s="241">
        <f t="shared" si="0"/>
        <v>138460000</v>
      </c>
      <c r="G15" s="248">
        <v>100</v>
      </c>
      <c r="H15" s="157">
        <f t="shared" si="1"/>
        <v>3.9E-2</v>
      </c>
      <c r="I15" s="241">
        <f t="shared" si="2"/>
        <v>5399940</v>
      </c>
      <c r="J15" s="241">
        <v>138460000</v>
      </c>
      <c r="K15" s="241">
        <v>138460000</v>
      </c>
      <c r="L15" s="241">
        <v>138460000</v>
      </c>
      <c r="M15" s="241">
        <v>138460000</v>
      </c>
      <c r="N15" s="241">
        <v>138460000</v>
      </c>
      <c r="O15" s="241">
        <v>138460000</v>
      </c>
      <c r="P15" s="241">
        <v>138460000</v>
      </c>
      <c r="Q15" s="241">
        <v>138460000</v>
      </c>
      <c r="R15" s="241">
        <v>138460000</v>
      </c>
      <c r="S15" s="241">
        <v>138460000</v>
      </c>
      <c r="T15" s="241">
        <v>138460000</v>
      </c>
      <c r="U15" s="241">
        <v>138460000</v>
      </c>
      <c r="V15" s="241">
        <v>138460000</v>
      </c>
      <c r="Y15" s="241">
        <f t="shared" si="3"/>
        <v>5399940</v>
      </c>
    </row>
    <row r="16" spans="1:26">
      <c r="A16" s="119">
        <f t="shared" si="4"/>
        <v>12</v>
      </c>
      <c r="B16" s="249" t="s">
        <v>179</v>
      </c>
      <c r="C16" s="246">
        <v>0.04</v>
      </c>
      <c r="D16" s="250">
        <v>41417</v>
      </c>
      <c r="E16" s="251">
        <v>47908</v>
      </c>
      <c r="F16" s="241">
        <f t="shared" si="0"/>
        <v>23400000</v>
      </c>
      <c r="G16" s="248">
        <v>100</v>
      </c>
      <c r="H16" s="157">
        <f t="shared" si="1"/>
        <v>0.04</v>
      </c>
      <c r="I16" s="241">
        <f t="shared" si="2"/>
        <v>936000</v>
      </c>
      <c r="J16" s="241">
        <v>23400000</v>
      </c>
      <c r="K16" s="241">
        <v>23400000</v>
      </c>
      <c r="L16" s="241">
        <v>23400000</v>
      </c>
      <c r="M16" s="241">
        <v>23400000</v>
      </c>
      <c r="N16" s="241">
        <v>23400000</v>
      </c>
      <c r="O16" s="241">
        <v>23400000</v>
      </c>
      <c r="P16" s="241">
        <v>23400000</v>
      </c>
      <c r="Q16" s="241">
        <v>23400000</v>
      </c>
      <c r="R16" s="241">
        <v>23400000</v>
      </c>
      <c r="S16" s="241">
        <v>23400000</v>
      </c>
      <c r="T16" s="241">
        <v>23400000</v>
      </c>
      <c r="U16" s="241">
        <v>23400000</v>
      </c>
      <c r="V16" s="241">
        <v>23400000</v>
      </c>
      <c r="Y16" s="241">
        <f t="shared" si="3"/>
        <v>936000</v>
      </c>
    </row>
    <row r="17" spans="1:26">
      <c r="A17" s="119">
        <f t="shared" si="4"/>
        <v>13</v>
      </c>
      <c r="B17" s="123" t="s">
        <v>180</v>
      </c>
      <c r="C17" s="246">
        <v>5.4829999999999997E-2</v>
      </c>
      <c r="D17" s="247">
        <v>38499</v>
      </c>
      <c r="E17" s="247">
        <v>49461</v>
      </c>
      <c r="F17" s="241">
        <f t="shared" si="0"/>
        <v>250000000</v>
      </c>
      <c r="G17" s="248">
        <v>100</v>
      </c>
      <c r="H17" s="157">
        <f t="shared" si="1"/>
        <v>5.4800000000000001E-2</v>
      </c>
      <c r="I17" s="244">
        <f t="shared" si="2"/>
        <v>13700000</v>
      </c>
      <c r="J17" s="244">
        <v>250000000</v>
      </c>
      <c r="K17" s="244">
        <v>250000000</v>
      </c>
      <c r="L17" s="244">
        <v>250000000</v>
      </c>
      <c r="M17" s="244">
        <v>250000000</v>
      </c>
      <c r="N17" s="244">
        <v>250000000</v>
      </c>
      <c r="O17" s="244">
        <v>250000000</v>
      </c>
      <c r="P17" s="244">
        <v>250000000</v>
      </c>
      <c r="Q17" s="244">
        <v>250000000</v>
      </c>
      <c r="R17" s="244">
        <v>250000000</v>
      </c>
      <c r="S17" s="244">
        <v>250000000</v>
      </c>
      <c r="T17" s="244">
        <v>250000000</v>
      </c>
      <c r="U17" s="244">
        <v>250000000</v>
      </c>
      <c r="V17" s="244">
        <v>250000000</v>
      </c>
      <c r="Y17" s="241">
        <f t="shared" si="3"/>
        <v>13700000</v>
      </c>
    </row>
    <row r="18" spans="1:26">
      <c r="A18" s="119">
        <f t="shared" si="4"/>
        <v>14</v>
      </c>
      <c r="B18" s="123" t="s">
        <v>180</v>
      </c>
      <c r="C18" s="246">
        <v>6.7239999999999994E-2</v>
      </c>
      <c r="D18" s="247">
        <v>38898</v>
      </c>
      <c r="E18" s="247">
        <v>49841</v>
      </c>
      <c r="F18" s="241">
        <f t="shared" si="0"/>
        <v>250000000</v>
      </c>
      <c r="G18" s="248">
        <v>100</v>
      </c>
      <c r="H18" s="157">
        <f t="shared" si="1"/>
        <v>6.7199999999999996E-2</v>
      </c>
      <c r="I18" s="244">
        <f t="shared" si="2"/>
        <v>16800000</v>
      </c>
      <c r="J18" s="244">
        <v>250000000</v>
      </c>
      <c r="K18" s="244">
        <v>250000000</v>
      </c>
      <c r="L18" s="244">
        <v>250000000</v>
      </c>
      <c r="M18" s="244">
        <v>250000000</v>
      </c>
      <c r="N18" s="244">
        <v>250000000</v>
      </c>
      <c r="O18" s="244">
        <v>250000000</v>
      </c>
      <c r="P18" s="244">
        <v>250000000</v>
      </c>
      <c r="Q18" s="244">
        <v>250000000</v>
      </c>
      <c r="R18" s="244">
        <v>250000000</v>
      </c>
      <c r="S18" s="244">
        <v>250000000</v>
      </c>
      <c r="T18" s="244">
        <v>250000000</v>
      </c>
      <c r="U18" s="244">
        <v>250000000</v>
      </c>
      <c r="V18" s="244">
        <v>250000000</v>
      </c>
      <c r="Y18" s="241">
        <f t="shared" si="3"/>
        <v>16800000</v>
      </c>
    </row>
    <row r="19" spans="1:26">
      <c r="A19" s="119">
        <f t="shared" si="4"/>
        <v>15</v>
      </c>
      <c r="B19" s="123" t="s">
        <v>180</v>
      </c>
      <c r="C19" s="246">
        <v>6.2740000000000004E-2</v>
      </c>
      <c r="D19" s="247">
        <v>38978</v>
      </c>
      <c r="E19" s="247">
        <v>50114</v>
      </c>
      <c r="F19" s="241">
        <f t="shared" si="0"/>
        <v>300000000</v>
      </c>
      <c r="G19" s="248">
        <v>100</v>
      </c>
      <c r="H19" s="157">
        <f t="shared" si="1"/>
        <v>6.2700000000000006E-2</v>
      </c>
      <c r="I19" s="244">
        <f t="shared" si="2"/>
        <v>18810000</v>
      </c>
      <c r="J19" s="244">
        <v>300000000</v>
      </c>
      <c r="K19" s="244">
        <v>300000000</v>
      </c>
      <c r="L19" s="244">
        <v>300000000</v>
      </c>
      <c r="M19" s="244">
        <v>300000000</v>
      </c>
      <c r="N19" s="244">
        <v>300000000</v>
      </c>
      <c r="O19" s="244">
        <v>300000000</v>
      </c>
      <c r="P19" s="244">
        <v>300000000</v>
      </c>
      <c r="Q19" s="244">
        <v>300000000</v>
      </c>
      <c r="R19" s="244">
        <v>300000000</v>
      </c>
      <c r="S19" s="244">
        <v>300000000</v>
      </c>
      <c r="T19" s="244">
        <v>300000000</v>
      </c>
      <c r="U19" s="244">
        <v>300000000</v>
      </c>
      <c r="V19" s="244">
        <v>300000000</v>
      </c>
      <c r="Y19" s="241">
        <f t="shared" si="3"/>
        <v>18810000</v>
      </c>
    </row>
    <row r="20" spans="1:26">
      <c r="A20" s="119">
        <f t="shared" si="4"/>
        <v>16</v>
      </c>
      <c r="B20" s="123" t="s">
        <v>180</v>
      </c>
      <c r="C20" s="246">
        <v>5.7570000000000003E-2</v>
      </c>
      <c r="D20" s="247">
        <v>40067</v>
      </c>
      <c r="E20" s="247">
        <v>51058</v>
      </c>
      <c r="F20" s="241">
        <f t="shared" si="0"/>
        <v>350000000</v>
      </c>
      <c r="G20" s="248">
        <v>100</v>
      </c>
      <c r="H20" s="157">
        <f t="shared" si="1"/>
        <v>5.7599999999999998E-2</v>
      </c>
      <c r="I20" s="244">
        <f t="shared" si="2"/>
        <v>20160000</v>
      </c>
      <c r="J20" s="244">
        <v>350000000</v>
      </c>
      <c r="K20" s="244">
        <v>350000000</v>
      </c>
      <c r="L20" s="244">
        <v>350000000</v>
      </c>
      <c r="M20" s="244">
        <v>350000000</v>
      </c>
      <c r="N20" s="244">
        <v>350000000</v>
      </c>
      <c r="O20" s="244">
        <v>350000000</v>
      </c>
      <c r="P20" s="244">
        <v>350000000</v>
      </c>
      <c r="Q20" s="244">
        <v>350000000</v>
      </c>
      <c r="R20" s="244">
        <v>350000000</v>
      </c>
      <c r="S20" s="244">
        <v>350000000</v>
      </c>
      <c r="T20" s="244">
        <v>350000000</v>
      </c>
      <c r="U20" s="244">
        <v>350000000</v>
      </c>
      <c r="V20" s="244">
        <v>350000000</v>
      </c>
      <c r="Y20" s="241">
        <f t="shared" si="3"/>
        <v>20160000</v>
      </c>
    </row>
    <row r="21" spans="1:26">
      <c r="A21" s="119">
        <f t="shared" si="4"/>
        <v>17</v>
      </c>
      <c r="B21" s="123" t="s">
        <v>180</v>
      </c>
      <c r="C21" s="246">
        <v>5.7950000000000002E-2</v>
      </c>
      <c r="D21" s="247">
        <v>40245</v>
      </c>
      <c r="E21" s="247">
        <v>51210</v>
      </c>
      <c r="F21" s="241">
        <f t="shared" si="0"/>
        <v>325000000</v>
      </c>
      <c r="G21" s="248">
        <v>100</v>
      </c>
      <c r="H21" s="157">
        <f t="shared" si="1"/>
        <v>5.79E-2</v>
      </c>
      <c r="I21" s="244">
        <f t="shared" si="2"/>
        <v>18817500</v>
      </c>
      <c r="J21" s="244">
        <v>325000000</v>
      </c>
      <c r="K21" s="244">
        <v>325000000</v>
      </c>
      <c r="L21" s="244">
        <v>325000000</v>
      </c>
      <c r="M21" s="244">
        <v>325000000</v>
      </c>
      <c r="N21" s="244">
        <v>325000000</v>
      </c>
      <c r="O21" s="244">
        <v>325000000</v>
      </c>
      <c r="P21" s="244">
        <v>325000000</v>
      </c>
      <c r="Q21" s="244">
        <v>325000000</v>
      </c>
      <c r="R21" s="244">
        <v>325000000</v>
      </c>
      <c r="S21" s="244">
        <v>325000000</v>
      </c>
      <c r="T21" s="244">
        <v>325000000</v>
      </c>
      <c r="U21" s="244">
        <v>325000000</v>
      </c>
      <c r="V21" s="244">
        <v>325000000</v>
      </c>
      <c r="Y21" s="241">
        <f t="shared" si="3"/>
        <v>18817500</v>
      </c>
    </row>
    <row r="22" spans="1:26">
      <c r="A22" s="119">
        <f t="shared" si="4"/>
        <v>18</v>
      </c>
      <c r="B22" s="123" t="s">
        <v>180</v>
      </c>
      <c r="C22" s="246">
        <v>5.7639999999999997E-2</v>
      </c>
      <c r="D22" s="247">
        <v>40358</v>
      </c>
      <c r="E22" s="247">
        <v>51332</v>
      </c>
      <c r="F22" s="241">
        <f t="shared" si="0"/>
        <v>250000000</v>
      </c>
      <c r="G22" s="248">
        <v>100</v>
      </c>
      <c r="H22" s="157">
        <f t="shared" si="1"/>
        <v>5.7599999999999998E-2</v>
      </c>
      <c r="I22" s="244">
        <f t="shared" si="2"/>
        <v>14400000</v>
      </c>
      <c r="J22" s="244">
        <v>250000000</v>
      </c>
      <c r="K22" s="244">
        <v>250000000</v>
      </c>
      <c r="L22" s="244">
        <v>250000000</v>
      </c>
      <c r="M22" s="244">
        <v>250000000</v>
      </c>
      <c r="N22" s="244">
        <v>250000000</v>
      </c>
      <c r="O22" s="244">
        <v>250000000</v>
      </c>
      <c r="P22" s="244">
        <v>250000000</v>
      </c>
      <c r="Q22" s="244">
        <v>250000000</v>
      </c>
      <c r="R22" s="244">
        <v>250000000</v>
      </c>
      <c r="S22" s="244">
        <v>250000000</v>
      </c>
      <c r="T22" s="244">
        <v>250000000</v>
      </c>
      <c r="U22" s="244">
        <v>250000000</v>
      </c>
      <c r="V22" s="244">
        <v>250000000</v>
      </c>
      <c r="Y22" s="241">
        <f t="shared" si="3"/>
        <v>14400000</v>
      </c>
    </row>
    <row r="23" spans="1:26">
      <c r="A23" s="119">
        <v>25</v>
      </c>
      <c r="B23" s="123" t="s">
        <v>180</v>
      </c>
      <c r="C23" s="246">
        <v>5.638E-2</v>
      </c>
      <c r="D23" s="247">
        <v>40627</v>
      </c>
      <c r="E23" s="247">
        <v>51606</v>
      </c>
      <c r="F23" s="241">
        <f t="shared" si="0"/>
        <v>300000000</v>
      </c>
      <c r="G23" s="248">
        <v>100</v>
      </c>
      <c r="H23" s="157">
        <f t="shared" si="1"/>
        <v>5.6399999999999999E-2</v>
      </c>
      <c r="I23" s="244">
        <f t="shared" si="2"/>
        <v>16920000</v>
      </c>
      <c r="J23" s="244">
        <v>300000000</v>
      </c>
      <c r="K23" s="244">
        <v>300000000</v>
      </c>
      <c r="L23" s="244">
        <v>300000000</v>
      </c>
      <c r="M23" s="244">
        <v>300000000</v>
      </c>
      <c r="N23" s="244">
        <v>300000000</v>
      </c>
      <c r="O23" s="244">
        <v>300000000</v>
      </c>
      <c r="P23" s="244">
        <v>300000000</v>
      </c>
      <c r="Q23" s="244">
        <v>300000000</v>
      </c>
      <c r="R23" s="244">
        <v>300000000</v>
      </c>
      <c r="S23" s="244">
        <v>300000000</v>
      </c>
      <c r="T23" s="244">
        <v>300000000</v>
      </c>
      <c r="U23" s="244">
        <v>300000000</v>
      </c>
      <c r="V23" s="244">
        <v>300000000</v>
      </c>
      <c r="Y23" s="241">
        <f t="shared" si="3"/>
        <v>16920000</v>
      </c>
    </row>
    <row r="24" spans="1:26">
      <c r="A24" s="119">
        <v>26</v>
      </c>
      <c r="B24" s="123" t="s">
        <v>180</v>
      </c>
      <c r="C24" s="246">
        <v>4.4339999999999997E-2</v>
      </c>
      <c r="D24" s="247">
        <v>40863</v>
      </c>
      <c r="E24" s="247">
        <v>51820</v>
      </c>
      <c r="F24" s="241">
        <f t="shared" si="0"/>
        <v>250000000</v>
      </c>
      <c r="G24" s="248">
        <v>100</v>
      </c>
      <c r="H24" s="157">
        <f t="shared" si="1"/>
        <v>4.4299999999999999E-2</v>
      </c>
      <c r="I24" s="244">
        <f t="shared" si="2"/>
        <v>11075000</v>
      </c>
      <c r="J24" s="244">
        <v>250000000</v>
      </c>
      <c r="K24" s="244">
        <v>250000000</v>
      </c>
      <c r="L24" s="244">
        <v>250000000</v>
      </c>
      <c r="M24" s="244">
        <v>250000000</v>
      </c>
      <c r="N24" s="244">
        <v>250000000</v>
      </c>
      <c r="O24" s="244">
        <v>250000000</v>
      </c>
      <c r="P24" s="244">
        <v>250000000</v>
      </c>
      <c r="Q24" s="244">
        <v>250000000</v>
      </c>
      <c r="R24" s="244">
        <v>250000000</v>
      </c>
      <c r="S24" s="244">
        <v>250000000</v>
      </c>
      <c r="T24" s="244">
        <v>250000000</v>
      </c>
      <c r="U24" s="244">
        <v>250000000</v>
      </c>
      <c r="V24" s="244">
        <v>250000000</v>
      </c>
      <c r="Y24" s="241">
        <f t="shared" si="3"/>
        <v>11075000</v>
      </c>
    </row>
    <row r="25" spans="1:26">
      <c r="A25" s="119">
        <v>27</v>
      </c>
      <c r="B25" s="123" t="s">
        <v>180</v>
      </c>
      <c r="C25" s="246">
        <v>4.7E-2</v>
      </c>
      <c r="D25" s="247">
        <v>40869</v>
      </c>
      <c r="E25" s="247">
        <v>55472</v>
      </c>
      <c r="F25" s="241">
        <f t="shared" si="0"/>
        <v>45000000</v>
      </c>
      <c r="G25" s="248">
        <v>100</v>
      </c>
      <c r="H25" s="157">
        <f t="shared" si="1"/>
        <v>4.7E-2</v>
      </c>
      <c r="I25" s="244">
        <f t="shared" si="2"/>
        <v>2115000</v>
      </c>
      <c r="J25" s="244">
        <v>45000000</v>
      </c>
      <c r="K25" s="244">
        <v>45000000</v>
      </c>
      <c r="L25" s="244">
        <v>45000000</v>
      </c>
      <c r="M25" s="244">
        <v>45000000</v>
      </c>
      <c r="N25" s="244">
        <v>45000000</v>
      </c>
      <c r="O25" s="244">
        <v>45000000</v>
      </c>
      <c r="P25" s="244">
        <v>45000000</v>
      </c>
      <c r="Q25" s="244">
        <v>45000000</v>
      </c>
      <c r="R25" s="244">
        <v>45000000</v>
      </c>
      <c r="S25" s="244">
        <v>45000000</v>
      </c>
      <c r="T25" s="244">
        <v>45000000</v>
      </c>
      <c r="U25" s="244">
        <v>45000000</v>
      </c>
      <c r="V25" s="244">
        <v>45000000</v>
      </c>
      <c r="Y25" s="241">
        <f t="shared" si="3"/>
        <v>2115000</v>
      </c>
    </row>
    <row r="26" spans="1:26">
      <c r="A26" s="119">
        <v>28</v>
      </c>
      <c r="B26" s="123" t="s">
        <v>238</v>
      </c>
      <c r="C26" s="246">
        <v>6.9739999999999996E-2</v>
      </c>
      <c r="D26" s="247">
        <v>39237</v>
      </c>
      <c r="E26" s="247">
        <v>42887</v>
      </c>
      <c r="F26" s="241">
        <f t="shared" si="0"/>
        <v>250000000</v>
      </c>
      <c r="G26" s="248">
        <v>100</v>
      </c>
      <c r="H26" s="157">
        <f t="shared" si="1"/>
        <v>6.9699999999999998E-2</v>
      </c>
      <c r="I26" s="244">
        <f t="shared" si="2"/>
        <v>17425000</v>
      </c>
      <c r="J26" s="241">
        <v>250000000</v>
      </c>
      <c r="K26" s="241">
        <v>250000000</v>
      </c>
      <c r="L26" s="241">
        <v>250000000</v>
      </c>
      <c r="M26" s="241">
        <v>250000000</v>
      </c>
      <c r="N26" s="241">
        <v>250000000</v>
      </c>
      <c r="O26" s="241">
        <v>250000000</v>
      </c>
      <c r="P26" s="241">
        <v>250000000</v>
      </c>
      <c r="Q26" s="241">
        <v>250000000</v>
      </c>
      <c r="R26" s="241">
        <v>250000000</v>
      </c>
      <c r="S26" s="241">
        <v>250000000</v>
      </c>
      <c r="T26" s="241">
        <v>250000000</v>
      </c>
      <c r="U26" s="241">
        <v>250000000</v>
      </c>
      <c r="V26" s="241">
        <v>250000000</v>
      </c>
      <c r="Y26" s="241">
        <f t="shared" si="3"/>
        <v>17425000</v>
      </c>
    </row>
    <row r="27" spans="1:26">
      <c r="A27" s="119">
        <v>29</v>
      </c>
      <c r="B27" s="123" t="s">
        <v>180</v>
      </c>
      <c r="C27" s="246">
        <v>4.2999999999999997E-2</v>
      </c>
      <c r="D27" s="247">
        <v>42150</v>
      </c>
      <c r="E27" s="247">
        <v>53102</v>
      </c>
      <c r="F27" s="241">
        <f t="shared" si="0"/>
        <v>265625000</v>
      </c>
      <c r="G27" s="248">
        <v>100</v>
      </c>
      <c r="H27" s="157">
        <f t="shared" si="1"/>
        <v>4.2999999999999997E-2</v>
      </c>
      <c r="I27" s="244">
        <f t="shared" si="2"/>
        <v>11421875</v>
      </c>
      <c r="J27" s="241"/>
      <c r="K27" s="241"/>
      <c r="L27" s="241"/>
      <c r="M27" s="241"/>
      <c r="N27" s="241"/>
      <c r="O27" s="241">
        <v>425000000</v>
      </c>
      <c r="P27" s="241">
        <v>425000000</v>
      </c>
      <c r="Q27" s="241">
        <v>425000000</v>
      </c>
      <c r="R27" s="241">
        <v>425000000</v>
      </c>
      <c r="S27" s="241">
        <v>425000000</v>
      </c>
      <c r="T27" s="241">
        <v>425000000</v>
      </c>
      <c r="U27" s="241">
        <v>425000000</v>
      </c>
      <c r="V27" s="241">
        <v>425000000</v>
      </c>
      <c r="Y27" s="244">
        <f t="shared" si="3"/>
        <v>18275000</v>
      </c>
    </row>
    <row r="28" spans="1:26">
      <c r="A28" s="119">
        <v>30</v>
      </c>
      <c r="B28" s="123"/>
      <c r="C28" s="246"/>
      <c r="D28" s="247"/>
      <c r="E28" s="247"/>
      <c r="F28" s="241"/>
      <c r="G28" s="248"/>
      <c r="H28" s="157"/>
      <c r="I28" s="244"/>
      <c r="J28" s="244"/>
      <c r="K28" s="244"/>
      <c r="L28" s="244"/>
      <c r="M28" s="244"/>
      <c r="N28" s="244"/>
      <c r="O28" s="244"/>
      <c r="P28" s="244"/>
      <c r="Q28" s="244"/>
      <c r="R28" s="244"/>
      <c r="S28" s="244"/>
      <c r="T28" s="244"/>
      <c r="U28" s="244"/>
      <c r="V28" s="244"/>
      <c r="Y28" s="415">
        <f>SUM(Y6:Y27)</f>
        <v>217589940</v>
      </c>
    </row>
    <row r="29" spans="1:26" ht="13.8" thickBot="1">
      <c r="A29" s="119">
        <v>31</v>
      </c>
      <c r="B29" s="123"/>
      <c r="C29" s="125"/>
      <c r="D29" s="247"/>
      <c r="E29" s="247"/>
      <c r="F29" s="241"/>
      <c r="G29" s="256"/>
      <c r="H29" s="157"/>
      <c r="I29" s="255"/>
      <c r="J29" s="241"/>
      <c r="K29" s="241"/>
      <c r="L29" s="241"/>
      <c r="M29" s="241"/>
      <c r="N29" s="241"/>
      <c r="O29" s="241"/>
      <c r="P29" s="241"/>
      <c r="Q29" s="241"/>
      <c r="R29" s="241"/>
      <c r="S29" s="241"/>
      <c r="T29" s="241"/>
      <c r="U29" s="241"/>
      <c r="V29" s="241"/>
      <c r="Y29" s="498"/>
    </row>
    <row r="30" spans="1:26" ht="13.8" thickBot="1">
      <c r="A30" s="119">
        <v>32</v>
      </c>
      <c r="B30" s="125" t="s">
        <v>182</v>
      </c>
      <c r="C30" s="246"/>
      <c r="D30" s="247"/>
      <c r="E30" s="247"/>
      <c r="F30" s="253">
        <f>SUM(F6:F29)</f>
        <v>3806318333</v>
      </c>
      <c r="G30" s="254"/>
      <c r="H30" s="187">
        <f>ROUND(+I30/F30,4)</f>
        <v>5.8500000000000003E-2</v>
      </c>
      <c r="I30" s="257">
        <f t="shared" ref="I30:V30" si="5">SUM(I6:I29)</f>
        <v>222671082</v>
      </c>
      <c r="J30" s="257">
        <f t="shared" si="5"/>
        <v>3760860000</v>
      </c>
      <c r="K30" s="257">
        <f t="shared" si="5"/>
        <v>3760860000</v>
      </c>
      <c r="L30" s="257">
        <f t="shared" si="5"/>
        <v>3760860000</v>
      </c>
      <c r="M30" s="257">
        <f t="shared" si="5"/>
        <v>3760860000</v>
      </c>
      <c r="N30" s="257">
        <f t="shared" si="5"/>
        <v>3760860000</v>
      </c>
      <c r="O30" s="257">
        <f t="shared" si="5"/>
        <v>4185860000</v>
      </c>
      <c r="P30" s="257">
        <f t="shared" si="5"/>
        <v>3785860000</v>
      </c>
      <c r="Q30" s="257">
        <f t="shared" si="5"/>
        <v>3785860000</v>
      </c>
      <c r="R30" s="257">
        <f t="shared" si="5"/>
        <v>3785860000</v>
      </c>
      <c r="S30" s="257">
        <f t="shared" si="5"/>
        <v>3773860000</v>
      </c>
      <c r="T30" s="257">
        <f t="shared" si="5"/>
        <v>3773860000</v>
      </c>
      <c r="U30" s="257">
        <f t="shared" si="5"/>
        <v>3773860000</v>
      </c>
      <c r="V30" s="257">
        <f t="shared" si="5"/>
        <v>3773860000</v>
      </c>
      <c r="Y30" s="257">
        <f>Y28+Y29</f>
        <v>217589940</v>
      </c>
      <c r="Z30" s="416">
        <f>Y30/V30</f>
        <v>5.765713089515774E-2</v>
      </c>
    </row>
    <row r="31" spans="1:26">
      <c r="A31" s="119">
        <v>33</v>
      </c>
      <c r="B31" s="123"/>
      <c r="C31" s="246"/>
      <c r="D31" s="247"/>
      <c r="E31" s="247"/>
      <c r="F31" s="255"/>
      <c r="G31" s="252"/>
      <c r="H31" s="217"/>
      <c r="I31" s="255"/>
      <c r="J31" s="428"/>
      <c r="K31" s="428"/>
      <c r="L31" s="428"/>
      <c r="M31" s="428"/>
      <c r="N31" s="428"/>
      <c r="O31" s="428"/>
      <c r="P31" s="428"/>
      <c r="Q31" s="428"/>
      <c r="R31" s="428"/>
      <c r="S31" s="428"/>
      <c r="T31" s="428"/>
      <c r="U31" s="428"/>
      <c r="V31" s="428"/>
      <c r="Y31" s="242">
        <f>H31*V31</f>
        <v>0</v>
      </c>
    </row>
    <row r="32" spans="1:26">
      <c r="A32" s="119">
        <v>34</v>
      </c>
      <c r="B32" s="121" t="s">
        <v>239</v>
      </c>
      <c r="C32" s="122"/>
      <c r="D32" s="122"/>
      <c r="E32" s="122"/>
      <c r="F32" s="255"/>
      <c r="G32" s="25"/>
      <c r="H32" s="217"/>
      <c r="I32" s="255"/>
      <c r="J32" s="244"/>
      <c r="K32" s="300"/>
      <c r="L32" s="300"/>
      <c r="M32" s="300"/>
      <c r="N32" s="300"/>
      <c r="O32" s="300"/>
      <c r="P32" s="300"/>
      <c r="Q32" s="300"/>
      <c r="R32" s="300"/>
      <c r="S32" s="300"/>
      <c r="T32" s="300"/>
      <c r="U32" s="300"/>
      <c r="V32" s="300"/>
      <c r="Y32" s="241"/>
    </row>
    <row r="33" spans="1:56">
      <c r="A33" s="119"/>
      <c r="B33" s="121"/>
      <c r="C33" s="122"/>
      <c r="D33" s="122"/>
      <c r="E33" s="122"/>
      <c r="F33" s="122"/>
      <c r="G33" s="122"/>
      <c r="H33" s="122"/>
      <c r="I33" s="122"/>
      <c r="Y33" s="255"/>
      <c r="Z33" s="217"/>
    </row>
    <row r="34" spans="1:56">
      <c r="A34" s="119"/>
      <c r="B34" s="121"/>
      <c r="C34" s="122"/>
      <c r="D34" s="122"/>
      <c r="E34" s="122"/>
      <c r="F34" s="122"/>
      <c r="G34" s="124"/>
      <c r="H34" s="122"/>
      <c r="I34" s="122"/>
    </row>
    <row r="35" spans="1:56">
      <c r="A35" s="119"/>
      <c r="B35" s="121"/>
      <c r="C35" s="122"/>
      <c r="D35" s="122"/>
      <c r="E35" s="122"/>
      <c r="F35" s="122"/>
      <c r="G35" s="124"/>
      <c r="H35" s="122"/>
      <c r="I35" s="122"/>
    </row>
    <row r="36" spans="1:56">
      <c r="A36" s="119"/>
      <c r="B36" s="121"/>
      <c r="C36" s="122"/>
      <c r="D36" s="122"/>
      <c r="E36" s="122"/>
      <c r="F36" s="122"/>
      <c r="G36" s="124"/>
      <c r="H36" s="122"/>
      <c r="I36" s="122"/>
    </row>
    <row r="37" spans="1:56">
      <c r="A37" s="119"/>
      <c r="B37" s="120"/>
      <c r="C37" s="120"/>
      <c r="D37" s="120"/>
      <c r="E37" s="281" t="str">
        <f>IF((F30-'Pg 2 CapStructure'!Q16)&gt;1,"Total LTD ERROR",IF((F30-'Pg 2 CapStructure'!Q16)&lt;-1,"Total LTD ERROR",""))</f>
        <v>Total LTD ERROR</v>
      </c>
      <c r="G37" s="120"/>
      <c r="H37" s="122"/>
      <c r="I37" s="155"/>
      <c r="J37" s="241"/>
      <c r="K37" s="241"/>
      <c r="L37" s="241"/>
      <c r="M37" s="241"/>
      <c r="N37" s="241"/>
      <c r="O37" s="241"/>
      <c r="P37" s="241"/>
      <c r="Q37" s="241"/>
      <c r="R37" s="241"/>
      <c r="S37" s="241"/>
      <c r="T37" s="241"/>
      <c r="U37" s="241"/>
      <c r="V37" s="241"/>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row>
    <row r="38" spans="1:56">
      <c r="A38" s="44"/>
      <c r="B38" s="258"/>
      <c r="C38" s="258"/>
      <c r="D38" s="258"/>
      <c r="E38" s="258"/>
      <c r="F38" s="240"/>
      <c r="G38" s="258"/>
      <c r="H38" s="122"/>
      <c r="I38" s="155"/>
      <c r="J38" s="259"/>
      <c r="K38" s="259"/>
      <c r="L38" s="259"/>
      <c r="M38" s="259"/>
      <c r="N38" s="123"/>
      <c r="O38" s="123"/>
      <c r="P38" s="123"/>
      <c r="Q38" s="123"/>
      <c r="R38" s="123"/>
      <c r="S38" s="123"/>
      <c r="T38" s="123"/>
      <c r="U38" s="123"/>
      <c r="V38" s="123"/>
    </row>
    <row r="39" spans="1:56">
      <c r="A39" s="44"/>
      <c r="B39" s="258"/>
      <c r="C39" s="258"/>
      <c r="D39" s="258"/>
      <c r="E39" s="258"/>
      <c r="F39" s="239"/>
      <c r="G39" s="258"/>
      <c r="H39" s="120"/>
      <c r="I39" s="155"/>
      <c r="J39" s="242"/>
      <c r="K39" s="242"/>
      <c r="L39" s="242"/>
      <c r="M39" s="242"/>
      <c r="N39" s="242"/>
      <c r="O39" s="242"/>
      <c r="P39" s="242"/>
      <c r="Q39" s="242"/>
      <c r="R39" s="242"/>
      <c r="S39" s="242"/>
      <c r="T39" s="242"/>
      <c r="U39" s="242"/>
      <c r="V39" s="242"/>
    </row>
    <row r="40" spans="1:56">
      <c r="A40" s="44"/>
      <c r="B40" s="28"/>
      <c r="C40" s="28"/>
      <c r="D40" s="28"/>
      <c r="E40" s="28"/>
      <c r="F40" s="240"/>
      <c r="G40" s="28"/>
      <c r="H40" s="28"/>
      <c r="I40" s="45"/>
      <c r="J40" s="192" t="str">
        <f t="shared" ref="J40:V40" si="6">IF(J39&lt;&gt;0,"ERROR","")</f>
        <v/>
      </c>
      <c r="K40" s="192" t="str">
        <f t="shared" si="6"/>
        <v/>
      </c>
      <c r="L40" s="192" t="str">
        <f t="shared" si="6"/>
        <v/>
      </c>
      <c r="M40" s="192" t="str">
        <f t="shared" si="6"/>
        <v/>
      </c>
      <c r="N40" s="192" t="str">
        <f t="shared" si="6"/>
        <v/>
      </c>
      <c r="O40" s="192" t="str">
        <f t="shared" si="6"/>
        <v/>
      </c>
      <c r="P40" s="192" t="str">
        <f t="shared" si="6"/>
        <v/>
      </c>
      <c r="Q40" s="192" t="str">
        <f t="shared" si="6"/>
        <v/>
      </c>
      <c r="R40" s="192" t="str">
        <f t="shared" si="6"/>
        <v/>
      </c>
      <c r="S40" s="192" t="str">
        <f t="shared" si="6"/>
        <v/>
      </c>
      <c r="T40" s="192" t="str">
        <f t="shared" si="6"/>
        <v/>
      </c>
      <c r="U40" s="192" t="str">
        <f t="shared" si="6"/>
        <v/>
      </c>
      <c r="V40" s="44" t="str">
        <f t="shared" si="6"/>
        <v/>
      </c>
    </row>
    <row r="41" spans="1:56">
      <c r="A41" s="44"/>
      <c r="B41" s="28"/>
      <c r="C41" s="28"/>
      <c r="D41" s="28"/>
      <c r="E41" s="28"/>
      <c r="F41" s="45"/>
      <c r="G41" s="28"/>
      <c r="H41" s="157"/>
    </row>
    <row r="42" spans="1:56">
      <c r="A42" s="46"/>
      <c r="B42" s="47"/>
      <c r="C42" s="48"/>
      <c r="D42" s="49"/>
      <c r="E42" s="49"/>
      <c r="F42" s="231"/>
      <c r="G42" s="51"/>
      <c r="H42" s="157"/>
      <c r="I42" s="89"/>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A4801E20E0A1144990DA28540514F1C" ma:contentTypeVersion="7" ma:contentTypeDescription="" ma:contentTypeScope="" ma:versionID="21d8856a92aa8925eda62973258121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240005</DocketNumber>
    <DelegatedOrder xmlns="dc463f71-b30c-4ab2-9473-d307f9d35888">false</DelegatedOrder>
  </documentManagement>
</p:properties>
</file>

<file path=customXml/itemProps1.xml><?xml version="1.0" encoding="utf-8"?>
<ds:datastoreItem xmlns:ds="http://schemas.openxmlformats.org/officeDocument/2006/customXml" ds:itemID="{E773BEFD-B8CF-4DBB-B69B-D5C05B8E12C7}"/>
</file>

<file path=customXml/itemProps2.xml><?xml version="1.0" encoding="utf-8"?>
<ds:datastoreItem xmlns:ds="http://schemas.openxmlformats.org/officeDocument/2006/customXml" ds:itemID="{E1CC2EA4-6195-4C13-8166-D06D48E9FDA3}"/>
</file>

<file path=customXml/itemProps3.xml><?xml version="1.0" encoding="utf-8"?>
<ds:datastoreItem xmlns:ds="http://schemas.openxmlformats.org/officeDocument/2006/customXml" ds:itemID="{25CB322D-E5B9-4ED3-8B33-376743168D10}"/>
</file>

<file path=customXml/itemProps4.xml><?xml version="1.0" encoding="utf-8"?>
<ds:datastoreItem xmlns:ds="http://schemas.openxmlformats.org/officeDocument/2006/customXml" ds:itemID="{9655CA52-6AFE-439A-8457-CFE938D9E0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Comparison</vt:lpstr>
      <vt:lpstr>Cost of Capital</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'Cost of Capital'!Print_Area</vt:lpstr>
      <vt:lpstr>'FERC Rpt'!Print_Area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Manager/>
  <Company>Puget Sound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dc:creator>
  <cp:keywords/>
  <dc:description/>
  <cp:lastModifiedBy>Perkins Coie</cp:lastModifiedBy>
  <cp:revision/>
  <cp:lastPrinted>2024-01-17T18:42:47Z</cp:lastPrinted>
  <dcterms:created xsi:type="dcterms:W3CDTF">2001-12-28T16:42:36Z</dcterms:created>
  <dcterms:modified xsi:type="dcterms:W3CDTF">2024-02-02T22:34:15Z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0x0101006E56B4D1795A2E4DB2F0B01679ED314A00DA4801E20E0A1144990DA28540514F1C</vt:lpwstr>
  </property>
</Properties>
</file>