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0" yWindow="0" windowWidth="23040" windowHeight="9405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52511" calcOnSave="0"/>
</workbook>
</file>

<file path=xl/calcChain.xml><?xml version="1.0" encoding="utf-8"?>
<calcChain xmlns="http://schemas.openxmlformats.org/spreadsheetml/2006/main">
  <c r="F27" i="6" l="1"/>
  <c r="E30" i="6"/>
  <c r="F14" i="6"/>
  <c r="E14" i="6"/>
  <c r="E16" i="6"/>
  <c r="E8" i="6"/>
  <c r="E34" i="1"/>
  <c r="D25" i="22" l="1"/>
  <c r="D31" i="21" l="1"/>
  <c r="L12" i="21"/>
  <c r="H12" i="21"/>
  <c r="I40" i="23" l="1"/>
  <c r="I41" i="23"/>
  <c r="I39" i="23"/>
  <c r="I31" i="23"/>
  <c r="I32" i="23"/>
  <c r="I33" i="23"/>
  <c r="I34" i="23"/>
  <c r="I35" i="23"/>
  <c r="I36" i="23"/>
  <c r="I37" i="23"/>
  <c r="I38" i="23"/>
  <c r="I30" i="23"/>
  <c r="H40" i="23"/>
  <c r="H41" i="23"/>
  <c r="H39" i="23"/>
  <c r="H31" i="23"/>
  <c r="H32" i="23"/>
  <c r="H33" i="23"/>
  <c r="H34" i="23"/>
  <c r="H35" i="23"/>
  <c r="H36" i="23"/>
  <c r="H37" i="23"/>
  <c r="H38" i="23"/>
  <c r="H30" i="23"/>
  <c r="G40" i="23"/>
  <c r="G41" i="23"/>
  <c r="G39" i="23"/>
  <c r="G31" i="23"/>
  <c r="G32" i="23"/>
  <c r="G33" i="23"/>
  <c r="G34" i="23"/>
  <c r="G35" i="23"/>
  <c r="G36" i="23"/>
  <c r="G37" i="23"/>
  <c r="G38" i="23"/>
  <c r="G30" i="23"/>
  <c r="B40" i="23"/>
  <c r="B41" i="23"/>
  <c r="B39" i="23"/>
  <c r="B31" i="23"/>
  <c r="B32" i="23"/>
  <c r="B33" i="23"/>
  <c r="B34" i="23"/>
  <c r="B35" i="23"/>
  <c r="B36" i="23"/>
  <c r="B37" i="23"/>
  <c r="B38" i="23"/>
  <c r="B30" i="23"/>
  <c r="N32" i="23"/>
  <c r="O32" i="23"/>
  <c r="P32" i="23"/>
  <c r="Q32" i="23"/>
  <c r="Q33" i="23" s="1"/>
  <c r="Q34" i="23" s="1"/>
  <c r="Q35" i="23" s="1"/>
  <c r="Q36" i="23" s="1"/>
  <c r="Q37" i="23" s="1"/>
  <c r="Q38" i="23" s="1"/>
  <c r="Q39" i="23" s="1"/>
  <c r="Q40" i="23" s="1"/>
  <c r="Q41" i="23" s="1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Q31" i="23"/>
  <c r="P31" i="23"/>
  <c r="O31" i="23"/>
  <c r="N31" i="23"/>
  <c r="O30" i="23"/>
  <c r="P30" i="23"/>
  <c r="Q30" i="23"/>
  <c r="N30" i="23"/>
  <c r="P27" i="23"/>
  <c r="O27" i="23"/>
  <c r="M27" i="23" s="1"/>
  <c r="Q27" i="23"/>
  <c r="N27" i="23"/>
  <c r="M10" i="23"/>
  <c r="M11" i="23"/>
  <c r="M12" i="23"/>
  <c r="M13" i="23"/>
  <c r="M14" i="23"/>
  <c r="M15" i="23"/>
  <c r="M16" i="23"/>
  <c r="M17" i="23"/>
  <c r="M18" i="23"/>
  <c r="M19" i="23"/>
  <c r="M20" i="23"/>
  <c r="M9" i="23"/>
  <c r="G6" i="11"/>
  <c r="D30" i="23" l="1"/>
  <c r="D31" i="23"/>
  <c r="D32" i="23"/>
  <c r="D33" i="23"/>
  <c r="D34" i="23"/>
  <c r="D35" i="23"/>
  <c r="D36" i="23"/>
  <c r="D37" i="23"/>
  <c r="D38" i="23"/>
  <c r="A53" i="15"/>
  <c r="A17" i="15"/>
  <c r="A72" i="14"/>
  <c r="A23" i="14"/>
  <c r="H32" i="22"/>
  <c r="H33" i="22" s="1"/>
  <c r="H34" i="22" s="1"/>
  <c r="H39" i="21"/>
  <c r="H38" i="21"/>
  <c r="A19" i="2" l="1"/>
  <c r="A28" i="1"/>
  <c r="C19" i="24" l="1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F7" i="24" l="1"/>
  <c r="F14" i="8" s="1"/>
  <c r="B8" i="24"/>
  <c r="D8" i="24" s="1"/>
  <c r="K38" i="23"/>
  <c r="K37" i="23"/>
  <c r="K36" i="23"/>
  <c r="K35" i="23"/>
  <c r="K34" i="23"/>
  <c r="K33" i="23"/>
  <c r="K32" i="23"/>
  <c r="K31" i="23"/>
  <c r="K30" i="23"/>
  <c r="D17" i="23"/>
  <c r="K17" i="23" s="1"/>
  <c r="D16" i="23"/>
  <c r="K16" i="23" s="1"/>
  <c r="D15" i="23"/>
  <c r="K15" i="23" s="1"/>
  <c r="D14" i="23"/>
  <c r="K14" i="23" s="1"/>
  <c r="D13" i="23"/>
  <c r="K13" i="23" s="1"/>
  <c r="D12" i="23"/>
  <c r="K12" i="23" s="1"/>
  <c r="D11" i="23"/>
  <c r="K11" i="23" s="1"/>
  <c r="D10" i="23"/>
  <c r="K10" i="23" s="1"/>
  <c r="D9" i="23"/>
  <c r="K9" i="23" s="1"/>
  <c r="D8" i="23"/>
  <c r="K8" i="23" s="1"/>
  <c r="F8" i="24" l="1"/>
  <c r="F15" i="8" s="1"/>
  <c r="B9" i="24"/>
  <c r="D9" i="24" s="1"/>
  <c r="D41" i="23"/>
  <c r="K41" i="23" s="1"/>
  <c r="D40" i="23"/>
  <c r="K40" i="23" s="1"/>
  <c r="D39" i="23"/>
  <c r="K39" i="23" s="1"/>
  <c r="B10" i="24" l="1"/>
  <c r="D10" i="24" s="1"/>
  <c r="F9" i="24"/>
  <c r="F16" i="8" s="1"/>
  <c r="F10" i="24" l="1"/>
  <c r="F17" i="8" s="1"/>
  <c r="B11" i="24"/>
  <c r="D11" i="24" s="1"/>
  <c r="H25" i="21"/>
  <c r="A3" i="8"/>
  <c r="B12" i="24" l="1"/>
  <c r="D12" i="24" s="1"/>
  <c r="F11" i="24"/>
  <c r="F18" i="8" s="1"/>
  <c r="F12" i="24" l="1"/>
  <c r="F19" i="8" s="1"/>
  <c r="B13" i="24"/>
  <c r="D13" i="24" s="1"/>
  <c r="I7" i="19"/>
  <c r="A6" i="19"/>
  <c r="B14" i="24" l="1"/>
  <c r="D14" i="24" s="1"/>
  <c r="F13" i="24"/>
  <c r="F20" i="8" s="1"/>
  <c r="H25" i="22"/>
  <c r="L25" i="22" s="1"/>
  <c r="M25" i="22" s="1"/>
  <c r="L34" i="22"/>
  <c r="K27" i="22"/>
  <c r="G27" i="22"/>
  <c r="C27" i="22"/>
  <c r="D27" i="22"/>
  <c r="L26" i="22"/>
  <c r="M26" i="22" s="1"/>
  <c r="I26" i="22"/>
  <c r="E26" i="22"/>
  <c r="C26" i="22"/>
  <c r="C25" i="22"/>
  <c r="E25" i="22" s="1"/>
  <c r="F14" i="24" l="1"/>
  <c r="F21" i="8" s="1"/>
  <c r="B15" i="24"/>
  <c r="D15" i="24" s="1"/>
  <c r="I25" i="22"/>
  <c r="F15" i="24" l="1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D27" i="6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D22" i="23" l="1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D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D16" i="6" s="1"/>
  <c r="B63" i="23"/>
  <c r="D63" i="23" s="1"/>
  <c r="K63" i="23" s="1"/>
  <c r="I66" i="23"/>
  <c r="D12" i="6" s="1"/>
  <c r="I68" i="23"/>
  <c r="H68" i="23"/>
  <c r="H66" i="23"/>
  <c r="D10" i="6" s="1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E24" i="22"/>
  <c r="C24" i="22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I19" i="22" l="1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L27" i="22" l="1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D24" i="6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6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D22" i="6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D26" i="6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H25" i="14"/>
  <c r="H27" i="14" s="1"/>
  <c r="E25" i="14"/>
  <c r="G25" i="14"/>
  <c r="G27" i="14" s="1"/>
  <c r="F25" i="14"/>
  <c r="F27" i="14" s="1"/>
  <c r="E21" i="2"/>
  <c r="D16" i="15" s="1"/>
  <c r="F31" i="1"/>
  <c r="D74" i="14" s="1"/>
  <c r="E24" i="1"/>
  <c r="D14" i="18"/>
  <c r="F52" i="15" l="1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D25" i="6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E38" i="1" s="1"/>
  <c r="D13" i="14"/>
  <c r="E13" i="14" l="1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<sst xmlns="http://schemas.openxmlformats.org/spreadsheetml/2006/main" count="737" uniqueCount="257">
  <si>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</si>
  <si>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</si>
  <si>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</si>
  <si>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</si>
  <si>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</si>
  <si>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</si>
  <si>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</si>
  <si>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</si>
  <si>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</si>
  <si>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</si>
  <si>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</si>
  <si>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</si>
  <si>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</si>
  <si>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</si>
  <si>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</si>
  <si>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</si>
  <si>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</si>
  <si>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</si>
  <si>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</si>
  <si>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</si>
  <si>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</si>
  <si>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</si>
  <si>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</si>
  <si>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</si>
  <si>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</si>
  <si>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</si>
  <si>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</si>
  <si>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</si>
  <si>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</si>
  <si>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</si>
  <si>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</si>
  <si>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</si>
  <si>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</si>
  <si>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</si>
  <si>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</si>
  <si>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</si>
  <si>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</si>
  <si>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</si>
  <si>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</si>
  <si>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</si>
  <si>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</si>
  <si>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</si>
  <si>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</si>
  <si>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</si>
  <si>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</si>
  <si>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</si>
  <si>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</si>
  <si>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</si>
  <si>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</si>
  <si>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</si>
  <si>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</si>
  <si>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</si>
  <si>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</si>
  <si>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</si>
  <si>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</si>
  <si>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</si>
  <si>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</si>
  <si>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</si>
  <si>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</si>
  <si>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</si>
  <si>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</si>
  <si>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</si>
  <si>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</si>
  <si>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</si>
  <si>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</si>
  <si>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</si>
  <si>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</si>
  <si>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</si>
  <si>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</si>
  <si>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</si>
  <si>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</si>
  <si>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</si>
  <si>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</si>
  <si>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</si>
  <si>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</si>
  <si>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</si>
  <si>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</si>
  <si>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</si>
  <si>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</si>
  <si>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</si>
  <si>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</si>
  <si>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</si>
  <si>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</si>
  <si>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</si>
  <si>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</si>
  <si>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</si>
  <si>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</si>
  <si>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</si>
  <si>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</si>
  <si>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</si>
  <si>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</si>
  <si>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</si>
  <si>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</si>
  <si>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</si>
  <si>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</si>
  <si>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</si>
  <si>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</si>
  <si>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</si>
  <si>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</si>
  <si>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</si>
  <si>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</si>
  <si>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</si>
  <si>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</si>
  <si>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</si>
  <si>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</si>
  <si>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</si>
  <si>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</si>
  <si>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</si>
  <si>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</si>
  <si>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</si>
  <si>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</si>
  <si>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</si>
  <si>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</si>
  <si>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</si>
  <si>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</si>
  <si>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</si>
  <si>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</si>
  <si>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</si>
  <si>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</si>
  <si>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</si>
  <si>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</si>
  <si>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</si>
  <si>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</si>
  <si>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</si>
  <si>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</si>
  <si>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</si>
  <si>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</si>
  <si>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</si>
  <si>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</si>
  <si>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</si>
  <si>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</si>
  <si>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</si>
  <si>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</si>
  <si>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</si>
  <si>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</si>
  <si>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</si>
  <si>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</si>
  <si>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</si>
  <si>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</si>
  <si>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</si>
  <si>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</si>
  <si>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</si>
  <si>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</si>
  <si>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</si>
  <si>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</si>
  <si>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</si>
  <si>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</si>
  <si>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</si>
  <si>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</si>
  <si>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</si>
  <si>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</si>
  <si>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</si>
  <si>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</si>
  <si>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</si>
  <si>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</si>
  <si>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</si>
  <si>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</si>
  <si>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</si>
  <si>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</si>
  <si>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</si>
  <si>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</si>
  <si>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</si>
  <si>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</si>
  <si>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</si>
  <si>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</si>
  <si>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</si>
  <si>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</si>
  <si>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</si>
  <si>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</si>
  <si>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</si>
  <si>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</si>
  <si>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</si>
  <si>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</si>
  <si>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</si>
  <si>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</si>
  <si>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</si>
  <si>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</si>
  <si>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</si>
  <si>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</si>
  <si>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</si>
  <si>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</si>
  <si>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</si>
  <si>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</si>
  <si>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</si>
  <si>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</si>
  <si>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</si>
  <si>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</si>
  <si>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</si>
  <si>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</si>
  <si>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</si>
  <si>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</si>
  <si>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</si>
  <si>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</si>
  <si>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</si>
  <si>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</si>
  <si>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</si>
  <si>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</si>
  <si>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</si>
  <si>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</si>
  <si>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</si>
  <si>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</si>
  <si>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</si>
  <si>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</si>
  <si>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</si>
  <si>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</si>
  <si>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</si>
  <si>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</si>
  <si>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</si>
  <si>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</si>
  <si>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</si>
  <si>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</si>
  <si>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</si>
  <si>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</si>
  <si>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</si>
  <si>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</si>
  <si>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</si>
  <si>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</si>
  <si>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</si>
  <si>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</si>
  <si>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</si>
  <si>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</si>
  <si>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</si>
  <si>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</si>
  <si>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</si>
  <si>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</si>
  <si>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</si>
  <si>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</si>
  <si>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</si>
  <si>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</si>
  <si>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</si>
  <si>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</si>
  <si>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</si>
  <si>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</si>
  <si>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</si>
  <si>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</si>
  <si>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</si>
  <si>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</si>
  <si>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</si>
  <si>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</si>
  <si>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</si>
  <si>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</si>
  <si>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</si>
  <si>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</si>
  <si>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</si>
  <si>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</si>
  <si>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</si>
  <si>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</si>
  <si>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</si>
  <si>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</si>
  <si>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</si>
  <si>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Average - Twelve Months Ended December 31, 2019</t>
  </si>
  <si>
    <t>Adjustment in Results of Operations</t>
  </si>
  <si>
    <t>Adjustment for Finalizing Tax Return</t>
  </si>
  <si>
    <t>ED.AN</t>
  </si>
  <si>
    <t>GD.AN</t>
  </si>
  <si>
    <t>GD.OR</t>
  </si>
  <si>
    <t>Amount per ROO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</si>
</sst>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L34" sqref="L34"/>
    </sheetView>
  </sheetViews>
  <sheetFormatPr defaultColWidth="11.42578125" defaultRowHeight="12.75"/>
  <cols>
    <col min="1" max="1" width="16.5703125" style="1" customWidth="1"/>
    <col min="2" max="2" width="23.140625" style="1" customWidth="1"/>
    <col min="3" max="3" width="6.42578125" style="1" customWidth="1"/>
    <col min="4" max="6" width="13.7109375" style="1" customWidth="1"/>
    <col min="7" max="7" width="5.5703125" style="1" customWidth="1"/>
    <col min="8" max="8" width="24.85546875" style="1" customWidth="1"/>
    <col min="9" max="9" width="17.5703125" style="1" bestFit="1" customWidth="1"/>
    <col min="10" max="10" width="13.42578125" style="1" bestFit="1" customWidth="1"/>
    <col min="11" max="16384" width="11.425781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Average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-11241199</v>
      </c>
      <c r="E10" s="4">
        <f>D10*E41</f>
        <v>-7378723.0236</v>
      </c>
      <c r="F10" s="4">
        <f>D10*F41</f>
        <v>-3862475.9764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-186628370</v>
      </c>
      <c r="E11" s="4">
        <f>D11*E41</f>
        <v>-122502862.068</v>
      </c>
      <c r="F11" s="4">
        <f>D11*F41</f>
        <v>-64125507.932000004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-102249587</v>
      </c>
      <c r="E12" s="4">
        <f>D12*E41</f>
        <v>-67116628.906800002</v>
      </c>
      <c r="F12" s="4">
        <f>D12*F41</f>
        <v>-35132958.093199998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-237335119</v>
      </c>
      <c r="E13" s="4">
        <f>D13*E43</f>
        <v>-162648130.40188998</v>
      </c>
      <c r="F13" s="4">
        <f>D13*F43</f>
        <v>-74686988.598110005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-14980069</v>
      </c>
      <c r="E14" s="4">
        <f>D14*E45</f>
        <v>-10276027.732620001</v>
      </c>
      <c r="F14" s="4">
        <f>D14*F45</f>
        <v>-4704041.2673799992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-62036201.415706187</v>
      </c>
      <c r="E16" s="4">
        <f>D16*E42</f>
        <v>-42922227.397512957</v>
      </c>
      <c r="F16" s="4">
        <f>D16*F42</f>
        <v>-19113974.018193234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-608495.67962180008</v>
      </c>
      <c r="E17" s="15">
        <f>D17*E42</f>
        <v>-421012.07577352726</v>
      </c>
      <c r="F17" s="15">
        <f>D17*F42</f>
        <v>-187483.60384827282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-615079041.09532797</v>
      </c>
      <c r="E18" s="4">
        <f>SUM(E10:E17)</f>
        <v>-413265611.60619652</v>
      </c>
      <c r="F18" s="4">
        <f>SUM(F10:F17)</f>
        <v>-201813429.48913151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-6412936.1490416685</v>
      </c>
      <c r="E22" s="16">
        <f>D22*E41</f>
        <v>-4209451.2882309509</v>
      </c>
      <c r="F22" s="16">
        <f>D22*F41</f>
        <v>-2203484.8608107176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252672.46999999997</v>
      </c>
      <c r="E23" s="15">
        <f>D23*E41</f>
        <v>165854.20930799999</v>
      </c>
      <c r="F23" s="15">
        <f>D23*F41</f>
        <v>86818.260691999996</v>
      </c>
      <c r="H23" s="13"/>
      <c r="I23" s="14"/>
    </row>
    <row r="24" spans="1:9">
      <c r="A24" s="1" t="s">
        <v>25</v>
      </c>
      <c r="C24" s="2"/>
      <c r="D24" s="4">
        <f>SUM(D20:D23)</f>
        <v>-6160263.6790416688</v>
      </c>
      <c r="E24" s="4">
        <f t="shared" ref="E24" si="0">SUM(E20:E23)</f>
        <v>-4043597.0789229511</v>
      </c>
      <c r="F24" s="4">
        <f>SUM(F20:F23)</f>
        <v>-2116666.6001187176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5" thickBot="1">
      <c r="A26" s="1" t="s">
        <v>26</v>
      </c>
      <c r="D26" s="17">
        <f>D18+D24</f>
        <v>-621239304.7743696</v>
      </c>
      <c r="E26" s="17">
        <f>E18+E24</f>
        <v>-417309208.68511945</v>
      </c>
      <c r="F26" s="17">
        <f>F18+F24</f>
        <v>-203930096.08925024</v>
      </c>
      <c r="H26" s="13" t="s">
        <v>27</v>
      </c>
      <c r="I26" s="136">
        <f>SUM(I15:I21)</f>
        <v>4712124856</v>
      </c>
    </row>
    <row r="27" spans="1:9" ht="13.5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-1035187.75836</v>
      </c>
      <c r="E28" s="136">
        <f>D28*E42</f>
        <v>-716236.05813170038</v>
      </c>
      <c r="F28" s="136">
        <f>D28*F42</f>
        <v>-318951.7002282996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89510.560000000012</v>
      </c>
      <c r="E29" s="4">
        <f>D29*E41</f>
        <v>58754.731584000008</v>
      </c>
      <c r="F29" s="4">
        <f>D29*F41</f>
        <v>30755.828416000004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-159200.5019913</v>
      </c>
      <c r="E30" s="16">
        <f>D30*E42</f>
        <v>-110149.23532276056</v>
      </c>
      <c r="F30" s="16">
        <f>D30*F42</f>
        <v>-49051.266668539443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-1257247.2444768003</v>
      </c>
      <c r="E31" s="15">
        <f>D31*E44</f>
        <v>-846592.57701334311</v>
      </c>
      <c r="F31" s="15">
        <f>D31*F44</f>
        <v>-410654.66746345727</v>
      </c>
      <c r="H31" s="6"/>
      <c r="I31" s="18"/>
    </row>
    <row r="32" spans="1:9">
      <c r="A32" s="1" t="s">
        <v>29</v>
      </c>
      <c r="D32" s="15">
        <f>SUM(D28:D31)</f>
        <v>-2362124.9448281005</v>
      </c>
      <c r="E32" s="15">
        <f t="shared" ref="E32:F32" si="1">SUM(E28:E31)</f>
        <v>-1614223.138883804</v>
      </c>
      <c r="F32" s="15">
        <f t="shared" si="1"/>
        <v>-747901.8059442963</v>
      </c>
      <c r="H32" s="6"/>
      <c r="I32" s="20"/>
    </row>
    <row r="33" spans="1:9">
      <c r="D33" s="4"/>
      <c r="E33" s="4"/>
      <c r="F33" s="4"/>
      <c r="I33" s="21"/>
    </row>
    <row r="34" spans="1:9" ht="13.5" thickBot="1">
      <c r="A34" s="1" t="s">
        <v>30</v>
      </c>
      <c r="C34" s="169" t="s">
        <v>231</v>
      </c>
      <c r="D34" s="202">
        <f>D26+D32</f>
        <v>-623601429.71919775</v>
      </c>
      <c r="E34" s="33">
        <f>E26+E32</f>
        <v>-418923431.82400328</v>
      </c>
      <c r="F34" s="33">
        <f>F26+F32</f>
        <v>-204677997.89519453</v>
      </c>
      <c r="H34" s="6"/>
      <c r="I34" s="11"/>
    </row>
    <row r="35" spans="1:9" ht="13.5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-620628718</v>
      </c>
      <c r="E36" s="203">
        <v>-418970869</v>
      </c>
      <c r="F36" s="203">
        <v>-201657849</v>
      </c>
    </row>
    <row r="37" spans="1:9" ht="13.5" thickBot="1">
      <c r="A37"/>
      <c r="B37"/>
      <c r="C37"/>
      <c r="D37" s="23"/>
      <c r="E37" s="23"/>
      <c r="F37" s="23"/>
    </row>
    <row r="38" spans="1:9" customFormat="1" ht="14.25" thickTop="1" thickBot="1">
      <c r="A38" t="s">
        <v>31</v>
      </c>
      <c r="D38" s="23">
        <f>D34-D36</f>
        <v>-2972711.7191977501</v>
      </c>
      <c r="E38" s="204">
        <f>E34-E36</f>
        <v>47437.175996720791</v>
      </c>
      <c r="F38" s="24">
        <f>F34-F36</f>
        <v>-3020148.8951945305</v>
      </c>
      <c r="H38" s="24"/>
      <c r="I38" s="1"/>
    </row>
    <row r="39" spans="1:9" customFormat="1" ht="13.5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7.425781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2.5703125" style="1" bestFit="1" customWidth="1"/>
    <col min="8" max="8" width="12.28515625" style="1" hidden="1" customWidth="1"/>
    <col min="9" max="9" width="13.140625" style="1" bestFit="1" customWidth="1"/>
    <col min="10" max="10" width="13.140625" style="88" bestFit="1" customWidth="1"/>
    <col min="11" max="11" width="8.140625" style="1" bestFit="1" customWidth="1"/>
    <col min="12" max="12" width="12.140625" style="1" customWidth="1"/>
    <col min="13" max="13" width="14" style="1" customWidth="1"/>
    <col min="14" max="16384" width="9.140625" style="1"/>
  </cols>
  <sheetData>
    <row r="2" spans="1:10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8.25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5.42578125" style="1" bestFit="1" customWidth="1"/>
    <col min="4" max="4" width="14.5703125" style="1" customWidth="1"/>
    <col min="5" max="5" width="14.85546875" style="1" bestFit="1" customWidth="1"/>
    <col min="6" max="6" width="9.140625" style="1"/>
    <col min="7" max="7" width="11.28515625" style="1" hidden="1" customWidth="1"/>
    <col min="8" max="8" width="12.7109375" style="1" customWidth="1"/>
    <col min="9" max="9" width="12.140625" style="1" customWidth="1"/>
    <col min="10" max="10" width="14" style="1" customWidth="1"/>
    <col min="11" max="16384" width="9.140625" style="1"/>
  </cols>
  <sheetData>
    <row r="2" spans="1:7" ht="38.25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8.25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251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252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D29" sqref="D29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7.7109375" bestFit="1" customWidth="1"/>
    <col min="5" max="5" width="14.7109375" customWidth="1"/>
    <col min="6" max="7" width="16.5703125" bestFit="1" customWidth="1"/>
    <col min="8" max="8" width="17.28515625" bestFit="1" customWidth="1"/>
    <col min="9" max="9" width="16.5703125" bestFit="1" customWidth="1"/>
    <col min="10" max="10" width="14.140625" customWidth="1"/>
    <col min="11" max="11" width="1.7109375" customWidth="1"/>
    <col min="12" max="12" width="32.140625" bestFit="1" customWidth="1"/>
    <col min="13" max="13" width="14.85546875" style="1" customWidth="1"/>
    <col min="14" max="14" width="2.42578125" style="1" customWidth="1"/>
    <col min="15" max="15" width="13.14062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Average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-7378723.0236</v>
      </c>
      <c r="E8" s="110">
        <v>0</v>
      </c>
      <c r="F8" s="110">
        <f>D8</f>
        <v>-7378723.0236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-122502862.068</v>
      </c>
      <c r="E9" s="23">
        <v>0</v>
      </c>
      <c r="F9" s="23">
        <f t="shared" ref="E9:F14" si="0">IF($C9="P",$D9,0)</f>
        <v>-122502862.068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-67116628.906800002</v>
      </c>
      <c r="E10" s="23">
        <f t="shared" si="0"/>
        <v>0</v>
      </c>
      <c r="F10" s="23">
        <f t="shared" si="0"/>
        <v>0</v>
      </c>
      <c r="G10" s="23">
        <f t="shared" si="1"/>
        <v>-67116628.906800002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-162648130.40188998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-162648130.40188998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-10276027.732620001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-10276027.732620001</v>
      </c>
      <c r="M12" s="155"/>
    </row>
    <row r="13" spans="1:13">
      <c r="A13" t="s">
        <v>127</v>
      </c>
      <c r="C13" s="28" t="s">
        <v>125</v>
      </c>
      <c r="D13" s="23">
        <f>'Elec-Dec19'!E16</f>
        <v>-42922227.397512957</v>
      </c>
      <c r="E13" s="23">
        <f>D13*O26</f>
        <v>-12985888.983577147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-29936338.413935807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-421012.07577352726</v>
      </c>
      <c r="E14" s="32">
        <f>D14*O26</f>
        <v>-127374.93853958711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-293637.13723394013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-413265611.60619652</v>
      </c>
      <c r="E15" s="23">
        <f t="shared" si="3"/>
        <v>-13113263.922116734</v>
      </c>
      <c r="F15" s="23">
        <f t="shared" si="3"/>
        <v>-129881585.0916</v>
      </c>
      <c r="G15" s="23">
        <f t="shared" si="3"/>
        <v>-67116628.906800002</v>
      </c>
      <c r="H15" s="23">
        <f t="shared" si="3"/>
        <v>-162648130.40188998</v>
      </c>
      <c r="I15" s="23">
        <f t="shared" si="3"/>
        <v>-40506003.283789754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-4209451.2882309509</v>
      </c>
      <c r="E18" s="23">
        <v>0</v>
      </c>
      <c r="F18" s="23">
        <f>IF($C18="P",$D18,0)</f>
        <v>-4209451.2882309509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165854.20930799999</v>
      </c>
      <c r="E19" s="23"/>
      <c r="F19" s="23">
        <f>D19</f>
        <v>165854.20930799999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-417309208.68511945</v>
      </c>
      <c r="E20" s="112">
        <f t="shared" ref="E20:I20" si="4">SUM(E15:E19)</f>
        <v>-13113263.922116734</v>
      </c>
      <c r="F20" s="112">
        <f t="shared" si="4"/>
        <v>-133925182.17052296</v>
      </c>
      <c r="G20" s="112">
        <f t="shared" si="4"/>
        <v>-67116628.906800002</v>
      </c>
      <c r="H20" s="112">
        <f t="shared" si="4"/>
        <v>-162648130.40188998</v>
      </c>
      <c r="I20" s="112">
        <f t="shared" si="4"/>
        <v>-40506003.283789754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58754.731584000008</v>
      </c>
      <c r="E22" s="23">
        <v>0</v>
      </c>
      <c r="F22" s="23">
        <f>IF($C22="P",$D22,0)</f>
        <v>58754.731584000008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-0.57701334310695529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-716236.05813170038</v>
      </c>
      <c r="E23" s="23"/>
      <c r="F23" s="23"/>
      <c r="G23" s="23"/>
      <c r="H23" s="23"/>
      <c r="I23" s="23">
        <f>IF($C23="O",$D23,0)</f>
        <v>-716236.05813170038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-110149.23532276056</v>
      </c>
      <c r="E24" s="23">
        <f>D24</f>
        <v>-110149.23532276056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-846592.57701334311</v>
      </c>
      <c r="E25" s="23">
        <f>ROUND($D$25*E32,0)</f>
        <v>-16900</v>
      </c>
      <c r="F25" s="23">
        <f>ROUND($D$25*F32,0)</f>
        <v>-259397</v>
      </c>
      <c r="G25" s="23">
        <f>ROUND($D$25*G32,0)</f>
        <v>-138130</v>
      </c>
      <c r="H25" s="23">
        <f>ROUND($D$25*H32,0)</f>
        <v>-323582</v>
      </c>
      <c r="I25" s="23">
        <f>ROUND($D$25*I32,0)</f>
        <v>-108583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-1614223.138883804</v>
      </c>
      <c r="E27" s="112">
        <f t="shared" si="5"/>
        <v>-127049.23532276056</v>
      </c>
      <c r="F27" s="112">
        <f t="shared" si="5"/>
        <v>-200642.26841600001</v>
      </c>
      <c r="G27" s="112">
        <f t="shared" si="5"/>
        <v>-138130</v>
      </c>
      <c r="H27" s="112">
        <f t="shared" si="5"/>
        <v>-323582</v>
      </c>
      <c r="I27" s="112">
        <f t="shared" si="5"/>
        <v>-824819.05813170038</v>
      </c>
      <c r="J27" s="23">
        <f>D29-E29-F29-G29-H29-I29</f>
        <v>-0.57701339572668076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5" thickBot="1">
      <c r="A29" t="s">
        <v>30</v>
      </c>
      <c r="C29" s="171" t="s">
        <v>233</v>
      </c>
      <c r="D29" s="114">
        <f t="shared" ref="D29:I29" si="6">D20+D27</f>
        <v>-418923431.82400328</v>
      </c>
      <c r="E29" s="114">
        <f t="shared" si="6"/>
        <v>-13240313.157439495</v>
      </c>
      <c r="F29" s="114">
        <f t="shared" si="6"/>
        <v>-134125824.43893896</v>
      </c>
      <c r="G29" s="114">
        <f t="shared" si="6"/>
        <v>-67254758.906800002</v>
      </c>
      <c r="H29" s="114">
        <f t="shared" si="6"/>
        <v>-162971712.40188998</v>
      </c>
      <c r="I29" s="114">
        <f t="shared" si="6"/>
        <v>-41330822.341921456</v>
      </c>
      <c r="M29" s="115"/>
    </row>
    <row r="30" spans="1:15" ht="13.5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-418924000</v>
      </c>
      <c r="E33" s="52">
        <f>ROUND(E29,-3)</f>
        <v>-13240000</v>
      </c>
      <c r="F33" s="52">
        <f>ROUND(F29,-3)</f>
        <v>-134126000</v>
      </c>
      <c r="G33" s="52">
        <f>ROUND(G29,-3)</f>
        <v>-67255000</v>
      </c>
      <c r="H33" s="52">
        <f>ROUND(H29,-3)</f>
        <v>-162972000</v>
      </c>
      <c r="I33" s="52">
        <f>ROUND(I29,-3)</f>
        <v>-41331000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-418923000</v>
      </c>
      <c r="E45" s="179">
        <f t="shared" si="7"/>
        <v>-13240000</v>
      </c>
      <c r="F45" s="179">
        <f t="shared" si="7"/>
        <v>-134126000</v>
      </c>
      <c r="G45" s="179">
        <f t="shared" si="7"/>
        <v>-67255000</v>
      </c>
      <c r="H45" s="179">
        <f t="shared" si="7"/>
        <v>-162972000</v>
      </c>
      <c r="I45" s="179">
        <f t="shared" si="7"/>
        <v>-41331000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5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Average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-3862475.9764</v>
      </c>
      <c r="E57" s="110">
        <v>0</v>
      </c>
      <c r="F57" s="110">
        <f>D57</f>
        <v>-3862475.9764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-64125507.932000004</v>
      </c>
      <c r="E58" s="23">
        <v>0</v>
      </c>
      <c r="F58" s="23">
        <f t="shared" ref="E58:F63" si="8">IF($C58="P",$D58,0)</f>
        <v>-64125507.932000004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-35132958.093199998</v>
      </c>
      <c r="E59" s="23">
        <f t="shared" si="8"/>
        <v>0</v>
      </c>
      <c r="F59" s="23">
        <f t="shared" si="8"/>
        <v>0</v>
      </c>
      <c r="G59" s="23">
        <f t="shared" si="9"/>
        <v>-35132958.093199998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-74686988.598110005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-74686988.598110005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-4704041.2673799992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-4704041.2673799992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-19113974.018193234</v>
      </c>
      <c r="E62" s="23">
        <f>D62*O73</f>
        <v>13277945.420223549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-32391919.438416786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-187483.60384827282</v>
      </c>
      <c r="E63" s="32">
        <f>D63*O73</f>
        <v>130239.63811579424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-317723.2419640671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-201813429.48913151</v>
      </c>
      <c r="E64" s="23">
        <f t="shared" si="11"/>
        <v>13408185.058339342</v>
      </c>
      <c r="F64" s="23">
        <f t="shared" si="11"/>
        <v>-67987983.908399999</v>
      </c>
      <c r="G64" s="23">
        <f t="shared" si="11"/>
        <v>-35132958.093199998</v>
      </c>
      <c r="H64" s="23">
        <f t="shared" si="11"/>
        <v>-74686988.598110005</v>
      </c>
      <c r="I64" s="23">
        <f t="shared" si="11"/>
        <v>-37413683.94776085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-2203484.8608107176</v>
      </c>
      <c r="E67" s="23">
        <v>0</v>
      </c>
      <c r="F67" s="23">
        <f>IF($C67="P",$D67,0)</f>
        <v>-2203484.8608107176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86818.260691999996</v>
      </c>
      <c r="E68" s="23"/>
      <c r="F68" s="23">
        <f>IF($C68="P",$D68,0)</f>
        <v>86818.260691999996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-203930096.08925024</v>
      </c>
      <c r="E69" s="112">
        <f t="shared" ref="E69:I69" si="12">SUM(E64:E68)</f>
        <v>13408185.058339342</v>
      </c>
      <c r="F69" s="112">
        <f t="shared" si="12"/>
        <v>-70104650.508518711</v>
      </c>
      <c r="G69" s="112">
        <f t="shared" si="12"/>
        <v>-35132958.093199998</v>
      </c>
      <c r="H69" s="112">
        <f t="shared" si="12"/>
        <v>-74686988.598110005</v>
      </c>
      <c r="I69" s="112">
        <f t="shared" si="12"/>
        <v>-37413683.94776085</v>
      </c>
      <c r="J69" s="23">
        <f>D74-E74-F74-G74-H74-I74</f>
        <v>0.33253654272994027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30755.828416000004</v>
      </c>
      <c r="E71" s="23">
        <v>0</v>
      </c>
      <c r="F71" s="23">
        <f>IF($C71="P",$D71,0)</f>
        <v>30755.828416000004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-318951.7002282996</v>
      </c>
      <c r="E72" s="23"/>
      <c r="F72" s="23"/>
      <c r="G72" s="23"/>
      <c r="H72" s="23"/>
      <c r="I72" s="23">
        <f>IF($C72="O",$D72,0)</f>
        <v>-318951.7002282996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-49051.266668539443</v>
      </c>
      <c r="E73" s="23">
        <f>D73</f>
        <v>-49051.266668539443</v>
      </c>
      <c r="F73" s="23"/>
      <c r="G73" s="23"/>
      <c r="H73" s="23"/>
      <c r="I73" s="23"/>
      <c r="J73" s="23">
        <f>D77-E77-F77-G77-H77-I77</f>
        <v>0.33253652602434158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-410654.66746345727</v>
      </c>
      <c r="E74" s="23">
        <f>ROUND($D$74*E80,0)</f>
        <v>-26906</v>
      </c>
      <c r="F74" s="23">
        <f>ROUND($D$74*F80,0)</f>
        <v>-132382</v>
      </c>
      <c r="G74" s="23">
        <f>ROUND($D$74*G80,0)</f>
        <v>-70385</v>
      </c>
      <c r="H74" s="23">
        <f>ROUND($D$74*H80,0)</f>
        <v>-160490</v>
      </c>
      <c r="I74" s="23">
        <f>ROUND($D$74*I80,0)</f>
        <v>-20492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-747901.8059442963</v>
      </c>
      <c r="E75" s="112">
        <f t="shared" si="13"/>
        <v>-75957.266668539436</v>
      </c>
      <c r="F75" s="112">
        <f t="shared" si="13"/>
        <v>-101626.171584</v>
      </c>
      <c r="G75" s="112">
        <f t="shared" si="13"/>
        <v>-70385</v>
      </c>
      <c r="H75" s="112">
        <f t="shared" si="13"/>
        <v>-160490</v>
      </c>
      <c r="I75" s="112">
        <f t="shared" si="13"/>
        <v>-339443.7002282996</v>
      </c>
      <c r="P75" s="1"/>
    </row>
    <row r="76" spans="1:16">
      <c r="D76" s="23"/>
      <c r="P76" s="1"/>
    </row>
    <row r="77" spans="1:16" ht="13.5" thickBot="1">
      <c r="A77" t="s">
        <v>30</v>
      </c>
      <c r="D77" s="114">
        <f t="shared" ref="D77:I77" si="14">D69+D75</f>
        <v>-204677997.89519453</v>
      </c>
      <c r="E77" s="114">
        <f t="shared" si="14"/>
        <v>13332227.791670803</v>
      </c>
      <c r="F77" s="114">
        <f t="shared" si="14"/>
        <v>-70206276.680102706</v>
      </c>
      <c r="G77" s="114">
        <f t="shared" si="14"/>
        <v>-35203343.093199998</v>
      </c>
      <c r="H77" s="114">
        <f t="shared" si="14"/>
        <v>-74847478.598110005</v>
      </c>
      <c r="I77" s="114">
        <f t="shared" si="14"/>
        <v>-37753127.647989146</v>
      </c>
      <c r="P77" s="1"/>
    </row>
    <row r="78" spans="1:16" ht="13.5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selection activeCell="F16" sqref="F16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5.140625" customWidth="1"/>
    <col min="5" max="5" width="14.7109375" customWidth="1"/>
    <col min="6" max="6" width="14.140625" customWidth="1"/>
    <col min="7" max="7" width="17.28515625" bestFit="1" customWidth="1"/>
    <col min="8" max="8" width="16.5703125" bestFit="1" customWidth="1"/>
    <col min="9" max="9" width="14.140625" customWidth="1"/>
    <col min="10" max="10" width="1.7109375" customWidth="1"/>
    <col min="11" max="11" width="32.140625" bestFit="1" customWidth="1"/>
    <col min="12" max="12" width="19.5703125" style="1" customWidth="1"/>
    <col min="13" max="13" width="2.42578125" style="1" customWidth="1"/>
    <col min="14" max="14" width="13.14062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Average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-596569.27399999998</v>
      </c>
      <c r="E8" s="110">
        <f>D8</f>
        <v>-596569.27399999998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-3825846.872</v>
      </c>
      <c r="E9" s="23">
        <v>0</v>
      </c>
      <c r="F9" s="23">
        <f>D9</f>
        <v>-3825846.872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-68264430.120250002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-68264430.120250002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-5602627.4872599998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-5602627.4872599998</v>
      </c>
      <c r="L11" s="115"/>
    </row>
    <row r="12" spans="1:12">
      <c r="A12" t="s">
        <v>127</v>
      </c>
      <c r="C12" s="28" t="s">
        <v>125</v>
      </c>
      <c r="D12" s="23">
        <f>'Gas North-Dec19'!E15</f>
        <v>-13088798.279023802</v>
      </c>
      <c r="E12" s="23">
        <f>D12*N23</f>
        <v>-3548904.581716435</v>
      </c>
      <c r="F12" s="23">
        <f t="shared" si="0"/>
        <v>0</v>
      </c>
      <c r="G12" s="23">
        <f>IF($C12="D",$D12,0)</f>
        <v>0</v>
      </c>
      <c r="H12" s="23">
        <f>D12*N22</f>
        <v>-9539893.697307365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-121307.72381719737</v>
      </c>
      <c r="E13" s="32">
        <f>D13*N23</f>
        <v>-32891.448678094552</v>
      </c>
      <c r="F13" s="32">
        <f t="shared" si="0"/>
        <v>0</v>
      </c>
      <c r="G13" s="32">
        <f>IF($C13="D",$D13,0)</f>
        <v>0</v>
      </c>
      <c r="H13" s="32">
        <f>D13*N22</f>
        <v>-88416.2751391028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-91499579.756350994</v>
      </c>
      <c r="E14" s="23">
        <f>SUM(E8:E13)</f>
        <v>-4178365.3043945297</v>
      </c>
      <c r="F14" s="23">
        <f>SUM(F8:F13)</f>
        <v>-3825846.872</v>
      </c>
      <c r="G14" s="23">
        <f>SUM(G8:G13)</f>
        <v>-68264430.120250002</v>
      </c>
      <c r="H14" s="23">
        <f>SUM(H8:H13)</f>
        <v>-15230937.459706469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-256389.98362329119</v>
      </c>
      <c r="E16" s="23">
        <f>ROUND($D$16*E29,0)</f>
        <v>-2089</v>
      </c>
      <c r="F16" s="23">
        <f>ROUND($D$16*F29,0)</f>
        <v>-11249</v>
      </c>
      <c r="G16" s="23">
        <f>ROUND($D$16*G29,0)</f>
        <v>-191511</v>
      </c>
      <c r="H16" s="23">
        <f>ROUND($D$16*H29,0)</f>
        <v>-51541</v>
      </c>
      <c r="I16" s="23">
        <f>D16-E16-F16-G16-H16</f>
        <v>1.6376708808820695E-2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-218410.59640796247</v>
      </c>
      <c r="E17" s="23"/>
      <c r="F17" s="23"/>
      <c r="G17" s="23"/>
      <c r="H17" s="23">
        <f>IF($C17="O",$D17,0)</f>
        <v>-218410.59640796247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-33589.149705028445</v>
      </c>
      <c r="E18" s="23">
        <f>D18</f>
        <v>-33589.149705028445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-508389.72973628208</v>
      </c>
      <c r="E19" s="112">
        <f>SUM(E16:E18)</f>
        <v>-35678.149705028445</v>
      </c>
      <c r="F19" s="112">
        <f>SUM(F16:F18)</f>
        <v>-11249</v>
      </c>
      <c r="G19" s="112">
        <f>SUM(G16:G18)</f>
        <v>-191511</v>
      </c>
      <c r="H19" s="112">
        <f>SUM(H16:H18)</f>
        <v>-269951.5964079625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5" thickBot="1">
      <c r="A21" t="s">
        <v>30</v>
      </c>
      <c r="C21" s="171" t="s">
        <v>249</v>
      </c>
      <c r="D21" s="114">
        <f>SUM(D14,D19)</f>
        <v>-92007969.486087278</v>
      </c>
      <c r="E21" s="114">
        <f>SUM(E14,E19)</f>
        <v>-4214043.4540995583</v>
      </c>
      <c r="F21" s="114">
        <f>SUM(F14,F19)</f>
        <v>-3837095.872</v>
      </c>
      <c r="G21" s="114">
        <f>SUM(G14,G19)</f>
        <v>-68455941.120250002</v>
      </c>
      <c r="H21" s="114">
        <f>SUM(H14,H19)</f>
        <v>-15500889.056114431</v>
      </c>
      <c r="I21" s="121">
        <f>D21-E21-F21-G21-H21</f>
        <v>1.637670025229454E-2</v>
      </c>
      <c r="K21" s="105" t="s">
        <v>114</v>
      </c>
      <c r="L21" s="105">
        <v>32352360</v>
      </c>
    </row>
    <row r="22" spans="1:14" ht="13.5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Average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-225230.72600000002</v>
      </c>
      <c r="E43" s="110">
        <f>D43</f>
        <v>-225230.72600000002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-1744693.1280000003</v>
      </c>
      <c r="E44" s="23">
        <v>0</v>
      </c>
      <c r="F44" s="23">
        <f t="shared" ref="E44:F48" si="1">IF($C44="P",$D44,0)</f>
        <v>-1744693.1280000003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-29026854.879750002</v>
      </c>
      <c r="E45" s="23">
        <f t="shared" si="1"/>
        <v>0</v>
      </c>
      <c r="F45" s="23">
        <f t="shared" si="1"/>
        <v>0</v>
      </c>
      <c r="G45" s="23">
        <f>IF($C45="D",$D45,0)</f>
        <v>-29026854.879750002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-1334150.5127399999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-1334150.5127399999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-4941587.9552188972</v>
      </c>
      <c r="E47" s="23">
        <f>D47*N50</f>
        <v>-1687213.9203398945</v>
      </c>
      <c r="F47" s="23">
        <f t="shared" si="1"/>
        <v>0</v>
      </c>
      <c r="G47" s="23">
        <f>IF($C47="D",$D47,0)</f>
        <v>0</v>
      </c>
      <c r="H47" s="23">
        <f>D47*N49</f>
        <v>-3254374.0348790023</v>
      </c>
      <c r="I47" s="23">
        <f>D52-E52-F52-G52-H52</f>
        <v>-9.7789508916321211E-2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-51581.499894335975</v>
      </c>
      <c r="E48" s="32">
        <f>D48*N50</f>
        <v>-17611.550263275509</v>
      </c>
      <c r="F48" s="32">
        <f t="shared" si="1"/>
        <v>0</v>
      </c>
      <c r="G48" s="32">
        <f>IF($C48="D",$D48,0)</f>
        <v>0</v>
      </c>
      <c r="H48" s="32">
        <f>D48*N49</f>
        <v>-33969.949631060459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-37324098.701603234</v>
      </c>
      <c r="E49" s="23">
        <f>SUM(E43:E48)</f>
        <v>-1930056.1966031701</v>
      </c>
      <c r="F49" s="23">
        <f>SUM(F43:F48)</f>
        <v>-1744693.1280000003</v>
      </c>
      <c r="G49" s="23">
        <f>SUM(G43:G48)</f>
        <v>-29026854.879750002</v>
      </c>
      <c r="H49" s="23">
        <f>SUM(H43:H48)</f>
        <v>-4622494.4972500624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-9.7789512015879154E-2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-109020.09778950892</v>
      </c>
      <c r="E52" s="23">
        <f>ROUND($D$52*E60,0)</f>
        <v>-307</v>
      </c>
      <c r="F52" s="23">
        <f>ROUND($D$52*F60,0)</f>
        <v>-4837</v>
      </c>
      <c r="G52" s="23">
        <f>ROUND($D$52*G60,0)</f>
        <v>-89163</v>
      </c>
      <c r="H52" s="23">
        <f>ROUND($D$52*H60,0)</f>
        <v>-14713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-82459.454985370889</v>
      </c>
      <c r="E53" s="23"/>
      <c r="F53" s="23"/>
      <c r="G53" s="23"/>
      <c r="H53" s="23">
        <f>IF($C53="O",$D53,0)</f>
        <v>-82459.454985370889</v>
      </c>
    </row>
    <row r="54" spans="1:14">
      <c r="A54" t="s">
        <v>218</v>
      </c>
      <c r="B54" s="73"/>
      <c r="C54" s="137" t="s">
        <v>120</v>
      </c>
      <c r="D54" s="23">
        <f>'Gas North-Dec19'!F20</f>
        <v>-12681.358064354892</v>
      </c>
      <c r="E54" s="23">
        <f>D54</f>
        <v>-12681.358064354892</v>
      </c>
      <c r="F54" s="23"/>
      <c r="G54" s="23"/>
      <c r="H54" s="23"/>
    </row>
    <row r="55" spans="1:14">
      <c r="A55" t="s">
        <v>29</v>
      </c>
      <c r="D55" s="112">
        <f>SUM(D52:D54)</f>
        <v>-204160.91083923468</v>
      </c>
      <c r="E55" s="112">
        <f>SUM(E52:E54)</f>
        <v>-12988.358064354892</v>
      </c>
      <c r="F55" s="112">
        <f>SUM(F52:F54)</f>
        <v>-4837</v>
      </c>
      <c r="G55" s="112">
        <f>SUM(G52:G54)</f>
        <v>-89163</v>
      </c>
      <c r="H55" s="112">
        <f>SUM(H52:H54)</f>
        <v>-97172.454985370889</v>
      </c>
      <c r="N55" s="105"/>
    </row>
    <row r="56" spans="1:14">
      <c r="D56" s="23"/>
      <c r="N56" s="106"/>
    </row>
    <row r="57" spans="1:14" ht="13.5" thickBot="1">
      <c r="A57" t="s">
        <v>30</v>
      </c>
      <c r="D57" s="114">
        <f>SUM(D49,D55)</f>
        <v>-37528259.612442471</v>
      </c>
      <c r="E57" s="114">
        <f>SUM(E49,E55)</f>
        <v>-1943044.554667525</v>
      </c>
      <c r="F57" s="114">
        <f>SUM(F49,F55)</f>
        <v>-1749530.1280000003</v>
      </c>
      <c r="G57" s="114">
        <f>SUM(G49,G55)</f>
        <v>-29116017.879750002</v>
      </c>
      <c r="H57" s="114">
        <f>SUM(H49,H55)</f>
        <v>-4719666.9522354333</v>
      </c>
      <c r="N57" s="106"/>
    </row>
    <row r="58" spans="1:14" ht="13.5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32" sqref="D32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4" style="45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199" t="s">
        <v>4</v>
      </c>
      <c r="D2" s="200"/>
      <c r="E2" s="201"/>
      <c r="G2" s="199" t="s">
        <v>112</v>
      </c>
      <c r="H2" s="200"/>
      <c r="I2" s="201"/>
      <c r="K2" s="199" t="s">
        <v>159</v>
      </c>
      <c r="L2" s="200"/>
      <c r="M2" s="201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5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5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19" sqref="D19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2.28515625" style="45" bestFit="1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199" t="s">
        <v>4</v>
      </c>
      <c r="D2" s="200"/>
      <c r="E2" s="201"/>
      <c r="G2" s="199" t="s">
        <v>112</v>
      </c>
      <c r="H2" s="200"/>
      <c r="I2" s="201"/>
      <c r="K2" s="199" t="s">
        <v>159</v>
      </c>
      <c r="L2" s="200"/>
      <c r="M2" s="201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5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5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24" sqref="D24"/>
    </sheetView>
  </sheetViews>
  <sheetFormatPr defaultColWidth="11.42578125" defaultRowHeight="12.75"/>
  <cols>
    <col min="1" max="1" width="23.42578125" customWidth="1"/>
    <col min="2" max="2" width="19.85546875" customWidth="1"/>
    <col min="3" max="3" width="6" customWidth="1"/>
    <col min="4" max="6" width="13.7109375" customWidth="1"/>
    <col min="7" max="7" width="3" customWidth="1"/>
    <col min="8" max="8" width="30.85546875" style="1" customWidth="1"/>
    <col min="9" max="9" width="15.85546875" style="1" bestFit="1" customWidth="1"/>
    <col min="10" max="10" width="11.42578125" style="1"/>
    <col min="12" max="12" width="11.710937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Average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-821800</v>
      </c>
      <c r="E10" s="23">
        <f>D10*E34</f>
        <v>-596569.27399999998</v>
      </c>
      <c r="F10" s="23">
        <f>D10*F34</f>
        <v>-225230.72600000002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-5570540</v>
      </c>
      <c r="E11" s="23">
        <f>D11*E33</f>
        <v>-3825846.872</v>
      </c>
      <c r="F11" s="23">
        <f>D11*F33</f>
        <v>-1744693.1280000003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-97291285</v>
      </c>
      <c r="E12" s="23">
        <f>D12*E35</f>
        <v>-68264430.120250002</v>
      </c>
      <c r="F12" s="23">
        <f>D12*F35</f>
        <v>-29026854.879750002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-6936778</v>
      </c>
      <c r="E13" s="23">
        <f>D13*E36</f>
        <v>-5602627.4872599998</v>
      </c>
      <c r="F13" s="23">
        <f>D13*F36</f>
        <v>-1334150.5127399999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-18030386.2342427</v>
      </c>
      <c r="E15" s="24">
        <f>D15*E34</f>
        <v>-13088798.279023802</v>
      </c>
      <c r="F15" s="24">
        <f>D15*F34</f>
        <v>-4941587.9552188972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-172889.22371153336</v>
      </c>
      <c r="E16" s="32">
        <f>D16*E35</f>
        <v>-121307.72381719737</v>
      </c>
      <c r="F16" s="32">
        <f>D16*F35</f>
        <v>-51581.499894335975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-128823678.45795424</v>
      </c>
      <c r="E17" s="4">
        <f>SUM(E10:E16)</f>
        <v>-91499579.756350994</v>
      </c>
      <c r="F17" s="4">
        <f>SUM(F10:F16)</f>
        <v>-37324098.701603234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-300870.05139333336</v>
      </c>
      <c r="E19" s="23">
        <f>D19*E34</f>
        <v>-218410.59640796247</v>
      </c>
      <c r="F19" s="23">
        <f>D19*F34</f>
        <v>-82459.454985370889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-46270.507769383337</v>
      </c>
      <c r="E20" s="24">
        <f>D20*E34</f>
        <v>-33589.149705028445</v>
      </c>
      <c r="F20" s="24">
        <f>D20*F34</f>
        <v>-12681.358064354892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-365410.08141280012</v>
      </c>
      <c r="E21" s="32">
        <f>D21*E35</f>
        <v>-256389.98362329119</v>
      </c>
      <c r="F21" s="32">
        <f>D21*F35</f>
        <v>-109020.09778950892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-712550.64057551674</v>
      </c>
      <c r="E22" s="32">
        <f t="shared" ref="E22:F22" si="0">SUM(E19:E21)</f>
        <v>-508389.72973628214</v>
      </c>
      <c r="F22" s="32">
        <f t="shared" si="0"/>
        <v>-204160.91083923471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5" thickBot="1">
      <c r="A24" t="str">
        <f>'SYS-Dec19'!A30</f>
        <v xml:space="preserve">      Total Deferred FIT</v>
      </c>
      <c r="C24" s="159" t="s">
        <v>232</v>
      </c>
      <c r="D24" s="202">
        <f>D17+D22</f>
        <v>-129536229.09852976</v>
      </c>
      <c r="E24" s="33">
        <f>E17+E22</f>
        <v>-92007969.486087278</v>
      </c>
      <c r="F24" s="33">
        <f>F17+F22</f>
        <v>-37528259.612442471</v>
      </c>
      <c r="H24" s="13" t="s">
        <v>27</v>
      </c>
      <c r="I24" s="10">
        <f>SUM(I14:I21)</f>
        <v>981624128</v>
      </c>
    </row>
    <row r="25" spans="1:9" s="1" customFormat="1" ht="13.5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-129090232</v>
      </c>
      <c r="E26" s="203">
        <v>-91014302</v>
      </c>
      <c r="F26" s="203">
        <v>-38075930</v>
      </c>
      <c r="H26" s="6"/>
      <c r="I26" s="18"/>
    </row>
    <row r="27" spans="1:9" ht="13.5" thickBot="1">
      <c r="D27" s="23"/>
      <c r="E27" s="23"/>
      <c r="F27" s="23"/>
      <c r="H27" s="6"/>
      <c r="I27" s="18"/>
    </row>
    <row r="28" spans="1:9" ht="14.25" thickTop="1" thickBot="1">
      <c r="A28" t="s">
        <v>31</v>
      </c>
      <c r="D28" s="23">
        <f>D24-D26</f>
        <v>-445997.09852975607</v>
      </c>
      <c r="E28" s="204">
        <f>E24-E26</f>
        <v>-993667.48608727753</v>
      </c>
      <c r="F28" s="16">
        <f>F24-F26</f>
        <v>547670.38755752891</v>
      </c>
      <c r="H28" s="6"/>
      <c r="I28" s="18"/>
    </row>
    <row r="29" spans="1:9" ht="13.5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F28" sqref="F28"/>
    </sheetView>
  </sheetViews>
  <sheetFormatPr defaultColWidth="11.42578125" defaultRowHeight="12.75"/>
  <cols>
    <col min="1" max="1" width="25.7109375" customWidth="1"/>
    <col min="2" max="2" width="14.140625" customWidth="1"/>
    <col min="3" max="3" width="2.42578125" customWidth="1"/>
    <col min="4" max="7" width="13.710937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250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AvgCalc!G66</f>
        <v>-552434344.3912499</v>
      </c>
      <c r="E8" s="206">
        <f>D8</f>
        <v>-552434344.3912499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AvgCalc!H66</f>
        <v>-110620402.33180554</v>
      </c>
      <c r="E10" s="4"/>
      <c r="F10" s="207">
        <f>D10</f>
        <v>-110620402.33180554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AvgCalc!I66</f>
        <v>-65022156.208055556</v>
      </c>
      <c r="E12" s="4"/>
      <c r="F12" s="23"/>
      <c r="G12" s="207">
        <f>D12</f>
        <v>-65022156.208055556</v>
      </c>
    </row>
    <row r="13" spans="1:7">
      <c r="D13" s="207"/>
      <c r="E13" s="4"/>
      <c r="F13" s="23"/>
      <c r="G13" s="23"/>
    </row>
    <row r="14" spans="1:7">
      <c r="A14" t="s">
        <v>77</v>
      </c>
      <c r="B14" t="s">
        <v>17</v>
      </c>
      <c r="D14" s="207">
        <f>AvgCalc!D66</f>
        <v>-87897363.789999992</v>
      </c>
      <c r="E14" s="4">
        <f>D14*E34</f>
        <v>-62036201.415706187</v>
      </c>
      <c r="F14" s="23">
        <f>D14*F34</f>
        <v>-18030386.2342427</v>
      </c>
      <c r="G14" s="23">
        <f>D14*G34</f>
        <v>-7830776.1400510995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8">
        <f>AvgCalc!F66</f>
        <v>-781384.90333333344</v>
      </c>
      <c r="E16" s="15">
        <f>D16*E35</f>
        <v>-608495.67962180008</v>
      </c>
      <c r="F16" s="32">
        <f>D16*F35</f>
        <v>-172889.22371153336</v>
      </c>
      <c r="G16" s="32"/>
    </row>
    <row r="17" spans="1:8" ht="13.5" thickBot="1">
      <c r="A17" t="s">
        <v>71</v>
      </c>
      <c r="D17" s="202">
        <f>SUM(D8:D16)</f>
        <v>-816755651.62444437</v>
      </c>
      <c r="E17" s="4">
        <f>SUM(E8:E16)</f>
        <v>-615079041.48657787</v>
      </c>
      <c r="F17" s="23">
        <f>SUM(F9:F16)</f>
        <v>-128823677.78975977</v>
      </c>
      <c r="G17" s="23">
        <f>SUM(G9:G16)</f>
        <v>-72852932.348106652</v>
      </c>
      <c r="H17" s="55"/>
    </row>
    <row r="18" spans="1:8" ht="13.5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7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7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7">
        <f>'CDA DFIT'!E27</f>
        <v>-6412936.1490416685</v>
      </c>
      <c r="E22" s="4">
        <f>D22</f>
        <v>-6412936.1490416685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7">
        <f>'CDA DFIT'!F27</f>
        <v>252672.46999999997</v>
      </c>
      <c r="E23" s="4">
        <f>D23</f>
        <v>252672.46999999997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7">
        <f>'Other DFIT_AMA'!B26</f>
        <v>89510.560000000012</v>
      </c>
      <c r="E24" s="4">
        <f>D24</f>
        <v>89510.560000000012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7">
        <f>'Other DFIT_AMA'!E26</f>
        <v>-225566.75166666668</v>
      </c>
      <c r="E25" s="4">
        <f>D25*E34</f>
        <v>-159200.5019913</v>
      </c>
      <c r="F25" s="4">
        <f>D25*F34</f>
        <v>-46270.507769383337</v>
      </c>
      <c r="G25" s="4">
        <f>D25*G34</f>
        <v>-20095.741905983334</v>
      </c>
    </row>
    <row r="26" spans="1:8">
      <c r="A26" t="s">
        <v>85</v>
      </c>
      <c r="B26" s="57" t="s">
        <v>86</v>
      </c>
      <c r="C26" s="162" t="s">
        <v>230</v>
      </c>
      <c r="D26" s="206">
        <f>'Other DFIT_AMA'!D26</f>
        <v>-1781358.5600000005</v>
      </c>
      <c r="E26" s="4">
        <f>D26*E34</f>
        <v>-1257247.2444768003</v>
      </c>
      <c r="F26" s="4">
        <f>D26*F34</f>
        <v>-365410.08141280012</v>
      </c>
      <c r="G26" s="4">
        <f>D26*G34</f>
        <v>-158701.23411040005</v>
      </c>
    </row>
    <row r="27" spans="1:8">
      <c r="A27" t="s">
        <v>246</v>
      </c>
      <c r="B27" s="191" t="s">
        <v>247</v>
      </c>
      <c r="C27" s="162" t="s">
        <v>120</v>
      </c>
      <c r="D27" s="206">
        <f>'Other DFIT_AMA'!F26</f>
        <v>-1466728.6666666667</v>
      </c>
      <c r="E27" s="4">
        <f>D27*E34</f>
        <v>-1035187.75836</v>
      </c>
      <c r="F27" s="4">
        <f>D27*F34</f>
        <v>-300870.05139333336</v>
      </c>
      <c r="G27" s="4">
        <f>D27*G34</f>
        <v>-130670.85691333334</v>
      </c>
    </row>
    <row r="28" spans="1:8">
      <c r="A28" t="s">
        <v>29</v>
      </c>
      <c r="D28" s="112">
        <f>SUM(D20:D27)</f>
        <v>-9544407.0973750036</v>
      </c>
      <c r="E28" s="112">
        <f t="shared" ref="E28:G28" si="0">SUM(E20:E27)</f>
        <v>-8522388.6238697693</v>
      </c>
      <c r="F28" s="112">
        <f t="shared" si="0"/>
        <v>-712550.64057551674</v>
      </c>
      <c r="G28" s="112">
        <f t="shared" si="0"/>
        <v>-309467.83292971674</v>
      </c>
    </row>
    <row r="29" spans="1:8">
      <c r="D29" s="23"/>
      <c r="E29" s="23"/>
      <c r="F29" s="23"/>
      <c r="G29" s="23"/>
    </row>
    <row r="30" spans="1:8" ht="13.5" thickBot="1">
      <c r="A30" t="s">
        <v>30</v>
      </c>
      <c r="D30" s="58">
        <f>D17+D28</f>
        <v>-826300058.7218194</v>
      </c>
      <c r="E30" s="202">
        <f>E17+E28</f>
        <v>-623601430.11044765</v>
      </c>
      <c r="F30" s="202">
        <f>F17+F28</f>
        <v>-129536228.43033528</v>
      </c>
      <c r="G30" s="22">
        <f>G17+G28</f>
        <v>-73162400.181036368</v>
      </c>
      <c r="H30" s="55"/>
    </row>
    <row r="31" spans="1:8" ht="13.5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0" workbookViewId="0">
      <selection activeCell="I39" sqref="I39:I41"/>
    </sheetView>
  </sheetViews>
  <sheetFormatPr defaultColWidth="11.42578125" defaultRowHeight="12.75"/>
  <cols>
    <col min="1" max="1" width="17.28515625" customWidth="1"/>
    <col min="2" max="3" width="14.85546875" bestFit="1" customWidth="1"/>
    <col min="4" max="4" width="14.42578125" customWidth="1"/>
    <col min="5" max="5" width="1.28515625" customWidth="1"/>
    <col min="6" max="6" width="13.85546875" bestFit="1" customWidth="1"/>
    <col min="7" max="8" width="15.85546875" customWidth="1"/>
    <col min="9" max="9" width="14" customWidth="1"/>
    <col min="10" max="10" width="0.85546875" customWidth="1"/>
    <col min="11" max="11" width="14" bestFit="1" customWidth="1"/>
    <col min="12" max="12" width="11.7109375" bestFit="1" customWidth="1"/>
    <col min="13" max="13" width="0.85546875" customWidth="1"/>
    <col min="14" max="14" width="13.7109375" bestFit="1" customWidth="1"/>
    <col min="15" max="15" width="11.140625" bestFit="1" customWidth="1"/>
    <col min="16" max="17" width="9.570312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5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5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253</v>
      </c>
      <c r="P29" s="29" t="s">
        <v>254</v>
      </c>
      <c r="Q29" s="29" t="s">
        <v>255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5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5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5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205">
        <f>SUM(B66:C66)</f>
        <v>-87897363.789999992</v>
      </c>
      <c r="E66" s="52"/>
      <c r="F66" s="205">
        <f>(((F52+F64)/2)+(F53+F54+F55+F56+F57+F58+F59+F60+F61+F62+F63))/12</f>
        <v>-781384.90333333344</v>
      </c>
      <c r="G66" s="205">
        <f>(((G52+G64)/2)+(G53+G54+G55+G56+G57+G58+G59+G60+G61+G62+G63))/12</f>
        <v>-552434344.3912499</v>
      </c>
      <c r="H66" s="205">
        <f>(((H52+H64)/2)+(H53+H54+H55+H56+H57+H58+H59+H60+H61+H62+H63))/12</f>
        <v>-110620402.33180554</v>
      </c>
      <c r="I66" s="205">
        <f>(((I52+I64)/2)+(I53+I54+I55+I56+I57+I58+I59+I60+I61+I62+I63))/12</f>
        <v>-65022156.208055556</v>
      </c>
      <c r="J66" s="52"/>
      <c r="K66" s="205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5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B1" workbookViewId="0">
      <selection activeCell="B21" sqref="B21:B25"/>
    </sheetView>
  </sheetViews>
  <sheetFormatPr defaultColWidth="10.7109375" defaultRowHeight="12.75"/>
  <cols>
    <col min="1" max="1" width="0" style="55" hidden="1" customWidth="1"/>
    <col min="2" max="2" width="27" style="55" customWidth="1"/>
    <col min="3" max="4" width="14" style="55" customWidth="1"/>
    <col min="5" max="5" width="16.7109375" style="55" bestFit="1" customWidth="1"/>
    <col min="6" max="6" width="18.42578125" style="55" bestFit="1" customWidth="1"/>
    <col min="7" max="7" width="9.285156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9">
      <c r="B1" s="196" t="str">
        <f>'Elec-Dec19'!C1</f>
        <v>AVISTA UTILITIES</v>
      </c>
      <c r="C1" s="197"/>
      <c r="D1" s="197"/>
      <c r="E1" s="197"/>
      <c r="G1" s="59"/>
      <c r="H1" s="59" t="s">
        <v>65</v>
      </c>
      <c r="I1" s="55" t="s">
        <v>64</v>
      </c>
    </row>
    <row r="2" spans="1:9">
      <c r="B2" s="196" t="s">
        <v>90</v>
      </c>
      <c r="C2" s="197"/>
      <c r="D2" s="197"/>
      <c r="E2" s="197"/>
      <c r="F2" s="59"/>
      <c r="G2" s="59"/>
    </row>
    <row r="3" spans="1:9">
      <c r="B3" s="198" t="str">
        <f>'SYS-Dec19'!D3</f>
        <v>Average - Twelve Months Ended December 31, 2019</v>
      </c>
      <c r="C3" s="197"/>
      <c r="D3" s="197"/>
      <c r="E3" s="197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5.5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7">
        <f>C26/12</f>
        <v>0</v>
      </c>
      <c r="D27" s="207">
        <f>D26/12</f>
        <v>0</v>
      </c>
      <c r="E27" s="207">
        <f>E26/12</f>
        <v>-6412936.1490416685</v>
      </c>
      <c r="F27" s="207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5">
      <c r="B33"/>
      <c r="C33"/>
      <c r="D33"/>
      <c r="E33" s="75"/>
    </row>
    <row r="34" spans="2:5" ht="15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F1" sqref="F1:G2"/>
    </sheetView>
  </sheetViews>
  <sheetFormatPr defaultColWidth="10.7109375" defaultRowHeight="12.75"/>
  <cols>
    <col min="1" max="1" width="27" style="55" customWidth="1"/>
    <col min="2" max="2" width="17.85546875" style="55" customWidth="1"/>
    <col min="3" max="3" width="3.140625" style="55" customWidth="1"/>
    <col min="4" max="4" width="16.5703125" style="55" customWidth="1"/>
    <col min="5" max="5" width="24.28515625" style="55" bestFit="1" customWidth="1"/>
    <col min="6" max="6" width="24.140625" style="55" bestFit="1" customWidth="1"/>
    <col min="7" max="7" width="14.57031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7">
      <c r="A1" s="196" t="str">
        <f>AvgCalc!E1</f>
        <v>AVISTA UTILITIES</v>
      </c>
      <c r="B1" s="197"/>
      <c r="C1" s="197"/>
      <c r="D1" s="197"/>
      <c r="E1" s="197"/>
      <c r="F1" s="59"/>
      <c r="G1" s="59"/>
    </row>
    <row r="2" spans="1:7">
      <c r="A2" s="196" t="s">
        <v>90</v>
      </c>
      <c r="B2" s="197"/>
      <c r="C2" s="197"/>
      <c r="D2" s="197"/>
      <c r="E2" s="197"/>
      <c r="F2" s="59"/>
      <c r="G2" s="59"/>
    </row>
    <row r="3" spans="1:7">
      <c r="A3" s="198" t="str">
        <f>'SYS-Dec19'!D3</f>
        <v>Average - Twelve Months Ended December 31, 2019</v>
      </c>
      <c r="B3" s="198"/>
      <c r="C3" s="198"/>
      <c r="D3" s="198"/>
      <c r="E3" s="198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7">
        <f>B25/12</f>
        <v>89510.560000000012</v>
      </c>
      <c r="C26" s="207"/>
      <c r="D26" s="207">
        <f>D25/12</f>
        <v>-1781358.5600000005</v>
      </c>
      <c r="E26" s="207">
        <f>E25/12</f>
        <v>-225566.75166666668</v>
      </c>
      <c r="F26" s="207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6.5703125" style="1" bestFit="1" customWidth="1"/>
    <col min="4" max="4" width="16.5703125" style="1" customWidth="1"/>
    <col min="5" max="5" width="14.5703125" style="1" customWidth="1"/>
    <col min="6" max="6" width="16.57031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1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4.7109375" style="1" bestFit="1" customWidth="1"/>
    <col min="4" max="4" width="14.7109375" style="1" customWidth="1"/>
    <col min="5" max="5" width="14.5703125" style="1" customWidth="1"/>
    <col min="6" max="6" width="14.8554687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9.1406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6.5703125" style="1" bestFit="1" customWidth="1"/>
    <col min="8" max="8" width="11.28515625" style="1" hidden="1" customWidth="1"/>
    <col min="9" max="9" width="16.5703125" style="131" bestFit="1" customWidth="1"/>
    <col min="10" max="10" width="12.7109375" style="131" bestFit="1" customWidth="1"/>
    <col min="11" max="11" width="14" style="1" customWidth="1"/>
    <col min="12" max="16384" width="9.140625" style="1"/>
  </cols>
  <sheetData>
    <row r="2" spans="1:12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8.25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FFAB66-172E-402C-8C49-1272F7463767}"/>
</file>

<file path=customXml/itemProps2.xml><?xml version="1.0" encoding="utf-8"?>
<ds:datastoreItem xmlns:ds="http://schemas.openxmlformats.org/officeDocument/2006/customXml" ds:itemID="{91F47157-04E1-4E5B-8A24-365F29694A72}"/>
</file>

<file path=customXml/itemProps3.xml><?xml version="1.0" encoding="utf-8"?>
<ds:datastoreItem xmlns:ds="http://schemas.openxmlformats.org/officeDocument/2006/customXml" ds:itemID="{5A258294-8357-4BC0-85CE-A00B0CFAF13D}"/>
</file>

<file path=customXml/itemProps4.xml><?xml version="1.0" encoding="utf-8"?>
<ds:datastoreItem xmlns:ds="http://schemas.openxmlformats.org/officeDocument/2006/customXml" ds:itemID="{02CFA9D3-DA09-4038-BD73-F3C6E6D15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Andrews, Liz</cp:lastModifiedBy>
  <cp:lastPrinted>2018-10-11T14:39:41Z</cp:lastPrinted>
  <dcterms:created xsi:type="dcterms:W3CDTF">2012-08-06T15:48:58Z</dcterms:created>
  <dcterms:modified xsi:type="dcterms:W3CDTF">2020-04-16T20:46:51Z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