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1.01 ADFIT\"/>
    </mc:Choice>
  </mc:AlternateContent>
  <bookViews>
    <workbookView xWindow="0" yWindow="0" windowWidth="23040" windowHeight="9405"/>
  </bookViews>
  <sheets>
    <sheet name="Elec-Dec19" sheetId="1" r:id="rId1"/>
    <sheet name="Gas North-Dec19" sheetId="2" r:id="rId2"/>
    <sheet name="SYS-Dec19" sheetId="6" r:id="rId3"/>
    <sheet name="AvgCalc" sheetId="23" r:id="rId4"/>
    <sheet name="CDA DFIT" sheetId="7" r:id="rId5"/>
    <sheet name="Other DFIT_AMA" sheetId="8" r:id="rId6"/>
    <sheet name="283324 ED AN" sheetId="9" state="hidden" r:id="rId7"/>
    <sheet name="283325. ED AN " sheetId="10" state="hidden" r:id="rId8"/>
    <sheet name="283382 ED AN" sheetId="11" r:id="rId9"/>
    <sheet name="283333 ED AN" sheetId="19" r:id="rId10"/>
    <sheet name="283200 ED AN" sheetId="12" r:id="rId11"/>
    <sheet name="283850 CD AA" sheetId="13" r:id="rId12"/>
    <sheet name="283750 CD AA" sheetId="18" r:id="rId13"/>
    <sheet name="282919 CD AA" sheetId="24" r:id="rId14"/>
    <sheet name="Elec AMA-Functional" sheetId="14" r:id="rId15"/>
    <sheet name="Gas AMA-Functional" sheetId="15" r:id="rId16"/>
    <sheet name="E-PLT" sheetId="21" r:id="rId17"/>
    <sheet name="G-PLT" sheetId="22" r:id="rId18"/>
  </sheets>
  <definedNames>
    <definedName name="_xlnm.Print_Area" localSheetId="9">'283333 ED AN'!$A$1:$H$25</definedName>
    <definedName name="_xlnm.Print_Area" localSheetId="8">'283382 ED AN'!$A$1:$F$25</definedName>
    <definedName name="_xlnm.Print_Area" localSheetId="3">AvgCalc!$A$1:$K$68</definedName>
    <definedName name="_xlnm.Print_Area" localSheetId="4">'CDA DFIT'!$B$1:$F$34</definedName>
    <definedName name="_xlnm.Print_Area" localSheetId="14">'Elec AMA-Functional'!$A$1:$I$32</definedName>
    <definedName name="_xlnm.Print_Area" localSheetId="0">'Elec-Dec19'!$A$1:$F$51</definedName>
    <definedName name="_xlnm.Print_Area" localSheetId="15">'Gas AMA-Functional'!$A$1:$H$29</definedName>
    <definedName name="_xlnm.Print_Area" localSheetId="1">'Gas North-Dec19'!$A$1:$F$46</definedName>
    <definedName name="_xlnm.Print_Area" localSheetId="5">'Other DFIT_AMA'!$A$1:$E$27</definedName>
    <definedName name="_xlnm.Print_Area" localSheetId="2">'SYS-Dec19'!$A$1:$G$37</definedName>
  </definedNames>
  <calcPr calcId="152511" calcOnSave="0"/>
</workbook>
</file>

<file path=xl/calcChain.xml><?xml version="1.0" encoding="utf-8"?>
<calcChain xmlns="http://schemas.openxmlformats.org/spreadsheetml/2006/main">
  <c r="F27" i="6" l="1"/>
  <c r="E30" i="6"/>
  <c r="F14" i="6"/>
  <c r="E14" i="6"/>
  <c r="E16" i="6"/>
  <c r="E8" i="6"/>
  <c r="E34" i="1"/>
  <c r="D25" i="22" l="1"/>
  <c r="D31" i="21" l="1"/>
  <c r="L12" i="21"/>
  <c r="H12" i="21"/>
  <c r="I40" i="23" l="1"/>
  <c r="I41" i="23"/>
  <c r="I39" i="23"/>
  <c r="I31" i="23"/>
  <c r="I32" i="23"/>
  <c r="I33" i="23"/>
  <c r="I34" i="23"/>
  <c r="I35" i="23"/>
  <c r="I36" i="23"/>
  <c r="I37" i="23"/>
  <c r="I38" i="23"/>
  <c r="I30" i="23"/>
  <c r="H40" i="23"/>
  <c r="H41" i="23"/>
  <c r="H39" i="23"/>
  <c r="H31" i="23"/>
  <c r="H32" i="23"/>
  <c r="H33" i="23"/>
  <c r="H34" i="23"/>
  <c r="H35" i="23"/>
  <c r="H36" i="23"/>
  <c r="H37" i="23"/>
  <c r="H38" i="23"/>
  <c r="H30" i="23"/>
  <c r="G40" i="23"/>
  <c r="G41" i="23"/>
  <c r="G39" i="23"/>
  <c r="G31" i="23"/>
  <c r="G32" i="23"/>
  <c r="G33" i="23"/>
  <c r="G34" i="23"/>
  <c r="G35" i="23"/>
  <c r="G36" i="23"/>
  <c r="G37" i="23"/>
  <c r="G38" i="23"/>
  <c r="G30" i="23"/>
  <c r="B40" i="23"/>
  <c r="B41" i="23"/>
  <c r="B39" i="23"/>
  <c r="B31" i="23"/>
  <c r="B32" i="23"/>
  <c r="B33" i="23"/>
  <c r="B34" i="23"/>
  <c r="B35" i="23"/>
  <c r="B36" i="23"/>
  <c r="B37" i="23"/>
  <c r="B38" i="23"/>
  <c r="B30" i="23"/>
  <c r="N32" i="23"/>
  <c r="O32" i="23"/>
  <c r="P32" i="23"/>
  <c r="Q32" i="23"/>
  <c r="Q33" i="23" s="1"/>
  <c r="Q34" i="23" s="1"/>
  <c r="Q35" i="23" s="1"/>
  <c r="Q36" i="23" s="1"/>
  <c r="Q37" i="23" s="1"/>
  <c r="Q38" i="23" s="1"/>
  <c r="Q39" i="23" s="1"/>
  <c r="Q40" i="23" s="1"/>
  <c r="Q41" i="23" s="1"/>
  <c r="N33" i="23"/>
  <c r="O33" i="23"/>
  <c r="P33" i="23"/>
  <c r="N34" i="23"/>
  <c r="O34" i="23"/>
  <c r="P34" i="23"/>
  <c r="N35" i="23"/>
  <c r="O35" i="23"/>
  <c r="P35" i="23"/>
  <c r="N36" i="23"/>
  <c r="O36" i="23"/>
  <c r="P36" i="23"/>
  <c r="N37" i="23"/>
  <c r="O37" i="23"/>
  <c r="P37" i="23"/>
  <c r="N38" i="23"/>
  <c r="O38" i="23"/>
  <c r="P38" i="23"/>
  <c r="N39" i="23"/>
  <c r="O39" i="23"/>
  <c r="P39" i="23"/>
  <c r="N40" i="23"/>
  <c r="O40" i="23"/>
  <c r="P40" i="23"/>
  <c r="N41" i="23"/>
  <c r="O41" i="23"/>
  <c r="P41" i="23"/>
  <c r="Q31" i="23"/>
  <c r="P31" i="23"/>
  <c r="O31" i="23"/>
  <c r="N31" i="23"/>
  <c r="O30" i="23"/>
  <c r="P30" i="23"/>
  <c r="Q30" i="23"/>
  <c r="N30" i="23"/>
  <c r="P27" i="23"/>
  <c r="O27" i="23"/>
  <c r="M27" i="23" s="1"/>
  <c r="Q27" i="23"/>
  <c r="N27" i="23"/>
  <c r="M10" i="23"/>
  <c r="M11" i="23"/>
  <c r="M12" i="23"/>
  <c r="M13" i="23"/>
  <c r="M14" i="23"/>
  <c r="M15" i="23"/>
  <c r="M16" i="23"/>
  <c r="M17" i="23"/>
  <c r="M18" i="23"/>
  <c r="M19" i="23"/>
  <c r="M20" i="23"/>
  <c r="M9" i="23"/>
  <c r="G6" i="11"/>
  <c r="D30" i="23" l="1"/>
  <c r="D31" i="23"/>
  <c r="D32" i="23"/>
  <c r="D33" i="23"/>
  <c r="D34" i="23"/>
  <c r="D35" i="23"/>
  <c r="D36" i="23"/>
  <c r="D37" i="23"/>
  <c r="D38" i="23"/>
  <c r="A53" i="15"/>
  <c r="A17" i="15"/>
  <c r="A72" i="14"/>
  <c r="A23" i="14"/>
  <c r="H32" i="22"/>
  <c r="H33" i="22" s="1"/>
  <c r="H34" i="22" s="1"/>
  <c r="H39" i="21"/>
  <c r="H38" i="21"/>
  <c r="A19" i="2" l="1"/>
  <c r="A28" i="1"/>
  <c r="C19" i="24" l="1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F9" i="8" s="1"/>
  <c r="A6" i="24"/>
  <c r="F7" i="24" l="1"/>
  <c r="F14" i="8" s="1"/>
  <c r="B8" i="24"/>
  <c r="D8" i="24" s="1"/>
  <c r="K38" i="23"/>
  <c r="K37" i="23"/>
  <c r="K36" i="23"/>
  <c r="K35" i="23"/>
  <c r="K34" i="23"/>
  <c r="K33" i="23"/>
  <c r="K32" i="23"/>
  <c r="K31" i="23"/>
  <c r="K30" i="23"/>
  <c r="D17" i="23"/>
  <c r="K17" i="23" s="1"/>
  <c r="D16" i="23"/>
  <c r="K16" i="23" s="1"/>
  <c r="D15" i="23"/>
  <c r="K15" i="23" s="1"/>
  <c r="D14" i="23"/>
  <c r="K14" i="23" s="1"/>
  <c r="D13" i="23"/>
  <c r="K13" i="23" s="1"/>
  <c r="D12" i="23"/>
  <c r="K12" i="23" s="1"/>
  <c r="D11" i="23"/>
  <c r="K11" i="23" s="1"/>
  <c r="D10" i="23"/>
  <c r="K10" i="23" s="1"/>
  <c r="D9" i="23"/>
  <c r="K9" i="23" s="1"/>
  <c r="D8" i="23"/>
  <c r="K8" i="23" s="1"/>
  <c r="F8" i="24" l="1"/>
  <c r="F15" i="8" s="1"/>
  <c r="B9" i="24"/>
  <c r="D9" i="24" s="1"/>
  <c r="D41" i="23"/>
  <c r="K41" i="23" s="1"/>
  <c r="D40" i="23"/>
  <c r="K40" i="23" s="1"/>
  <c r="D39" i="23"/>
  <c r="K39" i="23" s="1"/>
  <c r="B10" i="24" l="1"/>
  <c r="D10" i="24" s="1"/>
  <c r="F9" i="24"/>
  <c r="F16" i="8" s="1"/>
  <c r="F10" i="24" l="1"/>
  <c r="F17" i="8" s="1"/>
  <c r="B11" i="24"/>
  <c r="D11" i="24" s="1"/>
  <c r="H25" i="21"/>
  <c r="A3" i="8"/>
  <c r="B12" i="24" l="1"/>
  <c r="D12" i="24" s="1"/>
  <c r="F11" i="24"/>
  <c r="F18" i="8" s="1"/>
  <c r="F12" i="24" l="1"/>
  <c r="F19" i="8" s="1"/>
  <c r="B13" i="24"/>
  <c r="D13" i="24" s="1"/>
  <c r="I7" i="19"/>
  <c r="A6" i="19"/>
  <c r="B14" i="24" l="1"/>
  <c r="D14" i="24" s="1"/>
  <c r="F13" i="24"/>
  <c r="F20" i="8" s="1"/>
  <c r="H25" i="22"/>
  <c r="L25" i="22" s="1"/>
  <c r="M25" i="22" s="1"/>
  <c r="L34" i="22"/>
  <c r="K27" i="22"/>
  <c r="G27" i="22"/>
  <c r="C27" i="22"/>
  <c r="D27" i="22"/>
  <c r="L26" i="22"/>
  <c r="M26" i="22" s="1"/>
  <c r="I26" i="22"/>
  <c r="E26" i="22"/>
  <c r="C26" i="22"/>
  <c r="C25" i="22"/>
  <c r="E25" i="22" s="1"/>
  <c r="F14" i="24" l="1"/>
  <c r="F21" i="8" s="1"/>
  <c r="B15" i="24"/>
  <c r="D15" i="24" s="1"/>
  <c r="I25" i="22"/>
  <c r="F15" i="24" l="1"/>
  <c r="F22" i="8" s="1"/>
  <c r="B16" i="24"/>
  <c r="D16" i="24" s="1"/>
  <c r="H31" i="21"/>
  <c r="H30" i="21"/>
  <c r="L30" i="21" s="1"/>
  <c r="M30" i="21" s="1"/>
  <c r="L39" i="21"/>
  <c r="E30" i="21"/>
  <c r="C30" i="21"/>
  <c r="F16" i="24" l="1"/>
  <c r="F23" i="8" s="1"/>
  <c r="B17" i="24"/>
  <c r="D17" i="24" s="1"/>
  <c r="I30" i="21"/>
  <c r="B18" i="24" l="1"/>
  <c r="D18" i="24" s="1"/>
  <c r="F18" i="24" s="1"/>
  <c r="F10" i="8" s="1"/>
  <c r="F11" i="8" s="1"/>
  <c r="F13" i="8" s="1"/>
  <c r="F17" i="24"/>
  <c r="F24" i="8" s="1"/>
  <c r="L13" i="21"/>
  <c r="K13" i="21"/>
  <c r="H13" i="21"/>
  <c r="G13" i="21"/>
  <c r="C12" i="21"/>
  <c r="D12" i="21"/>
  <c r="M12" i="21"/>
  <c r="I12" i="21"/>
  <c r="F25" i="8" l="1"/>
  <c r="F26" i="8" s="1"/>
  <c r="D27" i="6" s="1"/>
  <c r="E12" i="21"/>
  <c r="D46" i="14"/>
  <c r="G27" i="6" l="1"/>
  <c r="D19" i="2"/>
  <c r="E19" i="2" s="1"/>
  <c r="D17" i="15" s="1"/>
  <c r="H17" i="15" s="1"/>
  <c r="E27" i="6"/>
  <c r="D28" i="1" s="1"/>
  <c r="E28" i="1" s="1"/>
  <c r="D23" i="14" s="1"/>
  <c r="I23" i="14" s="1"/>
  <c r="B3" i="7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D19" i="23"/>
  <c r="K19" i="23" s="1"/>
  <c r="D18" i="23"/>
  <c r="K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D22" i="23" l="1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G66" i="23"/>
  <c r="D8" i="6" s="1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F66" i="23"/>
  <c r="D16" i="6" s="1"/>
  <c r="B63" i="23"/>
  <c r="D63" i="23" s="1"/>
  <c r="K63" i="23" s="1"/>
  <c r="I66" i="23"/>
  <c r="D12" i="6" s="1"/>
  <c r="I68" i="23"/>
  <c r="H68" i="23"/>
  <c r="H66" i="23"/>
  <c r="D10" i="6" s="1"/>
  <c r="F43" i="1"/>
  <c r="F44" i="1"/>
  <c r="F45" i="1"/>
  <c r="B64" i="23" l="1"/>
  <c r="B44" i="23"/>
  <c r="D44" i="23" s="1"/>
  <c r="K44" i="23" s="1"/>
  <c r="D42" i="23"/>
  <c r="B46" i="23"/>
  <c r="F6" i="1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E24" i="22"/>
  <c r="C24" i="22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E4" i="22" s="1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I19" i="22" l="1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D14" i="6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L27" i="22" l="1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I10" i="2" l="1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l="1"/>
  <c r="G8" i="11" s="1"/>
  <c r="G7" i="1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9" i="11" l="1"/>
  <c r="G9" i="11" s="1"/>
  <c r="I10" i="11"/>
  <c r="G10" i="11" s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D53" i="15" s="1"/>
  <c r="H53" i="15" s="1"/>
  <c r="F35" i="2"/>
  <c r="F36" i="2"/>
  <c r="F33" i="2"/>
  <c r="I11" i="11" l="1"/>
  <c r="G11" i="11" s="1"/>
  <c r="H60" i="15"/>
  <c r="E60" i="15"/>
  <c r="F60" i="15"/>
  <c r="N51" i="15"/>
  <c r="N24" i="15"/>
  <c r="O27" i="14"/>
  <c r="D79" i="14"/>
  <c r="D31" i="14"/>
  <c r="I32" i="14" s="1"/>
  <c r="F42" i="1"/>
  <c r="F28" i="1" s="1"/>
  <c r="D72" i="14" s="1"/>
  <c r="I72" i="14" s="1"/>
  <c r="F41" i="1"/>
  <c r="I12" i="11" l="1"/>
  <c r="G12" i="11" s="1"/>
  <c r="G80" i="14"/>
  <c r="F80" i="14"/>
  <c r="E80" i="14"/>
  <c r="H80" i="14"/>
  <c r="I80" i="14"/>
  <c r="E32" i="14"/>
  <c r="F32" i="14"/>
  <c r="H32" i="14"/>
  <c r="G32" i="14"/>
  <c r="I13" i="11" l="1"/>
  <c r="G13" i="11" s="1"/>
  <c r="B7" i="18"/>
  <c r="D7" i="18" s="1"/>
  <c r="D6" i="10"/>
  <c r="F6" i="10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19" i="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C19" i="10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4" i="11" s="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B7" i="10"/>
  <c r="D7" i="10" s="1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5" i="11" s="1"/>
  <c r="F7" i="19"/>
  <c r="F15" i="7" s="1"/>
  <c r="B8" i="19"/>
  <c r="D8" i="19" s="1"/>
  <c r="I24" i="2"/>
  <c r="J13" i="2"/>
  <c r="D41" i="2"/>
  <c r="B25" i="8"/>
  <c r="B26" i="8" s="1"/>
  <c r="D24" i="6" s="1"/>
  <c r="E24" i="6" s="1"/>
  <c r="D29" i="1" s="1"/>
  <c r="B9" i="11"/>
  <c r="D9" i="11" s="1"/>
  <c r="F7" i="10"/>
  <c r="B8" i="10"/>
  <c r="D8" i="10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6" i="11" s="1"/>
  <c r="F8" i="19"/>
  <c r="F16" i="7" s="1"/>
  <c r="B9" i="19"/>
  <c r="D9" i="19" s="1"/>
  <c r="B10" i="19" s="1"/>
  <c r="D10" i="19" s="1"/>
  <c r="J14" i="2"/>
  <c r="F29" i="1"/>
  <c r="E29" i="1"/>
  <c r="B9" i="10"/>
  <c r="D9" i="10" s="1"/>
  <c r="F8" i="10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F22" i="14" s="1"/>
  <c r="D71" i="14"/>
  <c r="F71" i="14" s="1"/>
  <c r="D10" i="11"/>
  <c r="B11" i="11" s="1"/>
  <c r="D11" i="11" s="1"/>
  <c r="I17" i="11"/>
  <c r="G17" i="11" s="1"/>
  <c r="F10" i="19"/>
  <c r="F18" i="7" s="1"/>
  <c r="F9" i="19"/>
  <c r="F17" i="7" s="1"/>
  <c r="D65" i="14"/>
  <c r="F65" i="14" s="1"/>
  <c r="B10" i="10"/>
  <c r="D10" i="10" s="1"/>
  <c r="F9" i="10"/>
  <c r="B10" i="13"/>
  <c r="D10" i="13" s="1"/>
  <c r="F9" i="13"/>
  <c r="D16" i="8" s="1"/>
  <c r="B9" i="18"/>
  <c r="B11" i="19"/>
  <c r="D11" i="19" s="1"/>
  <c r="I18" i="11" l="1"/>
  <c r="G18" i="11" s="1"/>
  <c r="F11" i="19"/>
  <c r="F19" i="7" s="1"/>
  <c r="B11" i="13"/>
  <c r="D11" i="13" s="1"/>
  <c r="F10" i="13"/>
  <c r="D17" i="8" s="1"/>
  <c r="B11" i="10"/>
  <c r="D11" i="10" s="1"/>
  <c r="F10" i="10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2" i="10"/>
  <c r="D12" i="10" s="1"/>
  <c r="F11" i="10"/>
  <c r="B10" i="18"/>
  <c r="B13" i="19"/>
  <c r="D13" i="19" s="1"/>
  <c r="B13" i="11"/>
  <c r="D13" i="11" s="1"/>
  <c r="F13" i="19" l="1"/>
  <c r="F21" i="7" s="1"/>
  <c r="B13" i="10"/>
  <c r="D13" i="10" s="1"/>
  <c r="F12" i="10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0"/>
  <c r="D14" i="10" s="1"/>
  <c r="F13" i="10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B15" i="10"/>
  <c r="D15" i="10" s="1"/>
  <c r="F14" i="10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B16" i="10"/>
  <c r="D16" i="10" s="1"/>
  <c r="F15" i="10"/>
  <c r="F8" i="11"/>
  <c r="E16" i="7" s="1"/>
  <c r="B12" i="18"/>
  <c r="B17" i="19"/>
  <c r="D17" i="19" s="1"/>
  <c r="F16" i="19"/>
  <c r="F24" i="7" s="1"/>
  <c r="F6" i="11" l="1"/>
  <c r="E10" i="7" s="1"/>
  <c r="B18" i="11"/>
  <c r="D18" i="11" s="1"/>
  <c r="F17" i="11"/>
  <c r="E25" i="7" s="1"/>
  <c r="B17" i="10"/>
  <c r="D17" i="10" s="1"/>
  <c r="F16" i="10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12" i="7" s="1"/>
  <c r="F14" i="7" s="1"/>
  <c r="F26" i="7" s="1"/>
  <c r="F27" i="7" s="1"/>
  <c r="D23" i="6" s="1"/>
  <c r="D23" i="1" s="1"/>
  <c r="F7" i="11"/>
  <c r="E15" i="7" s="1"/>
  <c r="F18" i="11"/>
  <c r="E11" i="7" s="1"/>
  <c r="E12" i="7" s="1"/>
  <c r="E14" i="7" s="1"/>
  <c r="B18" i="13"/>
  <c r="D18" i="13" s="1"/>
  <c r="F18" i="13" s="1"/>
  <c r="D10" i="8" s="1"/>
  <c r="D11" i="8" s="1"/>
  <c r="D13" i="8" s="1"/>
  <c r="F17" i="13"/>
  <c r="D24" i="8" s="1"/>
  <c r="B13" i="18"/>
  <c r="F12" i="18"/>
  <c r="H12" i="18" s="1"/>
  <c r="E19" i="8" s="1"/>
  <c r="B18" i="10"/>
  <c r="D18" i="10" s="1"/>
  <c r="F18" i="10" s="1"/>
  <c r="F17" i="10"/>
  <c r="E26" i="7" l="1"/>
  <c r="E27" i="7" s="1"/>
  <c r="D22" i="6" s="1"/>
  <c r="E22" i="6" s="1"/>
  <c r="D22" i="1" s="1"/>
  <c r="E23" i="6"/>
  <c r="E23" i="1"/>
  <c r="D19" i="14" s="1"/>
  <c r="F19" i="14" s="1"/>
  <c r="F23" i="1"/>
  <c r="D68" i="14" s="1"/>
  <c r="F68" i="14" s="1"/>
  <c r="D25" i="8"/>
  <c r="D26" i="8" s="1"/>
  <c r="D26" i="6" s="1"/>
  <c r="G26" i="6" s="1"/>
  <c r="D13" i="18"/>
  <c r="F13" i="18" s="1"/>
  <c r="H13" i="18" s="1"/>
  <c r="E20" i="8" s="1"/>
  <c r="F26" i="6" l="1"/>
  <c r="D21" i="2" s="1"/>
  <c r="E26" i="6"/>
  <c r="D31" i="1" s="1"/>
  <c r="D24" i="1"/>
  <c r="B14" i="18"/>
  <c r="E22" i="1"/>
  <c r="D18" i="14" s="1"/>
  <c r="F22" i="1"/>
  <c r="E31" i="1" l="1"/>
  <c r="D25" i="14" s="1"/>
  <c r="I25" i="14" s="1"/>
  <c r="I27" i="14" s="1"/>
  <c r="F21" i="2"/>
  <c r="D52" i="15" s="1"/>
  <c r="G52" i="15" s="1"/>
  <c r="D67" i="14"/>
  <c r="F67" i="14" s="1"/>
  <c r="F24" i="1"/>
  <c r="H52" i="15"/>
  <c r="E52" i="15"/>
  <c r="F18" i="14"/>
  <c r="H25" i="14"/>
  <c r="H27" i="14" s="1"/>
  <c r="E25" i="14"/>
  <c r="G25" i="14"/>
  <c r="G27" i="14" s="1"/>
  <c r="F25" i="14"/>
  <c r="F27" i="14" s="1"/>
  <c r="E21" i="2"/>
  <c r="D16" i="15" s="1"/>
  <c r="F31" i="1"/>
  <c r="D74" i="14" s="1"/>
  <c r="E24" i="1"/>
  <c r="D14" i="18"/>
  <c r="F52" i="15" l="1"/>
  <c r="F55" i="15" s="1"/>
  <c r="J22" i="14"/>
  <c r="G55" i="15"/>
  <c r="H55" i="15"/>
  <c r="G74" i="14"/>
  <c r="G75" i="14" s="1"/>
  <c r="I74" i="14"/>
  <c r="I75" i="14" s="1"/>
  <c r="E74" i="14"/>
  <c r="F74" i="14"/>
  <c r="F75" i="14" s="1"/>
  <c r="H74" i="14"/>
  <c r="H75" i="14" s="1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47" i="15" l="1"/>
  <c r="I16" i="15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s="1"/>
  <c r="E13" i="8" s="1"/>
  <c r="E25" i="8" s="1"/>
  <c r="E26" i="8" s="1"/>
  <c r="D25" i="6" s="1"/>
  <c r="G25" i="6" l="1"/>
  <c r="G28" i="6" s="1"/>
  <c r="D28" i="6"/>
  <c r="E25" i="6"/>
  <c r="E28" i="6" s="1"/>
  <c r="F25" i="6"/>
  <c r="F28" i="6" s="1"/>
  <c r="D20" i="2" l="1"/>
  <c r="D30" i="1"/>
  <c r="D32" i="1" s="1"/>
  <c r="F20" i="2" l="1"/>
  <c r="F22" i="2" s="1"/>
  <c r="D22" i="2"/>
  <c r="F30" i="1"/>
  <c r="E30" i="1"/>
  <c r="E20" i="2"/>
  <c r="D54" i="15"/>
  <c r="D18" i="15" l="1"/>
  <c r="E18" i="15" s="1"/>
  <c r="E19" i="15" s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D19" i="15" l="1"/>
  <c r="G12" i="6"/>
  <c r="F10" i="6"/>
  <c r="D11" i="2" l="1"/>
  <c r="D13" i="2"/>
  <c r="D12" i="2"/>
  <c r="D10" i="2"/>
  <c r="D17" i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D16" i="1" l="1"/>
  <c r="E17" i="6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E38" i="1" s="1"/>
  <c r="D13" i="14"/>
  <c r="E13" i="14" l="1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E6" i="9"/>
  <c r="F6" i="9" s="1"/>
  <c r="B7" i="9"/>
  <c r="D7" i="9" s="1"/>
  <c r="J27" i="14" l="1"/>
  <c r="I33" i="14"/>
  <c r="D33" i="14" s="1"/>
  <c r="I45" i="14"/>
  <c r="E7" i="9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<sst xmlns="http://schemas.openxmlformats.org/spreadsheetml/2006/main" count="737" uniqueCount="257">
  <si>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</si>
  <si>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</si>
  <si>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</si>
  <si>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</si>
  <si>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</si>
  <si>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</si>
  <si>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</si>
  <si>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</si>
  <si>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</si>
  <si>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</si>
  <si>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</si>
  <si>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</si>
  <si>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</si>
  <si>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</si>
  <si>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</si>
  <si>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</si>
  <si>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</si>
  <si>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</si>
  <si>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</si>
  <si>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</si>
  <si>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</si>
  <si>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</si>
  <si>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</si>
  <si>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</si>
  <si>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</si>
  <si>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</si>
  <si>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</si>
  <si>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</si>
  <si>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</si>
  <si>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</si>
  <si>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</si>
  <si>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</si>
  <si>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</si>
  <si>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</si>
  <si>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</si>
  <si>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</si>
  <si>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</si>
  <si>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</si>
  <si>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</si>
  <si>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</si>
  <si>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</si>
  <si>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</si>
  <si>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</si>
  <si>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</si>
  <si>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</si>
  <si>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</si>
  <si>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</si>
  <si>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</si>
  <si>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</si>
  <si>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</si>
  <si>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</si>
  <si>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</si>
  <si>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</si>
  <si>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</si>
  <si>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</si>
  <si>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</si>
  <si>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</si>
  <si>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</si>
  <si>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</si>
  <si>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</si>
  <si>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</si>
  <si>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</si>
  <si>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</si>
  <si>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</si>
  <si>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</si>
  <si>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</si>
  <si>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</si>
  <si>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</si>
  <si>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</si>
  <si>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</si>
  <si>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</si>
  <si>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</si>
  <si>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</si>
  <si>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</si>
  <si>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</si>
  <si>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</si>
  <si>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</si>
  <si>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</si>
  <si>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</si>
  <si>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</si>
  <si>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</si>
  <si>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</si>
  <si>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</si>
  <si>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</si>
  <si>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</si>
  <si>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</si>
  <si>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</si>
  <si>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</si>
  <si>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</si>
  <si>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</si>
  <si>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</si>
  <si>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</si>
  <si>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</si>
  <si>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</si>
  <si>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</si>
  <si>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</si>
  <si>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</si>
  <si>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</si>
  <si>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</si>
  <si>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</si>
  <si>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</si>
  <si>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</si>
  <si>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</si>
  <si>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</si>
  <si>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</si>
  <si>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</si>
  <si>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</si>
  <si>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</si>
  <si>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</si>
  <si>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</si>
  <si>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</si>
  <si>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</si>
  <si>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</si>
  <si>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</si>
  <si>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</si>
  <si>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</si>
  <si>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</si>
  <si>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</si>
  <si>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</si>
  <si>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</si>
  <si>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</si>
  <si>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</si>
  <si>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</si>
  <si>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</si>
  <si>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</si>
  <si>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</si>
  <si>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</si>
  <si>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</si>
  <si>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</si>
  <si>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</si>
  <si>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</si>
  <si>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</si>
  <si>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</si>
  <si>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</si>
  <si>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</si>
  <si>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</si>
  <si>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</si>
  <si>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</si>
  <si>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</si>
  <si>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</si>
  <si>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</si>
  <si>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</si>
  <si>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</si>
  <si>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</si>
  <si>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</si>
  <si>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</si>
  <si>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</si>
  <si>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</si>
  <si>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</si>
  <si>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</si>
  <si>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</si>
  <si>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</si>
  <si>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</si>
  <si>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</si>
  <si>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</si>
  <si>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</si>
  <si>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</si>
  <si>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</si>
  <si>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</si>
  <si>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</si>
  <si>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</si>
  <si>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</si>
  <si>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</si>
  <si>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</si>
  <si>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</si>
  <si>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CDR/IPA FUNDS</t>
  </si>
  <si>
    <t>ADFIT CdA IPA FUND DEPOSIT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</si>
  <si>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</si>
  <si>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</si>
  <si>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</si>
  <si>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</si>
  <si>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</si>
  <si>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</si>
  <si>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</si>
  <si>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</si>
  <si>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</si>
  <si>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(1) NSJ004 201212 - IRS Audit disallowed deduction, and had Company</t>
  </si>
  <si>
    <t>amortize CDA settlement for tax the same as for book/regulatory,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</si>
  <si>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</si>
  <si>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</si>
  <si>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</si>
  <si>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</si>
  <si>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</si>
  <si>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</si>
  <si>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</si>
  <si>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</si>
  <si>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</si>
  <si>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</si>
  <si>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</si>
  <si>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</si>
  <si>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Adjustment in Results of Operations  (1) (2) (3)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</si>
  <si>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</si>
  <si>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</si>
  <si>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</si>
  <si>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</si>
  <si>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</si>
  <si>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</si>
  <si>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</si>
  <si>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</si>
  <si>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</si>
  <si>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</si>
  <si>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</si>
  <si>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</si>
  <si>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</si>
  <si>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</si>
  <si>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</si>
  <si>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</si>
  <si>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</si>
  <si>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</si>
  <si>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</si>
  <si>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</si>
  <si>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</si>
  <si>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</si>
  <si>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</si>
  <si>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</si>
  <si>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</si>
  <si>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</si>
  <si>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</si>
  <si>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</si>
  <si>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</si>
  <si>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therefore, ADFIT is zeroed out.</t>
  </si>
  <si>
    <t>Monthly Activity (1)</t>
  </si>
  <si>
    <t xml:space="preserve">therefore, ADFIT is zeroed out.  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</si>
  <si>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</si>
  <si>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</si>
  <si>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</si>
  <si>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</si>
  <si>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</si>
  <si>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</si>
  <si>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</si>
  <si>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</si>
  <si>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</si>
  <si>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</si>
  <si>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</si>
  <si>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</si>
  <si>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</si>
  <si>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</si>
  <si>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</si>
  <si>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</si>
  <si>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</si>
  <si>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</si>
  <si>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</si>
  <si>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</si>
  <si>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</si>
  <si>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</si>
  <si>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</si>
  <si>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ADFIT-Plant - AFUDC Equity</t>
  </si>
  <si>
    <t>282919 CD AA</t>
  </si>
  <si>
    <t>DFIT-AFUDC Equity</t>
  </si>
  <si>
    <t>M</t>
  </si>
  <si>
    <t>Average - Twelve Months Ended December 31, 2019</t>
  </si>
  <si>
    <t>Adjustment in Results of Operations</t>
  </si>
  <si>
    <t>Adjustment for Finalizing Tax Return</t>
  </si>
  <si>
    <t>ED.AN</t>
  </si>
  <si>
    <t>GD.AN</t>
  </si>
  <si>
    <t>GD.OR</t>
  </si>
  <si>
    <t>Amount per ROO at 12/31/2019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</si>
</sst>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165" fontId="12" fillId="0" borderId="0" xfId="3" applyNumberFormat="1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37" fontId="8" fillId="2" borderId="3" xfId="0" applyNumberFormat="1" applyFont="1" applyFill="1" applyBorder="1"/>
    <xf numFmtId="37" fontId="8" fillId="7" borderId="0" xfId="0" applyNumberFormat="1" applyFont="1" applyFill="1" applyBorder="1"/>
    <xf numFmtId="37" fontId="8" fillId="8" borderId="4" xfId="0" applyNumberFormat="1" applyFont="1" applyFill="1" applyBorder="1"/>
    <xf numFmtId="164" fontId="8" fillId="0" borderId="25" xfId="1" applyNumberFormat="1" applyFont="1" applyBorder="1"/>
    <xf numFmtId="37" fontId="8" fillId="0" borderId="0" xfId="0" applyNumberFormat="1" applyFont="1" applyFill="1"/>
    <xf numFmtId="37" fontId="8" fillId="0" borderId="0" xfId="0" applyNumberFormat="1" applyFont="1"/>
    <xf numFmtId="37" fontId="8" fillId="0" borderId="1" xfId="0" applyNumberFormat="1" applyFont="1" applyBorder="1"/>
  </cellXfs>
  <cellStyles count="10">
    <cellStyle name="Comma" xfId="1" builtinId="3"/>
    <cellStyle name="Comma 2" xfId="9"/>
    <cellStyle name="Currency" xfId="2" builtinId="4"/>
    <cellStyle name="Normal" xfId="0" builtinId="0"/>
    <cellStyle name="Normal 2" xfId="7"/>
    <cellStyle name="Normal 3" xfId="8"/>
    <cellStyle name="Output Column Headings" xfId="6"/>
    <cellStyle name="Output Report Heading" xfId="5"/>
    <cellStyle name="Output Report Title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selection activeCell="L34" sqref="L34"/>
    </sheetView>
  </sheetViews>
  <sheetFormatPr defaultColWidth="11.42578125" defaultRowHeight="12.75"/>
  <cols>
    <col min="1" max="1" width="16.5703125" style="1" customWidth="1"/>
    <col min="2" max="2" width="23.140625" style="1" customWidth="1"/>
    <col min="3" max="3" width="6.42578125" style="1" customWidth="1"/>
    <col min="4" max="6" width="13.7109375" style="1" customWidth="1"/>
    <col min="7" max="7" width="5.5703125" style="1" customWidth="1"/>
    <col min="8" max="8" width="24.85546875" style="1" customWidth="1"/>
    <col min="9" max="9" width="17.5703125" style="1" bestFit="1" customWidth="1"/>
    <col min="10" max="10" width="13.42578125" style="1" bestFit="1" customWidth="1"/>
    <col min="11" max="16384" width="11.42578125" style="1"/>
  </cols>
  <sheetData>
    <row r="1" spans="1:10">
      <c r="C1" s="2" t="str">
        <f>'SYS-Dec19'!D1</f>
        <v>AVISTA UTILITIES</v>
      </c>
    </row>
    <row r="2" spans="1:10">
      <c r="C2" s="2" t="s">
        <v>0</v>
      </c>
    </row>
    <row r="3" spans="1:10">
      <c r="C3" s="3" t="str">
        <f>'SYS-Dec19'!D3</f>
        <v>Average - Twelve Months Ended December 31, 2019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ROUND('SYS-Dec19'!$E$8*J10,0)</f>
        <v>-11241199</v>
      </c>
      <c r="E10" s="4">
        <f>D10*E41</f>
        <v>-7378723.0236</v>
      </c>
      <c r="F10" s="4">
        <f>D10*F41</f>
        <v>-3862475.9764</v>
      </c>
      <c r="H10" s="6" t="s">
        <v>219</v>
      </c>
      <c r="I10" s="152">
        <f>'E-PLT'!E8+'E-PLT'!E9+'E-PLT'!E10+'E-PLT'!E11+'E-PLT'!E12-'E-PLT'!E32</f>
        <v>85415612</v>
      </c>
      <c r="J10" s="8">
        <f>ROUND(I10/$I$15,8)</f>
        <v>2.0348479999999999E-2</v>
      </c>
    </row>
    <row r="11" spans="1:10">
      <c r="B11" s="1" t="s">
        <v>11</v>
      </c>
      <c r="C11" s="2">
        <v>1</v>
      </c>
      <c r="D11" s="4">
        <f>ROUND('SYS-Dec19'!$E$8*J11,0)</f>
        <v>-186628370</v>
      </c>
      <c r="E11" s="4">
        <f>D11*E41</f>
        <v>-122502862.068</v>
      </c>
      <c r="F11" s="4">
        <f>D11*F41</f>
        <v>-64125507.932000004</v>
      </c>
      <c r="H11" s="6" t="s">
        <v>11</v>
      </c>
      <c r="I11" s="152">
        <f>'E-PLT'!E15</f>
        <v>1418084853</v>
      </c>
      <c r="J11" s="8">
        <f>ROUND(I11/$I$15,8)</f>
        <v>0.33782905000000002</v>
      </c>
    </row>
    <row r="12" spans="1:10">
      <c r="B12" s="1" t="s">
        <v>12</v>
      </c>
      <c r="C12" s="2">
        <v>1</v>
      </c>
      <c r="D12" s="4">
        <f>ROUND('SYS-Dec19'!$E$8*J12,0)</f>
        <v>-102249587</v>
      </c>
      <c r="E12" s="4">
        <f>D12*E41</f>
        <v>-67116628.906800002</v>
      </c>
      <c r="F12" s="4">
        <f>D12*F41</f>
        <v>-35132958.093199998</v>
      </c>
      <c r="H12" s="6" t="s">
        <v>12</v>
      </c>
      <c r="I12" s="152">
        <f>'E-PLT'!E16</f>
        <v>776937563</v>
      </c>
      <c r="J12" s="8">
        <f>ROUND(I12/$I$15,8)</f>
        <v>0.18508912</v>
      </c>
    </row>
    <row r="13" spans="1:10">
      <c r="B13" s="1" t="s">
        <v>13</v>
      </c>
      <c r="C13" s="2">
        <v>10</v>
      </c>
      <c r="D13" s="4">
        <f>ROUND('SYS-Dec19'!$E$8*J13,0)</f>
        <v>-237335119</v>
      </c>
      <c r="E13" s="4">
        <f>D13*E43</f>
        <v>-162648130.40188998</v>
      </c>
      <c r="F13" s="4">
        <f>D13*F43</f>
        <v>-74686988.598110005</v>
      </c>
      <c r="H13" s="6" t="s">
        <v>13</v>
      </c>
      <c r="I13" s="152">
        <f>'E-PLT'!E17</f>
        <v>1803377197</v>
      </c>
      <c r="J13" s="8">
        <f>ROUND(I13/$I$15,8)</f>
        <v>0.42961687999999998</v>
      </c>
    </row>
    <row r="14" spans="1:10">
      <c r="B14" s="1" t="s">
        <v>14</v>
      </c>
      <c r="C14" s="2">
        <v>13</v>
      </c>
      <c r="D14" s="4">
        <f>ROUND('SYS-Dec19'!$E$8*J14,0)</f>
        <v>-14980069</v>
      </c>
      <c r="E14" s="4">
        <f>D14*E45</f>
        <v>-10276027.732620001</v>
      </c>
      <c r="F14" s="4">
        <f>D14*F45</f>
        <v>-4704041.2673799992</v>
      </c>
      <c r="H14" s="6" t="s">
        <v>15</v>
      </c>
      <c r="I14" s="153">
        <f>'E-PLT'!C18</f>
        <v>113825188</v>
      </c>
      <c r="J14" s="9">
        <f>ROUND(I14/$I$15,8)</f>
        <v>2.711647E-2</v>
      </c>
    </row>
    <row r="15" spans="1:10">
      <c r="C15" s="2"/>
      <c r="D15" s="4"/>
      <c r="E15" s="4"/>
      <c r="F15" s="4"/>
      <c r="H15" s="6"/>
      <c r="I15" s="138">
        <f>SUM(I10:I14)</f>
        <v>4197640413</v>
      </c>
      <c r="J15" s="11">
        <f>SUM(J10:J14)</f>
        <v>1</v>
      </c>
    </row>
    <row r="16" spans="1:10">
      <c r="A16" s="1" t="s">
        <v>16</v>
      </c>
      <c r="B16" s="12" t="s">
        <v>17</v>
      </c>
      <c r="C16" s="2">
        <v>4</v>
      </c>
      <c r="D16" s="4">
        <f>'SYS-Dec19'!E14</f>
        <v>-62036201.415706187</v>
      </c>
      <c r="E16" s="4">
        <f>D16*E42</f>
        <v>-42922227.397512957</v>
      </c>
      <c r="F16" s="4">
        <f>D16*F42</f>
        <v>-19113974.018193234</v>
      </c>
      <c r="H16" s="13" t="s">
        <v>18</v>
      </c>
      <c r="I16" s="154">
        <f>'E-PLT'!D18</f>
        <v>297489697</v>
      </c>
    </row>
    <row r="17" spans="1:9">
      <c r="A17" s="1" t="s">
        <v>16</v>
      </c>
      <c r="B17" s="1" t="s">
        <v>19</v>
      </c>
      <c r="C17" s="2">
        <v>4</v>
      </c>
      <c r="D17" s="15">
        <f>'SYS-Dec19'!E16</f>
        <v>-608495.67962180008</v>
      </c>
      <c r="E17" s="15">
        <f>D17*E42</f>
        <v>-421012.07577352726</v>
      </c>
      <c r="F17" s="15">
        <f>D17*F42</f>
        <v>-187483.60384827282</v>
      </c>
      <c r="H17" s="13" t="s">
        <v>20</v>
      </c>
      <c r="I17" s="154">
        <f>'E-PLT'!E32</f>
        <v>175276771</v>
      </c>
    </row>
    <row r="18" spans="1:9">
      <c r="A18" s="1" t="s">
        <v>21</v>
      </c>
      <c r="C18" s="2"/>
      <c r="D18" s="4">
        <f>SUM(D10:D17)</f>
        <v>-615079041.09532797</v>
      </c>
      <c r="E18" s="4">
        <f>SUM(E10:E17)</f>
        <v>-413265611.60619652</v>
      </c>
      <c r="F18" s="4">
        <f>SUM(F10:F17)</f>
        <v>-201813429.48913151</v>
      </c>
      <c r="H18" s="13"/>
      <c r="I18" s="154"/>
    </row>
    <row r="19" spans="1:9">
      <c r="C19" s="2"/>
      <c r="D19" s="4"/>
      <c r="E19" s="4"/>
      <c r="F19" s="4"/>
      <c r="H19" s="13"/>
      <c r="I19" s="154"/>
    </row>
    <row r="20" spans="1:9">
      <c r="A20" s="1" t="s">
        <v>22</v>
      </c>
      <c r="C20" s="2">
        <v>1</v>
      </c>
      <c r="D20" s="4">
        <f>'SYS-Dec19'!E20</f>
        <v>0</v>
      </c>
      <c r="E20" s="4">
        <f>D20*E41</f>
        <v>0</v>
      </c>
      <c r="F20" s="4">
        <f>D20*F41</f>
        <v>0</v>
      </c>
      <c r="H20" s="13" t="s">
        <v>189</v>
      </c>
      <c r="I20" s="152">
        <f>'E-PLT'!E4+'E-PLT'!E5+'E-PLT'!E6+'E-PLT'!E7</f>
        <v>41717975</v>
      </c>
    </row>
    <row r="21" spans="1:9">
      <c r="A21" s="1" t="s">
        <v>23</v>
      </c>
      <c r="C21" s="2">
        <v>1</v>
      </c>
      <c r="D21" s="4">
        <f>'SYS-Dec19'!E21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'SYS-Dec19'!E22</f>
        <v>-6412936.1490416685</v>
      </c>
      <c r="E22" s="16">
        <f>D22*E41</f>
        <v>-4209451.2882309509</v>
      </c>
      <c r="F22" s="16">
        <f>D22*F41</f>
        <v>-2203484.8608107176</v>
      </c>
      <c r="H22" s="13"/>
      <c r="I22" s="14"/>
    </row>
    <row r="23" spans="1:9">
      <c r="A23" s="1" t="s">
        <v>188</v>
      </c>
      <c r="C23" s="2">
        <v>1</v>
      </c>
      <c r="D23" s="15">
        <f>'SYS-Dec19'!D23</f>
        <v>252672.46999999997</v>
      </c>
      <c r="E23" s="15">
        <f>D23*E41</f>
        <v>165854.20930799999</v>
      </c>
      <c r="F23" s="15">
        <f>D23*F41</f>
        <v>86818.260691999996</v>
      </c>
      <c r="H23" s="13"/>
      <c r="I23" s="14"/>
    </row>
    <row r="24" spans="1:9">
      <c r="A24" s="1" t="s">
        <v>25</v>
      </c>
      <c r="C24" s="2"/>
      <c r="D24" s="4">
        <f>SUM(D20:D23)</f>
        <v>-6160263.6790416688</v>
      </c>
      <c r="E24" s="4">
        <f t="shared" ref="E24" si="0">SUM(E20:E23)</f>
        <v>-4043597.0789229511</v>
      </c>
      <c r="F24" s="4">
        <f>SUM(F20:F23)</f>
        <v>-2116666.6001187176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5" thickBot="1">
      <c r="A26" s="1" t="s">
        <v>26</v>
      </c>
      <c r="D26" s="17">
        <f>D18+D24</f>
        <v>-621239304.7743696</v>
      </c>
      <c r="E26" s="17">
        <f>E18+E24</f>
        <v>-417309208.68511945</v>
      </c>
      <c r="F26" s="17">
        <f>F18+F24</f>
        <v>-203930096.08925024</v>
      </c>
      <c r="H26" s="13" t="s">
        <v>27</v>
      </c>
      <c r="I26" s="136">
        <f>SUM(I15:I21)</f>
        <v>4712124856</v>
      </c>
    </row>
    <row r="27" spans="1:9" ht="13.5" thickTop="1">
      <c r="I27" s="136"/>
    </row>
    <row r="28" spans="1:9">
      <c r="A28" s="1" t="str">
        <f>'SYS-Dec19'!A27</f>
        <v>ADFIT-Plant - AFUDC Equity</v>
      </c>
      <c r="C28" s="2">
        <v>4</v>
      </c>
      <c r="D28" s="4">
        <f>'SYS-Dec19'!E27</f>
        <v>-1035187.75836</v>
      </c>
      <c r="E28" s="136">
        <f>D28*E42</f>
        <v>-716236.05813170038</v>
      </c>
      <c r="F28" s="136">
        <f>D28*F42</f>
        <v>-318951.7002282996</v>
      </c>
      <c r="H28" s="6"/>
      <c r="I28" s="18"/>
    </row>
    <row r="29" spans="1:9">
      <c r="A29" s="1" t="s">
        <v>28</v>
      </c>
      <c r="C29" s="2">
        <v>1</v>
      </c>
      <c r="D29" s="4">
        <f>'SYS-Dec19'!E24</f>
        <v>89510.560000000012</v>
      </c>
      <c r="E29" s="4">
        <f>D29*E41</f>
        <v>58754.731584000008</v>
      </c>
      <c r="F29" s="4">
        <f>D29*F41</f>
        <v>30755.828416000004</v>
      </c>
      <c r="G29" s="19"/>
      <c r="H29" s="6"/>
      <c r="I29" s="131"/>
    </row>
    <row r="30" spans="1:9">
      <c r="A30" s="134" t="s">
        <v>171</v>
      </c>
      <c r="C30" s="2">
        <v>4</v>
      </c>
      <c r="D30" s="16">
        <f>'SYS-Dec19'!E25</f>
        <v>-159200.5019913</v>
      </c>
      <c r="E30" s="16">
        <f>D30*E42</f>
        <v>-110149.23532276056</v>
      </c>
      <c r="F30" s="16">
        <f>D30*F42</f>
        <v>-49051.266668539443</v>
      </c>
      <c r="G30" s="19"/>
      <c r="H30" s="6"/>
      <c r="I30" s="18"/>
    </row>
    <row r="31" spans="1:9">
      <c r="A31" s="1" t="str">
        <f>'SYS-Dec19'!A26</f>
        <v>FMB &amp; MTN Redeemed</v>
      </c>
      <c r="C31" s="2">
        <v>12</v>
      </c>
      <c r="D31" s="15">
        <f>'SYS-Dec19'!E26</f>
        <v>-1257247.2444768003</v>
      </c>
      <c r="E31" s="15">
        <f>D31*E44</f>
        <v>-846592.57701334311</v>
      </c>
      <c r="F31" s="15">
        <f>D31*F44</f>
        <v>-410654.66746345727</v>
      </c>
      <c r="H31" s="6"/>
      <c r="I31" s="18"/>
    </row>
    <row r="32" spans="1:9">
      <c r="A32" s="1" t="s">
        <v>29</v>
      </c>
      <c r="D32" s="15">
        <f>SUM(D28:D31)</f>
        <v>-2362124.9448281005</v>
      </c>
      <c r="E32" s="15">
        <f t="shared" ref="E32:F32" si="1">SUM(E28:E31)</f>
        <v>-1614223.138883804</v>
      </c>
      <c r="F32" s="15">
        <f t="shared" si="1"/>
        <v>-747901.8059442963</v>
      </c>
      <c r="H32" s="6"/>
      <c r="I32" s="20"/>
    </row>
    <row r="33" spans="1:9">
      <c r="D33" s="4"/>
      <c r="E33" s="4"/>
      <c r="F33" s="4"/>
      <c r="I33" s="21"/>
    </row>
    <row r="34" spans="1:9" ht="13.5" thickBot="1">
      <c r="A34" s="1" t="s">
        <v>30</v>
      </c>
      <c r="C34" s="169" t="s">
        <v>231</v>
      </c>
      <c r="D34" s="202">
        <f>D26+D32</f>
        <v>-623601429.71919775</v>
      </c>
      <c r="E34" s="33">
        <f>E26+E32</f>
        <v>-418923431.82400328</v>
      </c>
      <c r="F34" s="33">
        <f>F26+F32</f>
        <v>-204677997.89519453</v>
      </c>
      <c r="H34" s="6"/>
      <c r="I34" s="11"/>
    </row>
    <row r="35" spans="1:9" ht="13.5" thickTop="1">
      <c r="E35" s="169" t="s">
        <v>233</v>
      </c>
      <c r="H35" s="6"/>
      <c r="I35" s="11"/>
    </row>
    <row r="36" spans="1:9">
      <c r="A36" s="1" t="s">
        <v>256</v>
      </c>
      <c r="D36" s="16">
        <f>SUM(E36:F36)</f>
        <v>-620628718</v>
      </c>
      <c r="E36" s="203">
        <v>-418970869</v>
      </c>
      <c r="F36" s="203">
        <v>-201657849</v>
      </c>
    </row>
    <row r="37" spans="1:9" ht="13.5" thickBot="1">
      <c r="A37"/>
      <c r="B37"/>
      <c r="C37"/>
      <c r="D37" s="23"/>
      <c r="E37" s="23"/>
      <c r="F37" s="23"/>
    </row>
    <row r="38" spans="1:9" customFormat="1" ht="14.25" thickTop="1" thickBot="1">
      <c r="A38" t="s">
        <v>31</v>
      </c>
      <c r="D38" s="23">
        <f>D34-D36</f>
        <v>-2972711.7191977501</v>
      </c>
      <c r="E38" s="204">
        <f>E34-E36</f>
        <v>47437.175996720791</v>
      </c>
      <c r="F38" s="24">
        <f>F34-F36</f>
        <v>-3020148.8951945305</v>
      </c>
      <c r="H38" s="24"/>
      <c r="I38" s="1"/>
    </row>
    <row r="39" spans="1:9" customFormat="1" ht="13.5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5">
        <v>0.65639999999999998</v>
      </c>
      <c r="F41" s="135">
        <f>1-E41</f>
        <v>0.34360000000000002</v>
      </c>
    </row>
    <row r="42" spans="1:9">
      <c r="A42" s="1" t="s">
        <v>34</v>
      </c>
      <c r="C42" s="2">
        <v>4</v>
      </c>
      <c r="D42" s="8">
        <f>SUM(E42:F42)</f>
        <v>1</v>
      </c>
      <c r="E42" s="25">
        <v>0.69189000000000001</v>
      </c>
      <c r="F42" s="135">
        <f>1-E42</f>
        <v>0.30810999999999999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5">
        <v>0.68530999999999997</v>
      </c>
      <c r="F43" s="135">
        <f t="shared" ref="F43:F45" si="2">1-E43</f>
        <v>0.31469000000000003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5">
        <v>0.67337000000000002</v>
      </c>
      <c r="F44" s="135">
        <f t="shared" si="2"/>
        <v>0.32662999999999998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5">
        <v>0.68598000000000003</v>
      </c>
      <c r="F45" s="135">
        <f t="shared" si="2"/>
        <v>0.31401999999999997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6"/>
      <c r="B51" s="27"/>
      <c r="C51" s="27"/>
      <c r="D51" s="27"/>
      <c r="E51" s="26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J28"/>
  <sheetViews>
    <sheetView topLeftCell="A4" workbookViewId="0">
      <selection activeCell="A30" sqref="A30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7.42578125" style="1" bestFit="1" customWidth="1"/>
    <col min="4" max="4" width="17.28515625" style="1" customWidth="1"/>
    <col min="5" max="5" width="14.5703125" style="1" customWidth="1"/>
    <col min="6" max="6" width="17.7109375" style="1" bestFit="1" customWidth="1"/>
    <col min="7" max="7" width="12.5703125" style="1" bestFit="1" customWidth="1"/>
    <col min="8" max="8" width="12.28515625" style="1" hidden="1" customWidth="1"/>
    <col min="9" max="9" width="13.140625" style="1" bestFit="1" customWidth="1"/>
    <col min="10" max="10" width="13.140625" style="88" bestFit="1" customWidth="1"/>
    <col min="11" max="11" width="8.140625" style="1" bestFit="1" customWidth="1"/>
    <col min="12" max="12" width="12.140625" style="1" customWidth="1"/>
    <col min="13" max="13" width="14" style="1" customWidth="1"/>
    <col min="14" max="16384" width="9.140625" style="1"/>
  </cols>
  <sheetData>
    <row r="2" spans="1:10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0" ht="29.25" customHeight="1">
      <c r="A3" s="82">
        <v>283333</v>
      </c>
      <c r="B3" s="83" t="s">
        <v>178</v>
      </c>
      <c r="C3" s="84"/>
      <c r="D3" s="84"/>
      <c r="E3" s="84"/>
      <c r="F3" s="85"/>
    </row>
    <row r="4" spans="1:10">
      <c r="A4" s="86"/>
      <c r="B4" s="87" t="s">
        <v>104</v>
      </c>
      <c r="C4" s="87" t="s">
        <v>105</v>
      </c>
      <c r="D4" s="87"/>
      <c r="E4" s="88"/>
      <c r="F4" s="89"/>
      <c r="I4" s="157" t="s">
        <v>223</v>
      </c>
      <c r="J4" s="131"/>
    </row>
    <row r="5" spans="1:10" ht="38.25">
      <c r="A5" s="90" t="s">
        <v>106</v>
      </c>
      <c r="B5" s="91" t="s">
        <v>107</v>
      </c>
      <c r="C5" s="91" t="s">
        <v>108</v>
      </c>
      <c r="D5" s="91" t="s">
        <v>183</v>
      </c>
      <c r="E5" s="91" t="s">
        <v>170</v>
      </c>
      <c r="F5" s="92" t="s">
        <v>195</v>
      </c>
      <c r="G5" s="93"/>
      <c r="H5" s="93"/>
      <c r="I5" s="131" t="s">
        <v>192</v>
      </c>
      <c r="J5" s="131" t="s">
        <v>193</v>
      </c>
    </row>
    <row r="6" spans="1:10">
      <c r="A6" s="94">
        <f>'283200 ED AN'!A6</f>
        <v>201812</v>
      </c>
      <c r="B6" s="129"/>
      <c r="C6" s="97"/>
      <c r="D6" s="130">
        <v>249236.93</v>
      </c>
      <c r="E6" s="97">
        <v>0</v>
      </c>
      <c r="F6" s="96">
        <f>SUM(D6:E6)</f>
        <v>249236.93</v>
      </c>
      <c r="G6" s="139"/>
      <c r="H6" s="139"/>
      <c r="I6" s="131">
        <v>1146543.3999999999</v>
      </c>
      <c r="J6" s="158"/>
    </row>
    <row r="7" spans="1:10">
      <c r="A7" s="94">
        <f>'283200 ED AN'!A7</f>
        <v>201901</v>
      </c>
      <c r="B7" s="97">
        <f>D6</f>
        <v>249236.93</v>
      </c>
      <c r="C7" s="97">
        <v>572.59</v>
      </c>
      <c r="D7" s="130">
        <f t="shared" ref="D7:D18" si="0">SUM(B7:C7)</f>
        <v>249809.52</v>
      </c>
      <c r="E7" s="97">
        <v>0</v>
      </c>
      <c r="F7" s="96">
        <f t="shared" ref="F7:F17" si="1">SUM(D7:E7)</f>
        <v>249809.52</v>
      </c>
      <c r="G7" s="139"/>
      <c r="H7" s="139"/>
      <c r="I7" s="132">
        <f>I6+J7</f>
        <v>1143816.7799999998</v>
      </c>
      <c r="J7" s="158">
        <v>-2726.62</v>
      </c>
    </row>
    <row r="8" spans="1:10">
      <c r="A8" s="94">
        <f>'283200 ED AN'!A8</f>
        <v>201902</v>
      </c>
      <c r="B8" s="97">
        <f t="shared" ref="B8:B18" si="2">D7</f>
        <v>249809.52</v>
      </c>
      <c r="C8" s="97">
        <v>572.59</v>
      </c>
      <c r="D8" s="130">
        <f t="shared" si="0"/>
        <v>250382.11</v>
      </c>
      <c r="E8" s="97">
        <v>0</v>
      </c>
      <c r="F8" s="96">
        <f t="shared" si="1"/>
        <v>250382.11</v>
      </c>
      <c r="G8" s="139"/>
      <c r="H8" s="139"/>
      <c r="I8" s="132">
        <f t="shared" ref="I8:I18" si="3">I7+J8</f>
        <v>1141090.1599999997</v>
      </c>
      <c r="J8" s="158">
        <v>-2726.62</v>
      </c>
    </row>
    <row r="9" spans="1:10">
      <c r="A9" s="94">
        <f>'283200 ED AN'!A9</f>
        <v>201903</v>
      </c>
      <c r="B9" s="97">
        <f t="shared" si="2"/>
        <v>250382.11</v>
      </c>
      <c r="C9" s="97">
        <v>572.59</v>
      </c>
      <c r="D9" s="130">
        <f t="shared" si="0"/>
        <v>250954.69999999998</v>
      </c>
      <c r="E9" s="97">
        <v>0</v>
      </c>
      <c r="F9" s="96">
        <f t="shared" si="1"/>
        <v>250954.69999999998</v>
      </c>
      <c r="G9" s="139"/>
      <c r="H9" s="139"/>
      <c r="I9" s="132">
        <f t="shared" si="3"/>
        <v>1138363.5399999996</v>
      </c>
      <c r="J9" s="158">
        <v>-2726.62</v>
      </c>
    </row>
    <row r="10" spans="1:10">
      <c r="A10" s="94">
        <f>'283200 ED AN'!A10</f>
        <v>201904</v>
      </c>
      <c r="B10" s="97">
        <f t="shared" si="2"/>
        <v>250954.69999999998</v>
      </c>
      <c r="C10" s="97">
        <v>572.59</v>
      </c>
      <c r="D10" s="130">
        <f t="shared" si="0"/>
        <v>251527.28999999998</v>
      </c>
      <c r="E10" s="97">
        <v>0</v>
      </c>
      <c r="F10" s="96">
        <f t="shared" si="1"/>
        <v>251527.28999999998</v>
      </c>
      <c r="G10" s="139"/>
      <c r="H10" s="139"/>
      <c r="I10" s="132">
        <f t="shared" si="3"/>
        <v>1135636.9199999995</v>
      </c>
      <c r="J10" s="158">
        <v>-2726.62</v>
      </c>
    </row>
    <row r="11" spans="1:10">
      <c r="A11" s="94">
        <f>'283200 ED AN'!A11</f>
        <v>201905</v>
      </c>
      <c r="B11" s="97">
        <f t="shared" si="2"/>
        <v>251527.28999999998</v>
      </c>
      <c r="C11" s="97">
        <v>572.59</v>
      </c>
      <c r="D11" s="130">
        <f t="shared" si="0"/>
        <v>252099.87999999998</v>
      </c>
      <c r="E11" s="97">
        <v>0</v>
      </c>
      <c r="F11" s="96">
        <f t="shared" si="1"/>
        <v>252099.87999999998</v>
      </c>
      <c r="G11" s="139"/>
      <c r="H11" s="139"/>
      <c r="I11" s="132">
        <f t="shared" si="3"/>
        <v>1132910.2999999993</v>
      </c>
      <c r="J11" s="158">
        <v>-2726.62</v>
      </c>
    </row>
    <row r="12" spans="1:10">
      <c r="A12" s="94">
        <f>'283200 ED AN'!A12</f>
        <v>201906</v>
      </c>
      <c r="B12" s="97">
        <f t="shared" si="2"/>
        <v>252099.87999999998</v>
      </c>
      <c r="C12" s="97">
        <v>572.59</v>
      </c>
      <c r="D12" s="130">
        <f t="shared" si="0"/>
        <v>252672.46999999997</v>
      </c>
      <c r="E12" s="97">
        <v>0</v>
      </c>
      <c r="F12" s="96">
        <f t="shared" si="1"/>
        <v>252672.46999999997</v>
      </c>
      <c r="G12" s="139"/>
      <c r="H12" s="139"/>
      <c r="I12" s="132">
        <f t="shared" si="3"/>
        <v>1130183.6799999992</v>
      </c>
      <c r="J12" s="158">
        <v>-2726.62</v>
      </c>
    </row>
    <row r="13" spans="1:10">
      <c r="A13" s="94">
        <f>'283200 ED AN'!A13</f>
        <v>201907</v>
      </c>
      <c r="B13" s="97">
        <f t="shared" si="2"/>
        <v>252672.46999999997</v>
      </c>
      <c r="C13" s="97">
        <v>572.59</v>
      </c>
      <c r="D13" s="130">
        <f t="shared" si="0"/>
        <v>253245.05999999997</v>
      </c>
      <c r="E13" s="97">
        <v>0</v>
      </c>
      <c r="F13" s="96">
        <f t="shared" si="1"/>
        <v>253245.05999999997</v>
      </c>
      <c r="G13" s="139"/>
      <c r="H13" s="139"/>
      <c r="I13" s="132">
        <f t="shared" si="3"/>
        <v>1127457.0599999991</v>
      </c>
      <c r="J13" s="158">
        <v>-2726.62</v>
      </c>
    </row>
    <row r="14" spans="1:10">
      <c r="A14" s="94">
        <f>'283200 ED AN'!A14</f>
        <v>201908</v>
      </c>
      <c r="B14" s="97">
        <f t="shared" si="2"/>
        <v>253245.05999999997</v>
      </c>
      <c r="C14" s="97">
        <v>572.59</v>
      </c>
      <c r="D14" s="130">
        <f t="shared" si="0"/>
        <v>253817.64999999997</v>
      </c>
      <c r="E14" s="97">
        <v>0</v>
      </c>
      <c r="F14" s="96">
        <f t="shared" si="1"/>
        <v>253817.64999999997</v>
      </c>
      <c r="G14" s="139"/>
      <c r="H14" s="139"/>
      <c r="I14" s="132">
        <f t="shared" si="3"/>
        <v>1124730.439999999</v>
      </c>
      <c r="J14" s="158">
        <v>-2726.62</v>
      </c>
    </row>
    <row r="15" spans="1:10">
      <c r="A15" s="94">
        <f>'283200 ED AN'!A15</f>
        <v>201909</v>
      </c>
      <c r="B15" s="97">
        <f t="shared" si="2"/>
        <v>253817.64999999997</v>
      </c>
      <c r="C15" s="97">
        <v>572.59</v>
      </c>
      <c r="D15" s="130">
        <f t="shared" si="0"/>
        <v>254390.23999999996</v>
      </c>
      <c r="E15" s="97">
        <v>0</v>
      </c>
      <c r="F15" s="96">
        <f t="shared" si="1"/>
        <v>254390.23999999996</v>
      </c>
      <c r="G15" s="139"/>
      <c r="H15" s="139"/>
      <c r="I15" s="132">
        <f t="shared" si="3"/>
        <v>1122003.8199999989</v>
      </c>
      <c r="J15" s="158">
        <v>-2726.62</v>
      </c>
    </row>
    <row r="16" spans="1:10">
      <c r="A16" s="94">
        <f>'283200 ED AN'!A16</f>
        <v>201910</v>
      </c>
      <c r="B16" s="97">
        <f t="shared" si="2"/>
        <v>254390.23999999996</v>
      </c>
      <c r="C16" s="97">
        <v>572.59</v>
      </c>
      <c r="D16" s="130">
        <f t="shared" si="0"/>
        <v>254962.82999999996</v>
      </c>
      <c r="E16" s="97">
        <v>0</v>
      </c>
      <c r="F16" s="96">
        <f t="shared" si="1"/>
        <v>254962.82999999996</v>
      </c>
      <c r="G16" s="139"/>
      <c r="H16" s="139"/>
      <c r="I16" s="132">
        <f t="shared" si="3"/>
        <v>1119277.1999999988</v>
      </c>
      <c r="J16" s="158">
        <v>-2726.62</v>
      </c>
    </row>
    <row r="17" spans="1:10">
      <c r="A17" s="94">
        <f>'283200 ED AN'!A17</f>
        <v>201911</v>
      </c>
      <c r="B17" s="97">
        <f t="shared" si="2"/>
        <v>254962.82999999996</v>
      </c>
      <c r="C17" s="97">
        <v>572.59</v>
      </c>
      <c r="D17" s="130">
        <f t="shared" si="0"/>
        <v>255535.41999999995</v>
      </c>
      <c r="E17" s="97">
        <v>0</v>
      </c>
      <c r="F17" s="96">
        <f t="shared" si="1"/>
        <v>255535.41999999995</v>
      </c>
      <c r="G17" s="139"/>
      <c r="H17" s="139"/>
      <c r="I17" s="132">
        <f t="shared" si="3"/>
        <v>1116550.5799999987</v>
      </c>
      <c r="J17" s="158">
        <v>-2726.62</v>
      </c>
    </row>
    <row r="18" spans="1:10">
      <c r="A18" s="94">
        <f>'283200 ED AN'!A18</f>
        <v>201912</v>
      </c>
      <c r="B18" s="97">
        <f t="shared" si="2"/>
        <v>255535.41999999995</v>
      </c>
      <c r="C18" s="97">
        <v>572.59</v>
      </c>
      <c r="D18" s="130">
        <f t="shared" si="0"/>
        <v>256108.00999999995</v>
      </c>
      <c r="E18" s="97">
        <v>0</v>
      </c>
      <c r="F18" s="96">
        <f>SUM(D18:E18)</f>
        <v>256108.00999999995</v>
      </c>
      <c r="G18" s="132"/>
      <c r="H18" s="139"/>
      <c r="I18" s="132">
        <f t="shared" si="3"/>
        <v>1113823.9599999986</v>
      </c>
      <c r="J18" s="158">
        <v>-2726.62</v>
      </c>
    </row>
    <row r="19" spans="1:10">
      <c r="A19" s="99"/>
      <c r="B19" s="100"/>
      <c r="C19" s="101">
        <f>SUM(C7:C18)</f>
        <v>6871.0800000000008</v>
      </c>
      <c r="D19" s="101"/>
      <c r="E19" s="101"/>
      <c r="F19" s="102"/>
      <c r="G19" s="139"/>
      <c r="H19" s="139"/>
    </row>
    <row r="20" spans="1:10">
      <c r="G20" s="1" t="s">
        <v>224</v>
      </c>
    </row>
    <row r="21" spans="1:10">
      <c r="A21" s="104" t="s">
        <v>111</v>
      </c>
    </row>
    <row r="22" spans="1:10">
      <c r="A22" s="1" t="s">
        <v>179</v>
      </c>
    </row>
    <row r="23" spans="1:10">
      <c r="A23" s="1" t="s">
        <v>180</v>
      </c>
    </row>
    <row r="24" spans="1:10">
      <c r="A24" s="88" t="s">
        <v>181</v>
      </c>
    </row>
    <row r="25" spans="1:10">
      <c r="A25" s="88" t="s">
        <v>191</v>
      </c>
    </row>
    <row r="26" spans="1:10">
      <c r="A26" s="88" t="s">
        <v>197</v>
      </c>
    </row>
    <row r="27" spans="1:10">
      <c r="A27" s="88" t="s">
        <v>196</v>
      </c>
    </row>
    <row r="28" spans="1:10">
      <c r="A28" s="88" t="s">
        <v>198</v>
      </c>
    </row>
  </sheetData>
  <pageMargins left="0.7" right="0.7" top="0.75" bottom="0.75" header="0.3" footer="0.3"/>
  <pageSetup scale="79" orientation="portrait" r:id="rId1"/>
  <headerFooter>
    <oddFooter>&amp;C&amp;F&amp;A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G19"/>
  <sheetViews>
    <sheetView workbookViewId="0">
      <selection activeCell="A24" sqref="A24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5.42578125" style="1" bestFit="1" customWidth="1"/>
    <col min="4" max="4" width="14.5703125" style="1" customWidth="1"/>
    <col min="5" max="5" width="14.85546875" style="1" bestFit="1" customWidth="1"/>
    <col min="6" max="6" width="9.140625" style="1"/>
    <col min="7" max="7" width="11.28515625" style="1" hidden="1" customWidth="1"/>
    <col min="8" max="8" width="12.7109375" style="1" customWidth="1"/>
    <col min="9" max="9" width="12.140625" style="1" customWidth="1"/>
    <col min="10" max="10" width="14" style="1" customWidth="1"/>
    <col min="11" max="16384" width="9.140625" style="1"/>
  </cols>
  <sheetData>
    <row r="2" spans="1:7" ht="38.25">
      <c r="A2" s="79" t="s">
        <v>102</v>
      </c>
      <c r="B2" s="80" t="s">
        <v>103</v>
      </c>
      <c r="C2" s="80" t="s">
        <v>65</v>
      </c>
      <c r="D2" s="80" t="s">
        <v>64</v>
      </c>
      <c r="E2" s="81"/>
    </row>
    <row r="3" spans="1:7" ht="29.25" customHeight="1">
      <c r="A3" s="82">
        <v>283200</v>
      </c>
      <c r="B3" s="83" t="s">
        <v>168</v>
      </c>
      <c r="C3" s="84"/>
      <c r="D3" s="84"/>
      <c r="E3" s="85"/>
    </row>
    <row r="4" spans="1:7">
      <c r="A4" s="86"/>
      <c r="B4" s="87" t="s">
        <v>104</v>
      </c>
      <c r="C4" s="87" t="s">
        <v>105</v>
      </c>
      <c r="D4" s="88"/>
      <c r="E4" s="89"/>
    </row>
    <row r="5" spans="1:7" ht="38.25">
      <c r="A5" s="90" t="s">
        <v>106</v>
      </c>
      <c r="B5" s="91" t="s">
        <v>107</v>
      </c>
      <c r="C5" s="91" t="s">
        <v>108</v>
      </c>
      <c r="D5" s="91" t="s">
        <v>170</v>
      </c>
      <c r="E5" s="92" t="s">
        <v>109</v>
      </c>
      <c r="G5" s="93" t="s">
        <v>110</v>
      </c>
    </row>
    <row r="6" spans="1:7">
      <c r="A6" s="124">
        <v>201812</v>
      </c>
      <c r="B6" s="95"/>
      <c r="C6" s="91"/>
      <c r="D6" s="91"/>
      <c r="E6" s="96">
        <v>64503.58</v>
      </c>
    </row>
    <row r="7" spans="1:7">
      <c r="A7" s="124">
        <v>201901</v>
      </c>
      <c r="B7" s="97">
        <f>E6</f>
        <v>64503.58</v>
      </c>
      <c r="C7" s="97">
        <v>4167.83</v>
      </c>
      <c r="D7" s="97"/>
      <c r="E7" s="96">
        <f>SUM(B7:D7)</f>
        <v>68671.41</v>
      </c>
      <c r="G7" s="98">
        <v>-497447.98</v>
      </c>
    </row>
    <row r="8" spans="1:7">
      <c r="A8" s="124">
        <v>201902</v>
      </c>
      <c r="B8" s="97">
        <f t="shared" ref="B8:B18" si="0">E7</f>
        <v>68671.41</v>
      </c>
      <c r="C8" s="97">
        <v>4167.83</v>
      </c>
      <c r="D8" s="97"/>
      <c r="E8" s="96">
        <f>SUM(B8:D8)</f>
        <v>72839.240000000005</v>
      </c>
      <c r="G8" s="98">
        <v>-491470.17</v>
      </c>
    </row>
    <row r="9" spans="1:7">
      <c r="A9" s="124">
        <v>201903</v>
      </c>
      <c r="B9" s="97">
        <f t="shared" si="0"/>
        <v>72839.240000000005</v>
      </c>
      <c r="C9" s="97">
        <v>4167.83</v>
      </c>
      <c r="D9" s="97"/>
      <c r="E9" s="96">
        <f>SUM(B9:D9)</f>
        <v>77007.070000000007</v>
      </c>
      <c r="G9" s="98">
        <v>-485492.36</v>
      </c>
    </row>
    <row r="10" spans="1:7">
      <c r="A10" s="124">
        <v>201904</v>
      </c>
      <c r="B10" s="97">
        <f t="shared" si="0"/>
        <v>77007.070000000007</v>
      </c>
      <c r="C10" s="97">
        <v>4167.83</v>
      </c>
      <c r="D10" s="97"/>
      <c r="E10" s="96">
        <f t="shared" ref="E10:E18" si="1">SUM(B10:D10)</f>
        <v>81174.900000000009</v>
      </c>
      <c r="G10" s="98">
        <v>-479514.55</v>
      </c>
    </row>
    <row r="11" spans="1:7">
      <c r="A11" s="124">
        <v>201905</v>
      </c>
      <c r="B11" s="97">
        <f t="shared" si="0"/>
        <v>81174.900000000009</v>
      </c>
      <c r="C11" s="97">
        <v>4167.83</v>
      </c>
      <c r="D11" s="97"/>
      <c r="E11" s="96">
        <f t="shared" si="1"/>
        <v>85342.73000000001</v>
      </c>
      <c r="G11" s="98">
        <v>-473536.74</v>
      </c>
    </row>
    <row r="12" spans="1:7">
      <c r="A12" s="124">
        <v>201906</v>
      </c>
      <c r="B12" s="97">
        <f t="shared" si="0"/>
        <v>85342.73000000001</v>
      </c>
      <c r="C12" s="97">
        <v>4167.83</v>
      </c>
      <c r="D12" s="97"/>
      <c r="E12" s="96">
        <f t="shared" si="1"/>
        <v>89510.560000000012</v>
      </c>
      <c r="G12" s="98">
        <v>-467558.93</v>
      </c>
    </row>
    <row r="13" spans="1:7">
      <c r="A13" s="124">
        <v>201907</v>
      </c>
      <c r="B13" s="97">
        <f t="shared" si="0"/>
        <v>89510.560000000012</v>
      </c>
      <c r="C13" s="97">
        <v>4167.83</v>
      </c>
      <c r="D13" s="97"/>
      <c r="E13" s="96">
        <f t="shared" si="1"/>
        <v>93678.390000000014</v>
      </c>
      <c r="G13" s="98">
        <v>-461581.12</v>
      </c>
    </row>
    <row r="14" spans="1:7">
      <c r="A14" s="124">
        <v>201908</v>
      </c>
      <c r="B14" s="97">
        <f t="shared" si="0"/>
        <v>93678.390000000014</v>
      </c>
      <c r="C14" s="97">
        <v>4167.83</v>
      </c>
      <c r="D14" s="97"/>
      <c r="E14" s="96">
        <f t="shared" si="1"/>
        <v>97846.220000000016</v>
      </c>
      <c r="G14" s="98">
        <v>-455603.31</v>
      </c>
    </row>
    <row r="15" spans="1:7">
      <c r="A15" s="124">
        <v>201909</v>
      </c>
      <c r="B15" s="97">
        <f t="shared" si="0"/>
        <v>97846.220000000016</v>
      </c>
      <c r="C15" s="97">
        <v>4167.83</v>
      </c>
      <c r="D15" s="97"/>
      <c r="E15" s="96">
        <f t="shared" si="1"/>
        <v>102014.05000000002</v>
      </c>
      <c r="G15" s="98">
        <v>-449625.5</v>
      </c>
    </row>
    <row r="16" spans="1:7">
      <c r="A16" s="124">
        <v>201910</v>
      </c>
      <c r="B16" s="97">
        <f t="shared" si="0"/>
        <v>102014.05000000002</v>
      </c>
      <c r="C16" s="97">
        <v>4167.83</v>
      </c>
      <c r="D16" s="97"/>
      <c r="E16" s="96">
        <f t="shared" si="1"/>
        <v>106181.88000000002</v>
      </c>
      <c r="G16" s="98">
        <v>-443647.69</v>
      </c>
    </row>
    <row r="17" spans="1:7">
      <c r="A17" s="124">
        <v>201911</v>
      </c>
      <c r="B17" s="97">
        <f t="shared" si="0"/>
        <v>106181.88000000002</v>
      </c>
      <c r="C17" s="97">
        <v>4167.83</v>
      </c>
      <c r="D17" s="97"/>
      <c r="E17" s="96">
        <f t="shared" si="1"/>
        <v>110349.71000000002</v>
      </c>
      <c r="G17" s="98">
        <v>-437669.88</v>
      </c>
    </row>
    <row r="18" spans="1:7">
      <c r="A18" s="124">
        <v>201912</v>
      </c>
      <c r="B18" s="97">
        <f t="shared" si="0"/>
        <v>110349.71000000002</v>
      </c>
      <c r="C18" s="97">
        <v>4167.83</v>
      </c>
      <c r="D18" s="97"/>
      <c r="E18" s="96">
        <f t="shared" si="1"/>
        <v>114517.54000000002</v>
      </c>
      <c r="G18" s="98">
        <v>-431692.07</v>
      </c>
    </row>
    <row r="19" spans="1:7">
      <c r="A19" s="99"/>
      <c r="B19" s="100"/>
      <c r="C19" s="101">
        <f>SUM(C7:C18)</f>
        <v>50013.960000000014</v>
      </c>
      <c r="D19" s="101"/>
      <c r="E19" s="102"/>
    </row>
  </sheetData>
  <pageMargins left="0.7" right="0.7" top="0.75" bottom="0.75" header="0.3" footer="0.3"/>
  <pageSetup orientation="portrait" r:id="rId1"/>
  <headerFooter>
    <oddFooter>&amp;C&amp;F&amp;A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E6" sqref="E6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283850</v>
      </c>
      <c r="B3" s="83" t="s">
        <v>169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251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/>
      <c r="C6" s="97"/>
      <c r="D6" s="125">
        <v>-1886752.46</v>
      </c>
      <c r="E6" s="125">
        <v>0</v>
      </c>
      <c r="F6" s="96">
        <f t="shared" ref="F6:F18" si="0">SUM(D6:E6)</f>
        <v>-1886752.46</v>
      </c>
    </row>
    <row r="7" spans="1:8">
      <c r="A7" s="94">
        <f>'283200 ED AN'!A7</f>
        <v>201901</v>
      </c>
      <c r="B7" s="97">
        <f>D6</f>
        <v>-1886752.46</v>
      </c>
      <c r="C7" s="97">
        <v>17565.650000000001</v>
      </c>
      <c r="D7" s="125">
        <f>SUM(B7:C7)</f>
        <v>-1869186.81</v>
      </c>
      <c r="E7" s="125">
        <v>0</v>
      </c>
      <c r="F7" s="96">
        <f t="shared" si="0"/>
        <v>-1869186.81</v>
      </c>
      <c r="H7" s="98">
        <v>-7405578.6900000004</v>
      </c>
    </row>
    <row r="8" spans="1:8">
      <c r="A8" s="94">
        <f>'283200 ED AN'!A8</f>
        <v>201902</v>
      </c>
      <c r="B8" s="97">
        <f t="shared" ref="B8:B18" si="1">D7</f>
        <v>-1869186.81</v>
      </c>
      <c r="C8" s="97">
        <v>17565.650000000001</v>
      </c>
      <c r="D8" s="125">
        <f t="shared" ref="D8:D18" si="2">SUM(B8:C8)</f>
        <v>-1851621.1600000001</v>
      </c>
      <c r="E8" s="125">
        <v>0</v>
      </c>
      <c r="F8" s="96">
        <f t="shared" si="0"/>
        <v>-1851621.1600000001</v>
      </c>
      <c r="H8" s="98">
        <v>-7335183.7599999998</v>
      </c>
    </row>
    <row r="9" spans="1:8">
      <c r="A9" s="94">
        <f>'283200 ED AN'!A9</f>
        <v>201903</v>
      </c>
      <c r="B9" s="97">
        <f t="shared" si="1"/>
        <v>-1851621.1600000001</v>
      </c>
      <c r="C9" s="97">
        <v>17565.650000000001</v>
      </c>
      <c r="D9" s="125">
        <f t="shared" si="2"/>
        <v>-1834055.5100000002</v>
      </c>
      <c r="E9" s="125"/>
      <c r="F9" s="96">
        <f t="shared" si="0"/>
        <v>-1834055.5100000002</v>
      </c>
      <c r="H9" s="98">
        <v>-7275633.2000000002</v>
      </c>
    </row>
    <row r="10" spans="1:8">
      <c r="A10" s="94">
        <f>'283200 ED AN'!A10</f>
        <v>201904</v>
      </c>
      <c r="B10" s="97">
        <f t="shared" si="1"/>
        <v>-1834055.5100000002</v>
      </c>
      <c r="C10" s="97">
        <v>17565.650000000001</v>
      </c>
      <c r="D10" s="125">
        <f t="shared" si="2"/>
        <v>-1816489.8600000003</v>
      </c>
      <c r="E10" s="125"/>
      <c r="F10" s="96">
        <f t="shared" si="0"/>
        <v>-1816489.8600000003</v>
      </c>
      <c r="H10" s="98">
        <v>-7217431.7999999998</v>
      </c>
    </row>
    <row r="11" spans="1:8">
      <c r="A11" s="94">
        <f>'283200 ED AN'!A11</f>
        <v>201905</v>
      </c>
      <c r="B11" s="97">
        <f t="shared" si="1"/>
        <v>-1816489.8600000003</v>
      </c>
      <c r="C11" s="97">
        <v>17565.650000000001</v>
      </c>
      <c r="D11" s="125">
        <f t="shared" si="2"/>
        <v>-1798924.2100000004</v>
      </c>
      <c r="E11" s="125"/>
      <c r="F11" s="96">
        <f t="shared" si="0"/>
        <v>-1798924.2100000004</v>
      </c>
      <c r="H11" s="98">
        <v>-7159704.29</v>
      </c>
    </row>
    <row r="12" spans="1:8">
      <c r="A12" s="94">
        <f>'283200 ED AN'!A12</f>
        <v>201906</v>
      </c>
      <c r="B12" s="97">
        <f t="shared" si="1"/>
        <v>-1798924.2100000004</v>
      </c>
      <c r="C12" s="97">
        <v>17565.650000000001</v>
      </c>
      <c r="D12" s="125">
        <f t="shared" si="2"/>
        <v>-1781358.5600000005</v>
      </c>
      <c r="E12" s="125"/>
      <c r="F12" s="96">
        <f t="shared" si="0"/>
        <v>-1781358.5600000005</v>
      </c>
      <c r="H12" s="98">
        <v>-7101142.5</v>
      </c>
    </row>
    <row r="13" spans="1:8">
      <c r="A13" s="94">
        <f>'283200 ED AN'!A13</f>
        <v>201907</v>
      </c>
      <c r="B13" s="97">
        <f t="shared" si="1"/>
        <v>-1781358.5600000005</v>
      </c>
      <c r="C13" s="97">
        <v>17565.650000000001</v>
      </c>
      <c r="D13" s="125">
        <f t="shared" si="2"/>
        <v>-1763792.9100000006</v>
      </c>
      <c r="E13" s="125"/>
      <c r="F13" s="96">
        <f t="shared" si="0"/>
        <v>-1763792.9100000006</v>
      </c>
      <c r="H13" s="98">
        <v>-7044307.7800000003</v>
      </c>
    </row>
    <row r="14" spans="1:8">
      <c r="A14" s="94">
        <f>'283200 ED AN'!A14</f>
        <v>201908</v>
      </c>
      <c r="B14" s="97">
        <f t="shared" si="1"/>
        <v>-1763792.9100000006</v>
      </c>
      <c r="C14" s="97">
        <v>17565.650000000001</v>
      </c>
      <c r="D14" s="125">
        <f t="shared" si="2"/>
        <v>-1746227.2600000007</v>
      </c>
      <c r="E14" s="125"/>
      <c r="F14" s="96">
        <f t="shared" si="0"/>
        <v>-1746227.2600000007</v>
      </c>
      <c r="H14" s="98">
        <v>-6987780.2800000003</v>
      </c>
    </row>
    <row r="15" spans="1:8">
      <c r="A15" s="94">
        <f>'283200 ED AN'!A15</f>
        <v>201909</v>
      </c>
      <c r="B15" s="97">
        <f t="shared" si="1"/>
        <v>-1746227.2600000007</v>
      </c>
      <c r="C15" s="97">
        <v>17565.650000000001</v>
      </c>
      <c r="D15" s="125">
        <f t="shared" si="2"/>
        <v>-1728661.6100000008</v>
      </c>
      <c r="E15" s="97"/>
      <c r="F15" s="96">
        <f t="shared" si="0"/>
        <v>-1728661.6100000008</v>
      </c>
      <c r="H15" s="98">
        <v>-6931252.7800000003</v>
      </c>
    </row>
    <row r="16" spans="1:8">
      <c r="A16" s="94">
        <f>'283200 ED AN'!A16</f>
        <v>201910</v>
      </c>
      <c r="B16" s="97">
        <f t="shared" si="1"/>
        <v>-1728661.6100000008</v>
      </c>
      <c r="C16" s="97">
        <v>17565.650000000001</v>
      </c>
      <c r="D16" s="125">
        <f t="shared" si="2"/>
        <v>-1711095.9600000009</v>
      </c>
      <c r="E16" s="97"/>
      <c r="F16" s="96">
        <f t="shared" si="0"/>
        <v>-1711095.9600000009</v>
      </c>
      <c r="H16" s="98">
        <v>-6874725.2800000003</v>
      </c>
    </row>
    <row r="17" spans="1:8">
      <c r="A17" s="94">
        <f>'283200 ED AN'!A17</f>
        <v>201911</v>
      </c>
      <c r="B17" s="97">
        <f t="shared" si="1"/>
        <v>-1711095.9600000009</v>
      </c>
      <c r="C17" s="97">
        <v>17565.650000000001</v>
      </c>
      <c r="D17" s="125">
        <f t="shared" si="2"/>
        <v>-1693530.310000001</v>
      </c>
      <c r="E17" s="97"/>
      <c r="F17" s="96">
        <f t="shared" si="0"/>
        <v>-1693530.310000001</v>
      </c>
      <c r="H17" s="98">
        <v>-6818197.7800000003</v>
      </c>
    </row>
    <row r="18" spans="1:8">
      <c r="A18" s="94">
        <f>'283200 ED AN'!A18</f>
        <v>201912</v>
      </c>
      <c r="B18" s="97">
        <f t="shared" si="1"/>
        <v>-1693530.310000001</v>
      </c>
      <c r="C18" s="97">
        <v>17565.650000000001</v>
      </c>
      <c r="D18" s="125">
        <f t="shared" si="2"/>
        <v>-1675964.6600000011</v>
      </c>
      <c r="E18" s="97"/>
      <c r="F18" s="96">
        <f t="shared" si="0"/>
        <v>-1675964.6600000011</v>
      </c>
      <c r="H18" s="98">
        <v>-6761670.2800000003</v>
      </c>
    </row>
    <row r="19" spans="1:8">
      <c r="A19" s="99"/>
      <c r="B19" s="100"/>
      <c r="C19" s="101">
        <f>SUM(C7:C18)</f>
        <v>210787.79999999996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G6" sqref="G6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14.28515625" style="1" customWidth="1"/>
    <col min="8" max="8" width="14.7109375" style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283750</v>
      </c>
      <c r="B3" s="83" t="s">
        <v>174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 t="s">
        <v>252</v>
      </c>
      <c r="H5" s="93" t="s">
        <v>109</v>
      </c>
    </row>
    <row r="6" spans="1:8">
      <c r="A6" s="94">
        <f>'283200 ED AN'!A6</f>
        <v>201812</v>
      </c>
      <c r="B6" s="129"/>
      <c r="C6" s="91"/>
      <c r="D6" s="125">
        <v>-266005.71000000002</v>
      </c>
      <c r="E6" s="125">
        <v>0</v>
      </c>
      <c r="F6" s="96">
        <f>SUM(D6:E6)</f>
        <v>-266005.71000000002</v>
      </c>
      <c r="G6" s="131"/>
      <c r="H6" s="140">
        <f>SUM(F6:G6)</f>
        <v>-266005.71000000002</v>
      </c>
    </row>
    <row r="7" spans="1:8">
      <c r="A7" s="94">
        <f>'283200 ED AN'!A7</f>
        <v>201901</v>
      </c>
      <c r="B7" s="97">
        <f>D6</f>
        <v>-266005.71000000002</v>
      </c>
      <c r="C7" s="97">
        <v>0</v>
      </c>
      <c r="D7" s="125">
        <f t="shared" ref="D7:D18" si="0">SUM(B7:C7)</f>
        <v>-266005.71000000002</v>
      </c>
      <c r="E7" s="125">
        <v>0</v>
      </c>
      <c r="F7" s="96">
        <f t="shared" ref="F7:F18" si="1">SUM(D7:E7)</f>
        <v>-266005.71000000002</v>
      </c>
      <c r="G7" s="131"/>
      <c r="H7" s="140">
        <f t="shared" ref="H7:H18" si="2">SUM(F7:G7)</f>
        <v>-266005.71000000002</v>
      </c>
    </row>
    <row r="8" spans="1:8">
      <c r="A8" s="94">
        <f>'283200 ED AN'!A8</f>
        <v>201902</v>
      </c>
      <c r="B8" s="97">
        <f t="shared" ref="B8:B18" si="3">D7</f>
        <v>-266005.71000000002</v>
      </c>
      <c r="C8" s="97">
        <v>0</v>
      </c>
      <c r="D8" s="125">
        <f t="shared" si="0"/>
        <v>-266005.71000000002</v>
      </c>
      <c r="E8" s="125">
        <v>0</v>
      </c>
      <c r="F8" s="96">
        <f t="shared" si="1"/>
        <v>-266005.71000000002</v>
      </c>
      <c r="G8" s="131"/>
      <c r="H8" s="140">
        <f t="shared" si="2"/>
        <v>-266005.71000000002</v>
      </c>
    </row>
    <row r="9" spans="1:8">
      <c r="A9" s="94">
        <f>'283200 ED AN'!A9</f>
        <v>201903</v>
      </c>
      <c r="B9" s="97">
        <f t="shared" si="3"/>
        <v>-266005.71000000002</v>
      </c>
      <c r="C9" s="97">
        <v>0</v>
      </c>
      <c r="D9" s="125">
        <f t="shared" si="0"/>
        <v>-266005.71000000002</v>
      </c>
      <c r="E9" s="125">
        <v>0</v>
      </c>
      <c r="F9" s="96">
        <f t="shared" si="1"/>
        <v>-266005.71000000002</v>
      </c>
      <c r="G9" s="131"/>
      <c r="H9" s="140">
        <f t="shared" si="2"/>
        <v>-266005.71000000002</v>
      </c>
    </row>
    <row r="10" spans="1:8">
      <c r="A10" s="94">
        <f>'283200 ED AN'!A10</f>
        <v>201904</v>
      </c>
      <c r="B10" s="97">
        <f t="shared" si="3"/>
        <v>-266005.71000000002</v>
      </c>
      <c r="C10" s="97">
        <v>0</v>
      </c>
      <c r="D10" s="125">
        <f t="shared" si="0"/>
        <v>-266005.71000000002</v>
      </c>
      <c r="E10" s="125">
        <v>0</v>
      </c>
      <c r="F10" s="96">
        <f t="shared" si="1"/>
        <v>-266005.71000000002</v>
      </c>
      <c r="G10" s="131"/>
      <c r="H10" s="140">
        <f t="shared" si="2"/>
        <v>-266005.71000000002</v>
      </c>
    </row>
    <row r="11" spans="1:8">
      <c r="A11" s="94">
        <f>'283200 ED AN'!A11</f>
        <v>201905</v>
      </c>
      <c r="B11" s="97">
        <f t="shared" si="3"/>
        <v>-266005.71000000002</v>
      </c>
      <c r="C11" s="97">
        <v>0</v>
      </c>
      <c r="D11" s="125">
        <f t="shared" si="0"/>
        <v>-266005.71000000002</v>
      </c>
      <c r="E11" s="125">
        <v>0</v>
      </c>
      <c r="F11" s="96">
        <f t="shared" si="1"/>
        <v>-266005.71000000002</v>
      </c>
      <c r="G11" s="131"/>
      <c r="H11" s="140">
        <f t="shared" si="2"/>
        <v>-266005.71000000002</v>
      </c>
    </row>
    <row r="12" spans="1:8">
      <c r="A12" s="94">
        <f>'283200 ED AN'!A12</f>
        <v>201906</v>
      </c>
      <c r="B12" s="97">
        <f t="shared" si="3"/>
        <v>-266005.71000000002</v>
      </c>
      <c r="C12" s="97">
        <v>0</v>
      </c>
      <c r="D12" s="125">
        <f t="shared" si="0"/>
        <v>-266005.71000000002</v>
      </c>
      <c r="E12" s="125">
        <v>0</v>
      </c>
      <c r="F12" s="96">
        <f t="shared" si="1"/>
        <v>-266005.71000000002</v>
      </c>
      <c r="G12" s="131"/>
      <c r="H12" s="140">
        <f t="shared" si="2"/>
        <v>-266005.71000000002</v>
      </c>
    </row>
    <row r="13" spans="1:8">
      <c r="A13" s="94">
        <f>'283200 ED AN'!A13</f>
        <v>201907</v>
      </c>
      <c r="B13" s="97">
        <f t="shared" si="3"/>
        <v>-266005.71000000002</v>
      </c>
      <c r="C13" s="97">
        <v>0</v>
      </c>
      <c r="D13" s="125">
        <f t="shared" si="0"/>
        <v>-266005.71000000002</v>
      </c>
      <c r="E13" s="125">
        <v>0</v>
      </c>
      <c r="F13" s="96">
        <f t="shared" si="1"/>
        <v>-266005.71000000002</v>
      </c>
      <c r="G13" s="131"/>
      <c r="H13" s="140">
        <f t="shared" si="2"/>
        <v>-266005.71000000002</v>
      </c>
    </row>
    <row r="14" spans="1:8">
      <c r="A14" s="94">
        <f>'283200 ED AN'!A14</f>
        <v>201908</v>
      </c>
      <c r="B14" s="97">
        <f t="shared" si="3"/>
        <v>-266005.71000000002</v>
      </c>
      <c r="C14" s="97">
        <v>0</v>
      </c>
      <c r="D14" s="125">
        <f t="shared" si="0"/>
        <v>-266005.71000000002</v>
      </c>
      <c r="E14" s="125">
        <v>0</v>
      </c>
      <c r="F14" s="96">
        <f t="shared" si="1"/>
        <v>-266005.71000000002</v>
      </c>
      <c r="G14" s="131"/>
      <c r="H14" s="140">
        <f t="shared" si="2"/>
        <v>-266005.71000000002</v>
      </c>
    </row>
    <row r="15" spans="1:8">
      <c r="A15" s="94">
        <f>'283200 ED AN'!A15</f>
        <v>201909</v>
      </c>
      <c r="B15" s="97">
        <f t="shared" si="3"/>
        <v>-266005.71000000002</v>
      </c>
      <c r="C15" s="97">
        <v>118979</v>
      </c>
      <c r="D15" s="125">
        <f t="shared" si="0"/>
        <v>-147026.71000000002</v>
      </c>
      <c r="E15" s="125">
        <v>0</v>
      </c>
      <c r="F15" s="96">
        <f t="shared" si="1"/>
        <v>-147026.71000000002</v>
      </c>
      <c r="G15" s="131"/>
      <c r="H15" s="140">
        <f t="shared" si="2"/>
        <v>-147026.71000000002</v>
      </c>
    </row>
    <row r="16" spans="1:8">
      <c r="A16" s="94">
        <f>'283200 ED AN'!A16</f>
        <v>201910</v>
      </c>
      <c r="B16" s="97">
        <f t="shared" si="3"/>
        <v>-147026.71000000002</v>
      </c>
      <c r="C16" s="97">
        <v>0</v>
      </c>
      <c r="D16" s="125">
        <f t="shared" si="0"/>
        <v>-147026.71000000002</v>
      </c>
      <c r="E16" s="125">
        <v>0</v>
      </c>
      <c r="F16" s="96">
        <f t="shared" si="1"/>
        <v>-147026.71000000002</v>
      </c>
      <c r="G16" s="131"/>
      <c r="H16" s="140">
        <f t="shared" si="2"/>
        <v>-147026.71000000002</v>
      </c>
    </row>
    <row r="17" spans="1:8">
      <c r="A17" s="94">
        <f>'283200 ED AN'!A17</f>
        <v>201911</v>
      </c>
      <c r="B17" s="97">
        <f t="shared" si="3"/>
        <v>-147026.71000000002</v>
      </c>
      <c r="C17" s="97">
        <v>0</v>
      </c>
      <c r="D17" s="125">
        <f t="shared" si="0"/>
        <v>-147026.71000000002</v>
      </c>
      <c r="E17" s="125">
        <v>0</v>
      </c>
      <c r="F17" s="96">
        <f t="shared" si="1"/>
        <v>-147026.71000000002</v>
      </c>
      <c r="G17" s="131"/>
      <c r="H17" s="140">
        <f t="shared" si="2"/>
        <v>-147026.71000000002</v>
      </c>
    </row>
    <row r="18" spans="1:8">
      <c r="A18" s="94">
        <f>'283200 ED AN'!A18</f>
        <v>201912</v>
      </c>
      <c r="B18" s="97">
        <f t="shared" si="3"/>
        <v>-147026.71000000002</v>
      </c>
      <c r="C18" s="97">
        <v>137682</v>
      </c>
      <c r="D18" s="125">
        <f t="shared" si="0"/>
        <v>-9344.710000000021</v>
      </c>
      <c r="E18" s="125">
        <v>0</v>
      </c>
      <c r="F18" s="96">
        <f t="shared" si="1"/>
        <v>-9344.710000000021</v>
      </c>
      <c r="G18" s="131"/>
      <c r="H18" s="140">
        <f t="shared" si="2"/>
        <v>-9344.710000000021</v>
      </c>
    </row>
    <row r="19" spans="1:8">
      <c r="A19" s="99"/>
      <c r="B19" s="100"/>
      <c r="C19" s="101">
        <f>SUM(C7:C18)</f>
        <v>256661</v>
      </c>
      <c r="D19" s="101"/>
      <c r="E19" s="101"/>
      <c r="F19" s="102"/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C19" sqref="C19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14.28515625" style="1" customWidth="1"/>
    <col min="8" max="8" width="14.7109375" style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282919</v>
      </c>
      <c r="B3" s="83" t="s">
        <v>248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/>
      <c r="H5" s="93"/>
    </row>
    <row r="6" spans="1:8">
      <c r="A6" s="94">
        <f>'283200 ED AN'!A6</f>
        <v>201812</v>
      </c>
      <c r="B6" s="129"/>
      <c r="C6" s="91"/>
      <c r="D6" s="125">
        <v>-1063746</v>
      </c>
      <c r="E6" s="125">
        <v>0</v>
      </c>
      <c r="F6" s="96">
        <f>SUM(D6:E6)</f>
        <v>-1063746</v>
      </c>
      <c r="G6" s="131"/>
      <c r="H6" s="140"/>
    </row>
    <row r="7" spans="1:8">
      <c r="A7" s="94">
        <f>'283200 ED AN'!A7</f>
        <v>201901</v>
      </c>
      <c r="B7" s="97">
        <f>D6</f>
        <v>-1063746</v>
      </c>
      <c r="C7" s="97">
        <v>0</v>
      </c>
      <c r="D7" s="125">
        <f t="shared" ref="D7:D18" si="0">SUM(B7:C7)</f>
        <v>-1063746</v>
      </c>
      <c r="E7" s="125">
        <v>0</v>
      </c>
      <c r="F7" s="96">
        <f t="shared" ref="F7:F18" si="1">SUM(D7:E7)</f>
        <v>-1063746</v>
      </c>
      <c r="G7" s="131"/>
      <c r="H7" s="140"/>
    </row>
    <row r="8" spans="1:8">
      <c r="A8" s="94">
        <f>'283200 ED AN'!A8</f>
        <v>201902</v>
      </c>
      <c r="B8" s="97">
        <f t="shared" ref="B8:B18" si="2">D7</f>
        <v>-1063746</v>
      </c>
      <c r="C8" s="97">
        <v>0</v>
      </c>
      <c r="D8" s="125">
        <f t="shared" si="0"/>
        <v>-1063746</v>
      </c>
      <c r="E8" s="125">
        <v>0</v>
      </c>
      <c r="F8" s="96">
        <f t="shared" si="1"/>
        <v>-1063746</v>
      </c>
      <c r="G8" s="131"/>
      <c r="H8" s="140"/>
    </row>
    <row r="9" spans="1:8">
      <c r="A9" s="94">
        <f>'283200 ED AN'!A9</f>
        <v>201903</v>
      </c>
      <c r="B9" s="97">
        <f t="shared" si="2"/>
        <v>-1063746</v>
      </c>
      <c r="C9" s="97">
        <v>-242281</v>
      </c>
      <c r="D9" s="125">
        <f t="shared" si="0"/>
        <v>-1306027</v>
      </c>
      <c r="E9" s="125">
        <v>0</v>
      </c>
      <c r="F9" s="96">
        <f t="shared" si="1"/>
        <v>-1306027</v>
      </c>
      <c r="G9" s="131"/>
      <c r="H9" s="140"/>
    </row>
    <row r="10" spans="1:8">
      <c r="A10" s="94">
        <f>'283200 ED AN'!A10</f>
        <v>201904</v>
      </c>
      <c r="B10" s="97">
        <f t="shared" si="2"/>
        <v>-1306027</v>
      </c>
      <c r="C10" s="97">
        <v>0</v>
      </c>
      <c r="D10" s="125">
        <f t="shared" si="0"/>
        <v>-1306027</v>
      </c>
      <c r="E10" s="125">
        <v>0</v>
      </c>
      <c r="F10" s="96">
        <f t="shared" si="1"/>
        <v>-1306027</v>
      </c>
      <c r="G10" s="131"/>
      <c r="H10" s="140"/>
    </row>
    <row r="11" spans="1:8">
      <c r="A11" s="94">
        <f>'283200 ED AN'!A11</f>
        <v>201905</v>
      </c>
      <c r="B11" s="97">
        <f t="shared" si="2"/>
        <v>-1306027</v>
      </c>
      <c r="C11" s="97">
        <v>0</v>
      </c>
      <c r="D11" s="125">
        <f t="shared" si="0"/>
        <v>-1306027</v>
      </c>
      <c r="E11" s="125">
        <v>0</v>
      </c>
      <c r="F11" s="96">
        <f t="shared" si="1"/>
        <v>-1306027</v>
      </c>
      <c r="G11" s="131"/>
      <c r="H11" s="140"/>
    </row>
    <row r="12" spans="1:8">
      <c r="A12" s="94">
        <f>'283200 ED AN'!A12</f>
        <v>201906</v>
      </c>
      <c r="B12" s="97">
        <f t="shared" si="2"/>
        <v>-1306027</v>
      </c>
      <c r="C12" s="97">
        <v>-242281</v>
      </c>
      <c r="D12" s="125">
        <f t="shared" si="0"/>
        <v>-1548308</v>
      </c>
      <c r="E12" s="125">
        <v>0</v>
      </c>
      <c r="F12" s="96">
        <f t="shared" si="1"/>
        <v>-1548308</v>
      </c>
      <c r="G12" s="131"/>
      <c r="H12" s="140"/>
    </row>
    <row r="13" spans="1:8">
      <c r="A13" s="94">
        <f>'283200 ED AN'!A13</f>
        <v>201907</v>
      </c>
      <c r="B13" s="97">
        <f t="shared" si="2"/>
        <v>-1548308</v>
      </c>
      <c r="C13" s="97">
        <v>0</v>
      </c>
      <c r="D13" s="125">
        <f t="shared" si="0"/>
        <v>-1548308</v>
      </c>
      <c r="E13" s="125">
        <v>0</v>
      </c>
      <c r="F13" s="96">
        <f t="shared" si="1"/>
        <v>-1548308</v>
      </c>
      <c r="G13" s="131"/>
      <c r="H13" s="140"/>
    </row>
    <row r="14" spans="1:8">
      <c r="A14" s="94">
        <f>'283200 ED AN'!A14</f>
        <v>201908</v>
      </c>
      <c r="B14" s="97">
        <f t="shared" si="2"/>
        <v>-1548308</v>
      </c>
      <c r="C14" s="97">
        <v>0</v>
      </c>
      <c r="D14" s="125">
        <f t="shared" si="0"/>
        <v>-1548308</v>
      </c>
      <c r="E14" s="125">
        <v>0</v>
      </c>
      <c r="F14" s="96">
        <f t="shared" si="1"/>
        <v>-1548308</v>
      </c>
      <c r="G14" s="131"/>
      <c r="H14" s="140"/>
    </row>
    <row r="15" spans="1:8">
      <c r="A15" s="94">
        <f>'283200 ED AN'!A15</f>
        <v>201909</v>
      </c>
      <c r="B15" s="97">
        <f t="shared" si="2"/>
        <v>-1548308</v>
      </c>
      <c r="C15" s="97">
        <v>-242281</v>
      </c>
      <c r="D15" s="125">
        <f t="shared" si="0"/>
        <v>-1790589</v>
      </c>
      <c r="E15" s="125">
        <v>0</v>
      </c>
      <c r="F15" s="96">
        <f t="shared" si="1"/>
        <v>-1790589</v>
      </c>
      <c r="G15" s="131"/>
      <c r="H15" s="140"/>
    </row>
    <row r="16" spans="1:8">
      <c r="A16" s="94">
        <f>'283200 ED AN'!A16</f>
        <v>201910</v>
      </c>
      <c r="B16" s="97">
        <f t="shared" si="2"/>
        <v>-1790589</v>
      </c>
      <c r="C16" s="97">
        <v>0</v>
      </c>
      <c r="D16" s="125">
        <f t="shared" si="0"/>
        <v>-1790589</v>
      </c>
      <c r="E16" s="125">
        <v>0</v>
      </c>
      <c r="F16" s="96">
        <f t="shared" si="1"/>
        <v>-1790589</v>
      </c>
      <c r="G16" s="131"/>
      <c r="H16" s="140"/>
    </row>
    <row r="17" spans="1:8">
      <c r="A17" s="94">
        <f>'283200 ED AN'!A17</f>
        <v>201911</v>
      </c>
      <c r="B17" s="97">
        <f t="shared" si="2"/>
        <v>-1790589</v>
      </c>
      <c r="C17" s="97">
        <v>0</v>
      </c>
      <c r="D17" s="125">
        <f t="shared" si="0"/>
        <v>-1790589</v>
      </c>
      <c r="E17" s="125">
        <v>0</v>
      </c>
      <c r="F17" s="96">
        <f t="shared" si="1"/>
        <v>-1790589</v>
      </c>
      <c r="G17" s="131"/>
      <c r="H17" s="140"/>
    </row>
    <row r="18" spans="1:8">
      <c r="A18" s="94">
        <f>'283200 ED AN'!A18</f>
        <v>201912</v>
      </c>
      <c r="B18" s="97">
        <f t="shared" si="2"/>
        <v>-1790589</v>
      </c>
      <c r="C18" s="97">
        <v>-222625</v>
      </c>
      <c r="D18" s="125">
        <f t="shared" si="0"/>
        <v>-2013214</v>
      </c>
      <c r="E18" s="125">
        <v>0</v>
      </c>
      <c r="F18" s="96">
        <f t="shared" si="1"/>
        <v>-2013214</v>
      </c>
      <c r="G18" s="131"/>
      <c r="H18" s="140"/>
    </row>
    <row r="19" spans="1:8">
      <c r="A19" s="99"/>
      <c r="B19" s="100"/>
      <c r="C19" s="101">
        <f>SUM(C7:C18)</f>
        <v>-949468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Normal="100" workbookViewId="0">
      <selection activeCell="D29" sqref="D29"/>
    </sheetView>
  </sheetViews>
  <sheetFormatPr defaultRowHeight="12.75"/>
  <cols>
    <col min="1" max="1" width="27.42578125" customWidth="1"/>
    <col min="2" max="2" width="5.7109375" customWidth="1"/>
    <col min="3" max="3" width="9.7109375" customWidth="1"/>
    <col min="4" max="4" width="17.7109375" bestFit="1" customWidth="1"/>
    <col min="5" max="5" width="14.7109375" customWidth="1"/>
    <col min="6" max="7" width="16.5703125" bestFit="1" customWidth="1"/>
    <col min="8" max="8" width="17.28515625" bestFit="1" customWidth="1"/>
    <col min="9" max="9" width="16.5703125" bestFit="1" customWidth="1"/>
    <col min="10" max="10" width="14.140625" customWidth="1"/>
    <col min="11" max="11" width="1.7109375" customWidth="1"/>
    <col min="12" max="12" width="32.140625" bestFit="1" customWidth="1"/>
    <col min="13" max="13" width="14.85546875" style="1" customWidth="1"/>
    <col min="14" max="14" width="2.42578125" style="1" customWidth="1"/>
    <col min="15" max="15" width="13.140625" style="1" bestFit="1" customWidth="1"/>
  </cols>
  <sheetData>
    <row r="1" spans="1:13">
      <c r="A1" t="s">
        <v>68</v>
      </c>
      <c r="M1" s="1" t="s">
        <v>112</v>
      </c>
    </row>
    <row r="2" spans="1:13">
      <c r="A2" s="51" t="s">
        <v>113</v>
      </c>
    </row>
    <row r="3" spans="1:13">
      <c r="A3" t="str">
        <f>'SYS-Dec19'!D3</f>
        <v>Average - Twelve Months Ended December 31, 2019</v>
      </c>
      <c r="L3" s="105" t="s">
        <v>114</v>
      </c>
      <c r="M3" s="105" t="s">
        <v>10</v>
      </c>
    </row>
    <row r="4" spans="1:13">
      <c r="L4" t="s">
        <v>216</v>
      </c>
      <c r="M4" s="115">
        <f>'E-PLT'!I8+'E-PLT'!I9+'E-PLT'!I10+'E-PLT'!I11+'E-PLT'!I12</f>
        <v>183651610</v>
      </c>
    </row>
    <row r="5" spans="1:13">
      <c r="A5" t="s">
        <v>116</v>
      </c>
      <c r="L5" t="s">
        <v>117</v>
      </c>
      <c r="M5" s="155">
        <f>-'E-PLT'!H32</f>
        <v>-121266881.87388</v>
      </c>
    </row>
    <row r="6" spans="1:13">
      <c r="D6" s="29" t="s">
        <v>5</v>
      </c>
      <c r="E6" s="107" t="s">
        <v>10</v>
      </c>
      <c r="F6" s="107" t="s">
        <v>11</v>
      </c>
      <c r="G6" s="107" t="s">
        <v>12</v>
      </c>
      <c r="H6" s="107" t="s">
        <v>13</v>
      </c>
      <c r="I6" s="107" t="s">
        <v>118</v>
      </c>
      <c r="J6" s="108" t="s">
        <v>119</v>
      </c>
      <c r="M6" s="115"/>
    </row>
    <row r="7" spans="1:13">
      <c r="E7" s="109"/>
      <c r="F7" s="109"/>
      <c r="G7" s="109"/>
      <c r="H7" s="109"/>
      <c r="M7" s="115">
        <f>SUM(M4:M6)</f>
        <v>62384728.126120001</v>
      </c>
    </row>
    <row r="8" spans="1:13">
      <c r="A8" t="s">
        <v>10</v>
      </c>
      <c r="C8" s="137" t="s">
        <v>121</v>
      </c>
      <c r="D8" s="23">
        <f>'Elec-Dec19'!E10</f>
        <v>-7378723.0236</v>
      </c>
      <c r="E8" s="110">
        <v>0</v>
      </c>
      <c r="F8" s="110">
        <f>D8</f>
        <v>-7378723.0236</v>
      </c>
      <c r="G8" s="110"/>
      <c r="H8" s="110"/>
      <c r="I8" s="111"/>
      <c r="M8" s="156"/>
    </row>
    <row r="9" spans="1:13">
      <c r="A9" t="s">
        <v>11</v>
      </c>
      <c r="C9" s="28" t="s">
        <v>121</v>
      </c>
      <c r="D9" s="23">
        <f>'Elec-Dec19'!E11</f>
        <v>-122502862.068</v>
      </c>
      <c r="E9" s="23">
        <v>0</v>
      </c>
      <c r="F9" s="23">
        <f t="shared" ref="E9:F14" si="0">IF($C9="P",$D9,0)</f>
        <v>-122502862.068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5" t="s">
        <v>114</v>
      </c>
      <c r="M9" s="105" t="s">
        <v>11</v>
      </c>
    </row>
    <row r="10" spans="1:13">
      <c r="A10" t="s">
        <v>12</v>
      </c>
      <c r="C10" s="28" t="s">
        <v>122</v>
      </c>
      <c r="D10" s="23">
        <f>'Elec-Dec19'!E12</f>
        <v>-67116628.906800002</v>
      </c>
      <c r="E10" s="23">
        <f t="shared" si="0"/>
        <v>0</v>
      </c>
      <c r="F10" s="23">
        <f t="shared" si="0"/>
        <v>0</v>
      </c>
      <c r="G10" s="23">
        <f t="shared" si="1"/>
        <v>-67116628.906800002</v>
      </c>
      <c r="H10" s="23">
        <f t="shared" si="2"/>
        <v>0</v>
      </c>
      <c r="I10" s="23">
        <f>IF($C10="O",$D10,0)</f>
        <v>0</v>
      </c>
      <c r="L10" t="s">
        <v>123</v>
      </c>
      <c r="M10" s="115">
        <f>'E-PLT'!I15</f>
        <v>930160150</v>
      </c>
    </row>
    <row r="11" spans="1:13">
      <c r="A11" t="s">
        <v>13</v>
      </c>
      <c r="C11" s="28" t="s">
        <v>41</v>
      </c>
      <c r="D11" s="23">
        <f>'Elec-Dec19'!E13</f>
        <v>-162648130.40188998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-162648130.40188998</v>
      </c>
      <c r="I11" s="23">
        <f>IF($C11="O",$D11,0)</f>
        <v>0</v>
      </c>
      <c r="L11" t="s">
        <v>217</v>
      </c>
      <c r="M11" s="115">
        <f>'E-PLT'!I4+'E-PLT'!I5+'E-PLT'!I6+'E-PLT'!I7</f>
        <v>27383679</v>
      </c>
    </row>
    <row r="12" spans="1:13">
      <c r="A12" t="s">
        <v>78</v>
      </c>
      <c r="C12" s="28" t="s">
        <v>125</v>
      </c>
      <c r="D12" s="23">
        <f>'Elec-Dec19'!E14</f>
        <v>-10276027.732620001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-10276027.732620001</v>
      </c>
      <c r="M12" s="155"/>
    </row>
    <row r="13" spans="1:13">
      <c r="A13" t="s">
        <v>127</v>
      </c>
      <c r="C13" s="28" t="s">
        <v>125</v>
      </c>
      <c r="D13" s="23">
        <f>'Elec-Dec19'!E16</f>
        <v>-42922227.397512957</v>
      </c>
      <c r="E13" s="23">
        <f>D13*O26</f>
        <v>-12985888.983577147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-29936338.413935807</v>
      </c>
      <c r="J13" s="23">
        <f>D13-E13-F13-G13-H13-I13</f>
        <v>0</v>
      </c>
      <c r="M13" s="115">
        <f>SUM(M10:M12)</f>
        <v>957543829</v>
      </c>
    </row>
    <row r="14" spans="1:13">
      <c r="A14" t="s">
        <v>128</v>
      </c>
      <c r="C14" s="28" t="s">
        <v>125</v>
      </c>
      <c r="D14" s="32">
        <f>'Elec-Dec19'!E17</f>
        <v>-421012.07577352726</v>
      </c>
      <c r="E14" s="32">
        <f>D14*O26</f>
        <v>-127374.93853958711</v>
      </c>
      <c r="F14" s="32">
        <f t="shared" si="0"/>
        <v>0</v>
      </c>
      <c r="G14" s="32">
        <f t="shared" si="1"/>
        <v>0</v>
      </c>
      <c r="H14" s="32">
        <f t="shared" si="2"/>
        <v>0</v>
      </c>
      <c r="I14" s="32">
        <f>D14*O25</f>
        <v>-293637.13723394013</v>
      </c>
      <c r="J14" s="23">
        <f>D14-E14-F14-G14-H14-I14</f>
        <v>0</v>
      </c>
      <c r="M14" s="115"/>
    </row>
    <row r="15" spans="1:13">
      <c r="A15" t="s">
        <v>71</v>
      </c>
      <c r="C15" s="28"/>
      <c r="D15" s="23">
        <f t="shared" ref="D15:I15" si="3">SUM(D8:D14)</f>
        <v>-413265611.60619652</v>
      </c>
      <c r="E15" s="23">
        <f t="shared" si="3"/>
        <v>-13113263.922116734</v>
      </c>
      <c r="F15" s="23">
        <f t="shared" si="3"/>
        <v>-129881585.0916</v>
      </c>
      <c r="G15" s="23">
        <f t="shared" si="3"/>
        <v>-67116628.906800002</v>
      </c>
      <c r="H15" s="23">
        <f t="shared" si="3"/>
        <v>-162648130.40188998</v>
      </c>
      <c r="I15" s="23">
        <f t="shared" si="3"/>
        <v>-40506003.283789754</v>
      </c>
      <c r="L15" s="106"/>
      <c r="M15" s="156"/>
    </row>
    <row r="16" spans="1:13">
      <c r="A16" t="s">
        <v>22</v>
      </c>
      <c r="C16" s="28" t="s">
        <v>121</v>
      </c>
      <c r="D16" s="23">
        <f>'Elec-Dec19'!E20</f>
        <v>0</v>
      </c>
      <c r="E16" s="23">
        <v>0</v>
      </c>
      <c r="F16" s="23">
        <f>IF($C16="P",$D16,0)</f>
        <v>0</v>
      </c>
      <c r="G16" s="24"/>
      <c r="H16" s="24"/>
      <c r="I16" s="24"/>
      <c r="L16" s="105" t="s">
        <v>114</v>
      </c>
      <c r="M16" s="105" t="s">
        <v>12</v>
      </c>
    </row>
    <row r="17" spans="1:15">
      <c r="A17" t="s">
        <v>129</v>
      </c>
      <c r="C17" s="28" t="s">
        <v>121</v>
      </c>
      <c r="D17" s="23">
        <f>'Elec-Dec19'!E21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130</v>
      </c>
      <c r="M17" s="115">
        <f>'E-PLT'!I16</f>
        <v>509896912</v>
      </c>
    </row>
    <row r="18" spans="1:15">
      <c r="A18" t="s">
        <v>93</v>
      </c>
      <c r="C18" s="28" t="s">
        <v>121</v>
      </c>
      <c r="D18" s="24">
        <f>'Elec-Dec19'!E22</f>
        <v>-4209451.2882309509</v>
      </c>
      <c r="E18" s="23">
        <v>0</v>
      </c>
      <c r="F18" s="23">
        <f>IF($C18="P",$D18,0)</f>
        <v>-4209451.2882309509</v>
      </c>
      <c r="G18" s="24"/>
      <c r="H18" s="24"/>
      <c r="I18" s="24"/>
      <c r="M18" s="115"/>
    </row>
    <row r="19" spans="1:15">
      <c r="A19" t="s">
        <v>203</v>
      </c>
      <c r="C19" s="137" t="s">
        <v>121</v>
      </c>
      <c r="D19" s="24">
        <f>'Elec-Dec19'!E23</f>
        <v>165854.20930799999</v>
      </c>
      <c r="E19" s="23"/>
      <c r="F19" s="23">
        <f>D19</f>
        <v>165854.20930799999</v>
      </c>
      <c r="G19" s="24"/>
      <c r="H19" s="24"/>
      <c r="I19" s="24"/>
      <c r="M19" s="115"/>
    </row>
    <row r="20" spans="1:15">
      <c r="A20" t="s">
        <v>131</v>
      </c>
      <c r="C20" s="28"/>
      <c r="D20" s="112">
        <f>SUM(D15:D19)</f>
        <v>-417309208.68511945</v>
      </c>
      <c r="E20" s="112">
        <f t="shared" ref="E20:I20" si="4">SUM(E15:E19)</f>
        <v>-13113263.922116734</v>
      </c>
      <c r="F20" s="112">
        <f t="shared" si="4"/>
        <v>-133925182.17052296</v>
      </c>
      <c r="G20" s="112">
        <f t="shared" si="4"/>
        <v>-67116628.906800002</v>
      </c>
      <c r="H20" s="112">
        <f t="shared" si="4"/>
        <v>-162648130.40188998</v>
      </c>
      <c r="I20" s="112">
        <f t="shared" si="4"/>
        <v>-40506003.283789754</v>
      </c>
      <c r="M20" s="156"/>
    </row>
    <row r="21" spans="1:15">
      <c r="C21" s="28"/>
      <c r="D21" s="23"/>
      <c r="E21" s="23"/>
      <c r="F21" s="23"/>
      <c r="G21" s="23"/>
      <c r="H21" s="23"/>
      <c r="I21" s="23"/>
      <c r="L21" s="105" t="s">
        <v>114</v>
      </c>
      <c r="M21" s="105" t="s">
        <v>13</v>
      </c>
    </row>
    <row r="22" spans="1:15">
      <c r="A22" t="s">
        <v>83</v>
      </c>
      <c r="C22" s="28" t="s">
        <v>121</v>
      </c>
      <c r="D22" s="23">
        <f>'Elec-Dec19'!E29</f>
        <v>58754.731584000008</v>
      </c>
      <c r="E22" s="23">
        <v>0</v>
      </c>
      <c r="F22" s="23">
        <f>IF($C22="P",$D22,0)</f>
        <v>58754.731584000008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-0.57701334310695529</v>
      </c>
      <c r="L22" s="113" t="s">
        <v>134</v>
      </c>
      <c r="M22" s="115">
        <f>'E-PLT'!I17</f>
        <v>1194476413</v>
      </c>
    </row>
    <row r="23" spans="1:15">
      <c r="A23" t="str">
        <f>'Elec-Dec19'!A28</f>
        <v>ADFIT-Plant - AFUDC Equity</v>
      </c>
      <c r="C23" s="189" t="s">
        <v>125</v>
      </c>
      <c r="D23" s="23">
        <f>'Elec-Dec19'!E28</f>
        <v>-716236.05813170038</v>
      </c>
      <c r="E23" s="23"/>
      <c r="F23" s="23"/>
      <c r="G23" s="23"/>
      <c r="H23" s="23"/>
      <c r="I23" s="23">
        <f>IF($C23="O",$D23,0)</f>
        <v>-716236.05813170038</v>
      </c>
      <c r="J23" s="23"/>
      <c r="M23" s="156"/>
    </row>
    <row r="24" spans="1:15">
      <c r="A24" t="s">
        <v>218</v>
      </c>
      <c r="C24" s="137" t="s">
        <v>120</v>
      </c>
      <c r="D24" s="23">
        <f>'Elec-Dec19'!E30</f>
        <v>-110149.23532276056</v>
      </c>
      <c r="E24" s="23">
        <f>D24</f>
        <v>-110149.23532276056</v>
      </c>
      <c r="F24" s="23"/>
      <c r="G24" s="23"/>
      <c r="H24" s="23"/>
      <c r="I24" s="23"/>
      <c r="L24" s="105" t="s">
        <v>114</v>
      </c>
      <c r="M24" s="105" t="s">
        <v>118</v>
      </c>
    </row>
    <row r="25" spans="1:15">
      <c r="A25" t="s">
        <v>132</v>
      </c>
      <c r="B25" s="73" t="s">
        <v>133</v>
      </c>
      <c r="C25" s="28"/>
      <c r="D25" s="23">
        <f>'Elec-Dec19'!E31</f>
        <v>-846592.57701334311</v>
      </c>
      <c r="E25" s="23">
        <f>ROUND($D$25*E32,0)</f>
        <v>-16900</v>
      </c>
      <c r="F25" s="23">
        <f>ROUND($D$25*F32,0)</f>
        <v>-259397</v>
      </c>
      <c r="G25" s="23">
        <f>ROUND($D$25*G32,0)</f>
        <v>-138130</v>
      </c>
      <c r="H25" s="23">
        <f>ROUND($D$25*H32,0)</f>
        <v>-323582</v>
      </c>
      <c r="I25" s="23">
        <f>ROUND($D$25*I32,0)</f>
        <v>-108583</v>
      </c>
      <c r="L25" t="s">
        <v>135</v>
      </c>
      <c r="M25" s="115">
        <f>'E-PLT'!I18</f>
        <v>279556249</v>
      </c>
      <c r="O25" s="8">
        <f>M25/M27</f>
        <v>0.69745537985921036</v>
      </c>
    </row>
    <row r="26" spans="1:15">
      <c r="C26" s="28" t="s">
        <v>41</v>
      </c>
      <c r="D26">
        <v>0</v>
      </c>
      <c r="L26" t="s">
        <v>136</v>
      </c>
      <c r="M26" s="155">
        <f>-M5</f>
        <v>121266881.87388</v>
      </c>
      <c r="O26" s="8">
        <f>M26/M27</f>
        <v>0.30254462014078953</v>
      </c>
    </row>
    <row r="27" spans="1:15">
      <c r="A27" t="s">
        <v>29</v>
      </c>
      <c r="D27" s="112">
        <f t="shared" ref="D27:I27" si="5">SUM(D22:D26)</f>
        <v>-1614223.138883804</v>
      </c>
      <c r="E27" s="112">
        <f t="shared" si="5"/>
        <v>-127049.23532276056</v>
      </c>
      <c r="F27" s="112">
        <f t="shared" si="5"/>
        <v>-200642.26841600001</v>
      </c>
      <c r="G27" s="112">
        <f t="shared" si="5"/>
        <v>-138130</v>
      </c>
      <c r="H27" s="112">
        <f t="shared" si="5"/>
        <v>-323582</v>
      </c>
      <c r="I27" s="112">
        <f t="shared" si="5"/>
        <v>-824819.05813170038</v>
      </c>
      <c r="J27" s="23">
        <f>D29-E29-F29-G29-H29-I29</f>
        <v>-0.57701339572668076</v>
      </c>
      <c r="M27" s="115">
        <f>SUM(M25:M26)</f>
        <v>400823130.87388003</v>
      </c>
      <c r="O27" s="8">
        <f>SUM(O25:O26)</f>
        <v>0.99999999999999989</v>
      </c>
    </row>
    <row r="28" spans="1:15">
      <c r="D28" s="23"/>
      <c r="M28" s="115"/>
    </row>
    <row r="29" spans="1:15" ht="13.5" thickBot="1">
      <c r="A29" t="s">
        <v>30</v>
      </c>
      <c r="C29" s="171" t="s">
        <v>233</v>
      </c>
      <c r="D29" s="114">
        <f t="shared" ref="D29:I29" si="6">D20+D27</f>
        <v>-418923431.82400328</v>
      </c>
      <c r="E29" s="114">
        <f t="shared" si="6"/>
        <v>-13240313.157439495</v>
      </c>
      <c r="F29" s="114">
        <f t="shared" si="6"/>
        <v>-134125824.43893896</v>
      </c>
      <c r="G29" s="114">
        <f t="shared" si="6"/>
        <v>-67254758.906800002</v>
      </c>
      <c r="H29" s="114">
        <f t="shared" si="6"/>
        <v>-162971712.40188998</v>
      </c>
      <c r="I29" s="114">
        <f t="shared" si="6"/>
        <v>-41330822.341921456</v>
      </c>
      <c r="M29" s="115"/>
    </row>
    <row r="30" spans="1:15" ht="13.5" thickTop="1">
      <c r="M30" s="156"/>
    </row>
    <row r="31" spans="1:15">
      <c r="B31" t="s">
        <v>72</v>
      </c>
      <c r="C31" t="s">
        <v>137</v>
      </c>
      <c r="D31" s="110">
        <f>SUM(E31:I31)</f>
        <v>3125125013</v>
      </c>
      <c r="E31" s="115">
        <f>M7</f>
        <v>62384728.126120001</v>
      </c>
      <c r="F31" s="115">
        <f>M13</f>
        <v>957543829</v>
      </c>
      <c r="G31" s="115">
        <f>M17</f>
        <v>509896912</v>
      </c>
      <c r="H31" s="115">
        <f>M22</f>
        <v>1194476413</v>
      </c>
      <c r="I31" s="115">
        <f>M27</f>
        <v>400823130.87388003</v>
      </c>
      <c r="M31" s="156"/>
    </row>
    <row r="32" spans="1:15" hidden="1">
      <c r="E32" s="116">
        <f>ROUND(E31/$D$31,7)</f>
        <v>1.9962299999999999E-2</v>
      </c>
      <c r="F32" s="116">
        <f>ROUND(F31/$D$31,7)</f>
        <v>0.3064018</v>
      </c>
      <c r="G32" s="116">
        <f>ROUND(G31/$D$31,7)</f>
        <v>0.16316050000000001</v>
      </c>
      <c r="H32" s="116">
        <f>ROUND(H31/$D$31,7)</f>
        <v>0.38221719999999998</v>
      </c>
      <c r="I32" s="116">
        <f>ROUND(I31/$D$31,7)</f>
        <v>0.12825829999999999</v>
      </c>
      <c r="M32" s="156"/>
    </row>
    <row r="33" spans="1:13" hidden="1">
      <c r="A33" t="s">
        <v>138</v>
      </c>
      <c r="C33" s="28" t="s">
        <v>40</v>
      </c>
      <c r="D33" s="23">
        <f>SUM(E33:I33)</f>
        <v>-418924000</v>
      </c>
      <c r="E33" s="52">
        <f>ROUND(E29,-3)</f>
        <v>-13240000</v>
      </c>
      <c r="F33" s="52">
        <f>ROUND(F29,-3)</f>
        <v>-134126000</v>
      </c>
      <c r="G33" s="52">
        <f>ROUND(G29,-3)</f>
        <v>-67255000</v>
      </c>
      <c r="H33" s="52">
        <f>ROUND(H29,-3)</f>
        <v>-162972000</v>
      </c>
      <c r="I33" s="52">
        <f>ROUND(I29,-3)</f>
        <v>-41331000</v>
      </c>
      <c r="M33" s="156"/>
    </row>
    <row r="34" spans="1:13" hidden="1">
      <c r="A34" t="s">
        <v>139</v>
      </c>
      <c r="B34" t="s">
        <v>140</v>
      </c>
      <c r="C34" s="28" t="s">
        <v>125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6"/>
    </row>
    <row r="35" spans="1:13" hidden="1">
      <c r="A35" t="s">
        <v>141</v>
      </c>
      <c r="B35" t="s">
        <v>142</v>
      </c>
      <c r="C35" s="28" t="s">
        <v>121</v>
      </c>
      <c r="D35" s="110"/>
      <c r="E35" s="110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6"/>
    </row>
    <row r="36" spans="1:13" hidden="1">
      <c r="A36" t="s">
        <v>143</v>
      </c>
      <c r="B36" t="s">
        <v>144</v>
      </c>
      <c r="C36" s="28" t="s">
        <v>121</v>
      </c>
      <c r="D36" s="110"/>
      <c r="E36" s="110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6"/>
    </row>
    <row r="37" spans="1:13" hidden="1">
      <c r="A37" t="s">
        <v>145</v>
      </c>
      <c r="B37" t="s">
        <v>146</v>
      </c>
      <c r="C37" s="28" t="s">
        <v>40</v>
      </c>
      <c r="D37" s="110">
        <f>SUM(F37:I37)</f>
        <v>0</v>
      </c>
      <c r="E37" s="110"/>
      <c r="F37" s="23">
        <f>-G37</f>
        <v>0</v>
      </c>
      <c r="G37" s="23">
        <v>0</v>
      </c>
      <c r="H37" s="23">
        <v>0</v>
      </c>
      <c r="I37" s="23">
        <v>0</v>
      </c>
      <c r="M37" s="156"/>
    </row>
    <row r="38" spans="1:13" hidden="1">
      <c r="A38" t="s">
        <v>147</v>
      </c>
      <c r="B38" t="s">
        <v>148</v>
      </c>
      <c r="C38" s="28" t="s">
        <v>40</v>
      </c>
      <c r="D38" s="110">
        <f>SUM(F38:I38)</f>
        <v>0</v>
      </c>
      <c r="E38" s="110"/>
      <c r="F38" s="23"/>
      <c r="G38" s="23"/>
      <c r="H38" s="23"/>
      <c r="I38" s="23"/>
      <c r="M38" s="156"/>
    </row>
    <row r="39" spans="1:13" hidden="1">
      <c r="A39" t="s">
        <v>149</v>
      </c>
      <c r="B39" t="s">
        <v>150</v>
      </c>
      <c r="C39" s="28" t="s">
        <v>40</v>
      </c>
      <c r="D39" s="110">
        <f>SUM(F39:I39)</f>
        <v>0</v>
      </c>
      <c r="E39" s="110"/>
      <c r="F39" s="23"/>
      <c r="G39" s="23"/>
      <c r="H39" s="23"/>
      <c r="I39" s="23"/>
      <c r="M39" s="156"/>
    </row>
    <row r="40" spans="1:13" hidden="1">
      <c r="A40" t="s">
        <v>151</v>
      </c>
      <c r="B40" t="s">
        <v>152</v>
      </c>
      <c r="C40" s="28" t="s">
        <v>121</v>
      </c>
      <c r="D40" s="110"/>
      <c r="E40" s="110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6"/>
    </row>
    <row r="41" spans="1:13" hidden="1">
      <c r="A41" t="s">
        <v>153</v>
      </c>
      <c r="B41" t="s">
        <v>154</v>
      </c>
      <c r="C41" s="28" t="s">
        <v>121</v>
      </c>
      <c r="D41" s="110"/>
      <c r="E41" s="110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6"/>
    </row>
    <row r="42" spans="1:13" hidden="1">
      <c r="A42" t="s">
        <v>93</v>
      </c>
      <c r="B42" t="s">
        <v>155</v>
      </c>
      <c r="C42" s="28" t="s">
        <v>121</v>
      </c>
      <c r="D42" s="110"/>
      <c r="E42" s="110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6"/>
    </row>
    <row r="43" spans="1:13" hidden="1">
      <c r="A43" t="s">
        <v>156</v>
      </c>
      <c r="B43" t="s">
        <v>157</v>
      </c>
      <c r="C43" s="28" t="s">
        <v>121</v>
      </c>
      <c r="D43" s="110"/>
      <c r="E43" s="110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6"/>
    </row>
    <row r="44" spans="1:13" hidden="1">
      <c r="D44" s="117"/>
      <c r="E44" s="117"/>
      <c r="F44" s="117"/>
      <c r="G44" s="117"/>
      <c r="H44" s="117"/>
      <c r="I44" s="117"/>
      <c r="M44" s="156"/>
    </row>
    <row r="45" spans="1:13" hidden="1">
      <c r="A45" s="118" t="s">
        <v>242</v>
      </c>
      <c r="D45" s="179">
        <f t="shared" ref="D45:I45" si="7">SUM(D34:D43)+ROUND(D29,-3)</f>
        <v>-418923000</v>
      </c>
      <c r="E45" s="179">
        <f t="shared" si="7"/>
        <v>-13240000</v>
      </c>
      <c r="F45" s="179">
        <f t="shared" si="7"/>
        <v>-134126000</v>
      </c>
      <c r="G45" s="179">
        <f t="shared" si="7"/>
        <v>-67255000</v>
      </c>
      <c r="H45" s="179">
        <f t="shared" si="7"/>
        <v>-162972000</v>
      </c>
      <c r="I45" s="179">
        <f t="shared" si="7"/>
        <v>-41331000</v>
      </c>
      <c r="M45" s="156"/>
    </row>
    <row r="46" spans="1:13" hidden="1">
      <c r="A46" s="118" t="s">
        <v>243</v>
      </c>
      <c r="D46" s="177">
        <f>SUM(E46:I46)</f>
        <v>0</v>
      </c>
      <c r="E46" s="177"/>
      <c r="F46" s="177"/>
      <c r="G46" s="177"/>
      <c r="H46" s="177"/>
      <c r="I46" s="177"/>
      <c r="M46" s="156"/>
    </row>
    <row r="47" spans="1:13" hidden="1">
      <c r="M47" s="156"/>
    </row>
    <row r="48" spans="1:13" ht="13.5" thickBot="1">
      <c r="A48" s="51"/>
      <c r="D48" s="176"/>
      <c r="E48" s="176"/>
      <c r="F48" s="176"/>
      <c r="G48" s="176"/>
      <c r="H48" s="176"/>
      <c r="I48" s="176"/>
      <c r="M48" s="156" t="s">
        <v>159</v>
      </c>
    </row>
    <row r="49" spans="1:15">
      <c r="M49" s="156"/>
    </row>
    <row r="50" spans="1:15">
      <c r="A50" t="s">
        <v>68</v>
      </c>
      <c r="L50" s="105" t="s">
        <v>114</v>
      </c>
      <c r="M50" s="105" t="s">
        <v>10</v>
      </c>
    </row>
    <row r="51" spans="1:15">
      <c r="A51" s="51" t="s">
        <v>158</v>
      </c>
      <c r="L51" t="s">
        <v>115</v>
      </c>
      <c r="M51" s="115">
        <f>'E-PLT'!M8+'E-PLT'!M9+'E-PLT'!M10+'E-PLT'!M11</f>
        <v>48072648</v>
      </c>
    </row>
    <row r="52" spans="1:15">
      <c r="A52" t="str">
        <f>A3</f>
        <v>Average - Twelve Months Ended December 31, 2019</v>
      </c>
      <c r="L52" t="s">
        <v>117</v>
      </c>
      <c r="M52" s="155">
        <f>'E-PLT'!L32</f>
        <v>54009889.126120001</v>
      </c>
      <c r="O52" s="105"/>
    </row>
    <row r="53" spans="1:15">
      <c r="J53" s="108" t="s">
        <v>119</v>
      </c>
      <c r="L53" t="s">
        <v>117</v>
      </c>
      <c r="M53" s="115"/>
      <c r="O53" s="106"/>
    </row>
    <row r="54" spans="1:15">
      <c r="A54" t="s">
        <v>116</v>
      </c>
      <c r="M54" s="115">
        <f>SUM(M51:M53)</f>
        <v>102082537.12612</v>
      </c>
      <c r="O54" s="106"/>
    </row>
    <row r="55" spans="1:15">
      <c r="D55" s="29" t="s">
        <v>6</v>
      </c>
      <c r="E55" s="107" t="s">
        <v>10</v>
      </c>
      <c r="F55" s="107" t="s">
        <v>11</v>
      </c>
      <c r="G55" s="107" t="s">
        <v>12</v>
      </c>
      <c r="H55" s="107" t="s">
        <v>13</v>
      </c>
      <c r="I55" s="107" t="s">
        <v>160</v>
      </c>
      <c r="M55" s="156"/>
      <c r="O55" s="106"/>
    </row>
    <row r="56" spans="1:15">
      <c r="E56" s="109"/>
      <c r="F56" s="109"/>
      <c r="G56" s="109"/>
      <c r="H56" s="109"/>
      <c r="L56" s="105" t="s">
        <v>114</v>
      </c>
      <c r="M56" s="105" t="s">
        <v>11</v>
      </c>
      <c r="O56" s="106"/>
    </row>
    <row r="57" spans="1:15">
      <c r="A57" t="s">
        <v>161</v>
      </c>
      <c r="C57" s="137" t="s">
        <v>121</v>
      </c>
      <c r="D57" s="23">
        <f>'Elec-Dec19'!F10</f>
        <v>-3862475.9764</v>
      </c>
      <c r="E57" s="110">
        <v>0</v>
      </c>
      <c r="F57" s="110">
        <f>D57</f>
        <v>-3862475.9764</v>
      </c>
      <c r="G57" s="110"/>
      <c r="H57" s="110"/>
      <c r="I57" s="111"/>
      <c r="L57" t="s">
        <v>123</v>
      </c>
      <c r="M57" s="115">
        <f>'E-PLT'!M15</f>
        <v>487924703</v>
      </c>
      <c r="O57" s="106"/>
    </row>
    <row r="58" spans="1:15">
      <c r="A58" t="s">
        <v>11</v>
      </c>
      <c r="C58" s="28" t="s">
        <v>121</v>
      </c>
      <c r="D58" s="23">
        <f>'Elec-Dec19'!F11</f>
        <v>-64125507.932000004</v>
      </c>
      <c r="E58" s="23">
        <v>0</v>
      </c>
      <c r="F58" s="23">
        <f t="shared" ref="E58:F63" si="8">IF($C58="P",$D58,0)</f>
        <v>-64125507.932000004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124</v>
      </c>
      <c r="M58" s="115">
        <f>'E-PLT'!M4+'E-PLT'!M5+'E-PLT'!M6+'E-PLT'!M7</f>
        <v>14334296</v>
      </c>
      <c r="O58" s="106"/>
    </row>
    <row r="59" spans="1:15">
      <c r="A59" t="s">
        <v>12</v>
      </c>
      <c r="C59" s="28" t="s">
        <v>122</v>
      </c>
      <c r="D59" s="23">
        <f>'Elec-Dec19'!F12</f>
        <v>-35132958.093199998</v>
      </c>
      <c r="E59" s="23">
        <f t="shared" si="8"/>
        <v>0</v>
      </c>
      <c r="F59" s="23">
        <f t="shared" si="8"/>
        <v>0</v>
      </c>
      <c r="G59" s="23">
        <f t="shared" si="9"/>
        <v>-35132958.093199998</v>
      </c>
      <c r="H59" s="23">
        <f t="shared" si="10"/>
        <v>0</v>
      </c>
      <c r="I59" s="23">
        <f>IF($C59="O",$D59,0)</f>
        <v>0</v>
      </c>
      <c r="L59" t="s">
        <v>126</v>
      </c>
      <c r="M59" s="155"/>
    </row>
    <row r="60" spans="1:15">
      <c r="A60" t="s">
        <v>13</v>
      </c>
      <c r="C60" s="28" t="s">
        <v>41</v>
      </c>
      <c r="D60" s="23">
        <f>'Elec-Dec19'!F13</f>
        <v>-74686988.598110005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-74686988.598110005</v>
      </c>
      <c r="I60" s="23">
        <f>IF($C60="O",$D60,0)</f>
        <v>0</v>
      </c>
      <c r="J60" s="23">
        <f>D62-E62-F62-G62-H62-I62</f>
        <v>0</v>
      </c>
      <c r="M60" s="115">
        <f>SUM(M57:M59)</f>
        <v>502258999</v>
      </c>
      <c r="O60" s="105"/>
    </row>
    <row r="61" spans="1:15">
      <c r="A61" t="s">
        <v>78</v>
      </c>
      <c r="C61" s="28" t="s">
        <v>125</v>
      </c>
      <c r="D61" s="23">
        <f>'Elec-Dec19'!F14</f>
        <v>-4704041.2673799992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-4704041.2673799992</v>
      </c>
      <c r="J61" s="23">
        <f>D63-E63-F63-G63-H63-I63</f>
        <v>0</v>
      </c>
      <c r="M61" s="115"/>
      <c r="O61" s="106"/>
    </row>
    <row r="62" spans="1:15">
      <c r="A62" t="s">
        <v>127</v>
      </c>
      <c r="C62" s="28" t="s">
        <v>125</v>
      </c>
      <c r="D62" s="23">
        <f>'Elec-Dec19'!F16</f>
        <v>-19113974.018193234</v>
      </c>
      <c r="E62" s="23">
        <f>D62*O73</f>
        <v>13277945.420223549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-32391919.438416786</v>
      </c>
      <c r="L62" s="106"/>
      <c r="M62" s="156"/>
      <c r="O62" s="106"/>
    </row>
    <row r="63" spans="1:15">
      <c r="A63" t="s">
        <v>128</v>
      </c>
      <c r="C63" s="28" t="s">
        <v>125</v>
      </c>
      <c r="D63" s="32">
        <f>'Elec-Dec19'!F17</f>
        <v>-187483.60384827282</v>
      </c>
      <c r="E63" s="32">
        <f>D63*O73</f>
        <v>130239.63811579424</v>
      </c>
      <c r="F63" s="32">
        <f t="shared" si="8"/>
        <v>0</v>
      </c>
      <c r="G63" s="32">
        <f t="shared" si="9"/>
        <v>0</v>
      </c>
      <c r="H63" s="32">
        <f t="shared" si="10"/>
        <v>0</v>
      </c>
      <c r="I63" s="32">
        <f>D63*O72</f>
        <v>-317723.2419640671</v>
      </c>
      <c r="L63" s="105" t="s">
        <v>114</v>
      </c>
      <c r="M63" s="105" t="s">
        <v>12</v>
      </c>
      <c r="O63" s="106"/>
    </row>
    <row r="64" spans="1:15">
      <c r="A64" t="s">
        <v>71</v>
      </c>
      <c r="C64" s="28"/>
      <c r="D64" s="23">
        <f t="shared" ref="D64:I64" si="11">SUM(D57:D63)</f>
        <v>-201813429.48913151</v>
      </c>
      <c r="E64" s="23">
        <f t="shared" si="11"/>
        <v>13408185.058339342</v>
      </c>
      <c r="F64" s="23">
        <f t="shared" si="11"/>
        <v>-67987983.908399999</v>
      </c>
      <c r="G64" s="23">
        <f t="shared" si="11"/>
        <v>-35132958.093199998</v>
      </c>
      <c r="H64" s="23">
        <f t="shared" si="11"/>
        <v>-74686988.598110005</v>
      </c>
      <c r="I64" s="23">
        <f t="shared" si="11"/>
        <v>-37413683.94776085</v>
      </c>
      <c r="L64" t="s">
        <v>130</v>
      </c>
      <c r="M64" s="115">
        <f>'E-PLT'!M16</f>
        <v>267040651</v>
      </c>
    </row>
    <row r="65" spans="1:16">
      <c r="A65" t="s">
        <v>22</v>
      </c>
      <c r="C65" s="28" t="s">
        <v>121</v>
      </c>
      <c r="D65" s="23">
        <f>'Elec-Dec19'!F20</f>
        <v>0</v>
      </c>
      <c r="E65" s="23">
        <v>0</v>
      </c>
      <c r="F65" s="23">
        <f>IF($C65="P",$D65,0)</f>
        <v>0</v>
      </c>
      <c r="G65" s="24"/>
      <c r="H65" s="24"/>
      <c r="I65" s="24"/>
      <c r="M65" s="115"/>
      <c r="P65" s="1"/>
    </row>
    <row r="66" spans="1:16">
      <c r="A66" t="s">
        <v>129</v>
      </c>
      <c r="C66" s="28" t="s">
        <v>121</v>
      </c>
      <c r="D66" s="23">
        <f>'Elec-Dec19'!F21</f>
        <v>0</v>
      </c>
      <c r="E66" s="23">
        <v>0</v>
      </c>
      <c r="F66" s="23">
        <f>IF($C66="P",$D66,0)</f>
        <v>0</v>
      </c>
      <c r="G66" s="24"/>
      <c r="H66" s="24"/>
      <c r="I66" s="24"/>
      <c r="M66" s="115"/>
      <c r="O66" s="105"/>
      <c r="P66" s="1"/>
    </row>
    <row r="67" spans="1:16">
      <c r="A67" t="s">
        <v>93</v>
      </c>
      <c r="C67" s="28" t="s">
        <v>121</v>
      </c>
      <c r="D67" s="24">
        <f>'Elec-Dec19'!F22</f>
        <v>-2203484.8608107176</v>
      </c>
      <c r="E67" s="23">
        <v>0</v>
      </c>
      <c r="F67" s="23">
        <f>IF($C67="P",$D67,0)</f>
        <v>-2203484.8608107176</v>
      </c>
      <c r="G67" s="24"/>
      <c r="H67" s="24"/>
      <c r="I67" s="24"/>
      <c r="M67" s="156"/>
      <c r="O67" s="106"/>
      <c r="P67" s="1"/>
    </row>
    <row r="68" spans="1:16">
      <c r="A68" t="s">
        <v>203</v>
      </c>
      <c r="C68" s="137" t="s">
        <v>121</v>
      </c>
      <c r="D68" s="24">
        <f>'Elec-Dec19'!F23</f>
        <v>86818.260691999996</v>
      </c>
      <c r="E68" s="23"/>
      <c r="F68" s="23">
        <f>IF($C68="P",$D68,0)</f>
        <v>86818.260691999996</v>
      </c>
      <c r="G68" s="24"/>
      <c r="H68" s="24"/>
      <c r="I68" s="24"/>
      <c r="L68" s="105" t="s">
        <v>114</v>
      </c>
      <c r="M68" s="105" t="s">
        <v>13</v>
      </c>
      <c r="O68" s="106"/>
      <c r="P68" s="1"/>
    </row>
    <row r="69" spans="1:16">
      <c r="A69" t="s">
        <v>131</v>
      </c>
      <c r="C69" s="28"/>
      <c r="D69" s="112">
        <f>SUM(D64:D68)</f>
        <v>-203930096.08925024</v>
      </c>
      <c r="E69" s="112">
        <f t="shared" ref="E69:I69" si="12">SUM(E64:E68)</f>
        <v>13408185.058339342</v>
      </c>
      <c r="F69" s="112">
        <f t="shared" si="12"/>
        <v>-70104650.508518711</v>
      </c>
      <c r="G69" s="112">
        <f t="shared" si="12"/>
        <v>-35132958.093199998</v>
      </c>
      <c r="H69" s="112">
        <f t="shared" si="12"/>
        <v>-74686988.598110005</v>
      </c>
      <c r="I69" s="112">
        <f t="shared" si="12"/>
        <v>-37413683.94776085</v>
      </c>
      <c r="J69" s="23">
        <f>D74-E74-F74-G74-H74-I74</f>
        <v>0.33253654272994027</v>
      </c>
      <c r="L69" s="113" t="s">
        <v>134</v>
      </c>
      <c r="M69" s="115">
        <f>'E-PLT'!M17</f>
        <v>608900784</v>
      </c>
      <c r="O69" s="106"/>
      <c r="P69" s="1"/>
    </row>
    <row r="70" spans="1:16">
      <c r="C70" s="28"/>
      <c r="D70" s="23"/>
      <c r="E70" s="23"/>
      <c r="F70" s="23"/>
      <c r="G70" s="23"/>
      <c r="H70" s="23"/>
      <c r="I70" s="23"/>
      <c r="M70" s="156"/>
      <c r="O70" s="106"/>
      <c r="P70" s="1"/>
    </row>
    <row r="71" spans="1:16">
      <c r="A71" t="s">
        <v>83</v>
      </c>
      <c r="C71" s="28" t="s">
        <v>121</v>
      </c>
      <c r="D71" s="23">
        <f>'Elec-Dec19'!F29</f>
        <v>30755.828416000004</v>
      </c>
      <c r="E71" s="23">
        <v>0</v>
      </c>
      <c r="F71" s="23">
        <f>IF($C71="P",$D71,0)</f>
        <v>30755.828416000004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5" t="s">
        <v>114</v>
      </c>
      <c r="M71" s="105" t="s">
        <v>118</v>
      </c>
      <c r="O71" s="106"/>
      <c r="P71" s="1"/>
    </row>
    <row r="72" spans="1:16">
      <c r="A72" t="str">
        <f>'Elec-Dec19'!A28</f>
        <v>ADFIT-Plant - AFUDC Equity</v>
      </c>
      <c r="C72" s="189" t="s">
        <v>125</v>
      </c>
      <c r="D72" s="23">
        <f>'Elec-Dec19'!F28</f>
        <v>-318951.7002282996</v>
      </c>
      <c r="E72" s="23"/>
      <c r="F72" s="23"/>
      <c r="G72" s="23"/>
      <c r="H72" s="23"/>
      <c r="I72" s="23">
        <f>IF($C72="O",$D72,0)</f>
        <v>-318951.7002282996</v>
      </c>
      <c r="L72" t="s">
        <v>135</v>
      </c>
      <c r="M72" s="115">
        <f>'E-PLT'!M18</f>
        <v>131758636</v>
      </c>
      <c r="O72" s="18">
        <f>M72/M74</f>
        <v>1.6946721496840593</v>
      </c>
      <c r="P72" s="1"/>
    </row>
    <row r="73" spans="1:16">
      <c r="A73" t="s">
        <v>218</v>
      </c>
      <c r="C73" s="137" t="s">
        <v>120</v>
      </c>
      <c r="D73" s="23">
        <f>'Elec-Dec19'!F30</f>
        <v>-49051.266668539443</v>
      </c>
      <c r="E73" s="23">
        <f>D73</f>
        <v>-49051.266668539443</v>
      </c>
      <c r="F73" s="23"/>
      <c r="G73" s="23"/>
      <c r="H73" s="23"/>
      <c r="I73" s="23"/>
      <c r="J73" s="23">
        <f>D77-E77-F77-G77-H77-I77</f>
        <v>0.33253652602434158</v>
      </c>
      <c r="L73" t="s">
        <v>136</v>
      </c>
      <c r="M73" s="155">
        <f>-M52</f>
        <v>-54009889.126120001</v>
      </c>
      <c r="O73" s="18">
        <f>M73/M74</f>
        <v>-0.69467214968405921</v>
      </c>
      <c r="P73" s="1"/>
    </row>
    <row r="74" spans="1:16">
      <c r="A74" t="s">
        <v>132</v>
      </c>
      <c r="B74" s="73" t="s">
        <v>133</v>
      </c>
      <c r="C74" s="28"/>
      <c r="D74" s="23">
        <f>'Elec-Dec19'!F31</f>
        <v>-410654.66746345727</v>
      </c>
      <c r="E74" s="23">
        <f>ROUND($D$74*E80,0)</f>
        <v>-26906</v>
      </c>
      <c r="F74" s="23">
        <f>ROUND($D$74*F80,0)</f>
        <v>-132382</v>
      </c>
      <c r="G74" s="23">
        <f>ROUND($D$74*G80,0)</f>
        <v>-70385</v>
      </c>
      <c r="H74" s="23">
        <f>ROUND($D$74*H80,0)</f>
        <v>-160490</v>
      </c>
      <c r="I74" s="23">
        <f>ROUND($D$74*I80,0)</f>
        <v>-20492</v>
      </c>
      <c r="M74" s="115">
        <f>SUM(M72:M73)</f>
        <v>77748746.873879999</v>
      </c>
      <c r="O74" s="8">
        <f>SUM(O72:O73)</f>
        <v>1</v>
      </c>
      <c r="P74" s="1"/>
    </row>
    <row r="75" spans="1:16">
      <c r="A75" t="s">
        <v>29</v>
      </c>
      <c r="D75" s="112">
        <f t="shared" ref="D75:I75" si="13">SUM(D71:D74)</f>
        <v>-747901.8059442963</v>
      </c>
      <c r="E75" s="112">
        <f t="shared" si="13"/>
        <v>-75957.266668539436</v>
      </c>
      <c r="F75" s="112">
        <f t="shared" si="13"/>
        <v>-101626.171584</v>
      </c>
      <c r="G75" s="112">
        <f t="shared" si="13"/>
        <v>-70385</v>
      </c>
      <c r="H75" s="112">
        <f t="shared" si="13"/>
        <v>-160490</v>
      </c>
      <c r="I75" s="112">
        <f t="shared" si="13"/>
        <v>-339443.7002282996</v>
      </c>
      <c r="P75" s="1"/>
    </row>
    <row r="76" spans="1:16">
      <c r="D76" s="23"/>
      <c r="P76" s="1"/>
    </row>
    <row r="77" spans="1:16" ht="13.5" thickBot="1">
      <c r="A77" t="s">
        <v>30</v>
      </c>
      <c r="D77" s="114">
        <f t="shared" ref="D77:I77" si="14">D69+D75</f>
        <v>-204677997.89519453</v>
      </c>
      <c r="E77" s="114">
        <f t="shared" si="14"/>
        <v>13332227.791670803</v>
      </c>
      <c r="F77" s="114">
        <f t="shared" si="14"/>
        <v>-70206276.680102706</v>
      </c>
      <c r="G77" s="114">
        <f t="shared" si="14"/>
        <v>-35203343.093199998</v>
      </c>
      <c r="H77" s="114">
        <f t="shared" si="14"/>
        <v>-74847478.598110005</v>
      </c>
      <c r="I77" s="114">
        <f t="shared" si="14"/>
        <v>-37753127.647989146</v>
      </c>
      <c r="P77" s="1"/>
    </row>
    <row r="78" spans="1:16" ht="13.5" thickTop="1">
      <c r="P78" s="1"/>
    </row>
    <row r="79" spans="1:16">
      <c r="B79" t="s">
        <v>72</v>
      </c>
      <c r="C79" t="s">
        <v>137</v>
      </c>
      <c r="D79" s="110">
        <f>SUM(E79:I79)</f>
        <v>1558031718</v>
      </c>
      <c r="E79" s="110">
        <f>M54</f>
        <v>102082537.12612</v>
      </c>
      <c r="F79" s="115">
        <f>M60</f>
        <v>502258999</v>
      </c>
      <c r="G79" s="115">
        <f>M64</f>
        <v>267040651</v>
      </c>
      <c r="H79" s="115">
        <f>M69</f>
        <v>608900784</v>
      </c>
      <c r="I79" s="115">
        <f>M74</f>
        <v>77748746.873879999</v>
      </c>
      <c r="P79" s="1"/>
    </row>
    <row r="80" spans="1:16">
      <c r="E80" s="119">
        <f>ROUND(E79/$D$79,7)</f>
        <v>6.5520200000000001E-2</v>
      </c>
      <c r="F80" s="119">
        <f>ROUND(F79/$D$79,7)</f>
        <v>0.32236759999999998</v>
      </c>
      <c r="G80" s="119">
        <f>ROUND(G79/$D$79,7)</f>
        <v>0.1713962</v>
      </c>
      <c r="H80" s="119">
        <f>ROUND(H79/$D$79,7)</f>
        <v>0.3908141</v>
      </c>
      <c r="I80" s="119">
        <f>ROUND(I79/$D$79,7)</f>
        <v>4.9901899999999999E-2</v>
      </c>
      <c r="P80" s="1"/>
    </row>
    <row r="81" spans="1:16">
      <c r="C81" s="28"/>
      <c r="D81" s="23"/>
      <c r="E81" s="23"/>
      <c r="F81" s="52"/>
      <c r="G81" s="52"/>
      <c r="H81" s="52"/>
      <c r="I81" s="52"/>
      <c r="P81" s="1"/>
    </row>
    <row r="82" spans="1:16">
      <c r="C82" s="28"/>
      <c r="D82" s="23"/>
      <c r="E82" s="23"/>
      <c r="F82" s="23"/>
      <c r="G82" s="23"/>
      <c r="H82" s="23"/>
      <c r="I82" s="23"/>
    </row>
    <row r="83" spans="1:16">
      <c r="C83" s="28"/>
      <c r="D83" s="23"/>
      <c r="E83" s="23"/>
      <c r="F83" s="23"/>
      <c r="G83" s="23"/>
      <c r="H83" s="23"/>
      <c r="I83" s="23"/>
    </row>
    <row r="84" spans="1:16">
      <c r="C84" s="28"/>
      <c r="D84" s="23"/>
      <c r="E84" s="23"/>
      <c r="F84" s="23"/>
      <c r="G84" s="23"/>
      <c r="H84" s="23"/>
      <c r="I84" s="23"/>
    </row>
    <row r="85" spans="1:16">
      <c r="C85" s="28"/>
      <c r="D85" s="23"/>
      <c r="E85" s="23"/>
      <c r="F85" s="23"/>
      <c r="G85" s="23"/>
      <c r="H85" s="23"/>
      <c r="I85" s="23"/>
    </row>
    <row r="86" spans="1:16">
      <c r="C86" s="28"/>
      <c r="D86" s="23"/>
      <c r="E86" s="23"/>
      <c r="F86" s="23"/>
      <c r="G86" s="23"/>
      <c r="H86" s="23"/>
      <c r="I86" s="23"/>
    </row>
    <row r="87" spans="1:16">
      <c r="C87" s="28"/>
      <c r="D87" s="23"/>
      <c r="E87" s="23"/>
      <c r="F87" s="23"/>
      <c r="G87" s="23"/>
      <c r="H87" s="23"/>
      <c r="I87" s="23"/>
    </row>
    <row r="88" spans="1:16">
      <c r="C88" s="28"/>
      <c r="D88" s="23"/>
      <c r="E88" s="23"/>
      <c r="F88" s="23"/>
      <c r="G88" s="23"/>
      <c r="H88" s="23"/>
      <c r="I88" s="23"/>
    </row>
    <row r="89" spans="1:16">
      <c r="C89" s="28"/>
      <c r="D89" s="23"/>
      <c r="E89" s="23"/>
      <c r="F89" s="23"/>
      <c r="G89" s="23"/>
      <c r="H89" s="23"/>
      <c r="I89" s="23"/>
    </row>
    <row r="90" spans="1:16">
      <c r="C90" s="28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8"/>
      <c r="D92" s="120"/>
      <c r="E92" s="120"/>
      <c r="F92" s="120"/>
      <c r="G92" s="120"/>
      <c r="H92" s="120"/>
      <c r="I92" s="120"/>
    </row>
  </sheetData>
  <pageMargins left="0.7" right="0.7" top="0.75" bottom="0.75" header="0.3" footer="0.3"/>
  <pageSetup scale="87" fitToHeight="2" orientation="landscape" r:id="rId1"/>
  <headerFooter>
    <oddFooter>&amp;L&amp;F</oddFooter>
  </headerFooter>
  <rowBreaks count="1" manualBreakCount="1">
    <brk id="4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>
      <selection activeCell="F16" sqref="F16"/>
    </sheetView>
  </sheetViews>
  <sheetFormatPr defaultRowHeight="12.75"/>
  <cols>
    <col min="1" max="1" width="27.42578125" customWidth="1"/>
    <col min="2" max="2" width="5.7109375" customWidth="1"/>
    <col min="3" max="3" width="9.7109375" customWidth="1"/>
    <col min="4" max="4" width="15.140625" customWidth="1"/>
    <col min="5" max="5" width="14.7109375" customWidth="1"/>
    <col min="6" max="6" width="14.140625" customWidth="1"/>
    <col min="7" max="7" width="17.28515625" bestFit="1" customWidth="1"/>
    <col min="8" max="8" width="16.5703125" bestFit="1" customWidth="1"/>
    <col min="9" max="9" width="14.140625" customWidth="1"/>
    <col min="10" max="10" width="1.7109375" customWidth="1"/>
    <col min="11" max="11" width="32.140625" bestFit="1" customWidth="1"/>
    <col min="12" max="12" width="19.5703125" style="1" customWidth="1"/>
    <col min="13" max="13" width="2.42578125" style="1" customWidth="1"/>
    <col min="14" max="14" width="13.140625" style="1" bestFit="1" customWidth="1"/>
  </cols>
  <sheetData>
    <row r="1" spans="1:12">
      <c r="A1" t="s">
        <v>68</v>
      </c>
      <c r="L1" s="26" t="s">
        <v>112</v>
      </c>
    </row>
    <row r="2" spans="1:12">
      <c r="A2" s="51" t="s">
        <v>162</v>
      </c>
      <c r="L2" s="26"/>
    </row>
    <row r="3" spans="1:12">
      <c r="A3" t="str">
        <f>'SYS-Dec19'!D3</f>
        <v>Average - Twelve Months Ended December 31, 2019</v>
      </c>
      <c r="K3" s="105" t="s">
        <v>114</v>
      </c>
      <c r="L3" s="105" t="s">
        <v>10</v>
      </c>
    </row>
    <row r="4" spans="1:12">
      <c r="K4" t="s">
        <v>10</v>
      </c>
      <c r="L4" s="115">
        <f>'G-PLT'!I8</f>
        <v>42432405</v>
      </c>
    </row>
    <row r="5" spans="1:12">
      <c r="A5" t="s">
        <v>116</v>
      </c>
      <c r="K5" t="s">
        <v>117</v>
      </c>
      <c r="L5" s="155">
        <f>-'G-PLT'!H27</f>
        <v>-36913847.568389997</v>
      </c>
    </row>
    <row r="6" spans="1:12">
      <c r="D6" s="29" t="s">
        <v>5</v>
      </c>
      <c r="E6" s="107" t="s">
        <v>10</v>
      </c>
      <c r="F6" s="107" t="s">
        <v>47</v>
      </c>
      <c r="G6" s="107" t="s">
        <v>13</v>
      </c>
      <c r="H6" s="107" t="s">
        <v>118</v>
      </c>
      <c r="I6" s="108" t="s">
        <v>119</v>
      </c>
      <c r="L6" s="115"/>
    </row>
    <row r="7" spans="1:12">
      <c r="E7" s="109"/>
      <c r="F7" s="109"/>
      <c r="G7" s="109"/>
      <c r="L7" s="115">
        <f>SUM(L4:L6)</f>
        <v>5518557.4316100031</v>
      </c>
    </row>
    <row r="8" spans="1:12">
      <c r="A8" t="s">
        <v>10</v>
      </c>
      <c r="C8" s="28" t="s">
        <v>120</v>
      </c>
      <c r="D8" s="23">
        <f>'Gas North-Dec19'!E10</f>
        <v>-596569.27399999998</v>
      </c>
      <c r="E8" s="110">
        <f>D8</f>
        <v>-596569.27399999998</v>
      </c>
      <c r="F8" s="110"/>
      <c r="G8" s="110"/>
      <c r="H8" s="111"/>
      <c r="L8" s="26"/>
    </row>
    <row r="9" spans="1:12">
      <c r="A9" t="s">
        <v>47</v>
      </c>
      <c r="C9" s="28" t="s">
        <v>163</v>
      </c>
      <c r="D9" s="23">
        <f>'Gas North-Dec19'!E11</f>
        <v>-3825846.872</v>
      </c>
      <c r="E9" s="23">
        <v>0</v>
      </c>
      <c r="F9" s="23">
        <f>D9</f>
        <v>-3825846.872</v>
      </c>
      <c r="G9" s="23">
        <f>IF($C9="D",$D9,0)</f>
        <v>0</v>
      </c>
      <c r="H9" s="23">
        <f>IF($C9="O",$D9,0)</f>
        <v>0</v>
      </c>
      <c r="K9" s="105" t="s">
        <v>114</v>
      </c>
      <c r="L9" s="105" t="s">
        <v>11</v>
      </c>
    </row>
    <row r="10" spans="1:12">
      <c r="A10" t="s">
        <v>13</v>
      </c>
      <c r="C10" s="28" t="s">
        <v>41</v>
      </c>
      <c r="D10" s="23">
        <f>'Gas North-Dec19'!E12</f>
        <v>-68264430.120250002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-68264430.120250002</v>
      </c>
      <c r="H10" s="23">
        <f>IF($C10="O",$D10,0)</f>
        <v>0</v>
      </c>
      <c r="K10" t="s">
        <v>47</v>
      </c>
      <c r="L10" s="115">
        <f>'G-PLT'!I10</f>
        <v>29713591</v>
      </c>
    </row>
    <row r="11" spans="1:12">
      <c r="A11" t="s">
        <v>78</v>
      </c>
      <c r="C11" s="28" t="s">
        <v>125</v>
      </c>
      <c r="D11" s="23">
        <f>'Gas North-Dec19'!E13</f>
        <v>-5602627.4872599998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-5602627.4872599998</v>
      </c>
      <c r="L11" s="115"/>
    </row>
    <row r="12" spans="1:12">
      <c r="A12" t="s">
        <v>127</v>
      </c>
      <c r="C12" s="28" t="s">
        <v>125</v>
      </c>
      <c r="D12" s="23">
        <f>'Gas North-Dec19'!E15</f>
        <v>-13088798.279023802</v>
      </c>
      <c r="E12" s="23">
        <f>D12*N23</f>
        <v>-3548904.581716435</v>
      </c>
      <c r="F12" s="23">
        <f t="shared" si="0"/>
        <v>0</v>
      </c>
      <c r="G12" s="23">
        <f>IF($C12="D",$D12,0)</f>
        <v>0</v>
      </c>
      <c r="H12" s="23">
        <f>D12*N22</f>
        <v>-9539893.697307365</v>
      </c>
      <c r="I12" s="23">
        <f>D12-E12-F12-G12-H12</f>
        <v>0</v>
      </c>
      <c r="L12" s="155"/>
    </row>
    <row r="13" spans="1:12">
      <c r="A13" t="s">
        <v>128</v>
      </c>
      <c r="C13" s="28" t="s">
        <v>125</v>
      </c>
      <c r="D13" s="32">
        <f>'Gas North-Dec19'!E16</f>
        <v>-121307.72381719737</v>
      </c>
      <c r="E13" s="32">
        <f>D13*N23</f>
        <v>-32891.448678094552</v>
      </c>
      <c r="F13" s="32">
        <f t="shared" si="0"/>
        <v>0</v>
      </c>
      <c r="G13" s="32">
        <f>IF($C13="D",$D13,0)</f>
        <v>0</v>
      </c>
      <c r="H13" s="32">
        <f>D13*N22</f>
        <v>-88416.2751391028</v>
      </c>
      <c r="I13" s="23">
        <f>D13-E13-F13-G13-H13</f>
        <v>0</v>
      </c>
      <c r="L13" s="115">
        <f>SUM(L10:L12)</f>
        <v>29713591</v>
      </c>
    </row>
    <row r="14" spans="1:12">
      <c r="A14" t="s">
        <v>71</v>
      </c>
      <c r="C14" s="28"/>
      <c r="D14" s="23">
        <f>SUM(D8:D13)</f>
        <v>-91499579.756350994</v>
      </c>
      <c r="E14" s="23">
        <f>SUM(E8:E13)</f>
        <v>-4178365.3043945297</v>
      </c>
      <c r="F14" s="23">
        <f>SUM(F8:F13)</f>
        <v>-3825846.872</v>
      </c>
      <c r="G14" s="23">
        <f>SUM(G8:G13)</f>
        <v>-68264430.120250002</v>
      </c>
      <c r="H14" s="23">
        <f>SUM(H8:H13)</f>
        <v>-15230937.459706469</v>
      </c>
      <c r="L14" s="115"/>
    </row>
    <row r="15" spans="1:12">
      <c r="C15" s="28"/>
      <c r="D15" s="23"/>
      <c r="E15" s="23"/>
      <c r="F15" s="23"/>
      <c r="G15" s="23"/>
      <c r="H15" s="23"/>
      <c r="L15" s="115"/>
    </row>
    <row r="16" spans="1:12">
      <c r="A16" t="s">
        <v>132</v>
      </c>
      <c r="B16" s="73" t="s">
        <v>133</v>
      </c>
      <c r="C16" s="28"/>
      <c r="D16" s="23">
        <f>'Gas North-Dec19'!E21</f>
        <v>-256389.98362329119</v>
      </c>
      <c r="E16" s="23">
        <f>ROUND($D$16*E29,0)</f>
        <v>-2089</v>
      </c>
      <c r="F16" s="23">
        <f>ROUND($D$16*F29,0)</f>
        <v>-11249</v>
      </c>
      <c r="G16" s="23">
        <f>ROUND($D$16*G29,0)</f>
        <v>-191511</v>
      </c>
      <c r="H16" s="23">
        <f>ROUND($D$16*H29,0)</f>
        <v>-51541</v>
      </c>
      <c r="I16" s="23">
        <f>D16-E16-F16-G16-H16</f>
        <v>1.6376708808820695E-2</v>
      </c>
      <c r="L16" s="115"/>
    </row>
    <row r="17" spans="1:14">
      <c r="A17" t="str">
        <f>'Gas North-Dec19'!A19</f>
        <v>ADFIT-Plant - AFUDC Equity</v>
      </c>
      <c r="B17" s="73"/>
      <c r="C17" s="189" t="s">
        <v>125</v>
      </c>
      <c r="D17" s="23">
        <f>'Gas North-Dec19'!E19</f>
        <v>-218410.59640796247</v>
      </c>
      <c r="E17" s="23"/>
      <c r="F17" s="23"/>
      <c r="G17" s="23"/>
      <c r="H17" s="23">
        <f>IF($C17="O",$D17,0)</f>
        <v>-218410.59640796247</v>
      </c>
      <c r="I17" s="23"/>
      <c r="L17" s="26"/>
    </row>
    <row r="18" spans="1:14">
      <c r="A18" t="s">
        <v>218</v>
      </c>
      <c r="C18" s="137" t="s">
        <v>120</v>
      </c>
      <c r="D18" s="23">
        <f>'Gas North-Dec19'!E20</f>
        <v>-33589.149705028445</v>
      </c>
      <c r="E18" s="23">
        <f>D18</f>
        <v>-33589.149705028445</v>
      </c>
      <c r="K18" s="105" t="s">
        <v>114</v>
      </c>
      <c r="L18" s="105" t="s">
        <v>13</v>
      </c>
    </row>
    <row r="19" spans="1:14">
      <c r="A19" t="s">
        <v>29</v>
      </c>
      <c r="D19" s="112">
        <f>SUM(D16:D18)</f>
        <v>-508389.72973628208</v>
      </c>
      <c r="E19" s="112">
        <f>SUM(E16:E18)</f>
        <v>-35678.149705028445</v>
      </c>
      <c r="F19" s="112">
        <f>SUM(F16:F18)</f>
        <v>-11249</v>
      </c>
      <c r="G19" s="112">
        <f>SUM(G16:G18)</f>
        <v>-191511</v>
      </c>
      <c r="H19" s="112">
        <f>SUM(H16:H18)</f>
        <v>-269951.5964079625</v>
      </c>
      <c r="K19" s="113" t="s">
        <v>134</v>
      </c>
      <c r="L19" s="115">
        <f>'G-PLT'!I11</f>
        <v>505863539</v>
      </c>
    </row>
    <row r="20" spans="1:14">
      <c r="D20" s="23"/>
      <c r="L20" s="26"/>
    </row>
    <row r="21" spans="1:14" ht="13.5" thickBot="1">
      <c r="A21" t="s">
        <v>30</v>
      </c>
      <c r="C21" s="171" t="s">
        <v>249</v>
      </c>
      <c r="D21" s="114">
        <f>SUM(D14,D19)</f>
        <v>-92007969.486087278</v>
      </c>
      <c r="E21" s="114">
        <f>SUM(E14,E19)</f>
        <v>-4214043.4540995583</v>
      </c>
      <c r="F21" s="114">
        <f>SUM(F14,F19)</f>
        <v>-3837095.872</v>
      </c>
      <c r="G21" s="114">
        <f>SUM(G14,G19)</f>
        <v>-68455941.120250002</v>
      </c>
      <c r="H21" s="114">
        <f>SUM(H14,H19)</f>
        <v>-15500889.056114431</v>
      </c>
      <c r="I21" s="121">
        <f>D21-E21-F21-G21-H21</f>
        <v>1.637670025229454E-2</v>
      </c>
      <c r="K21" s="105" t="s">
        <v>114</v>
      </c>
      <c r="L21" s="105">
        <v>32352360</v>
      </c>
    </row>
    <row r="22" spans="1:14" ht="13.5" thickTop="1">
      <c r="K22" t="s">
        <v>135</v>
      </c>
      <c r="L22" s="115">
        <f>'G-PLT'!I12</f>
        <v>99228980</v>
      </c>
      <c r="N22" s="8">
        <f>L22/L24</f>
        <v>0.72885940282203476</v>
      </c>
    </row>
    <row r="23" spans="1:14">
      <c r="A23" s="193"/>
      <c r="B23" s="190"/>
      <c r="C23" s="190"/>
      <c r="D23" s="181"/>
      <c r="E23" s="181"/>
      <c r="F23" s="181"/>
      <c r="G23" s="181"/>
      <c r="H23" s="181"/>
      <c r="I23" s="23"/>
      <c r="K23" t="s">
        <v>136</v>
      </c>
      <c r="L23" s="155">
        <f>-L5</f>
        <v>36913847.568389997</v>
      </c>
      <c r="N23" s="8">
        <f>L23/L24</f>
        <v>0.27114059717796507</v>
      </c>
    </row>
    <row r="24" spans="1:14">
      <c r="A24" s="190"/>
      <c r="B24" s="190"/>
      <c r="C24" s="190"/>
      <c r="D24" s="181"/>
      <c r="E24" s="181"/>
      <c r="F24" s="181"/>
      <c r="G24" s="181"/>
      <c r="H24" s="181"/>
      <c r="L24" s="115">
        <f>SUM(L22:L23)</f>
        <v>136142827.56839001</v>
      </c>
      <c r="N24" s="8">
        <f>SUM(N22:N23)</f>
        <v>0.99999999999999978</v>
      </c>
    </row>
    <row r="25" spans="1:14">
      <c r="A25" s="194"/>
      <c r="B25" s="190"/>
      <c r="C25" s="190"/>
      <c r="D25" s="181"/>
      <c r="E25" s="181"/>
      <c r="F25" s="181"/>
      <c r="G25" s="181"/>
      <c r="H25" s="181"/>
      <c r="L25" s="26"/>
    </row>
    <row r="26" spans="1:14">
      <c r="A26" s="194"/>
      <c r="B26" s="190"/>
      <c r="C26" s="190"/>
      <c r="D26" s="190"/>
      <c r="E26" s="190"/>
      <c r="F26" s="190"/>
      <c r="G26" s="190"/>
      <c r="H26" s="190"/>
      <c r="L26" s="26"/>
    </row>
    <row r="27" spans="1:14">
      <c r="A27" s="51"/>
      <c r="L27" s="26"/>
    </row>
    <row r="28" spans="1:14">
      <c r="B28" t="s">
        <v>72</v>
      </c>
      <c r="C28" t="s">
        <v>137</v>
      </c>
      <c r="D28" s="110">
        <f>SUM(E28:H28)</f>
        <v>677238515</v>
      </c>
      <c r="E28" s="115">
        <f>L7</f>
        <v>5518557.4316100031</v>
      </c>
      <c r="F28" s="115">
        <f>L13</f>
        <v>29713591</v>
      </c>
      <c r="G28" s="115">
        <f>L19</f>
        <v>505863539</v>
      </c>
      <c r="H28" s="115">
        <f>L24</f>
        <v>136142827.56839001</v>
      </c>
      <c r="L28" s="26"/>
    </row>
    <row r="29" spans="1:14">
      <c r="E29" s="122">
        <f>ROUND(E28/$D$28,7)</f>
        <v>8.1486000000000006E-3</v>
      </c>
      <c r="F29" s="122">
        <f>ROUND(F28/$D$28,7)</f>
        <v>4.38746E-2</v>
      </c>
      <c r="G29" s="122">
        <f>ROUND(G28/$D$28,7)</f>
        <v>0.74695029999999996</v>
      </c>
      <c r="H29" s="122">
        <f>ROUND(H28/$D$28,7)</f>
        <v>0.20102639999999999</v>
      </c>
      <c r="K29" s="105" t="s">
        <v>114</v>
      </c>
      <c r="L29" s="105" t="s">
        <v>10</v>
      </c>
    </row>
    <row r="30" spans="1:14">
      <c r="C30" s="28"/>
      <c r="D30" s="23"/>
      <c r="E30" s="23"/>
      <c r="F30" s="52"/>
      <c r="G30" s="52"/>
      <c r="H30" s="52"/>
      <c r="K30" t="s">
        <v>10</v>
      </c>
      <c r="L30" s="115">
        <f>'G-PLT'!M8</f>
        <v>14883236</v>
      </c>
    </row>
    <row r="31" spans="1:14">
      <c r="C31" s="28"/>
      <c r="D31" s="23"/>
      <c r="E31" s="23"/>
      <c r="F31" s="23"/>
      <c r="G31" s="23"/>
      <c r="H31" s="23"/>
      <c r="I31" s="108" t="s">
        <v>119</v>
      </c>
      <c r="K31" t="s">
        <v>117</v>
      </c>
      <c r="L31" s="155">
        <f>-'G-PLT'!L27</f>
        <v>-14026084.431609999</v>
      </c>
    </row>
    <row r="32" spans="1:14">
      <c r="K32" t="s">
        <v>117</v>
      </c>
      <c r="L32" s="115"/>
    </row>
    <row r="33" spans="1:14">
      <c r="L33" s="115">
        <f>SUM(L30:L32)</f>
        <v>857151.56839000061</v>
      </c>
    </row>
    <row r="34" spans="1:14">
      <c r="L34" s="115"/>
    </row>
    <row r="35" spans="1:14">
      <c r="L35" s="26"/>
    </row>
    <row r="36" spans="1:14">
      <c r="A36" t="s">
        <v>68</v>
      </c>
      <c r="K36" s="105" t="s">
        <v>114</v>
      </c>
      <c r="L36" s="105" t="s">
        <v>11</v>
      </c>
    </row>
    <row r="37" spans="1:14">
      <c r="A37" s="51" t="s">
        <v>164</v>
      </c>
      <c r="K37" t="s">
        <v>47</v>
      </c>
      <c r="L37" s="115">
        <f>'G-PLT'!M10</f>
        <v>13503925</v>
      </c>
    </row>
    <row r="38" spans="1:14">
      <c r="A38" t="str">
        <f>A3</f>
        <v>Average - Twelve Months Ended December 31, 2019</v>
      </c>
      <c r="L38" s="115"/>
    </row>
    <row r="39" spans="1:14">
      <c r="L39" s="155"/>
    </row>
    <row r="40" spans="1:14">
      <c r="A40" t="s">
        <v>116</v>
      </c>
      <c r="L40" s="115">
        <f>SUM(L37:L39)</f>
        <v>13503925</v>
      </c>
    </row>
    <row r="41" spans="1:14">
      <c r="D41" s="29" t="s">
        <v>6</v>
      </c>
      <c r="E41" s="107" t="s">
        <v>10</v>
      </c>
      <c r="F41" s="107" t="s">
        <v>47</v>
      </c>
      <c r="G41" s="107" t="s">
        <v>13</v>
      </c>
      <c r="H41" s="107" t="s">
        <v>118</v>
      </c>
      <c r="L41" s="115"/>
      <c r="N41" s="105"/>
    </row>
    <row r="42" spans="1:14">
      <c r="E42" s="109"/>
      <c r="F42" s="109"/>
      <c r="G42" s="109"/>
      <c r="I42" s="23">
        <f>D47-E47-F47-G47-H47</f>
        <v>0</v>
      </c>
      <c r="K42" s="106"/>
      <c r="L42" s="26"/>
      <c r="N42" s="106"/>
    </row>
    <row r="43" spans="1:14">
      <c r="A43" t="s">
        <v>161</v>
      </c>
      <c r="C43" s="28" t="s">
        <v>120</v>
      </c>
      <c r="D43" s="23">
        <f>'Gas North-Dec19'!F10</f>
        <v>-225230.72600000002</v>
      </c>
      <c r="E43" s="110">
        <f>D43</f>
        <v>-225230.72600000002</v>
      </c>
      <c r="F43" s="110"/>
      <c r="G43" s="110"/>
      <c r="H43" s="111"/>
      <c r="I43" s="23">
        <f>D48-E48-F48-G48-H48</f>
        <v>0</v>
      </c>
      <c r="L43" s="115"/>
      <c r="N43" s="106"/>
    </row>
    <row r="44" spans="1:14">
      <c r="A44" t="s">
        <v>47</v>
      </c>
      <c r="C44" s="28" t="s">
        <v>121</v>
      </c>
      <c r="D44" s="23">
        <f>'Gas North-Dec19'!F11</f>
        <v>-1744693.1280000003</v>
      </c>
      <c r="E44" s="23">
        <v>0</v>
      </c>
      <c r="F44" s="23">
        <f t="shared" ref="E44:F48" si="1">IF($C44="P",$D44,0)</f>
        <v>-1744693.1280000003</v>
      </c>
      <c r="G44" s="23">
        <f>IF($C44="D",$D44,0)</f>
        <v>0</v>
      </c>
      <c r="H44" s="23">
        <f>IF($C44="O",$D44,0)</f>
        <v>0</v>
      </c>
      <c r="L44" s="26"/>
      <c r="N44" s="106"/>
    </row>
    <row r="45" spans="1:14">
      <c r="A45" t="s">
        <v>13</v>
      </c>
      <c r="C45" s="28" t="s">
        <v>41</v>
      </c>
      <c r="D45" s="23">
        <f>'Gas North-Dec19'!F12</f>
        <v>-29026854.879750002</v>
      </c>
      <c r="E45" s="23">
        <f t="shared" si="1"/>
        <v>0</v>
      </c>
      <c r="F45" s="23">
        <f t="shared" si="1"/>
        <v>0</v>
      </c>
      <c r="G45" s="23">
        <f>IF($C45="D",$D45,0)</f>
        <v>-29026854.879750002</v>
      </c>
      <c r="H45" s="23">
        <f>IF($C45="O",$D45,0)</f>
        <v>0</v>
      </c>
      <c r="K45" s="105" t="s">
        <v>114</v>
      </c>
      <c r="L45" s="105" t="s">
        <v>13</v>
      </c>
      <c r="N45" s="106"/>
    </row>
    <row r="46" spans="1:14">
      <c r="A46" t="s">
        <v>78</v>
      </c>
      <c r="C46" s="28" t="s">
        <v>125</v>
      </c>
      <c r="D46" s="23">
        <f>'Gas North-Dec19'!F13</f>
        <v>-1334150.5127399999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-1334150.5127399999</v>
      </c>
      <c r="K46" s="113" t="s">
        <v>134</v>
      </c>
      <c r="L46" s="115">
        <f>'G-PLT'!M11</f>
        <v>248944310</v>
      </c>
      <c r="N46" s="106"/>
    </row>
    <row r="47" spans="1:14">
      <c r="A47" t="s">
        <v>127</v>
      </c>
      <c r="C47" s="28" t="s">
        <v>125</v>
      </c>
      <c r="D47" s="23">
        <f>'Gas North-Dec19'!F15</f>
        <v>-4941587.9552188972</v>
      </c>
      <c r="E47" s="23">
        <f>D47*N50</f>
        <v>-1687213.9203398945</v>
      </c>
      <c r="F47" s="23">
        <f t="shared" si="1"/>
        <v>0</v>
      </c>
      <c r="G47" s="23">
        <f>IF($C47="D",$D47,0)</f>
        <v>0</v>
      </c>
      <c r="H47" s="23">
        <f>D47*N49</f>
        <v>-3254374.0348790023</v>
      </c>
      <c r="I47" s="23">
        <f>D52-E52-F52-G52-H52</f>
        <v>-9.7789508916321211E-2</v>
      </c>
      <c r="L47" s="26"/>
      <c r="N47" s="106"/>
    </row>
    <row r="48" spans="1:14">
      <c r="A48" t="s">
        <v>128</v>
      </c>
      <c r="C48" s="28" t="s">
        <v>125</v>
      </c>
      <c r="D48" s="32">
        <f>'Gas North-Dec19'!F16</f>
        <v>-51581.499894335975</v>
      </c>
      <c r="E48" s="32">
        <f>D48*N50</f>
        <v>-17611.550263275509</v>
      </c>
      <c r="F48" s="32">
        <f t="shared" si="1"/>
        <v>0</v>
      </c>
      <c r="G48" s="32">
        <f>IF($C48="D",$D48,0)</f>
        <v>0</v>
      </c>
      <c r="H48" s="32">
        <f>D48*N49</f>
        <v>-33969.949631060459</v>
      </c>
      <c r="K48" s="105" t="s">
        <v>114</v>
      </c>
      <c r="L48" s="105">
        <v>32352360</v>
      </c>
    </row>
    <row r="49" spans="1:14">
      <c r="A49" t="s">
        <v>71</v>
      </c>
      <c r="C49" s="28"/>
      <c r="D49" s="23">
        <f>SUM(D43:D48)</f>
        <v>-37324098.701603234</v>
      </c>
      <c r="E49" s="23">
        <f>SUM(E43:E48)</f>
        <v>-1930056.1966031701</v>
      </c>
      <c r="F49" s="23">
        <f>SUM(F43:F48)</f>
        <v>-1744693.1280000003</v>
      </c>
      <c r="G49" s="23">
        <f>SUM(G43:G48)</f>
        <v>-29026854.879750002</v>
      </c>
      <c r="H49" s="23">
        <f>SUM(H43:H48)</f>
        <v>-4622494.4972500624</v>
      </c>
      <c r="K49" t="s">
        <v>135</v>
      </c>
      <c r="L49" s="115">
        <f>'G-PLT'!M12</f>
        <v>27054142</v>
      </c>
      <c r="N49" s="8">
        <f>L49/L51</f>
        <v>0.65856847320546041</v>
      </c>
    </row>
    <row r="50" spans="1:14">
      <c r="C50" s="28"/>
      <c r="D50" s="23"/>
      <c r="E50" s="23"/>
      <c r="F50" s="23"/>
      <c r="G50" s="23"/>
      <c r="H50" s="23"/>
      <c r="I50" s="23">
        <f>D57-E57-F57-G57-H57</f>
        <v>-9.7789512015879154E-2</v>
      </c>
      <c r="K50" t="s">
        <v>136</v>
      </c>
      <c r="L50" s="155">
        <f>-L31</f>
        <v>14026084.431609999</v>
      </c>
      <c r="N50" s="8">
        <f>L50/L51</f>
        <v>0.34143152679453947</v>
      </c>
    </row>
    <row r="51" spans="1:14">
      <c r="C51" s="28"/>
      <c r="D51" s="23"/>
      <c r="E51" s="23"/>
      <c r="F51" s="23"/>
      <c r="G51" s="23"/>
      <c r="H51" s="23"/>
      <c r="L51" s="115">
        <f>SUM(L49:L50)</f>
        <v>41080226.431610003</v>
      </c>
      <c r="N51" s="8">
        <f>SUM(N49:N50)</f>
        <v>0.99999999999999989</v>
      </c>
    </row>
    <row r="52" spans="1:14">
      <c r="A52" t="s">
        <v>132</v>
      </c>
      <c r="B52" s="73" t="s">
        <v>133</v>
      </c>
      <c r="C52" s="28"/>
      <c r="D52" s="23">
        <f>'Gas North-Dec19'!F21</f>
        <v>-109020.09778950892</v>
      </c>
      <c r="E52" s="23">
        <f>ROUND($D$52*E60,0)</f>
        <v>-307</v>
      </c>
      <c r="F52" s="23">
        <f>ROUND($D$52*F60,0)</f>
        <v>-4837</v>
      </c>
      <c r="G52" s="23">
        <f>ROUND($D$52*G60,0)</f>
        <v>-89163</v>
      </c>
      <c r="H52" s="23">
        <f>ROUND($D$52*H60,0)</f>
        <v>-14713</v>
      </c>
      <c r="N52" s="106"/>
    </row>
    <row r="53" spans="1:14">
      <c r="A53" t="str">
        <f>'Gas North-Dec19'!A19</f>
        <v>ADFIT-Plant - AFUDC Equity</v>
      </c>
      <c r="B53" s="73"/>
      <c r="C53" s="189" t="s">
        <v>125</v>
      </c>
      <c r="D53" s="23">
        <f>'Gas North-Dec19'!F19</f>
        <v>-82459.454985370889</v>
      </c>
      <c r="E53" s="23"/>
      <c r="F53" s="23"/>
      <c r="G53" s="23"/>
      <c r="H53" s="23">
        <f>IF($C53="O",$D53,0)</f>
        <v>-82459.454985370889</v>
      </c>
    </row>
    <row r="54" spans="1:14">
      <c r="A54" t="s">
        <v>218</v>
      </c>
      <c r="B54" s="73"/>
      <c r="C54" s="137" t="s">
        <v>120</v>
      </c>
      <c r="D54" s="23">
        <f>'Gas North-Dec19'!F20</f>
        <v>-12681.358064354892</v>
      </c>
      <c r="E54" s="23">
        <f>D54</f>
        <v>-12681.358064354892</v>
      </c>
      <c r="F54" s="23"/>
      <c r="G54" s="23"/>
      <c r="H54" s="23"/>
    </row>
    <row r="55" spans="1:14">
      <c r="A55" t="s">
        <v>29</v>
      </c>
      <c r="D55" s="112">
        <f>SUM(D52:D54)</f>
        <v>-204160.91083923468</v>
      </c>
      <c r="E55" s="112">
        <f>SUM(E52:E54)</f>
        <v>-12988.358064354892</v>
      </c>
      <c r="F55" s="112">
        <f>SUM(F52:F54)</f>
        <v>-4837</v>
      </c>
      <c r="G55" s="112">
        <f>SUM(G52:G54)</f>
        <v>-89163</v>
      </c>
      <c r="H55" s="112">
        <f>SUM(H52:H54)</f>
        <v>-97172.454985370889</v>
      </c>
      <c r="N55" s="105"/>
    </row>
    <row r="56" spans="1:14">
      <c r="D56" s="23"/>
      <c r="N56" s="106"/>
    </row>
    <row r="57" spans="1:14" ht="13.5" thickBot="1">
      <c r="A57" t="s">
        <v>30</v>
      </c>
      <c r="D57" s="114">
        <f>SUM(D49,D55)</f>
        <v>-37528259.612442471</v>
      </c>
      <c r="E57" s="114">
        <f>SUM(E49,E55)</f>
        <v>-1943044.554667525</v>
      </c>
      <c r="F57" s="114">
        <f>SUM(F49,F55)</f>
        <v>-1749530.1280000003</v>
      </c>
      <c r="G57" s="114">
        <f>SUM(G49,G55)</f>
        <v>-29116017.879750002</v>
      </c>
      <c r="H57" s="114">
        <f>SUM(H49,H55)</f>
        <v>-4719666.9522354333</v>
      </c>
      <c r="N57" s="106"/>
    </row>
    <row r="58" spans="1:14" ht="13.5" thickTop="1">
      <c r="N58" s="106"/>
    </row>
    <row r="59" spans="1:14">
      <c r="B59" t="s">
        <v>72</v>
      </c>
      <c r="C59" t="s">
        <v>137</v>
      </c>
      <c r="D59" s="110">
        <f>SUM(E59:H59)</f>
        <v>304385613</v>
      </c>
      <c r="E59" s="110">
        <f>L33</f>
        <v>857151.56839000061</v>
      </c>
      <c r="F59" s="115">
        <f>L40</f>
        <v>13503925</v>
      </c>
      <c r="G59" s="115">
        <f>L46</f>
        <v>248944310</v>
      </c>
      <c r="H59" s="115">
        <f>L51</f>
        <v>41080226.431610003</v>
      </c>
      <c r="N59" s="106"/>
    </row>
    <row r="60" spans="1:14">
      <c r="E60" s="119">
        <f>ROUND(E59/$D$59,7)</f>
        <v>2.8159999999999999E-3</v>
      </c>
      <c r="F60" s="119">
        <f>ROUND(F59/$D$59,7)</f>
        <v>4.4364500000000001E-2</v>
      </c>
      <c r="G60" s="119">
        <f>ROUND(G59/$D$59,7)</f>
        <v>0.81785830000000004</v>
      </c>
      <c r="H60" s="119">
        <f>ROUND(H59/$D$59,7)</f>
        <v>0.1349611</v>
      </c>
      <c r="N60" s="106"/>
    </row>
    <row r="61" spans="1:14">
      <c r="C61" s="28"/>
      <c r="D61" s="23"/>
      <c r="E61" s="23"/>
      <c r="F61" s="52"/>
      <c r="G61" s="52"/>
      <c r="H61" s="52"/>
    </row>
    <row r="62" spans="1:14">
      <c r="C62" s="28"/>
      <c r="D62" s="23"/>
      <c r="E62" s="23"/>
      <c r="F62" s="23"/>
      <c r="G62" s="23"/>
      <c r="H62" s="23"/>
    </row>
    <row r="63" spans="1:14">
      <c r="C63" s="28"/>
      <c r="D63" s="23"/>
      <c r="E63" s="23"/>
      <c r="F63" s="23"/>
      <c r="G63" s="23"/>
      <c r="H63" s="23"/>
    </row>
    <row r="64" spans="1:14" hidden="1">
      <c r="C64" s="28"/>
      <c r="D64" s="23"/>
      <c r="E64" s="23"/>
      <c r="F64" s="23"/>
      <c r="G64" s="23"/>
      <c r="H64" s="23"/>
    </row>
    <row r="65" spans="1:8" hidden="1">
      <c r="C65" s="28"/>
      <c r="D65" s="23"/>
      <c r="E65" s="23"/>
      <c r="F65" s="23"/>
      <c r="G65" s="23"/>
      <c r="H65" s="23"/>
    </row>
    <row r="66" spans="1:8" hidden="1">
      <c r="C66" s="28"/>
      <c r="D66" s="23"/>
      <c r="E66" s="23"/>
      <c r="F66" s="23"/>
      <c r="G66" s="23"/>
      <c r="H66" s="23"/>
    </row>
    <row r="67" spans="1:8" hidden="1">
      <c r="C67" s="28"/>
      <c r="D67" s="23"/>
      <c r="E67" s="23"/>
      <c r="F67" s="23"/>
      <c r="G67" s="23"/>
      <c r="H67" s="23"/>
    </row>
    <row r="68" spans="1:8" hidden="1">
      <c r="C68" s="28"/>
      <c r="D68" s="23"/>
      <c r="E68" s="23"/>
      <c r="F68" s="23"/>
      <c r="G68" s="23"/>
      <c r="H68" s="23"/>
    </row>
    <row r="69" spans="1:8" hidden="1">
      <c r="C69" s="28"/>
      <c r="D69" s="23"/>
      <c r="E69" s="23"/>
      <c r="F69" s="23"/>
      <c r="G69" s="23"/>
      <c r="H69" s="23"/>
    </row>
    <row r="70" spans="1:8" hidden="1">
      <c r="C70" s="28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8"/>
      <c r="D72" s="120"/>
      <c r="E72" s="120"/>
      <c r="F72" s="120"/>
      <c r="G72" s="120"/>
      <c r="H72" s="120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Footer>&amp;L&amp;F</oddFooter>
  </headerFooter>
  <rowBreaks count="1" manualBreakCount="1">
    <brk id="29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D32" sqref="D32"/>
    </sheetView>
  </sheetViews>
  <sheetFormatPr defaultRowHeight="12.75"/>
  <cols>
    <col min="1" max="1" width="7" style="45" bestFit="1" customWidth="1"/>
    <col min="2" max="2" width="40.5703125" style="45" bestFit="1" customWidth="1"/>
    <col min="3" max="5" width="13.7109375" style="45" bestFit="1" customWidth="1"/>
    <col min="6" max="6" width="0.5703125" style="45" customWidth="1"/>
    <col min="7" max="7" width="14" style="45" customWidth="1"/>
    <col min="8" max="9" width="13.7109375" style="45" bestFit="1" customWidth="1"/>
    <col min="10" max="10" width="0.7109375" style="45" customWidth="1"/>
    <col min="11" max="12" width="12.28515625" style="45" bestFit="1" customWidth="1"/>
    <col min="13" max="13" width="13.7109375" style="45" bestFit="1" customWidth="1"/>
    <col min="14" max="256" width="8.85546875" style="45"/>
    <col min="257" max="257" width="7" style="45" bestFit="1" customWidth="1"/>
    <col min="258" max="258" width="40.5703125" style="45" bestFit="1" customWidth="1"/>
    <col min="259" max="261" width="13.7109375" style="45" bestFit="1" customWidth="1"/>
    <col min="262" max="262" width="0.5703125" style="45" customWidth="1"/>
    <col min="263" max="263" width="12.28515625" style="45" bestFit="1" customWidth="1"/>
    <col min="264" max="265" width="13.7109375" style="45" bestFit="1" customWidth="1"/>
    <col min="266" max="266" width="0.7109375" style="45" customWidth="1"/>
    <col min="267" max="268" width="12.28515625" style="45" bestFit="1" customWidth="1"/>
    <col min="269" max="269" width="13.7109375" style="45" bestFit="1" customWidth="1"/>
    <col min="270" max="512" width="8.85546875" style="45"/>
    <col min="513" max="513" width="7" style="45" bestFit="1" customWidth="1"/>
    <col min="514" max="514" width="40.5703125" style="45" bestFit="1" customWidth="1"/>
    <col min="515" max="517" width="13.7109375" style="45" bestFit="1" customWidth="1"/>
    <col min="518" max="518" width="0.5703125" style="45" customWidth="1"/>
    <col min="519" max="519" width="12.28515625" style="45" bestFit="1" customWidth="1"/>
    <col min="520" max="521" width="13.7109375" style="45" bestFit="1" customWidth="1"/>
    <col min="522" max="522" width="0.7109375" style="45" customWidth="1"/>
    <col min="523" max="524" width="12.28515625" style="45" bestFit="1" customWidth="1"/>
    <col min="525" max="525" width="13.7109375" style="45" bestFit="1" customWidth="1"/>
    <col min="526" max="768" width="8.85546875" style="45"/>
    <col min="769" max="769" width="7" style="45" bestFit="1" customWidth="1"/>
    <col min="770" max="770" width="40.5703125" style="45" bestFit="1" customWidth="1"/>
    <col min="771" max="773" width="13.7109375" style="45" bestFit="1" customWidth="1"/>
    <col min="774" max="774" width="0.5703125" style="45" customWidth="1"/>
    <col min="775" max="775" width="12.28515625" style="45" bestFit="1" customWidth="1"/>
    <col min="776" max="777" width="13.7109375" style="45" bestFit="1" customWidth="1"/>
    <col min="778" max="778" width="0.7109375" style="45" customWidth="1"/>
    <col min="779" max="780" width="12.28515625" style="45" bestFit="1" customWidth="1"/>
    <col min="781" max="781" width="13.7109375" style="45" bestFit="1" customWidth="1"/>
    <col min="782" max="1024" width="8.85546875" style="45"/>
    <col min="1025" max="1025" width="7" style="45" bestFit="1" customWidth="1"/>
    <col min="1026" max="1026" width="40.5703125" style="45" bestFit="1" customWidth="1"/>
    <col min="1027" max="1029" width="13.7109375" style="45" bestFit="1" customWidth="1"/>
    <col min="1030" max="1030" width="0.5703125" style="45" customWidth="1"/>
    <col min="1031" max="1031" width="12.28515625" style="45" bestFit="1" customWidth="1"/>
    <col min="1032" max="1033" width="13.7109375" style="45" bestFit="1" customWidth="1"/>
    <col min="1034" max="1034" width="0.7109375" style="45" customWidth="1"/>
    <col min="1035" max="1036" width="12.28515625" style="45" bestFit="1" customWidth="1"/>
    <col min="1037" max="1037" width="13.7109375" style="45" bestFit="1" customWidth="1"/>
    <col min="1038" max="1280" width="8.85546875" style="45"/>
    <col min="1281" max="1281" width="7" style="45" bestFit="1" customWidth="1"/>
    <col min="1282" max="1282" width="40.5703125" style="45" bestFit="1" customWidth="1"/>
    <col min="1283" max="1285" width="13.7109375" style="45" bestFit="1" customWidth="1"/>
    <col min="1286" max="1286" width="0.5703125" style="45" customWidth="1"/>
    <col min="1287" max="1287" width="12.28515625" style="45" bestFit="1" customWidth="1"/>
    <col min="1288" max="1289" width="13.7109375" style="45" bestFit="1" customWidth="1"/>
    <col min="1290" max="1290" width="0.7109375" style="45" customWidth="1"/>
    <col min="1291" max="1292" width="12.28515625" style="45" bestFit="1" customWidth="1"/>
    <col min="1293" max="1293" width="13.7109375" style="45" bestFit="1" customWidth="1"/>
    <col min="1294" max="1536" width="8.85546875" style="45"/>
    <col min="1537" max="1537" width="7" style="45" bestFit="1" customWidth="1"/>
    <col min="1538" max="1538" width="40.5703125" style="45" bestFit="1" customWidth="1"/>
    <col min="1539" max="1541" width="13.7109375" style="45" bestFit="1" customWidth="1"/>
    <col min="1542" max="1542" width="0.5703125" style="45" customWidth="1"/>
    <col min="1543" max="1543" width="12.28515625" style="45" bestFit="1" customWidth="1"/>
    <col min="1544" max="1545" width="13.7109375" style="45" bestFit="1" customWidth="1"/>
    <col min="1546" max="1546" width="0.7109375" style="45" customWidth="1"/>
    <col min="1547" max="1548" width="12.28515625" style="45" bestFit="1" customWidth="1"/>
    <col min="1549" max="1549" width="13.7109375" style="45" bestFit="1" customWidth="1"/>
    <col min="1550" max="1792" width="8.85546875" style="45"/>
    <col min="1793" max="1793" width="7" style="45" bestFit="1" customWidth="1"/>
    <col min="1794" max="1794" width="40.5703125" style="45" bestFit="1" customWidth="1"/>
    <col min="1795" max="1797" width="13.7109375" style="45" bestFit="1" customWidth="1"/>
    <col min="1798" max="1798" width="0.5703125" style="45" customWidth="1"/>
    <col min="1799" max="1799" width="12.28515625" style="45" bestFit="1" customWidth="1"/>
    <col min="1800" max="1801" width="13.7109375" style="45" bestFit="1" customWidth="1"/>
    <col min="1802" max="1802" width="0.7109375" style="45" customWidth="1"/>
    <col min="1803" max="1804" width="12.28515625" style="45" bestFit="1" customWidth="1"/>
    <col min="1805" max="1805" width="13.7109375" style="45" bestFit="1" customWidth="1"/>
    <col min="1806" max="2048" width="8.85546875" style="45"/>
    <col min="2049" max="2049" width="7" style="45" bestFit="1" customWidth="1"/>
    <col min="2050" max="2050" width="40.5703125" style="45" bestFit="1" customWidth="1"/>
    <col min="2051" max="2053" width="13.7109375" style="45" bestFit="1" customWidth="1"/>
    <col min="2054" max="2054" width="0.5703125" style="45" customWidth="1"/>
    <col min="2055" max="2055" width="12.28515625" style="45" bestFit="1" customWidth="1"/>
    <col min="2056" max="2057" width="13.7109375" style="45" bestFit="1" customWidth="1"/>
    <col min="2058" max="2058" width="0.7109375" style="45" customWidth="1"/>
    <col min="2059" max="2060" width="12.28515625" style="45" bestFit="1" customWidth="1"/>
    <col min="2061" max="2061" width="13.7109375" style="45" bestFit="1" customWidth="1"/>
    <col min="2062" max="2304" width="8.85546875" style="45"/>
    <col min="2305" max="2305" width="7" style="45" bestFit="1" customWidth="1"/>
    <col min="2306" max="2306" width="40.5703125" style="45" bestFit="1" customWidth="1"/>
    <col min="2307" max="2309" width="13.7109375" style="45" bestFit="1" customWidth="1"/>
    <col min="2310" max="2310" width="0.5703125" style="45" customWidth="1"/>
    <col min="2311" max="2311" width="12.28515625" style="45" bestFit="1" customWidth="1"/>
    <col min="2312" max="2313" width="13.7109375" style="45" bestFit="1" customWidth="1"/>
    <col min="2314" max="2314" width="0.7109375" style="45" customWidth="1"/>
    <col min="2315" max="2316" width="12.28515625" style="45" bestFit="1" customWidth="1"/>
    <col min="2317" max="2317" width="13.7109375" style="45" bestFit="1" customWidth="1"/>
    <col min="2318" max="2560" width="8.85546875" style="45"/>
    <col min="2561" max="2561" width="7" style="45" bestFit="1" customWidth="1"/>
    <col min="2562" max="2562" width="40.5703125" style="45" bestFit="1" customWidth="1"/>
    <col min="2563" max="2565" width="13.7109375" style="45" bestFit="1" customWidth="1"/>
    <col min="2566" max="2566" width="0.5703125" style="45" customWidth="1"/>
    <col min="2567" max="2567" width="12.28515625" style="45" bestFit="1" customWidth="1"/>
    <col min="2568" max="2569" width="13.7109375" style="45" bestFit="1" customWidth="1"/>
    <col min="2570" max="2570" width="0.7109375" style="45" customWidth="1"/>
    <col min="2571" max="2572" width="12.28515625" style="45" bestFit="1" customWidth="1"/>
    <col min="2573" max="2573" width="13.7109375" style="45" bestFit="1" customWidth="1"/>
    <col min="2574" max="2816" width="8.85546875" style="45"/>
    <col min="2817" max="2817" width="7" style="45" bestFit="1" customWidth="1"/>
    <col min="2818" max="2818" width="40.5703125" style="45" bestFit="1" customWidth="1"/>
    <col min="2819" max="2821" width="13.7109375" style="45" bestFit="1" customWidth="1"/>
    <col min="2822" max="2822" width="0.5703125" style="45" customWidth="1"/>
    <col min="2823" max="2823" width="12.28515625" style="45" bestFit="1" customWidth="1"/>
    <col min="2824" max="2825" width="13.7109375" style="45" bestFit="1" customWidth="1"/>
    <col min="2826" max="2826" width="0.7109375" style="45" customWidth="1"/>
    <col min="2827" max="2828" width="12.28515625" style="45" bestFit="1" customWidth="1"/>
    <col min="2829" max="2829" width="13.7109375" style="45" bestFit="1" customWidth="1"/>
    <col min="2830" max="3072" width="8.85546875" style="45"/>
    <col min="3073" max="3073" width="7" style="45" bestFit="1" customWidth="1"/>
    <col min="3074" max="3074" width="40.5703125" style="45" bestFit="1" customWidth="1"/>
    <col min="3075" max="3077" width="13.7109375" style="45" bestFit="1" customWidth="1"/>
    <col min="3078" max="3078" width="0.5703125" style="45" customWidth="1"/>
    <col min="3079" max="3079" width="12.28515625" style="45" bestFit="1" customWidth="1"/>
    <col min="3080" max="3081" width="13.7109375" style="45" bestFit="1" customWidth="1"/>
    <col min="3082" max="3082" width="0.7109375" style="45" customWidth="1"/>
    <col min="3083" max="3084" width="12.28515625" style="45" bestFit="1" customWidth="1"/>
    <col min="3085" max="3085" width="13.7109375" style="45" bestFit="1" customWidth="1"/>
    <col min="3086" max="3328" width="8.85546875" style="45"/>
    <col min="3329" max="3329" width="7" style="45" bestFit="1" customWidth="1"/>
    <col min="3330" max="3330" width="40.5703125" style="45" bestFit="1" customWidth="1"/>
    <col min="3331" max="3333" width="13.7109375" style="45" bestFit="1" customWidth="1"/>
    <col min="3334" max="3334" width="0.5703125" style="45" customWidth="1"/>
    <col min="3335" max="3335" width="12.28515625" style="45" bestFit="1" customWidth="1"/>
    <col min="3336" max="3337" width="13.7109375" style="45" bestFit="1" customWidth="1"/>
    <col min="3338" max="3338" width="0.7109375" style="45" customWidth="1"/>
    <col min="3339" max="3340" width="12.28515625" style="45" bestFit="1" customWidth="1"/>
    <col min="3341" max="3341" width="13.7109375" style="45" bestFit="1" customWidth="1"/>
    <col min="3342" max="3584" width="8.85546875" style="45"/>
    <col min="3585" max="3585" width="7" style="45" bestFit="1" customWidth="1"/>
    <col min="3586" max="3586" width="40.5703125" style="45" bestFit="1" customWidth="1"/>
    <col min="3587" max="3589" width="13.7109375" style="45" bestFit="1" customWidth="1"/>
    <col min="3590" max="3590" width="0.5703125" style="45" customWidth="1"/>
    <col min="3591" max="3591" width="12.28515625" style="45" bestFit="1" customWidth="1"/>
    <col min="3592" max="3593" width="13.7109375" style="45" bestFit="1" customWidth="1"/>
    <col min="3594" max="3594" width="0.7109375" style="45" customWidth="1"/>
    <col min="3595" max="3596" width="12.28515625" style="45" bestFit="1" customWidth="1"/>
    <col min="3597" max="3597" width="13.7109375" style="45" bestFit="1" customWidth="1"/>
    <col min="3598" max="3840" width="8.85546875" style="45"/>
    <col min="3841" max="3841" width="7" style="45" bestFit="1" customWidth="1"/>
    <col min="3842" max="3842" width="40.5703125" style="45" bestFit="1" customWidth="1"/>
    <col min="3843" max="3845" width="13.7109375" style="45" bestFit="1" customWidth="1"/>
    <col min="3846" max="3846" width="0.5703125" style="45" customWidth="1"/>
    <col min="3847" max="3847" width="12.28515625" style="45" bestFit="1" customWidth="1"/>
    <col min="3848" max="3849" width="13.7109375" style="45" bestFit="1" customWidth="1"/>
    <col min="3850" max="3850" width="0.7109375" style="45" customWidth="1"/>
    <col min="3851" max="3852" width="12.28515625" style="45" bestFit="1" customWidth="1"/>
    <col min="3853" max="3853" width="13.7109375" style="45" bestFit="1" customWidth="1"/>
    <col min="3854" max="4096" width="8.85546875" style="45"/>
    <col min="4097" max="4097" width="7" style="45" bestFit="1" customWidth="1"/>
    <col min="4098" max="4098" width="40.5703125" style="45" bestFit="1" customWidth="1"/>
    <col min="4099" max="4101" width="13.7109375" style="45" bestFit="1" customWidth="1"/>
    <col min="4102" max="4102" width="0.5703125" style="45" customWidth="1"/>
    <col min="4103" max="4103" width="12.28515625" style="45" bestFit="1" customWidth="1"/>
    <col min="4104" max="4105" width="13.7109375" style="45" bestFit="1" customWidth="1"/>
    <col min="4106" max="4106" width="0.7109375" style="45" customWidth="1"/>
    <col min="4107" max="4108" width="12.28515625" style="45" bestFit="1" customWidth="1"/>
    <col min="4109" max="4109" width="13.7109375" style="45" bestFit="1" customWidth="1"/>
    <col min="4110" max="4352" width="8.85546875" style="45"/>
    <col min="4353" max="4353" width="7" style="45" bestFit="1" customWidth="1"/>
    <col min="4354" max="4354" width="40.5703125" style="45" bestFit="1" customWidth="1"/>
    <col min="4355" max="4357" width="13.7109375" style="45" bestFit="1" customWidth="1"/>
    <col min="4358" max="4358" width="0.5703125" style="45" customWidth="1"/>
    <col min="4359" max="4359" width="12.28515625" style="45" bestFit="1" customWidth="1"/>
    <col min="4360" max="4361" width="13.7109375" style="45" bestFit="1" customWidth="1"/>
    <col min="4362" max="4362" width="0.7109375" style="45" customWidth="1"/>
    <col min="4363" max="4364" width="12.28515625" style="45" bestFit="1" customWidth="1"/>
    <col min="4365" max="4365" width="13.7109375" style="45" bestFit="1" customWidth="1"/>
    <col min="4366" max="4608" width="8.85546875" style="45"/>
    <col min="4609" max="4609" width="7" style="45" bestFit="1" customWidth="1"/>
    <col min="4610" max="4610" width="40.5703125" style="45" bestFit="1" customWidth="1"/>
    <col min="4611" max="4613" width="13.7109375" style="45" bestFit="1" customWidth="1"/>
    <col min="4614" max="4614" width="0.5703125" style="45" customWidth="1"/>
    <col min="4615" max="4615" width="12.28515625" style="45" bestFit="1" customWidth="1"/>
    <col min="4616" max="4617" width="13.7109375" style="45" bestFit="1" customWidth="1"/>
    <col min="4618" max="4618" width="0.7109375" style="45" customWidth="1"/>
    <col min="4619" max="4620" width="12.28515625" style="45" bestFit="1" customWidth="1"/>
    <col min="4621" max="4621" width="13.7109375" style="45" bestFit="1" customWidth="1"/>
    <col min="4622" max="4864" width="8.85546875" style="45"/>
    <col min="4865" max="4865" width="7" style="45" bestFit="1" customWidth="1"/>
    <col min="4866" max="4866" width="40.5703125" style="45" bestFit="1" customWidth="1"/>
    <col min="4867" max="4869" width="13.7109375" style="45" bestFit="1" customWidth="1"/>
    <col min="4870" max="4870" width="0.5703125" style="45" customWidth="1"/>
    <col min="4871" max="4871" width="12.28515625" style="45" bestFit="1" customWidth="1"/>
    <col min="4872" max="4873" width="13.7109375" style="45" bestFit="1" customWidth="1"/>
    <col min="4874" max="4874" width="0.7109375" style="45" customWidth="1"/>
    <col min="4875" max="4876" width="12.28515625" style="45" bestFit="1" customWidth="1"/>
    <col min="4877" max="4877" width="13.7109375" style="45" bestFit="1" customWidth="1"/>
    <col min="4878" max="5120" width="8.85546875" style="45"/>
    <col min="5121" max="5121" width="7" style="45" bestFit="1" customWidth="1"/>
    <col min="5122" max="5122" width="40.5703125" style="45" bestFit="1" customWidth="1"/>
    <col min="5123" max="5125" width="13.7109375" style="45" bestFit="1" customWidth="1"/>
    <col min="5126" max="5126" width="0.5703125" style="45" customWidth="1"/>
    <col min="5127" max="5127" width="12.28515625" style="45" bestFit="1" customWidth="1"/>
    <col min="5128" max="5129" width="13.7109375" style="45" bestFit="1" customWidth="1"/>
    <col min="5130" max="5130" width="0.7109375" style="45" customWidth="1"/>
    <col min="5131" max="5132" width="12.28515625" style="45" bestFit="1" customWidth="1"/>
    <col min="5133" max="5133" width="13.7109375" style="45" bestFit="1" customWidth="1"/>
    <col min="5134" max="5376" width="8.85546875" style="45"/>
    <col min="5377" max="5377" width="7" style="45" bestFit="1" customWidth="1"/>
    <col min="5378" max="5378" width="40.5703125" style="45" bestFit="1" customWidth="1"/>
    <col min="5379" max="5381" width="13.7109375" style="45" bestFit="1" customWidth="1"/>
    <col min="5382" max="5382" width="0.5703125" style="45" customWidth="1"/>
    <col min="5383" max="5383" width="12.28515625" style="45" bestFit="1" customWidth="1"/>
    <col min="5384" max="5385" width="13.7109375" style="45" bestFit="1" customWidth="1"/>
    <col min="5386" max="5386" width="0.7109375" style="45" customWidth="1"/>
    <col min="5387" max="5388" width="12.28515625" style="45" bestFit="1" customWidth="1"/>
    <col min="5389" max="5389" width="13.7109375" style="45" bestFit="1" customWidth="1"/>
    <col min="5390" max="5632" width="8.85546875" style="45"/>
    <col min="5633" max="5633" width="7" style="45" bestFit="1" customWidth="1"/>
    <col min="5634" max="5634" width="40.5703125" style="45" bestFit="1" customWidth="1"/>
    <col min="5635" max="5637" width="13.7109375" style="45" bestFit="1" customWidth="1"/>
    <col min="5638" max="5638" width="0.5703125" style="45" customWidth="1"/>
    <col min="5639" max="5639" width="12.28515625" style="45" bestFit="1" customWidth="1"/>
    <col min="5640" max="5641" width="13.7109375" style="45" bestFit="1" customWidth="1"/>
    <col min="5642" max="5642" width="0.7109375" style="45" customWidth="1"/>
    <col min="5643" max="5644" width="12.28515625" style="45" bestFit="1" customWidth="1"/>
    <col min="5645" max="5645" width="13.7109375" style="45" bestFit="1" customWidth="1"/>
    <col min="5646" max="5888" width="8.85546875" style="45"/>
    <col min="5889" max="5889" width="7" style="45" bestFit="1" customWidth="1"/>
    <col min="5890" max="5890" width="40.5703125" style="45" bestFit="1" customWidth="1"/>
    <col min="5891" max="5893" width="13.7109375" style="45" bestFit="1" customWidth="1"/>
    <col min="5894" max="5894" width="0.5703125" style="45" customWidth="1"/>
    <col min="5895" max="5895" width="12.28515625" style="45" bestFit="1" customWidth="1"/>
    <col min="5896" max="5897" width="13.7109375" style="45" bestFit="1" customWidth="1"/>
    <col min="5898" max="5898" width="0.7109375" style="45" customWidth="1"/>
    <col min="5899" max="5900" width="12.28515625" style="45" bestFit="1" customWidth="1"/>
    <col min="5901" max="5901" width="13.7109375" style="45" bestFit="1" customWidth="1"/>
    <col min="5902" max="6144" width="8.85546875" style="45"/>
    <col min="6145" max="6145" width="7" style="45" bestFit="1" customWidth="1"/>
    <col min="6146" max="6146" width="40.5703125" style="45" bestFit="1" customWidth="1"/>
    <col min="6147" max="6149" width="13.7109375" style="45" bestFit="1" customWidth="1"/>
    <col min="6150" max="6150" width="0.5703125" style="45" customWidth="1"/>
    <col min="6151" max="6151" width="12.28515625" style="45" bestFit="1" customWidth="1"/>
    <col min="6152" max="6153" width="13.7109375" style="45" bestFit="1" customWidth="1"/>
    <col min="6154" max="6154" width="0.7109375" style="45" customWidth="1"/>
    <col min="6155" max="6156" width="12.28515625" style="45" bestFit="1" customWidth="1"/>
    <col min="6157" max="6157" width="13.7109375" style="45" bestFit="1" customWidth="1"/>
    <col min="6158" max="6400" width="8.85546875" style="45"/>
    <col min="6401" max="6401" width="7" style="45" bestFit="1" customWidth="1"/>
    <col min="6402" max="6402" width="40.5703125" style="45" bestFit="1" customWidth="1"/>
    <col min="6403" max="6405" width="13.7109375" style="45" bestFit="1" customWidth="1"/>
    <col min="6406" max="6406" width="0.5703125" style="45" customWidth="1"/>
    <col min="6407" max="6407" width="12.28515625" style="45" bestFit="1" customWidth="1"/>
    <col min="6408" max="6409" width="13.7109375" style="45" bestFit="1" customWidth="1"/>
    <col min="6410" max="6410" width="0.7109375" style="45" customWidth="1"/>
    <col min="6411" max="6412" width="12.28515625" style="45" bestFit="1" customWidth="1"/>
    <col min="6413" max="6413" width="13.7109375" style="45" bestFit="1" customWidth="1"/>
    <col min="6414" max="6656" width="8.85546875" style="45"/>
    <col min="6657" max="6657" width="7" style="45" bestFit="1" customWidth="1"/>
    <col min="6658" max="6658" width="40.5703125" style="45" bestFit="1" customWidth="1"/>
    <col min="6659" max="6661" width="13.7109375" style="45" bestFit="1" customWidth="1"/>
    <col min="6662" max="6662" width="0.5703125" style="45" customWidth="1"/>
    <col min="6663" max="6663" width="12.28515625" style="45" bestFit="1" customWidth="1"/>
    <col min="6664" max="6665" width="13.7109375" style="45" bestFit="1" customWidth="1"/>
    <col min="6666" max="6666" width="0.7109375" style="45" customWidth="1"/>
    <col min="6667" max="6668" width="12.28515625" style="45" bestFit="1" customWidth="1"/>
    <col min="6669" max="6669" width="13.7109375" style="45" bestFit="1" customWidth="1"/>
    <col min="6670" max="6912" width="8.85546875" style="45"/>
    <col min="6913" max="6913" width="7" style="45" bestFit="1" customWidth="1"/>
    <col min="6914" max="6914" width="40.5703125" style="45" bestFit="1" customWidth="1"/>
    <col min="6915" max="6917" width="13.7109375" style="45" bestFit="1" customWidth="1"/>
    <col min="6918" max="6918" width="0.5703125" style="45" customWidth="1"/>
    <col min="6919" max="6919" width="12.28515625" style="45" bestFit="1" customWidth="1"/>
    <col min="6920" max="6921" width="13.7109375" style="45" bestFit="1" customWidth="1"/>
    <col min="6922" max="6922" width="0.7109375" style="45" customWidth="1"/>
    <col min="6923" max="6924" width="12.28515625" style="45" bestFit="1" customWidth="1"/>
    <col min="6925" max="6925" width="13.7109375" style="45" bestFit="1" customWidth="1"/>
    <col min="6926" max="7168" width="8.85546875" style="45"/>
    <col min="7169" max="7169" width="7" style="45" bestFit="1" customWidth="1"/>
    <col min="7170" max="7170" width="40.5703125" style="45" bestFit="1" customWidth="1"/>
    <col min="7171" max="7173" width="13.7109375" style="45" bestFit="1" customWidth="1"/>
    <col min="7174" max="7174" width="0.5703125" style="45" customWidth="1"/>
    <col min="7175" max="7175" width="12.28515625" style="45" bestFit="1" customWidth="1"/>
    <col min="7176" max="7177" width="13.7109375" style="45" bestFit="1" customWidth="1"/>
    <col min="7178" max="7178" width="0.7109375" style="45" customWidth="1"/>
    <col min="7179" max="7180" width="12.28515625" style="45" bestFit="1" customWidth="1"/>
    <col min="7181" max="7181" width="13.7109375" style="45" bestFit="1" customWidth="1"/>
    <col min="7182" max="7424" width="8.85546875" style="45"/>
    <col min="7425" max="7425" width="7" style="45" bestFit="1" customWidth="1"/>
    <col min="7426" max="7426" width="40.5703125" style="45" bestFit="1" customWidth="1"/>
    <col min="7427" max="7429" width="13.7109375" style="45" bestFit="1" customWidth="1"/>
    <col min="7430" max="7430" width="0.5703125" style="45" customWidth="1"/>
    <col min="7431" max="7431" width="12.28515625" style="45" bestFit="1" customWidth="1"/>
    <col min="7432" max="7433" width="13.7109375" style="45" bestFit="1" customWidth="1"/>
    <col min="7434" max="7434" width="0.7109375" style="45" customWidth="1"/>
    <col min="7435" max="7436" width="12.28515625" style="45" bestFit="1" customWidth="1"/>
    <col min="7437" max="7437" width="13.7109375" style="45" bestFit="1" customWidth="1"/>
    <col min="7438" max="7680" width="8.85546875" style="45"/>
    <col min="7681" max="7681" width="7" style="45" bestFit="1" customWidth="1"/>
    <col min="7682" max="7682" width="40.5703125" style="45" bestFit="1" customWidth="1"/>
    <col min="7683" max="7685" width="13.7109375" style="45" bestFit="1" customWidth="1"/>
    <col min="7686" max="7686" width="0.5703125" style="45" customWidth="1"/>
    <col min="7687" max="7687" width="12.28515625" style="45" bestFit="1" customWidth="1"/>
    <col min="7688" max="7689" width="13.7109375" style="45" bestFit="1" customWidth="1"/>
    <col min="7690" max="7690" width="0.7109375" style="45" customWidth="1"/>
    <col min="7691" max="7692" width="12.28515625" style="45" bestFit="1" customWidth="1"/>
    <col min="7693" max="7693" width="13.7109375" style="45" bestFit="1" customWidth="1"/>
    <col min="7694" max="7936" width="8.85546875" style="45"/>
    <col min="7937" max="7937" width="7" style="45" bestFit="1" customWidth="1"/>
    <col min="7938" max="7938" width="40.5703125" style="45" bestFit="1" customWidth="1"/>
    <col min="7939" max="7941" width="13.7109375" style="45" bestFit="1" customWidth="1"/>
    <col min="7942" max="7942" width="0.5703125" style="45" customWidth="1"/>
    <col min="7943" max="7943" width="12.28515625" style="45" bestFit="1" customWidth="1"/>
    <col min="7944" max="7945" width="13.7109375" style="45" bestFit="1" customWidth="1"/>
    <col min="7946" max="7946" width="0.7109375" style="45" customWidth="1"/>
    <col min="7947" max="7948" width="12.28515625" style="45" bestFit="1" customWidth="1"/>
    <col min="7949" max="7949" width="13.7109375" style="45" bestFit="1" customWidth="1"/>
    <col min="7950" max="8192" width="8.85546875" style="45"/>
    <col min="8193" max="8193" width="7" style="45" bestFit="1" customWidth="1"/>
    <col min="8194" max="8194" width="40.5703125" style="45" bestFit="1" customWidth="1"/>
    <col min="8195" max="8197" width="13.7109375" style="45" bestFit="1" customWidth="1"/>
    <col min="8198" max="8198" width="0.5703125" style="45" customWidth="1"/>
    <col min="8199" max="8199" width="12.28515625" style="45" bestFit="1" customWidth="1"/>
    <col min="8200" max="8201" width="13.7109375" style="45" bestFit="1" customWidth="1"/>
    <col min="8202" max="8202" width="0.7109375" style="45" customWidth="1"/>
    <col min="8203" max="8204" width="12.28515625" style="45" bestFit="1" customWidth="1"/>
    <col min="8205" max="8205" width="13.7109375" style="45" bestFit="1" customWidth="1"/>
    <col min="8206" max="8448" width="8.85546875" style="45"/>
    <col min="8449" max="8449" width="7" style="45" bestFit="1" customWidth="1"/>
    <col min="8450" max="8450" width="40.5703125" style="45" bestFit="1" customWidth="1"/>
    <col min="8451" max="8453" width="13.7109375" style="45" bestFit="1" customWidth="1"/>
    <col min="8454" max="8454" width="0.5703125" style="45" customWidth="1"/>
    <col min="8455" max="8455" width="12.28515625" style="45" bestFit="1" customWidth="1"/>
    <col min="8456" max="8457" width="13.7109375" style="45" bestFit="1" customWidth="1"/>
    <col min="8458" max="8458" width="0.7109375" style="45" customWidth="1"/>
    <col min="8459" max="8460" width="12.28515625" style="45" bestFit="1" customWidth="1"/>
    <col min="8461" max="8461" width="13.7109375" style="45" bestFit="1" customWidth="1"/>
    <col min="8462" max="8704" width="8.85546875" style="45"/>
    <col min="8705" max="8705" width="7" style="45" bestFit="1" customWidth="1"/>
    <col min="8706" max="8706" width="40.5703125" style="45" bestFit="1" customWidth="1"/>
    <col min="8707" max="8709" width="13.7109375" style="45" bestFit="1" customWidth="1"/>
    <col min="8710" max="8710" width="0.5703125" style="45" customWidth="1"/>
    <col min="8711" max="8711" width="12.28515625" style="45" bestFit="1" customWidth="1"/>
    <col min="8712" max="8713" width="13.7109375" style="45" bestFit="1" customWidth="1"/>
    <col min="8714" max="8714" width="0.7109375" style="45" customWidth="1"/>
    <col min="8715" max="8716" width="12.28515625" style="45" bestFit="1" customWidth="1"/>
    <col min="8717" max="8717" width="13.7109375" style="45" bestFit="1" customWidth="1"/>
    <col min="8718" max="8960" width="8.85546875" style="45"/>
    <col min="8961" max="8961" width="7" style="45" bestFit="1" customWidth="1"/>
    <col min="8962" max="8962" width="40.5703125" style="45" bestFit="1" customWidth="1"/>
    <col min="8963" max="8965" width="13.7109375" style="45" bestFit="1" customWidth="1"/>
    <col min="8966" max="8966" width="0.5703125" style="45" customWidth="1"/>
    <col min="8967" max="8967" width="12.28515625" style="45" bestFit="1" customWidth="1"/>
    <col min="8968" max="8969" width="13.7109375" style="45" bestFit="1" customWidth="1"/>
    <col min="8970" max="8970" width="0.7109375" style="45" customWidth="1"/>
    <col min="8971" max="8972" width="12.28515625" style="45" bestFit="1" customWidth="1"/>
    <col min="8973" max="8973" width="13.7109375" style="45" bestFit="1" customWidth="1"/>
    <col min="8974" max="9216" width="8.85546875" style="45"/>
    <col min="9217" max="9217" width="7" style="45" bestFit="1" customWidth="1"/>
    <col min="9218" max="9218" width="40.5703125" style="45" bestFit="1" customWidth="1"/>
    <col min="9219" max="9221" width="13.7109375" style="45" bestFit="1" customWidth="1"/>
    <col min="9222" max="9222" width="0.5703125" style="45" customWidth="1"/>
    <col min="9223" max="9223" width="12.28515625" style="45" bestFit="1" customWidth="1"/>
    <col min="9224" max="9225" width="13.7109375" style="45" bestFit="1" customWidth="1"/>
    <col min="9226" max="9226" width="0.7109375" style="45" customWidth="1"/>
    <col min="9227" max="9228" width="12.28515625" style="45" bestFit="1" customWidth="1"/>
    <col min="9229" max="9229" width="13.7109375" style="45" bestFit="1" customWidth="1"/>
    <col min="9230" max="9472" width="8.85546875" style="45"/>
    <col min="9473" max="9473" width="7" style="45" bestFit="1" customWidth="1"/>
    <col min="9474" max="9474" width="40.5703125" style="45" bestFit="1" customWidth="1"/>
    <col min="9475" max="9477" width="13.7109375" style="45" bestFit="1" customWidth="1"/>
    <col min="9478" max="9478" width="0.5703125" style="45" customWidth="1"/>
    <col min="9479" max="9479" width="12.28515625" style="45" bestFit="1" customWidth="1"/>
    <col min="9480" max="9481" width="13.7109375" style="45" bestFit="1" customWidth="1"/>
    <col min="9482" max="9482" width="0.7109375" style="45" customWidth="1"/>
    <col min="9483" max="9484" width="12.28515625" style="45" bestFit="1" customWidth="1"/>
    <col min="9485" max="9485" width="13.7109375" style="45" bestFit="1" customWidth="1"/>
    <col min="9486" max="9728" width="8.85546875" style="45"/>
    <col min="9729" max="9729" width="7" style="45" bestFit="1" customWidth="1"/>
    <col min="9730" max="9730" width="40.5703125" style="45" bestFit="1" customWidth="1"/>
    <col min="9731" max="9733" width="13.7109375" style="45" bestFit="1" customWidth="1"/>
    <col min="9734" max="9734" width="0.5703125" style="45" customWidth="1"/>
    <col min="9735" max="9735" width="12.28515625" style="45" bestFit="1" customWidth="1"/>
    <col min="9736" max="9737" width="13.7109375" style="45" bestFit="1" customWidth="1"/>
    <col min="9738" max="9738" width="0.7109375" style="45" customWidth="1"/>
    <col min="9739" max="9740" width="12.28515625" style="45" bestFit="1" customWidth="1"/>
    <col min="9741" max="9741" width="13.7109375" style="45" bestFit="1" customWidth="1"/>
    <col min="9742" max="9984" width="8.85546875" style="45"/>
    <col min="9985" max="9985" width="7" style="45" bestFit="1" customWidth="1"/>
    <col min="9986" max="9986" width="40.5703125" style="45" bestFit="1" customWidth="1"/>
    <col min="9987" max="9989" width="13.7109375" style="45" bestFit="1" customWidth="1"/>
    <col min="9990" max="9990" width="0.5703125" style="45" customWidth="1"/>
    <col min="9991" max="9991" width="12.28515625" style="45" bestFit="1" customWidth="1"/>
    <col min="9992" max="9993" width="13.7109375" style="45" bestFit="1" customWidth="1"/>
    <col min="9994" max="9994" width="0.7109375" style="45" customWidth="1"/>
    <col min="9995" max="9996" width="12.28515625" style="45" bestFit="1" customWidth="1"/>
    <col min="9997" max="9997" width="13.7109375" style="45" bestFit="1" customWidth="1"/>
    <col min="9998" max="10240" width="8.85546875" style="45"/>
    <col min="10241" max="10241" width="7" style="45" bestFit="1" customWidth="1"/>
    <col min="10242" max="10242" width="40.5703125" style="45" bestFit="1" customWidth="1"/>
    <col min="10243" max="10245" width="13.7109375" style="45" bestFit="1" customWidth="1"/>
    <col min="10246" max="10246" width="0.5703125" style="45" customWidth="1"/>
    <col min="10247" max="10247" width="12.28515625" style="45" bestFit="1" customWidth="1"/>
    <col min="10248" max="10249" width="13.7109375" style="45" bestFit="1" customWidth="1"/>
    <col min="10250" max="10250" width="0.7109375" style="45" customWidth="1"/>
    <col min="10251" max="10252" width="12.28515625" style="45" bestFit="1" customWidth="1"/>
    <col min="10253" max="10253" width="13.7109375" style="45" bestFit="1" customWidth="1"/>
    <col min="10254" max="10496" width="8.85546875" style="45"/>
    <col min="10497" max="10497" width="7" style="45" bestFit="1" customWidth="1"/>
    <col min="10498" max="10498" width="40.5703125" style="45" bestFit="1" customWidth="1"/>
    <col min="10499" max="10501" width="13.7109375" style="45" bestFit="1" customWidth="1"/>
    <col min="10502" max="10502" width="0.5703125" style="45" customWidth="1"/>
    <col min="10503" max="10503" width="12.28515625" style="45" bestFit="1" customWidth="1"/>
    <col min="10504" max="10505" width="13.7109375" style="45" bestFit="1" customWidth="1"/>
    <col min="10506" max="10506" width="0.7109375" style="45" customWidth="1"/>
    <col min="10507" max="10508" width="12.28515625" style="45" bestFit="1" customWidth="1"/>
    <col min="10509" max="10509" width="13.7109375" style="45" bestFit="1" customWidth="1"/>
    <col min="10510" max="10752" width="8.85546875" style="45"/>
    <col min="10753" max="10753" width="7" style="45" bestFit="1" customWidth="1"/>
    <col min="10754" max="10754" width="40.5703125" style="45" bestFit="1" customWidth="1"/>
    <col min="10755" max="10757" width="13.7109375" style="45" bestFit="1" customWidth="1"/>
    <col min="10758" max="10758" width="0.5703125" style="45" customWidth="1"/>
    <col min="10759" max="10759" width="12.28515625" style="45" bestFit="1" customWidth="1"/>
    <col min="10760" max="10761" width="13.7109375" style="45" bestFit="1" customWidth="1"/>
    <col min="10762" max="10762" width="0.7109375" style="45" customWidth="1"/>
    <col min="10763" max="10764" width="12.28515625" style="45" bestFit="1" customWidth="1"/>
    <col min="10765" max="10765" width="13.7109375" style="45" bestFit="1" customWidth="1"/>
    <col min="10766" max="11008" width="8.85546875" style="45"/>
    <col min="11009" max="11009" width="7" style="45" bestFit="1" customWidth="1"/>
    <col min="11010" max="11010" width="40.5703125" style="45" bestFit="1" customWidth="1"/>
    <col min="11011" max="11013" width="13.7109375" style="45" bestFit="1" customWidth="1"/>
    <col min="11014" max="11014" width="0.5703125" style="45" customWidth="1"/>
    <col min="11015" max="11015" width="12.28515625" style="45" bestFit="1" customWidth="1"/>
    <col min="11016" max="11017" width="13.7109375" style="45" bestFit="1" customWidth="1"/>
    <col min="11018" max="11018" width="0.7109375" style="45" customWidth="1"/>
    <col min="11019" max="11020" width="12.28515625" style="45" bestFit="1" customWidth="1"/>
    <col min="11021" max="11021" width="13.7109375" style="45" bestFit="1" customWidth="1"/>
    <col min="11022" max="11264" width="8.85546875" style="45"/>
    <col min="11265" max="11265" width="7" style="45" bestFit="1" customWidth="1"/>
    <col min="11266" max="11266" width="40.5703125" style="45" bestFit="1" customWidth="1"/>
    <col min="11267" max="11269" width="13.7109375" style="45" bestFit="1" customWidth="1"/>
    <col min="11270" max="11270" width="0.5703125" style="45" customWidth="1"/>
    <col min="11271" max="11271" width="12.28515625" style="45" bestFit="1" customWidth="1"/>
    <col min="11272" max="11273" width="13.7109375" style="45" bestFit="1" customWidth="1"/>
    <col min="11274" max="11274" width="0.7109375" style="45" customWidth="1"/>
    <col min="11275" max="11276" width="12.28515625" style="45" bestFit="1" customWidth="1"/>
    <col min="11277" max="11277" width="13.7109375" style="45" bestFit="1" customWidth="1"/>
    <col min="11278" max="11520" width="8.85546875" style="45"/>
    <col min="11521" max="11521" width="7" style="45" bestFit="1" customWidth="1"/>
    <col min="11522" max="11522" width="40.5703125" style="45" bestFit="1" customWidth="1"/>
    <col min="11523" max="11525" width="13.7109375" style="45" bestFit="1" customWidth="1"/>
    <col min="11526" max="11526" width="0.5703125" style="45" customWidth="1"/>
    <col min="11527" max="11527" width="12.28515625" style="45" bestFit="1" customWidth="1"/>
    <col min="11528" max="11529" width="13.7109375" style="45" bestFit="1" customWidth="1"/>
    <col min="11530" max="11530" width="0.7109375" style="45" customWidth="1"/>
    <col min="11531" max="11532" width="12.28515625" style="45" bestFit="1" customWidth="1"/>
    <col min="11533" max="11533" width="13.7109375" style="45" bestFit="1" customWidth="1"/>
    <col min="11534" max="11776" width="8.85546875" style="45"/>
    <col min="11777" max="11777" width="7" style="45" bestFit="1" customWidth="1"/>
    <col min="11778" max="11778" width="40.5703125" style="45" bestFit="1" customWidth="1"/>
    <col min="11779" max="11781" width="13.7109375" style="45" bestFit="1" customWidth="1"/>
    <col min="11782" max="11782" width="0.5703125" style="45" customWidth="1"/>
    <col min="11783" max="11783" width="12.28515625" style="45" bestFit="1" customWidth="1"/>
    <col min="11784" max="11785" width="13.7109375" style="45" bestFit="1" customWidth="1"/>
    <col min="11786" max="11786" width="0.7109375" style="45" customWidth="1"/>
    <col min="11787" max="11788" width="12.28515625" style="45" bestFit="1" customWidth="1"/>
    <col min="11789" max="11789" width="13.7109375" style="45" bestFit="1" customWidth="1"/>
    <col min="11790" max="12032" width="8.85546875" style="45"/>
    <col min="12033" max="12033" width="7" style="45" bestFit="1" customWidth="1"/>
    <col min="12034" max="12034" width="40.5703125" style="45" bestFit="1" customWidth="1"/>
    <col min="12035" max="12037" width="13.7109375" style="45" bestFit="1" customWidth="1"/>
    <col min="12038" max="12038" width="0.5703125" style="45" customWidth="1"/>
    <col min="12039" max="12039" width="12.28515625" style="45" bestFit="1" customWidth="1"/>
    <col min="12040" max="12041" width="13.7109375" style="45" bestFit="1" customWidth="1"/>
    <col min="12042" max="12042" width="0.7109375" style="45" customWidth="1"/>
    <col min="12043" max="12044" width="12.28515625" style="45" bestFit="1" customWidth="1"/>
    <col min="12045" max="12045" width="13.7109375" style="45" bestFit="1" customWidth="1"/>
    <col min="12046" max="12288" width="8.85546875" style="45"/>
    <col min="12289" max="12289" width="7" style="45" bestFit="1" customWidth="1"/>
    <col min="12290" max="12290" width="40.5703125" style="45" bestFit="1" customWidth="1"/>
    <col min="12291" max="12293" width="13.7109375" style="45" bestFit="1" customWidth="1"/>
    <col min="12294" max="12294" width="0.5703125" style="45" customWidth="1"/>
    <col min="12295" max="12295" width="12.28515625" style="45" bestFit="1" customWidth="1"/>
    <col min="12296" max="12297" width="13.7109375" style="45" bestFit="1" customWidth="1"/>
    <col min="12298" max="12298" width="0.7109375" style="45" customWidth="1"/>
    <col min="12299" max="12300" width="12.28515625" style="45" bestFit="1" customWidth="1"/>
    <col min="12301" max="12301" width="13.7109375" style="45" bestFit="1" customWidth="1"/>
    <col min="12302" max="12544" width="8.85546875" style="45"/>
    <col min="12545" max="12545" width="7" style="45" bestFit="1" customWidth="1"/>
    <col min="12546" max="12546" width="40.5703125" style="45" bestFit="1" customWidth="1"/>
    <col min="12547" max="12549" width="13.7109375" style="45" bestFit="1" customWidth="1"/>
    <col min="12550" max="12550" width="0.5703125" style="45" customWidth="1"/>
    <col min="12551" max="12551" width="12.28515625" style="45" bestFit="1" customWidth="1"/>
    <col min="12552" max="12553" width="13.7109375" style="45" bestFit="1" customWidth="1"/>
    <col min="12554" max="12554" width="0.7109375" style="45" customWidth="1"/>
    <col min="12555" max="12556" width="12.28515625" style="45" bestFit="1" customWidth="1"/>
    <col min="12557" max="12557" width="13.7109375" style="45" bestFit="1" customWidth="1"/>
    <col min="12558" max="12800" width="8.85546875" style="45"/>
    <col min="12801" max="12801" width="7" style="45" bestFit="1" customWidth="1"/>
    <col min="12802" max="12802" width="40.5703125" style="45" bestFit="1" customWidth="1"/>
    <col min="12803" max="12805" width="13.7109375" style="45" bestFit="1" customWidth="1"/>
    <col min="12806" max="12806" width="0.5703125" style="45" customWidth="1"/>
    <col min="12807" max="12807" width="12.28515625" style="45" bestFit="1" customWidth="1"/>
    <col min="12808" max="12809" width="13.7109375" style="45" bestFit="1" customWidth="1"/>
    <col min="12810" max="12810" width="0.7109375" style="45" customWidth="1"/>
    <col min="12811" max="12812" width="12.28515625" style="45" bestFit="1" customWidth="1"/>
    <col min="12813" max="12813" width="13.7109375" style="45" bestFit="1" customWidth="1"/>
    <col min="12814" max="13056" width="8.85546875" style="45"/>
    <col min="13057" max="13057" width="7" style="45" bestFit="1" customWidth="1"/>
    <col min="13058" max="13058" width="40.5703125" style="45" bestFit="1" customWidth="1"/>
    <col min="13059" max="13061" width="13.7109375" style="45" bestFit="1" customWidth="1"/>
    <col min="13062" max="13062" width="0.5703125" style="45" customWidth="1"/>
    <col min="13063" max="13063" width="12.28515625" style="45" bestFit="1" customWidth="1"/>
    <col min="13064" max="13065" width="13.7109375" style="45" bestFit="1" customWidth="1"/>
    <col min="13066" max="13066" width="0.7109375" style="45" customWidth="1"/>
    <col min="13067" max="13068" width="12.28515625" style="45" bestFit="1" customWidth="1"/>
    <col min="13069" max="13069" width="13.7109375" style="45" bestFit="1" customWidth="1"/>
    <col min="13070" max="13312" width="8.85546875" style="45"/>
    <col min="13313" max="13313" width="7" style="45" bestFit="1" customWidth="1"/>
    <col min="13314" max="13314" width="40.5703125" style="45" bestFit="1" customWidth="1"/>
    <col min="13315" max="13317" width="13.7109375" style="45" bestFit="1" customWidth="1"/>
    <col min="13318" max="13318" width="0.5703125" style="45" customWidth="1"/>
    <col min="13319" max="13319" width="12.28515625" style="45" bestFit="1" customWidth="1"/>
    <col min="13320" max="13321" width="13.7109375" style="45" bestFit="1" customWidth="1"/>
    <col min="13322" max="13322" width="0.7109375" style="45" customWidth="1"/>
    <col min="13323" max="13324" width="12.28515625" style="45" bestFit="1" customWidth="1"/>
    <col min="13325" max="13325" width="13.7109375" style="45" bestFit="1" customWidth="1"/>
    <col min="13326" max="13568" width="8.85546875" style="45"/>
    <col min="13569" max="13569" width="7" style="45" bestFit="1" customWidth="1"/>
    <col min="13570" max="13570" width="40.5703125" style="45" bestFit="1" customWidth="1"/>
    <col min="13571" max="13573" width="13.7109375" style="45" bestFit="1" customWidth="1"/>
    <col min="13574" max="13574" width="0.5703125" style="45" customWidth="1"/>
    <col min="13575" max="13575" width="12.28515625" style="45" bestFit="1" customWidth="1"/>
    <col min="13576" max="13577" width="13.7109375" style="45" bestFit="1" customWidth="1"/>
    <col min="13578" max="13578" width="0.7109375" style="45" customWidth="1"/>
    <col min="13579" max="13580" width="12.28515625" style="45" bestFit="1" customWidth="1"/>
    <col min="13581" max="13581" width="13.7109375" style="45" bestFit="1" customWidth="1"/>
    <col min="13582" max="13824" width="8.85546875" style="45"/>
    <col min="13825" max="13825" width="7" style="45" bestFit="1" customWidth="1"/>
    <col min="13826" max="13826" width="40.5703125" style="45" bestFit="1" customWidth="1"/>
    <col min="13827" max="13829" width="13.7109375" style="45" bestFit="1" customWidth="1"/>
    <col min="13830" max="13830" width="0.5703125" style="45" customWidth="1"/>
    <col min="13831" max="13831" width="12.28515625" style="45" bestFit="1" customWidth="1"/>
    <col min="13832" max="13833" width="13.7109375" style="45" bestFit="1" customWidth="1"/>
    <col min="13834" max="13834" width="0.7109375" style="45" customWidth="1"/>
    <col min="13835" max="13836" width="12.28515625" style="45" bestFit="1" customWidth="1"/>
    <col min="13837" max="13837" width="13.7109375" style="45" bestFit="1" customWidth="1"/>
    <col min="13838" max="14080" width="8.85546875" style="45"/>
    <col min="14081" max="14081" width="7" style="45" bestFit="1" customWidth="1"/>
    <col min="14082" max="14082" width="40.5703125" style="45" bestFit="1" customWidth="1"/>
    <col min="14083" max="14085" width="13.7109375" style="45" bestFit="1" customWidth="1"/>
    <col min="14086" max="14086" width="0.5703125" style="45" customWidth="1"/>
    <col min="14087" max="14087" width="12.28515625" style="45" bestFit="1" customWidth="1"/>
    <col min="14088" max="14089" width="13.7109375" style="45" bestFit="1" customWidth="1"/>
    <col min="14090" max="14090" width="0.7109375" style="45" customWidth="1"/>
    <col min="14091" max="14092" width="12.28515625" style="45" bestFit="1" customWidth="1"/>
    <col min="14093" max="14093" width="13.7109375" style="45" bestFit="1" customWidth="1"/>
    <col min="14094" max="14336" width="8.85546875" style="45"/>
    <col min="14337" max="14337" width="7" style="45" bestFit="1" customWidth="1"/>
    <col min="14338" max="14338" width="40.5703125" style="45" bestFit="1" customWidth="1"/>
    <col min="14339" max="14341" width="13.7109375" style="45" bestFit="1" customWidth="1"/>
    <col min="14342" max="14342" width="0.5703125" style="45" customWidth="1"/>
    <col min="14343" max="14343" width="12.28515625" style="45" bestFit="1" customWidth="1"/>
    <col min="14344" max="14345" width="13.7109375" style="45" bestFit="1" customWidth="1"/>
    <col min="14346" max="14346" width="0.7109375" style="45" customWidth="1"/>
    <col min="14347" max="14348" width="12.28515625" style="45" bestFit="1" customWidth="1"/>
    <col min="14349" max="14349" width="13.7109375" style="45" bestFit="1" customWidth="1"/>
    <col min="14350" max="14592" width="8.85546875" style="45"/>
    <col min="14593" max="14593" width="7" style="45" bestFit="1" customWidth="1"/>
    <col min="14594" max="14594" width="40.5703125" style="45" bestFit="1" customWidth="1"/>
    <col min="14595" max="14597" width="13.7109375" style="45" bestFit="1" customWidth="1"/>
    <col min="14598" max="14598" width="0.5703125" style="45" customWidth="1"/>
    <col min="14599" max="14599" width="12.28515625" style="45" bestFit="1" customWidth="1"/>
    <col min="14600" max="14601" width="13.7109375" style="45" bestFit="1" customWidth="1"/>
    <col min="14602" max="14602" width="0.7109375" style="45" customWidth="1"/>
    <col min="14603" max="14604" width="12.28515625" style="45" bestFit="1" customWidth="1"/>
    <col min="14605" max="14605" width="13.7109375" style="45" bestFit="1" customWidth="1"/>
    <col min="14606" max="14848" width="8.85546875" style="45"/>
    <col min="14849" max="14849" width="7" style="45" bestFit="1" customWidth="1"/>
    <col min="14850" max="14850" width="40.5703125" style="45" bestFit="1" customWidth="1"/>
    <col min="14851" max="14853" width="13.7109375" style="45" bestFit="1" customWidth="1"/>
    <col min="14854" max="14854" width="0.5703125" style="45" customWidth="1"/>
    <col min="14855" max="14855" width="12.28515625" style="45" bestFit="1" customWidth="1"/>
    <col min="14856" max="14857" width="13.7109375" style="45" bestFit="1" customWidth="1"/>
    <col min="14858" max="14858" width="0.7109375" style="45" customWidth="1"/>
    <col min="14859" max="14860" width="12.28515625" style="45" bestFit="1" customWidth="1"/>
    <col min="14861" max="14861" width="13.7109375" style="45" bestFit="1" customWidth="1"/>
    <col min="14862" max="15104" width="8.85546875" style="45"/>
    <col min="15105" max="15105" width="7" style="45" bestFit="1" customWidth="1"/>
    <col min="15106" max="15106" width="40.5703125" style="45" bestFit="1" customWidth="1"/>
    <col min="15107" max="15109" width="13.7109375" style="45" bestFit="1" customWidth="1"/>
    <col min="15110" max="15110" width="0.5703125" style="45" customWidth="1"/>
    <col min="15111" max="15111" width="12.28515625" style="45" bestFit="1" customWidth="1"/>
    <col min="15112" max="15113" width="13.7109375" style="45" bestFit="1" customWidth="1"/>
    <col min="15114" max="15114" width="0.7109375" style="45" customWidth="1"/>
    <col min="15115" max="15116" width="12.28515625" style="45" bestFit="1" customWidth="1"/>
    <col min="15117" max="15117" width="13.7109375" style="45" bestFit="1" customWidth="1"/>
    <col min="15118" max="15360" width="8.85546875" style="45"/>
    <col min="15361" max="15361" width="7" style="45" bestFit="1" customWidth="1"/>
    <col min="15362" max="15362" width="40.5703125" style="45" bestFit="1" customWidth="1"/>
    <col min="15363" max="15365" width="13.7109375" style="45" bestFit="1" customWidth="1"/>
    <col min="15366" max="15366" width="0.5703125" style="45" customWidth="1"/>
    <col min="15367" max="15367" width="12.28515625" style="45" bestFit="1" customWidth="1"/>
    <col min="15368" max="15369" width="13.7109375" style="45" bestFit="1" customWidth="1"/>
    <col min="15370" max="15370" width="0.7109375" style="45" customWidth="1"/>
    <col min="15371" max="15372" width="12.28515625" style="45" bestFit="1" customWidth="1"/>
    <col min="15373" max="15373" width="13.7109375" style="45" bestFit="1" customWidth="1"/>
    <col min="15374" max="15616" width="8.85546875" style="45"/>
    <col min="15617" max="15617" width="7" style="45" bestFit="1" customWidth="1"/>
    <col min="15618" max="15618" width="40.5703125" style="45" bestFit="1" customWidth="1"/>
    <col min="15619" max="15621" width="13.7109375" style="45" bestFit="1" customWidth="1"/>
    <col min="15622" max="15622" width="0.5703125" style="45" customWidth="1"/>
    <col min="15623" max="15623" width="12.28515625" style="45" bestFit="1" customWidth="1"/>
    <col min="15624" max="15625" width="13.7109375" style="45" bestFit="1" customWidth="1"/>
    <col min="15626" max="15626" width="0.7109375" style="45" customWidth="1"/>
    <col min="15627" max="15628" width="12.28515625" style="45" bestFit="1" customWidth="1"/>
    <col min="15629" max="15629" width="13.7109375" style="45" bestFit="1" customWidth="1"/>
    <col min="15630" max="15872" width="8.85546875" style="45"/>
    <col min="15873" max="15873" width="7" style="45" bestFit="1" customWidth="1"/>
    <col min="15874" max="15874" width="40.5703125" style="45" bestFit="1" customWidth="1"/>
    <col min="15875" max="15877" width="13.7109375" style="45" bestFit="1" customWidth="1"/>
    <col min="15878" max="15878" width="0.5703125" style="45" customWidth="1"/>
    <col min="15879" max="15879" width="12.28515625" style="45" bestFit="1" customWidth="1"/>
    <col min="15880" max="15881" width="13.7109375" style="45" bestFit="1" customWidth="1"/>
    <col min="15882" max="15882" width="0.7109375" style="45" customWidth="1"/>
    <col min="15883" max="15884" width="12.28515625" style="45" bestFit="1" customWidth="1"/>
    <col min="15885" max="15885" width="13.7109375" style="45" bestFit="1" customWidth="1"/>
    <col min="15886" max="16128" width="8.85546875" style="45"/>
    <col min="16129" max="16129" width="7" style="45" bestFit="1" customWidth="1"/>
    <col min="16130" max="16130" width="40.5703125" style="45" bestFit="1" customWidth="1"/>
    <col min="16131" max="16133" width="13.7109375" style="45" bestFit="1" customWidth="1"/>
    <col min="16134" max="16134" width="0.5703125" style="45" customWidth="1"/>
    <col min="16135" max="16135" width="12.28515625" style="45" bestFit="1" customWidth="1"/>
    <col min="16136" max="16137" width="13.7109375" style="45" bestFit="1" customWidth="1"/>
    <col min="16138" max="16138" width="0.7109375" style="45" customWidth="1"/>
    <col min="16139" max="16140" width="12.28515625" style="45" bestFit="1" customWidth="1"/>
    <col min="16141" max="16141" width="13.7109375" style="45" bestFit="1" customWidth="1"/>
    <col min="16142" max="16384" width="8.85546875" style="45"/>
  </cols>
  <sheetData>
    <row r="1" spans="1:13" ht="13.5" thickBot="1"/>
    <row r="2" spans="1:13" ht="13.5" thickBot="1">
      <c r="C2" s="199" t="s">
        <v>4</v>
      </c>
      <c r="D2" s="200"/>
      <c r="E2" s="201"/>
      <c r="G2" s="199" t="s">
        <v>112</v>
      </c>
      <c r="H2" s="200"/>
      <c r="I2" s="201"/>
      <c r="K2" s="199" t="s">
        <v>159</v>
      </c>
      <c r="L2" s="200"/>
      <c r="M2" s="201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2">
        <v>182324</v>
      </c>
      <c r="B4" s="143" t="s">
        <v>202</v>
      </c>
      <c r="C4" s="144">
        <f>SUM(G4,K4)</f>
        <v>0</v>
      </c>
      <c r="D4" s="144">
        <f>SUM(H4,L4)</f>
        <v>8050000</v>
      </c>
      <c r="E4" s="144">
        <f>SUM(C4:D4)</f>
        <v>8050000</v>
      </c>
      <c r="F4" s="144"/>
      <c r="G4" s="145">
        <v>0</v>
      </c>
      <c r="H4" s="145">
        <v>5284020</v>
      </c>
      <c r="I4" s="144">
        <f>SUM(G4:H4)</f>
        <v>5284020</v>
      </c>
      <c r="J4" s="144"/>
      <c r="K4" s="145">
        <v>0</v>
      </c>
      <c r="L4" s="145">
        <v>2765980</v>
      </c>
      <c r="M4" s="144">
        <f>SUM(K4:L4)</f>
        <v>2765980</v>
      </c>
    </row>
    <row r="5" spans="1:13">
      <c r="A5" s="142">
        <v>182325</v>
      </c>
      <c r="B5" s="143" t="s">
        <v>23</v>
      </c>
      <c r="C5" s="144">
        <f t="shared" ref="C5:D11" si="0">SUM(G5,K5)</f>
        <v>0</v>
      </c>
      <c r="D5" s="144">
        <f t="shared" si="0"/>
        <v>2000000</v>
      </c>
      <c r="E5" s="144">
        <f t="shared" ref="E5:E11" si="1">SUM(C5:D5)</f>
        <v>2000000</v>
      </c>
      <c r="F5" s="144"/>
      <c r="G5" s="145">
        <v>0</v>
      </c>
      <c r="H5" s="145">
        <v>1312800</v>
      </c>
      <c r="I5" s="144">
        <f t="shared" ref="I5:I12" si="2">SUM(G5:H5)</f>
        <v>1312800</v>
      </c>
      <c r="J5" s="144"/>
      <c r="K5" s="145">
        <v>0</v>
      </c>
      <c r="L5" s="145">
        <v>687200</v>
      </c>
      <c r="M5" s="144">
        <f t="shared" ref="M5:M12" si="3">SUM(K5:L5)</f>
        <v>687200</v>
      </c>
    </row>
    <row r="6" spans="1:13">
      <c r="A6" s="142">
        <v>182333</v>
      </c>
      <c r="B6" s="143" t="s">
        <v>203</v>
      </c>
      <c r="C6" s="144">
        <f t="shared" si="0"/>
        <v>0</v>
      </c>
      <c r="D6" s="144">
        <f t="shared" si="0"/>
        <v>1130184</v>
      </c>
      <c r="E6" s="144">
        <f t="shared" si="1"/>
        <v>1130184</v>
      </c>
      <c r="F6" s="144"/>
      <c r="G6" s="145">
        <v>0</v>
      </c>
      <c r="H6" s="145">
        <v>741853</v>
      </c>
      <c r="I6" s="144">
        <f t="shared" si="2"/>
        <v>741853</v>
      </c>
      <c r="J6" s="144"/>
      <c r="K6" s="145">
        <v>0</v>
      </c>
      <c r="L6" s="145">
        <v>388331</v>
      </c>
      <c r="M6" s="144">
        <f t="shared" si="3"/>
        <v>388331</v>
      </c>
    </row>
    <row r="7" spans="1:13">
      <c r="A7" s="142">
        <v>182381</v>
      </c>
      <c r="B7" s="143" t="s">
        <v>204</v>
      </c>
      <c r="C7" s="144">
        <f t="shared" si="0"/>
        <v>0</v>
      </c>
      <c r="D7" s="144">
        <f t="shared" si="0"/>
        <v>30537791</v>
      </c>
      <c r="E7" s="144">
        <f t="shared" si="1"/>
        <v>30537791</v>
      </c>
      <c r="F7" s="144"/>
      <c r="G7" s="145">
        <v>0</v>
      </c>
      <c r="H7" s="145">
        <v>20045006</v>
      </c>
      <c r="I7" s="144">
        <f t="shared" si="2"/>
        <v>20045006</v>
      </c>
      <c r="J7" s="144"/>
      <c r="K7" s="145">
        <v>0</v>
      </c>
      <c r="L7" s="145">
        <v>10492785</v>
      </c>
      <c r="M7" s="144">
        <f t="shared" si="3"/>
        <v>10492785</v>
      </c>
    </row>
    <row r="8" spans="1:13">
      <c r="A8" s="146">
        <v>302000</v>
      </c>
      <c r="B8" s="147" t="s">
        <v>205</v>
      </c>
      <c r="C8" s="144">
        <f t="shared" si="0"/>
        <v>591118</v>
      </c>
      <c r="D8" s="144">
        <f t="shared" si="0"/>
        <v>44049218</v>
      </c>
      <c r="E8" s="144">
        <f t="shared" si="1"/>
        <v>44640336</v>
      </c>
      <c r="F8" s="144"/>
      <c r="G8" s="145">
        <v>591118</v>
      </c>
      <c r="H8" s="145">
        <v>28913907</v>
      </c>
      <c r="I8" s="144">
        <f t="shared" si="2"/>
        <v>29505025</v>
      </c>
      <c r="J8" s="144"/>
      <c r="K8" s="145">
        <v>0</v>
      </c>
      <c r="L8" s="145">
        <v>15135311</v>
      </c>
      <c r="M8" s="144">
        <f t="shared" si="3"/>
        <v>15135311</v>
      </c>
    </row>
    <row r="9" spans="1:13">
      <c r="A9" s="146">
        <v>303000</v>
      </c>
      <c r="B9" s="143" t="s">
        <v>206</v>
      </c>
      <c r="C9" s="144">
        <f t="shared" si="0"/>
        <v>479443</v>
      </c>
      <c r="D9" s="144">
        <f t="shared" si="0"/>
        <v>17608859</v>
      </c>
      <c r="E9" s="144">
        <f t="shared" si="1"/>
        <v>18088302</v>
      </c>
      <c r="F9" s="144"/>
      <c r="G9" s="145">
        <v>479443</v>
      </c>
      <c r="H9" s="145">
        <v>11805501</v>
      </c>
      <c r="I9" s="144">
        <f t="shared" si="2"/>
        <v>12284944</v>
      </c>
      <c r="J9" s="144"/>
      <c r="K9" s="145">
        <v>0</v>
      </c>
      <c r="L9" s="145">
        <v>5803358</v>
      </c>
      <c r="M9" s="144">
        <f t="shared" si="3"/>
        <v>5803358</v>
      </c>
    </row>
    <row r="10" spans="1:13">
      <c r="A10" s="146">
        <v>303100</v>
      </c>
      <c r="B10" s="147" t="s">
        <v>207</v>
      </c>
      <c r="C10" s="144">
        <f t="shared" si="0"/>
        <v>1572839</v>
      </c>
      <c r="D10" s="144">
        <f t="shared" si="0"/>
        <v>87640652</v>
      </c>
      <c r="E10" s="144">
        <f t="shared" si="1"/>
        <v>89213491</v>
      </c>
      <c r="F10" s="144"/>
      <c r="G10" s="145">
        <v>1540186</v>
      </c>
      <c r="H10" s="145">
        <v>60637691</v>
      </c>
      <c r="I10" s="144">
        <f t="shared" si="2"/>
        <v>62177877</v>
      </c>
      <c r="J10" s="144"/>
      <c r="K10" s="145">
        <v>32653</v>
      </c>
      <c r="L10" s="145">
        <v>27002961</v>
      </c>
      <c r="M10" s="144">
        <f t="shared" si="3"/>
        <v>27035614</v>
      </c>
    </row>
    <row r="11" spans="1:13">
      <c r="A11" s="146">
        <v>303110</v>
      </c>
      <c r="B11" s="147" t="s">
        <v>208</v>
      </c>
      <c r="C11" s="144">
        <f t="shared" si="0"/>
        <v>0</v>
      </c>
      <c r="D11" s="144">
        <f t="shared" si="0"/>
        <v>319253</v>
      </c>
      <c r="E11" s="144">
        <f t="shared" si="1"/>
        <v>319253</v>
      </c>
      <c r="F11" s="144"/>
      <c r="G11" s="145">
        <v>0</v>
      </c>
      <c r="H11" s="145">
        <v>220888</v>
      </c>
      <c r="I11" s="144">
        <f t="shared" si="2"/>
        <v>220888</v>
      </c>
      <c r="J11" s="144"/>
      <c r="K11" s="145">
        <v>0</v>
      </c>
      <c r="L11" s="145">
        <v>98365</v>
      </c>
      <c r="M11" s="144">
        <f t="shared" si="3"/>
        <v>98365</v>
      </c>
    </row>
    <row r="12" spans="1:13">
      <c r="A12" s="146" t="s">
        <v>245</v>
      </c>
      <c r="B12" s="147" t="s">
        <v>208</v>
      </c>
      <c r="C12" s="144">
        <f t="shared" ref="C12" si="4">SUM(G12,K12)</f>
        <v>14412224</v>
      </c>
      <c r="D12" s="144">
        <f t="shared" ref="D12" si="5">SUM(H12,L12)</f>
        <v>94018777</v>
      </c>
      <c r="E12" s="144">
        <f t="shared" ref="E12" si="6">SUM(C12:D12)</f>
        <v>108431001</v>
      </c>
      <c r="F12" s="144"/>
      <c r="G12" s="145">
        <v>14412224</v>
      </c>
      <c r="H12" s="145">
        <f>49238107+14784796+1027749</f>
        <v>65050652</v>
      </c>
      <c r="I12" s="144">
        <f t="shared" si="2"/>
        <v>79462876</v>
      </c>
      <c r="J12" s="144"/>
      <c r="K12" s="145"/>
      <c r="L12" s="145">
        <f>21926539+6583913+457673</f>
        <v>28968125</v>
      </c>
      <c r="M12" s="144">
        <f t="shared" si="3"/>
        <v>28968125</v>
      </c>
    </row>
    <row r="13" spans="1:13">
      <c r="A13" s="148"/>
      <c r="B13" s="147" t="s">
        <v>209</v>
      </c>
      <c r="C13" s="149">
        <f>SUM(C4:C12)</f>
        <v>17055624</v>
      </c>
      <c r="D13" s="149">
        <f t="shared" ref="D13" si="7">SUM(D4:D12)</f>
        <v>285354734</v>
      </c>
      <c r="E13" s="149">
        <f t="shared" ref="E13" si="8">SUM(E4:E12)</f>
        <v>302410358</v>
      </c>
      <c r="F13" s="144"/>
      <c r="G13" s="149">
        <f>SUM(G4:G12)</f>
        <v>17022971</v>
      </c>
      <c r="H13" s="149">
        <f t="shared" ref="H13:I13" si="9">SUM(H4:H12)</f>
        <v>194012318</v>
      </c>
      <c r="I13" s="149">
        <f t="shared" si="9"/>
        <v>211035289</v>
      </c>
      <c r="J13" s="144"/>
      <c r="K13" s="149">
        <f>SUM(K4:K12)</f>
        <v>32653</v>
      </c>
      <c r="L13" s="149">
        <f t="shared" ref="L13" si="10">SUM(L4:L12)</f>
        <v>91342416</v>
      </c>
      <c r="M13" s="149">
        <f t="shared" ref="M13" si="11">SUM(M4:M12)</f>
        <v>91375069</v>
      </c>
    </row>
    <row r="14" spans="1:13"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>
      <c r="B15" s="45" t="s">
        <v>11</v>
      </c>
      <c r="C15" s="144">
        <f t="shared" ref="C15:D18" si="12">SUM(G15,K15)</f>
        <v>0</v>
      </c>
      <c r="D15" s="144">
        <f t="shared" si="12"/>
        <v>1418084853</v>
      </c>
      <c r="E15" s="144">
        <f>SUM(C15:D15)</f>
        <v>1418084853</v>
      </c>
      <c r="F15" s="144"/>
      <c r="G15" s="145">
        <v>0</v>
      </c>
      <c r="H15" s="145">
        <v>930160150</v>
      </c>
      <c r="I15" s="144">
        <f>SUM(G15:H15)</f>
        <v>930160150</v>
      </c>
      <c r="J15" s="144"/>
      <c r="K15" s="145"/>
      <c r="L15" s="145">
        <v>487924703</v>
      </c>
      <c r="M15" s="144">
        <f>SUM(K15:L15)</f>
        <v>487924703</v>
      </c>
    </row>
    <row r="16" spans="1:13">
      <c r="B16" s="45" t="s">
        <v>12</v>
      </c>
      <c r="C16" s="144">
        <f t="shared" si="12"/>
        <v>0</v>
      </c>
      <c r="D16" s="144">
        <f t="shared" si="12"/>
        <v>776937563</v>
      </c>
      <c r="E16" s="144">
        <f>SUM(C16:D16)</f>
        <v>776937563</v>
      </c>
      <c r="F16" s="144"/>
      <c r="G16" s="145">
        <v>0</v>
      </c>
      <c r="H16" s="145">
        <v>509896912</v>
      </c>
      <c r="I16" s="144">
        <f>SUM(G16:H16)</f>
        <v>509896912</v>
      </c>
      <c r="J16" s="144"/>
      <c r="K16" s="145"/>
      <c r="L16" s="145">
        <v>267040651</v>
      </c>
      <c r="M16" s="144">
        <f>SUM(K16:L16)</f>
        <v>267040651</v>
      </c>
    </row>
    <row r="17" spans="1:13">
      <c r="B17" s="45" t="s">
        <v>13</v>
      </c>
      <c r="C17" s="144">
        <f t="shared" si="12"/>
        <v>1800328498</v>
      </c>
      <c r="D17" s="144">
        <f t="shared" si="12"/>
        <v>3048699</v>
      </c>
      <c r="E17" s="144">
        <f>SUM(C17:D17)</f>
        <v>1803377197</v>
      </c>
      <c r="F17" s="144"/>
      <c r="G17" s="145">
        <v>1192361165</v>
      </c>
      <c r="H17" s="145">
        <v>2115248</v>
      </c>
      <c r="I17" s="144">
        <f>SUM(G17:H17)</f>
        <v>1194476413</v>
      </c>
      <c r="J17" s="144"/>
      <c r="K17" s="145">
        <v>607967333</v>
      </c>
      <c r="L17" s="145">
        <v>933451</v>
      </c>
      <c r="M17" s="144">
        <f>SUM(K17:L17)</f>
        <v>608900784</v>
      </c>
    </row>
    <row r="18" spans="1:13">
      <c r="B18" s="45" t="s">
        <v>210</v>
      </c>
      <c r="C18" s="144">
        <f t="shared" si="12"/>
        <v>113825188</v>
      </c>
      <c r="D18" s="144">
        <f t="shared" si="12"/>
        <v>297489697</v>
      </c>
      <c r="E18" s="144">
        <f>SUM(C18:D18)</f>
        <v>411314885</v>
      </c>
      <c r="F18" s="144"/>
      <c r="G18" s="145">
        <v>73726103</v>
      </c>
      <c r="H18" s="145">
        <v>205830146</v>
      </c>
      <c r="I18" s="144">
        <f>SUM(G18:H18)</f>
        <v>279556249</v>
      </c>
      <c r="J18" s="144"/>
      <c r="K18" s="145">
        <v>40099085</v>
      </c>
      <c r="L18" s="145">
        <v>91659551</v>
      </c>
      <c r="M18" s="144">
        <f>SUM(K18:L18)</f>
        <v>131758636</v>
      </c>
    </row>
    <row r="19" spans="1:13">
      <c r="C19" s="144"/>
      <c r="D19" s="144"/>
      <c r="E19" s="144"/>
      <c r="F19" s="144"/>
      <c r="G19" s="145"/>
      <c r="H19" s="145"/>
      <c r="I19" s="144"/>
      <c r="J19" s="144"/>
      <c r="K19" s="145"/>
      <c r="L19" s="145"/>
      <c r="M19" s="144">
        <f>SUM(K19:L19)</f>
        <v>0</v>
      </c>
    </row>
    <row r="20" spans="1:13" ht="13.5" thickBot="1">
      <c r="B20" s="45" t="s">
        <v>211</v>
      </c>
      <c r="C20" s="150">
        <f t="shared" ref="C20:I20" si="13">SUM(C13:C19)</f>
        <v>1931209310</v>
      </c>
      <c r="D20" s="150">
        <f t="shared" si="13"/>
        <v>2780915546</v>
      </c>
      <c r="E20" s="150">
        <f t="shared" si="13"/>
        <v>4712124856</v>
      </c>
      <c r="F20" s="144">
        <f t="shared" si="13"/>
        <v>0</v>
      </c>
      <c r="G20" s="150">
        <f t="shared" si="13"/>
        <v>1283110239</v>
      </c>
      <c r="H20" s="150">
        <f t="shared" si="13"/>
        <v>1842014774</v>
      </c>
      <c r="I20" s="150">
        <f t="shared" si="13"/>
        <v>3125125013</v>
      </c>
      <c r="J20" s="144"/>
      <c r="K20" s="150">
        <f>SUM(K13:K19)</f>
        <v>648099071</v>
      </c>
      <c r="L20" s="150">
        <f>SUM(L13:L19)</f>
        <v>938900772</v>
      </c>
      <c r="M20" s="150">
        <f>SUM(M13:M19)</f>
        <v>1586999843</v>
      </c>
    </row>
    <row r="21" spans="1:13"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13"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4" spans="1:13">
      <c r="A24" s="45" t="s">
        <v>212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1:13">
      <c r="A25" s="45">
        <v>303000</v>
      </c>
      <c r="B25" s="45" t="s">
        <v>17</v>
      </c>
      <c r="C25" s="144">
        <f t="shared" ref="C25:C31" si="14">SUM(G25,K25)</f>
        <v>0</v>
      </c>
      <c r="D25" s="145">
        <v>6961001</v>
      </c>
      <c r="E25" s="144">
        <f t="shared" ref="E25:E31" si="15">SUM(C25:D25)</f>
        <v>6961001</v>
      </c>
      <c r="F25" s="144"/>
      <c r="G25" s="145">
        <v>0</v>
      </c>
      <c r="H25" s="144">
        <f>D25*H37</f>
        <v>4816246.9818900004</v>
      </c>
      <c r="I25" s="144">
        <f t="shared" ref="I25:I31" si="16">SUM(G25:H25)</f>
        <v>4816246.9818900004</v>
      </c>
      <c r="J25" s="144"/>
      <c r="K25" s="145">
        <v>0</v>
      </c>
      <c r="L25" s="144">
        <f t="shared" ref="L25:L31" si="17">D25-H25</f>
        <v>2144754.0181099996</v>
      </c>
      <c r="M25" s="144">
        <f t="shared" ref="M25:M31" si="18">SUM(K25:L25)</f>
        <v>2144754.0181099996</v>
      </c>
    </row>
    <row r="26" spans="1:13">
      <c r="B26" s="45" t="s">
        <v>19</v>
      </c>
      <c r="C26" s="144">
        <f t="shared" si="14"/>
        <v>0</v>
      </c>
      <c r="D26" s="145">
        <v>151119</v>
      </c>
      <c r="E26" s="144">
        <f t="shared" si="15"/>
        <v>151119</v>
      </c>
      <c r="F26" s="144"/>
      <c r="G26" s="145">
        <v>0</v>
      </c>
      <c r="H26" s="144">
        <f>D26*H36</f>
        <v>99194.511599999998</v>
      </c>
      <c r="I26" s="144">
        <f t="shared" si="16"/>
        <v>99194.511599999998</v>
      </c>
      <c r="J26" s="144"/>
      <c r="K26" s="145">
        <v>0</v>
      </c>
      <c r="L26" s="144">
        <f t="shared" si="17"/>
        <v>51924.488400000002</v>
      </c>
      <c r="M26" s="144">
        <f t="shared" si="18"/>
        <v>51924.488400000002</v>
      </c>
    </row>
    <row r="27" spans="1:13">
      <c r="A27" s="45">
        <v>303100</v>
      </c>
      <c r="B27" s="45" t="s">
        <v>17</v>
      </c>
      <c r="C27" s="144">
        <f t="shared" si="14"/>
        <v>0</v>
      </c>
      <c r="D27" s="145">
        <v>73511605</v>
      </c>
      <c r="E27" s="144">
        <f t="shared" si="15"/>
        <v>73511605</v>
      </c>
      <c r="F27" s="144"/>
      <c r="G27" s="145">
        <v>0</v>
      </c>
      <c r="H27" s="144">
        <f>D27*H37</f>
        <v>50861944.383450001</v>
      </c>
      <c r="I27" s="144">
        <f t="shared" si="16"/>
        <v>50861944.383450001</v>
      </c>
      <c r="J27" s="144"/>
      <c r="K27" s="145">
        <v>0</v>
      </c>
      <c r="L27" s="144">
        <f t="shared" si="17"/>
        <v>22649660.616549999</v>
      </c>
      <c r="M27" s="144">
        <f t="shared" si="18"/>
        <v>22649660.616549999</v>
      </c>
    </row>
    <row r="28" spans="1:13">
      <c r="B28" s="45" t="s">
        <v>19</v>
      </c>
      <c r="C28" s="144">
        <f t="shared" si="14"/>
        <v>0</v>
      </c>
      <c r="D28" s="145">
        <v>315015</v>
      </c>
      <c r="E28" s="144">
        <f t="shared" si="15"/>
        <v>315015</v>
      </c>
      <c r="F28" s="144"/>
      <c r="G28" s="145">
        <v>0</v>
      </c>
      <c r="H28" s="144">
        <f>D28*H37</f>
        <v>217955.72834999999</v>
      </c>
      <c r="I28" s="144">
        <f t="shared" si="16"/>
        <v>217955.72834999999</v>
      </c>
      <c r="J28" s="144"/>
      <c r="K28" s="145">
        <v>0</v>
      </c>
      <c r="L28" s="144">
        <f t="shared" si="17"/>
        <v>97059.27165000001</v>
      </c>
      <c r="M28" s="144">
        <f t="shared" si="18"/>
        <v>97059.27165000001</v>
      </c>
    </row>
    <row r="29" spans="1:13">
      <c r="A29" s="45">
        <v>303110</v>
      </c>
      <c r="B29" s="45" t="s">
        <v>17</v>
      </c>
      <c r="C29" s="144">
        <f t="shared" si="14"/>
        <v>0</v>
      </c>
      <c r="D29" s="145">
        <v>319253</v>
      </c>
      <c r="E29" s="144">
        <f t="shared" si="15"/>
        <v>319253</v>
      </c>
      <c r="F29" s="144"/>
      <c r="G29" s="145">
        <v>0</v>
      </c>
      <c r="H29" s="144">
        <f>D29*H38</f>
        <v>220887.95817</v>
      </c>
      <c r="I29" s="144">
        <f t="shared" si="16"/>
        <v>220887.95817</v>
      </c>
      <c r="J29" s="144"/>
      <c r="K29" s="145">
        <v>0</v>
      </c>
      <c r="L29" s="144">
        <f t="shared" si="17"/>
        <v>98365.041830000002</v>
      </c>
      <c r="M29" s="144">
        <f t="shared" si="18"/>
        <v>98365.041830000002</v>
      </c>
    </row>
    <row r="30" spans="1:13">
      <c r="B30" s="45" t="s">
        <v>19</v>
      </c>
      <c r="C30" s="144">
        <f t="shared" ref="C30" si="19">SUM(G30,K30)</f>
        <v>0</v>
      </c>
      <c r="D30" s="145">
        <v>0</v>
      </c>
      <c r="E30" s="144">
        <f t="shared" ref="E30" si="20">SUM(C30:D30)</f>
        <v>0</v>
      </c>
      <c r="F30" s="144"/>
      <c r="G30" s="145">
        <v>0</v>
      </c>
      <c r="H30" s="144">
        <f>D30*H38</f>
        <v>0</v>
      </c>
      <c r="I30" s="144">
        <f t="shared" ref="I30" si="21">SUM(G30:H30)</f>
        <v>0</v>
      </c>
      <c r="J30" s="144"/>
      <c r="K30" s="145">
        <v>0</v>
      </c>
      <c r="L30" s="144">
        <f t="shared" ref="L30" si="22">D30-H30</f>
        <v>0</v>
      </c>
      <c r="M30" s="144">
        <f t="shared" ref="M30" si="23">SUM(K30:L30)</f>
        <v>0</v>
      </c>
    </row>
    <row r="31" spans="1:13">
      <c r="A31" s="45" t="s">
        <v>245</v>
      </c>
      <c r="B31" s="45" t="s">
        <v>17</v>
      </c>
      <c r="C31" s="144">
        <f t="shared" si="14"/>
        <v>0</v>
      </c>
      <c r="D31" s="145">
        <f>71164647+21368709+1485422</f>
        <v>94018778</v>
      </c>
      <c r="E31" s="144">
        <f t="shared" si="15"/>
        <v>94018778</v>
      </c>
      <c r="F31" s="144"/>
      <c r="G31" s="145">
        <v>0</v>
      </c>
      <c r="H31" s="144">
        <f>D31*H39</f>
        <v>65050652.310419999</v>
      </c>
      <c r="I31" s="144">
        <f t="shared" si="16"/>
        <v>65050652.310419999</v>
      </c>
      <c r="J31" s="144"/>
      <c r="K31" s="145">
        <v>0</v>
      </c>
      <c r="L31" s="144">
        <f t="shared" si="17"/>
        <v>28968125.689580001</v>
      </c>
      <c r="M31" s="144">
        <f t="shared" si="18"/>
        <v>28968125.689580001</v>
      </c>
    </row>
    <row r="32" spans="1:13" ht="13.5" thickBot="1">
      <c r="C32" s="150">
        <f>SUM(C25:C31)</f>
        <v>0</v>
      </c>
      <c r="D32" s="151">
        <f>SUM(D25:D31)</f>
        <v>175276771</v>
      </c>
      <c r="E32" s="150">
        <f>SUM(E25:E31)</f>
        <v>175276771</v>
      </c>
      <c r="F32" s="144"/>
      <c r="G32" s="150">
        <f>SUM(G25:G31)</f>
        <v>0</v>
      </c>
      <c r="H32" s="150">
        <f>SUM(H25:H31)</f>
        <v>121266881.87388</v>
      </c>
      <c r="I32" s="150">
        <f>SUM(I25:I31)</f>
        <v>121266881.87388</v>
      </c>
      <c r="J32" s="144"/>
      <c r="K32" s="150">
        <f>SUM(K25:K31)</f>
        <v>0</v>
      </c>
      <c r="L32" s="150">
        <f>SUM(L25:L31)</f>
        <v>54009889.126120001</v>
      </c>
      <c r="M32" s="150">
        <f>SUM(M25:M31)</f>
        <v>54009889.126120001</v>
      </c>
    </row>
    <row r="33" spans="1:13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>
      <c r="A35" s="45" t="s">
        <v>213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>
      <c r="A36" s="45">
        <v>1</v>
      </c>
      <c r="B36" s="45">
        <v>303000</v>
      </c>
      <c r="C36" s="144"/>
      <c r="D36" s="144"/>
      <c r="E36" s="144"/>
      <c r="F36" s="144"/>
      <c r="G36" s="144"/>
      <c r="H36" s="182">
        <v>0.65639999999999998</v>
      </c>
      <c r="I36" s="183"/>
      <c r="J36" s="183"/>
      <c r="K36" s="183"/>
      <c r="L36" s="184">
        <f>1-H36</f>
        <v>0.34360000000000002</v>
      </c>
      <c r="M36" s="144"/>
    </row>
    <row r="37" spans="1:13">
      <c r="A37" s="45">
        <v>4</v>
      </c>
      <c r="B37" s="45">
        <v>303100</v>
      </c>
      <c r="H37" s="185">
        <v>0.69189000000000001</v>
      </c>
      <c r="I37" s="186"/>
      <c r="J37" s="186"/>
      <c r="K37" s="186"/>
      <c r="L37" s="184">
        <f>1-H37</f>
        <v>0.30810999999999999</v>
      </c>
    </row>
    <row r="38" spans="1:13">
      <c r="A38" s="45">
        <v>4</v>
      </c>
      <c r="B38" s="45">
        <v>303110</v>
      </c>
      <c r="H38" s="184">
        <f>H37</f>
        <v>0.69189000000000001</v>
      </c>
      <c r="I38" s="186"/>
      <c r="J38" s="186"/>
      <c r="K38" s="186"/>
      <c r="L38" s="184">
        <f>1-H38</f>
        <v>0.30810999999999999</v>
      </c>
    </row>
    <row r="39" spans="1:13">
      <c r="A39" s="45">
        <v>4</v>
      </c>
      <c r="B39" s="45">
        <v>303115</v>
      </c>
      <c r="H39" s="184">
        <f>H37</f>
        <v>0.69189000000000001</v>
      </c>
      <c r="I39" s="186"/>
      <c r="J39" s="186"/>
      <c r="K39" s="186"/>
      <c r="L39" s="184">
        <f>1-H39</f>
        <v>0.30810999999999999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D19" sqref="D19"/>
    </sheetView>
  </sheetViews>
  <sheetFormatPr defaultRowHeight="12.75"/>
  <cols>
    <col min="1" max="1" width="7" style="45" bestFit="1" customWidth="1"/>
    <col min="2" max="2" width="40.5703125" style="45" bestFit="1" customWidth="1"/>
    <col min="3" max="5" width="13.7109375" style="45" bestFit="1" customWidth="1"/>
    <col min="6" max="6" width="0.5703125" style="45" customWidth="1"/>
    <col min="7" max="7" width="12.28515625" style="45" bestFit="1" customWidth="1"/>
    <col min="8" max="9" width="13.7109375" style="45" bestFit="1" customWidth="1"/>
    <col min="10" max="10" width="0.7109375" style="45" customWidth="1"/>
    <col min="11" max="12" width="12.28515625" style="45" bestFit="1" customWidth="1"/>
    <col min="13" max="13" width="13.7109375" style="45" bestFit="1" customWidth="1"/>
    <col min="14" max="256" width="8.85546875" style="45"/>
    <col min="257" max="257" width="7" style="45" bestFit="1" customWidth="1"/>
    <col min="258" max="258" width="40.5703125" style="45" bestFit="1" customWidth="1"/>
    <col min="259" max="261" width="13.7109375" style="45" bestFit="1" customWidth="1"/>
    <col min="262" max="262" width="0.5703125" style="45" customWidth="1"/>
    <col min="263" max="263" width="12.28515625" style="45" bestFit="1" customWidth="1"/>
    <col min="264" max="265" width="13.7109375" style="45" bestFit="1" customWidth="1"/>
    <col min="266" max="266" width="0.7109375" style="45" customWidth="1"/>
    <col min="267" max="268" width="12.28515625" style="45" bestFit="1" customWidth="1"/>
    <col min="269" max="269" width="13.7109375" style="45" bestFit="1" customWidth="1"/>
    <col min="270" max="512" width="8.85546875" style="45"/>
    <col min="513" max="513" width="7" style="45" bestFit="1" customWidth="1"/>
    <col min="514" max="514" width="40.5703125" style="45" bestFit="1" customWidth="1"/>
    <col min="515" max="517" width="13.7109375" style="45" bestFit="1" customWidth="1"/>
    <col min="518" max="518" width="0.5703125" style="45" customWidth="1"/>
    <col min="519" max="519" width="12.28515625" style="45" bestFit="1" customWidth="1"/>
    <col min="520" max="521" width="13.7109375" style="45" bestFit="1" customWidth="1"/>
    <col min="522" max="522" width="0.7109375" style="45" customWidth="1"/>
    <col min="523" max="524" width="12.28515625" style="45" bestFit="1" customWidth="1"/>
    <col min="525" max="525" width="13.7109375" style="45" bestFit="1" customWidth="1"/>
    <col min="526" max="768" width="8.85546875" style="45"/>
    <col min="769" max="769" width="7" style="45" bestFit="1" customWidth="1"/>
    <col min="770" max="770" width="40.5703125" style="45" bestFit="1" customWidth="1"/>
    <col min="771" max="773" width="13.7109375" style="45" bestFit="1" customWidth="1"/>
    <col min="774" max="774" width="0.5703125" style="45" customWidth="1"/>
    <col min="775" max="775" width="12.28515625" style="45" bestFit="1" customWidth="1"/>
    <col min="776" max="777" width="13.7109375" style="45" bestFit="1" customWidth="1"/>
    <col min="778" max="778" width="0.7109375" style="45" customWidth="1"/>
    <col min="779" max="780" width="12.28515625" style="45" bestFit="1" customWidth="1"/>
    <col min="781" max="781" width="13.7109375" style="45" bestFit="1" customWidth="1"/>
    <col min="782" max="1024" width="8.85546875" style="45"/>
    <col min="1025" max="1025" width="7" style="45" bestFit="1" customWidth="1"/>
    <col min="1026" max="1026" width="40.5703125" style="45" bestFit="1" customWidth="1"/>
    <col min="1027" max="1029" width="13.7109375" style="45" bestFit="1" customWidth="1"/>
    <col min="1030" max="1030" width="0.5703125" style="45" customWidth="1"/>
    <col min="1031" max="1031" width="12.28515625" style="45" bestFit="1" customWidth="1"/>
    <col min="1032" max="1033" width="13.7109375" style="45" bestFit="1" customWidth="1"/>
    <col min="1034" max="1034" width="0.7109375" style="45" customWidth="1"/>
    <col min="1035" max="1036" width="12.28515625" style="45" bestFit="1" customWidth="1"/>
    <col min="1037" max="1037" width="13.7109375" style="45" bestFit="1" customWidth="1"/>
    <col min="1038" max="1280" width="8.85546875" style="45"/>
    <col min="1281" max="1281" width="7" style="45" bestFit="1" customWidth="1"/>
    <col min="1282" max="1282" width="40.5703125" style="45" bestFit="1" customWidth="1"/>
    <col min="1283" max="1285" width="13.7109375" style="45" bestFit="1" customWidth="1"/>
    <col min="1286" max="1286" width="0.5703125" style="45" customWidth="1"/>
    <col min="1287" max="1287" width="12.28515625" style="45" bestFit="1" customWidth="1"/>
    <col min="1288" max="1289" width="13.7109375" style="45" bestFit="1" customWidth="1"/>
    <col min="1290" max="1290" width="0.7109375" style="45" customWidth="1"/>
    <col min="1291" max="1292" width="12.28515625" style="45" bestFit="1" customWidth="1"/>
    <col min="1293" max="1293" width="13.7109375" style="45" bestFit="1" customWidth="1"/>
    <col min="1294" max="1536" width="8.85546875" style="45"/>
    <col min="1537" max="1537" width="7" style="45" bestFit="1" customWidth="1"/>
    <col min="1538" max="1538" width="40.5703125" style="45" bestFit="1" customWidth="1"/>
    <col min="1539" max="1541" width="13.7109375" style="45" bestFit="1" customWidth="1"/>
    <col min="1542" max="1542" width="0.5703125" style="45" customWidth="1"/>
    <col min="1543" max="1543" width="12.28515625" style="45" bestFit="1" customWidth="1"/>
    <col min="1544" max="1545" width="13.7109375" style="45" bestFit="1" customWidth="1"/>
    <col min="1546" max="1546" width="0.7109375" style="45" customWidth="1"/>
    <col min="1547" max="1548" width="12.28515625" style="45" bestFit="1" customWidth="1"/>
    <col min="1549" max="1549" width="13.7109375" style="45" bestFit="1" customWidth="1"/>
    <col min="1550" max="1792" width="8.85546875" style="45"/>
    <col min="1793" max="1793" width="7" style="45" bestFit="1" customWidth="1"/>
    <col min="1794" max="1794" width="40.5703125" style="45" bestFit="1" customWidth="1"/>
    <col min="1795" max="1797" width="13.7109375" style="45" bestFit="1" customWidth="1"/>
    <col min="1798" max="1798" width="0.5703125" style="45" customWidth="1"/>
    <col min="1799" max="1799" width="12.28515625" style="45" bestFit="1" customWidth="1"/>
    <col min="1800" max="1801" width="13.7109375" style="45" bestFit="1" customWidth="1"/>
    <col min="1802" max="1802" width="0.7109375" style="45" customWidth="1"/>
    <col min="1803" max="1804" width="12.28515625" style="45" bestFit="1" customWidth="1"/>
    <col min="1805" max="1805" width="13.7109375" style="45" bestFit="1" customWidth="1"/>
    <col min="1806" max="2048" width="8.85546875" style="45"/>
    <col min="2049" max="2049" width="7" style="45" bestFit="1" customWidth="1"/>
    <col min="2050" max="2050" width="40.5703125" style="45" bestFit="1" customWidth="1"/>
    <col min="2051" max="2053" width="13.7109375" style="45" bestFit="1" customWidth="1"/>
    <col min="2054" max="2054" width="0.5703125" style="45" customWidth="1"/>
    <col min="2055" max="2055" width="12.28515625" style="45" bestFit="1" customWidth="1"/>
    <col min="2056" max="2057" width="13.7109375" style="45" bestFit="1" customWidth="1"/>
    <col min="2058" max="2058" width="0.7109375" style="45" customWidth="1"/>
    <col min="2059" max="2060" width="12.28515625" style="45" bestFit="1" customWidth="1"/>
    <col min="2061" max="2061" width="13.7109375" style="45" bestFit="1" customWidth="1"/>
    <col min="2062" max="2304" width="8.85546875" style="45"/>
    <col min="2305" max="2305" width="7" style="45" bestFit="1" customWidth="1"/>
    <col min="2306" max="2306" width="40.5703125" style="45" bestFit="1" customWidth="1"/>
    <col min="2307" max="2309" width="13.7109375" style="45" bestFit="1" customWidth="1"/>
    <col min="2310" max="2310" width="0.5703125" style="45" customWidth="1"/>
    <col min="2311" max="2311" width="12.28515625" style="45" bestFit="1" customWidth="1"/>
    <col min="2312" max="2313" width="13.7109375" style="45" bestFit="1" customWidth="1"/>
    <col min="2314" max="2314" width="0.7109375" style="45" customWidth="1"/>
    <col min="2315" max="2316" width="12.28515625" style="45" bestFit="1" customWidth="1"/>
    <col min="2317" max="2317" width="13.7109375" style="45" bestFit="1" customWidth="1"/>
    <col min="2318" max="2560" width="8.85546875" style="45"/>
    <col min="2561" max="2561" width="7" style="45" bestFit="1" customWidth="1"/>
    <col min="2562" max="2562" width="40.5703125" style="45" bestFit="1" customWidth="1"/>
    <col min="2563" max="2565" width="13.7109375" style="45" bestFit="1" customWidth="1"/>
    <col min="2566" max="2566" width="0.5703125" style="45" customWidth="1"/>
    <col min="2567" max="2567" width="12.28515625" style="45" bestFit="1" customWidth="1"/>
    <col min="2568" max="2569" width="13.7109375" style="45" bestFit="1" customWidth="1"/>
    <col min="2570" max="2570" width="0.7109375" style="45" customWidth="1"/>
    <col min="2571" max="2572" width="12.28515625" style="45" bestFit="1" customWidth="1"/>
    <col min="2573" max="2573" width="13.7109375" style="45" bestFit="1" customWidth="1"/>
    <col min="2574" max="2816" width="8.85546875" style="45"/>
    <col min="2817" max="2817" width="7" style="45" bestFit="1" customWidth="1"/>
    <col min="2818" max="2818" width="40.5703125" style="45" bestFit="1" customWidth="1"/>
    <col min="2819" max="2821" width="13.7109375" style="45" bestFit="1" customWidth="1"/>
    <col min="2822" max="2822" width="0.5703125" style="45" customWidth="1"/>
    <col min="2823" max="2823" width="12.28515625" style="45" bestFit="1" customWidth="1"/>
    <col min="2824" max="2825" width="13.7109375" style="45" bestFit="1" customWidth="1"/>
    <col min="2826" max="2826" width="0.7109375" style="45" customWidth="1"/>
    <col min="2827" max="2828" width="12.28515625" style="45" bestFit="1" customWidth="1"/>
    <col min="2829" max="2829" width="13.7109375" style="45" bestFit="1" customWidth="1"/>
    <col min="2830" max="3072" width="8.85546875" style="45"/>
    <col min="3073" max="3073" width="7" style="45" bestFit="1" customWidth="1"/>
    <col min="3074" max="3074" width="40.5703125" style="45" bestFit="1" customWidth="1"/>
    <col min="3075" max="3077" width="13.7109375" style="45" bestFit="1" customWidth="1"/>
    <col min="3078" max="3078" width="0.5703125" style="45" customWidth="1"/>
    <col min="3079" max="3079" width="12.28515625" style="45" bestFit="1" customWidth="1"/>
    <col min="3080" max="3081" width="13.7109375" style="45" bestFit="1" customWidth="1"/>
    <col min="3082" max="3082" width="0.7109375" style="45" customWidth="1"/>
    <col min="3083" max="3084" width="12.28515625" style="45" bestFit="1" customWidth="1"/>
    <col min="3085" max="3085" width="13.7109375" style="45" bestFit="1" customWidth="1"/>
    <col min="3086" max="3328" width="8.85546875" style="45"/>
    <col min="3329" max="3329" width="7" style="45" bestFit="1" customWidth="1"/>
    <col min="3330" max="3330" width="40.5703125" style="45" bestFit="1" customWidth="1"/>
    <col min="3331" max="3333" width="13.7109375" style="45" bestFit="1" customWidth="1"/>
    <col min="3334" max="3334" width="0.5703125" style="45" customWidth="1"/>
    <col min="3335" max="3335" width="12.28515625" style="45" bestFit="1" customWidth="1"/>
    <col min="3336" max="3337" width="13.7109375" style="45" bestFit="1" customWidth="1"/>
    <col min="3338" max="3338" width="0.7109375" style="45" customWidth="1"/>
    <col min="3339" max="3340" width="12.28515625" style="45" bestFit="1" customWidth="1"/>
    <col min="3341" max="3341" width="13.7109375" style="45" bestFit="1" customWidth="1"/>
    <col min="3342" max="3584" width="8.85546875" style="45"/>
    <col min="3585" max="3585" width="7" style="45" bestFit="1" customWidth="1"/>
    <col min="3586" max="3586" width="40.5703125" style="45" bestFit="1" customWidth="1"/>
    <col min="3587" max="3589" width="13.7109375" style="45" bestFit="1" customWidth="1"/>
    <col min="3590" max="3590" width="0.5703125" style="45" customWidth="1"/>
    <col min="3591" max="3591" width="12.28515625" style="45" bestFit="1" customWidth="1"/>
    <col min="3592" max="3593" width="13.7109375" style="45" bestFit="1" customWidth="1"/>
    <col min="3594" max="3594" width="0.7109375" style="45" customWidth="1"/>
    <col min="3595" max="3596" width="12.28515625" style="45" bestFit="1" customWidth="1"/>
    <col min="3597" max="3597" width="13.7109375" style="45" bestFit="1" customWidth="1"/>
    <col min="3598" max="3840" width="8.85546875" style="45"/>
    <col min="3841" max="3841" width="7" style="45" bestFit="1" customWidth="1"/>
    <col min="3842" max="3842" width="40.5703125" style="45" bestFit="1" customWidth="1"/>
    <col min="3843" max="3845" width="13.7109375" style="45" bestFit="1" customWidth="1"/>
    <col min="3846" max="3846" width="0.5703125" style="45" customWidth="1"/>
    <col min="3847" max="3847" width="12.28515625" style="45" bestFit="1" customWidth="1"/>
    <col min="3848" max="3849" width="13.7109375" style="45" bestFit="1" customWidth="1"/>
    <col min="3850" max="3850" width="0.7109375" style="45" customWidth="1"/>
    <col min="3851" max="3852" width="12.28515625" style="45" bestFit="1" customWidth="1"/>
    <col min="3853" max="3853" width="13.7109375" style="45" bestFit="1" customWidth="1"/>
    <col min="3854" max="4096" width="8.85546875" style="45"/>
    <col min="4097" max="4097" width="7" style="45" bestFit="1" customWidth="1"/>
    <col min="4098" max="4098" width="40.5703125" style="45" bestFit="1" customWidth="1"/>
    <col min="4099" max="4101" width="13.7109375" style="45" bestFit="1" customWidth="1"/>
    <col min="4102" max="4102" width="0.5703125" style="45" customWidth="1"/>
    <col min="4103" max="4103" width="12.28515625" style="45" bestFit="1" customWidth="1"/>
    <col min="4104" max="4105" width="13.7109375" style="45" bestFit="1" customWidth="1"/>
    <col min="4106" max="4106" width="0.7109375" style="45" customWidth="1"/>
    <col min="4107" max="4108" width="12.28515625" style="45" bestFit="1" customWidth="1"/>
    <col min="4109" max="4109" width="13.7109375" style="45" bestFit="1" customWidth="1"/>
    <col min="4110" max="4352" width="8.85546875" style="45"/>
    <col min="4353" max="4353" width="7" style="45" bestFit="1" customWidth="1"/>
    <col min="4354" max="4354" width="40.5703125" style="45" bestFit="1" customWidth="1"/>
    <col min="4355" max="4357" width="13.7109375" style="45" bestFit="1" customWidth="1"/>
    <col min="4358" max="4358" width="0.5703125" style="45" customWidth="1"/>
    <col min="4359" max="4359" width="12.28515625" style="45" bestFit="1" customWidth="1"/>
    <col min="4360" max="4361" width="13.7109375" style="45" bestFit="1" customWidth="1"/>
    <col min="4362" max="4362" width="0.7109375" style="45" customWidth="1"/>
    <col min="4363" max="4364" width="12.28515625" style="45" bestFit="1" customWidth="1"/>
    <col min="4365" max="4365" width="13.7109375" style="45" bestFit="1" customWidth="1"/>
    <col min="4366" max="4608" width="8.85546875" style="45"/>
    <col min="4609" max="4609" width="7" style="45" bestFit="1" customWidth="1"/>
    <col min="4610" max="4610" width="40.5703125" style="45" bestFit="1" customWidth="1"/>
    <col min="4611" max="4613" width="13.7109375" style="45" bestFit="1" customWidth="1"/>
    <col min="4614" max="4614" width="0.5703125" style="45" customWidth="1"/>
    <col min="4615" max="4615" width="12.28515625" style="45" bestFit="1" customWidth="1"/>
    <col min="4616" max="4617" width="13.7109375" style="45" bestFit="1" customWidth="1"/>
    <col min="4618" max="4618" width="0.7109375" style="45" customWidth="1"/>
    <col min="4619" max="4620" width="12.28515625" style="45" bestFit="1" customWidth="1"/>
    <col min="4621" max="4621" width="13.7109375" style="45" bestFit="1" customWidth="1"/>
    <col min="4622" max="4864" width="8.85546875" style="45"/>
    <col min="4865" max="4865" width="7" style="45" bestFit="1" customWidth="1"/>
    <col min="4866" max="4866" width="40.5703125" style="45" bestFit="1" customWidth="1"/>
    <col min="4867" max="4869" width="13.7109375" style="45" bestFit="1" customWidth="1"/>
    <col min="4870" max="4870" width="0.5703125" style="45" customWidth="1"/>
    <col min="4871" max="4871" width="12.28515625" style="45" bestFit="1" customWidth="1"/>
    <col min="4872" max="4873" width="13.7109375" style="45" bestFit="1" customWidth="1"/>
    <col min="4874" max="4874" width="0.7109375" style="45" customWidth="1"/>
    <col min="4875" max="4876" width="12.28515625" style="45" bestFit="1" customWidth="1"/>
    <col min="4877" max="4877" width="13.7109375" style="45" bestFit="1" customWidth="1"/>
    <col min="4878" max="5120" width="8.85546875" style="45"/>
    <col min="5121" max="5121" width="7" style="45" bestFit="1" customWidth="1"/>
    <col min="5122" max="5122" width="40.5703125" style="45" bestFit="1" customWidth="1"/>
    <col min="5123" max="5125" width="13.7109375" style="45" bestFit="1" customWidth="1"/>
    <col min="5126" max="5126" width="0.5703125" style="45" customWidth="1"/>
    <col min="5127" max="5127" width="12.28515625" style="45" bestFit="1" customWidth="1"/>
    <col min="5128" max="5129" width="13.7109375" style="45" bestFit="1" customWidth="1"/>
    <col min="5130" max="5130" width="0.7109375" style="45" customWidth="1"/>
    <col min="5131" max="5132" width="12.28515625" style="45" bestFit="1" customWidth="1"/>
    <col min="5133" max="5133" width="13.7109375" style="45" bestFit="1" customWidth="1"/>
    <col min="5134" max="5376" width="8.85546875" style="45"/>
    <col min="5377" max="5377" width="7" style="45" bestFit="1" customWidth="1"/>
    <col min="5378" max="5378" width="40.5703125" style="45" bestFit="1" customWidth="1"/>
    <col min="5379" max="5381" width="13.7109375" style="45" bestFit="1" customWidth="1"/>
    <col min="5382" max="5382" width="0.5703125" style="45" customWidth="1"/>
    <col min="5383" max="5383" width="12.28515625" style="45" bestFit="1" customWidth="1"/>
    <col min="5384" max="5385" width="13.7109375" style="45" bestFit="1" customWidth="1"/>
    <col min="5386" max="5386" width="0.7109375" style="45" customWidth="1"/>
    <col min="5387" max="5388" width="12.28515625" style="45" bestFit="1" customWidth="1"/>
    <col min="5389" max="5389" width="13.7109375" style="45" bestFit="1" customWidth="1"/>
    <col min="5390" max="5632" width="8.85546875" style="45"/>
    <col min="5633" max="5633" width="7" style="45" bestFit="1" customWidth="1"/>
    <col min="5634" max="5634" width="40.5703125" style="45" bestFit="1" customWidth="1"/>
    <col min="5635" max="5637" width="13.7109375" style="45" bestFit="1" customWidth="1"/>
    <col min="5638" max="5638" width="0.5703125" style="45" customWidth="1"/>
    <col min="5639" max="5639" width="12.28515625" style="45" bestFit="1" customWidth="1"/>
    <col min="5640" max="5641" width="13.7109375" style="45" bestFit="1" customWidth="1"/>
    <col min="5642" max="5642" width="0.7109375" style="45" customWidth="1"/>
    <col min="5643" max="5644" width="12.28515625" style="45" bestFit="1" customWidth="1"/>
    <col min="5645" max="5645" width="13.7109375" style="45" bestFit="1" customWidth="1"/>
    <col min="5646" max="5888" width="8.85546875" style="45"/>
    <col min="5889" max="5889" width="7" style="45" bestFit="1" customWidth="1"/>
    <col min="5890" max="5890" width="40.5703125" style="45" bestFit="1" customWidth="1"/>
    <col min="5891" max="5893" width="13.7109375" style="45" bestFit="1" customWidth="1"/>
    <col min="5894" max="5894" width="0.5703125" style="45" customWidth="1"/>
    <col min="5895" max="5895" width="12.28515625" style="45" bestFit="1" customWidth="1"/>
    <col min="5896" max="5897" width="13.7109375" style="45" bestFit="1" customWidth="1"/>
    <col min="5898" max="5898" width="0.7109375" style="45" customWidth="1"/>
    <col min="5899" max="5900" width="12.28515625" style="45" bestFit="1" customWidth="1"/>
    <col min="5901" max="5901" width="13.7109375" style="45" bestFit="1" customWidth="1"/>
    <col min="5902" max="6144" width="8.85546875" style="45"/>
    <col min="6145" max="6145" width="7" style="45" bestFit="1" customWidth="1"/>
    <col min="6146" max="6146" width="40.5703125" style="45" bestFit="1" customWidth="1"/>
    <col min="6147" max="6149" width="13.7109375" style="45" bestFit="1" customWidth="1"/>
    <col min="6150" max="6150" width="0.5703125" style="45" customWidth="1"/>
    <col min="6151" max="6151" width="12.28515625" style="45" bestFit="1" customWidth="1"/>
    <col min="6152" max="6153" width="13.7109375" style="45" bestFit="1" customWidth="1"/>
    <col min="6154" max="6154" width="0.7109375" style="45" customWidth="1"/>
    <col min="6155" max="6156" width="12.28515625" style="45" bestFit="1" customWidth="1"/>
    <col min="6157" max="6157" width="13.7109375" style="45" bestFit="1" customWidth="1"/>
    <col min="6158" max="6400" width="8.85546875" style="45"/>
    <col min="6401" max="6401" width="7" style="45" bestFit="1" customWidth="1"/>
    <col min="6402" max="6402" width="40.5703125" style="45" bestFit="1" customWidth="1"/>
    <col min="6403" max="6405" width="13.7109375" style="45" bestFit="1" customWidth="1"/>
    <col min="6406" max="6406" width="0.5703125" style="45" customWidth="1"/>
    <col min="6407" max="6407" width="12.28515625" style="45" bestFit="1" customWidth="1"/>
    <col min="6408" max="6409" width="13.7109375" style="45" bestFit="1" customWidth="1"/>
    <col min="6410" max="6410" width="0.7109375" style="45" customWidth="1"/>
    <col min="6411" max="6412" width="12.28515625" style="45" bestFit="1" customWidth="1"/>
    <col min="6413" max="6413" width="13.7109375" style="45" bestFit="1" customWidth="1"/>
    <col min="6414" max="6656" width="8.85546875" style="45"/>
    <col min="6657" max="6657" width="7" style="45" bestFit="1" customWidth="1"/>
    <col min="6658" max="6658" width="40.5703125" style="45" bestFit="1" customWidth="1"/>
    <col min="6659" max="6661" width="13.7109375" style="45" bestFit="1" customWidth="1"/>
    <col min="6662" max="6662" width="0.5703125" style="45" customWidth="1"/>
    <col min="6663" max="6663" width="12.28515625" style="45" bestFit="1" customWidth="1"/>
    <col min="6664" max="6665" width="13.7109375" style="45" bestFit="1" customWidth="1"/>
    <col min="6666" max="6666" width="0.7109375" style="45" customWidth="1"/>
    <col min="6667" max="6668" width="12.28515625" style="45" bestFit="1" customWidth="1"/>
    <col min="6669" max="6669" width="13.7109375" style="45" bestFit="1" customWidth="1"/>
    <col min="6670" max="6912" width="8.85546875" style="45"/>
    <col min="6913" max="6913" width="7" style="45" bestFit="1" customWidth="1"/>
    <col min="6914" max="6914" width="40.5703125" style="45" bestFit="1" customWidth="1"/>
    <col min="6915" max="6917" width="13.7109375" style="45" bestFit="1" customWidth="1"/>
    <col min="6918" max="6918" width="0.5703125" style="45" customWidth="1"/>
    <col min="6919" max="6919" width="12.28515625" style="45" bestFit="1" customWidth="1"/>
    <col min="6920" max="6921" width="13.7109375" style="45" bestFit="1" customWidth="1"/>
    <col min="6922" max="6922" width="0.7109375" style="45" customWidth="1"/>
    <col min="6923" max="6924" width="12.28515625" style="45" bestFit="1" customWidth="1"/>
    <col min="6925" max="6925" width="13.7109375" style="45" bestFit="1" customWidth="1"/>
    <col min="6926" max="7168" width="8.85546875" style="45"/>
    <col min="7169" max="7169" width="7" style="45" bestFit="1" customWidth="1"/>
    <col min="7170" max="7170" width="40.5703125" style="45" bestFit="1" customWidth="1"/>
    <col min="7171" max="7173" width="13.7109375" style="45" bestFit="1" customWidth="1"/>
    <col min="7174" max="7174" width="0.5703125" style="45" customWidth="1"/>
    <col min="7175" max="7175" width="12.28515625" style="45" bestFit="1" customWidth="1"/>
    <col min="7176" max="7177" width="13.7109375" style="45" bestFit="1" customWidth="1"/>
    <col min="7178" max="7178" width="0.7109375" style="45" customWidth="1"/>
    <col min="7179" max="7180" width="12.28515625" style="45" bestFit="1" customWidth="1"/>
    <col min="7181" max="7181" width="13.7109375" style="45" bestFit="1" customWidth="1"/>
    <col min="7182" max="7424" width="8.85546875" style="45"/>
    <col min="7425" max="7425" width="7" style="45" bestFit="1" customWidth="1"/>
    <col min="7426" max="7426" width="40.5703125" style="45" bestFit="1" customWidth="1"/>
    <col min="7427" max="7429" width="13.7109375" style="45" bestFit="1" customWidth="1"/>
    <col min="7430" max="7430" width="0.5703125" style="45" customWidth="1"/>
    <col min="7431" max="7431" width="12.28515625" style="45" bestFit="1" customWidth="1"/>
    <col min="7432" max="7433" width="13.7109375" style="45" bestFit="1" customWidth="1"/>
    <col min="7434" max="7434" width="0.7109375" style="45" customWidth="1"/>
    <col min="7435" max="7436" width="12.28515625" style="45" bestFit="1" customWidth="1"/>
    <col min="7437" max="7437" width="13.7109375" style="45" bestFit="1" customWidth="1"/>
    <col min="7438" max="7680" width="8.85546875" style="45"/>
    <col min="7681" max="7681" width="7" style="45" bestFit="1" customWidth="1"/>
    <col min="7682" max="7682" width="40.5703125" style="45" bestFit="1" customWidth="1"/>
    <col min="7683" max="7685" width="13.7109375" style="45" bestFit="1" customWidth="1"/>
    <col min="7686" max="7686" width="0.5703125" style="45" customWidth="1"/>
    <col min="7687" max="7687" width="12.28515625" style="45" bestFit="1" customWidth="1"/>
    <col min="7688" max="7689" width="13.7109375" style="45" bestFit="1" customWidth="1"/>
    <col min="7690" max="7690" width="0.7109375" style="45" customWidth="1"/>
    <col min="7691" max="7692" width="12.28515625" style="45" bestFit="1" customWidth="1"/>
    <col min="7693" max="7693" width="13.7109375" style="45" bestFit="1" customWidth="1"/>
    <col min="7694" max="7936" width="8.85546875" style="45"/>
    <col min="7937" max="7937" width="7" style="45" bestFit="1" customWidth="1"/>
    <col min="7938" max="7938" width="40.5703125" style="45" bestFit="1" customWidth="1"/>
    <col min="7939" max="7941" width="13.7109375" style="45" bestFit="1" customWidth="1"/>
    <col min="7942" max="7942" width="0.5703125" style="45" customWidth="1"/>
    <col min="7943" max="7943" width="12.28515625" style="45" bestFit="1" customWidth="1"/>
    <col min="7944" max="7945" width="13.7109375" style="45" bestFit="1" customWidth="1"/>
    <col min="7946" max="7946" width="0.7109375" style="45" customWidth="1"/>
    <col min="7947" max="7948" width="12.28515625" style="45" bestFit="1" customWidth="1"/>
    <col min="7949" max="7949" width="13.7109375" style="45" bestFit="1" customWidth="1"/>
    <col min="7950" max="8192" width="8.85546875" style="45"/>
    <col min="8193" max="8193" width="7" style="45" bestFit="1" customWidth="1"/>
    <col min="8194" max="8194" width="40.5703125" style="45" bestFit="1" customWidth="1"/>
    <col min="8195" max="8197" width="13.7109375" style="45" bestFit="1" customWidth="1"/>
    <col min="8198" max="8198" width="0.5703125" style="45" customWidth="1"/>
    <col min="8199" max="8199" width="12.28515625" style="45" bestFit="1" customWidth="1"/>
    <col min="8200" max="8201" width="13.7109375" style="45" bestFit="1" customWidth="1"/>
    <col min="8202" max="8202" width="0.7109375" style="45" customWidth="1"/>
    <col min="8203" max="8204" width="12.28515625" style="45" bestFit="1" customWidth="1"/>
    <col min="8205" max="8205" width="13.7109375" style="45" bestFit="1" customWidth="1"/>
    <col min="8206" max="8448" width="8.85546875" style="45"/>
    <col min="8449" max="8449" width="7" style="45" bestFit="1" customWidth="1"/>
    <col min="8450" max="8450" width="40.5703125" style="45" bestFit="1" customWidth="1"/>
    <col min="8451" max="8453" width="13.7109375" style="45" bestFit="1" customWidth="1"/>
    <col min="8454" max="8454" width="0.5703125" style="45" customWidth="1"/>
    <col min="8455" max="8455" width="12.28515625" style="45" bestFit="1" customWidth="1"/>
    <col min="8456" max="8457" width="13.7109375" style="45" bestFit="1" customWidth="1"/>
    <col min="8458" max="8458" width="0.7109375" style="45" customWidth="1"/>
    <col min="8459" max="8460" width="12.28515625" style="45" bestFit="1" customWidth="1"/>
    <col min="8461" max="8461" width="13.7109375" style="45" bestFit="1" customWidth="1"/>
    <col min="8462" max="8704" width="8.85546875" style="45"/>
    <col min="8705" max="8705" width="7" style="45" bestFit="1" customWidth="1"/>
    <col min="8706" max="8706" width="40.5703125" style="45" bestFit="1" customWidth="1"/>
    <col min="8707" max="8709" width="13.7109375" style="45" bestFit="1" customWidth="1"/>
    <col min="8710" max="8710" width="0.5703125" style="45" customWidth="1"/>
    <col min="8711" max="8711" width="12.28515625" style="45" bestFit="1" customWidth="1"/>
    <col min="8712" max="8713" width="13.7109375" style="45" bestFit="1" customWidth="1"/>
    <col min="8714" max="8714" width="0.7109375" style="45" customWidth="1"/>
    <col min="8715" max="8716" width="12.28515625" style="45" bestFit="1" customWidth="1"/>
    <col min="8717" max="8717" width="13.7109375" style="45" bestFit="1" customWidth="1"/>
    <col min="8718" max="8960" width="8.85546875" style="45"/>
    <col min="8961" max="8961" width="7" style="45" bestFit="1" customWidth="1"/>
    <col min="8962" max="8962" width="40.5703125" style="45" bestFit="1" customWidth="1"/>
    <col min="8963" max="8965" width="13.7109375" style="45" bestFit="1" customWidth="1"/>
    <col min="8966" max="8966" width="0.5703125" style="45" customWidth="1"/>
    <col min="8967" max="8967" width="12.28515625" style="45" bestFit="1" customWidth="1"/>
    <col min="8968" max="8969" width="13.7109375" style="45" bestFit="1" customWidth="1"/>
    <col min="8970" max="8970" width="0.7109375" style="45" customWidth="1"/>
    <col min="8971" max="8972" width="12.28515625" style="45" bestFit="1" customWidth="1"/>
    <col min="8973" max="8973" width="13.7109375" style="45" bestFit="1" customWidth="1"/>
    <col min="8974" max="9216" width="8.85546875" style="45"/>
    <col min="9217" max="9217" width="7" style="45" bestFit="1" customWidth="1"/>
    <col min="9218" max="9218" width="40.5703125" style="45" bestFit="1" customWidth="1"/>
    <col min="9219" max="9221" width="13.7109375" style="45" bestFit="1" customWidth="1"/>
    <col min="9222" max="9222" width="0.5703125" style="45" customWidth="1"/>
    <col min="9223" max="9223" width="12.28515625" style="45" bestFit="1" customWidth="1"/>
    <col min="9224" max="9225" width="13.7109375" style="45" bestFit="1" customWidth="1"/>
    <col min="9226" max="9226" width="0.7109375" style="45" customWidth="1"/>
    <col min="9227" max="9228" width="12.28515625" style="45" bestFit="1" customWidth="1"/>
    <col min="9229" max="9229" width="13.7109375" style="45" bestFit="1" customWidth="1"/>
    <col min="9230" max="9472" width="8.85546875" style="45"/>
    <col min="9473" max="9473" width="7" style="45" bestFit="1" customWidth="1"/>
    <col min="9474" max="9474" width="40.5703125" style="45" bestFit="1" customWidth="1"/>
    <col min="9475" max="9477" width="13.7109375" style="45" bestFit="1" customWidth="1"/>
    <col min="9478" max="9478" width="0.5703125" style="45" customWidth="1"/>
    <col min="9479" max="9479" width="12.28515625" style="45" bestFit="1" customWidth="1"/>
    <col min="9480" max="9481" width="13.7109375" style="45" bestFit="1" customWidth="1"/>
    <col min="9482" max="9482" width="0.7109375" style="45" customWidth="1"/>
    <col min="9483" max="9484" width="12.28515625" style="45" bestFit="1" customWidth="1"/>
    <col min="9485" max="9485" width="13.7109375" style="45" bestFit="1" customWidth="1"/>
    <col min="9486" max="9728" width="8.85546875" style="45"/>
    <col min="9729" max="9729" width="7" style="45" bestFit="1" customWidth="1"/>
    <col min="9730" max="9730" width="40.5703125" style="45" bestFit="1" customWidth="1"/>
    <col min="9731" max="9733" width="13.7109375" style="45" bestFit="1" customWidth="1"/>
    <col min="9734" max="9734" width="0.5703125" style="45" customWidth="1"/>
    <col min="9735" max="9735" width="12.28515625" style="45" bestFit="1" customWidth="1"/>
    <col min="9736" max="9737" width="13.7109375" style="45" bestFit="1" customWidth="1"/>
    <col min="9738" max="9738" width="0.7109375" style="45" customWidth="1"/>
    <col min="9739" max="9740" width="12.28515625" style="45" bestFit="1" customWidth="1"/>
    <col min="9741" max="9741" width="13.7109375" style="45" bestFit="1" customWidth="1"/>
    <col min="9742" max="9984" width="8.85546875" style="45"/>
    <col min="9985" max="9985" width="7" style="45" bestFit="1" customWidth="1"/>
    <col min="9986" max="9986" width="40.5703125" style="45" bestFit="1" customWidth="1"/>
    <col min="9987" max="9989" width="13.7109375" style="45" bestFit="1" customWidth="1"/>
    <col min="9990" max="9990" width="0.5703125" style="45" customWidth="1"/>
    <col min="9991" max="9991" width="12.28515625" style="45" bestFit="1" customWidth="1"/>
    <col min="9992" max="9993" width="13.7109375" style="45" bestFit="1" customWidth="1"/>
    <col min="9994" max="9994" width="0.7109375" style="45" customWidth="1"/>
    <col min="9995" max="9996" width="12.28515625" style="45" bestFit="1" customWidth="1"/>
    <col min="9997" max="9997" width="13.7109375" style="45" bestFit="1" customWidth="1"/>
    <col min="9998" max="10240" width="8.85546875" style="45"/>
    <col min="10241" max="10241" width="7" style="45" bestFit="1" customWidth="1"/>
    <col min="10242" max="10242" width="40.5703125" style="45" bestFit="1" customWidth="1"/>
    <col min="10243" max="10245" width="13.7109375" style="45" bestFit="1" customWidth="1"/>
    <col min="10246" max="10246" width="0.5703125" style="45" customWidth="1"/>
    <col min="10247" max="10247" width="12.28515625" style="45" bestFit="1" customWidth="1"/>
    <col min="10248" max="10249" width="13.7109375" style="45" bestFit="1" customWidth="1"/>
    <col min="10250" max="10250" width="0.7109375" style="45" customWidth="1"/>
    <col min="10251" max="10252" width="12.28515625" style="45" bestFit="1" customWidth="1"/>
    <col min="10253" max="10253" width="13.7109375" style="45" bestFit="1" customWidth="1"/>
    <col min="10254" max="10496" width="8.85546875" style="45"/>
    <col min="10497" max="10497" width="7" style="45" bestFit="1" customWidth="1"/>
    <col min="10498" max="10498" width="40.5703125" style="45" bestFit="1" customWidth="1"/>
    <col min="10499" max="10501" width="13.7109375" style="45" bestFit="1" customWidth="1"/>
    <col min="10502" max="10502" width="0.5703125" style="45" customWidth="1"/>
    <col min="10503" max="10503" width="12.28515625" style="45" bestFit="1" customWidth="1"/>
    <col min="10504" max="10505" width="13.7109375" style="45" bestFit="1" customWidth="1"/>
    <col min="10506" max="10506" width="0.7109375" style="45" customWidth="1"/>
    <col min="10507" max="10508" width="12.28515625" style="45" bestFit="1" customWidth="1"/>
    <col min="10509" max="10509" width="13.7109375" style="45" bestFit="1" customWidth="1"/>
    <col min="10510" max="10752" width="8.85546875" style="45"/>
    <col min="10753" max="10753" width="7" style="45" bestFit="1" customWidth="1"/>
    <col min="10754" max="10754" width="40.5703125" style="45" bestFit="1" customWidth="1"/>
    <col min="10755" max="10757" width="13.7109375" style="45" bestFit="1" customWidth="1"/>
    <col min="10758" max="10758" width="0.5703125" style="45" customWidth="1"/>
    <col min="10759" max="10759" width="12.28515625" style="45" bestFit="1" customWidth="1"/>
    <col min="10760" max="10761" width="13.7109375" style="45" bestFit="1" customWidth="1"/>
    <col min="10762" max="10762" width="0.7109375" style="45" customWidth="1"/>
    <col min="10763" max="10764" width="12.28515625" style="45" bestFit="1" customWidth="1"/>
    <col min="10765" max="10765" width="13.7109375" style="45" bestFit="1" customWidth="1"/>
    <col min="10766" max="11008" width="8.85546875" style="45"/>
    <col min="11009" max="11009" width="7" style="45" bestFit="1" customWidth="1"/>
    <col min="11010" max="11010" width="40.5703125" style="45" bestFit="1" customWidth="1"/>
    <col min="11011" max="11013" width="13.7109375" style="45" bestFit="1" customWidth="1"/>
    <col min="11014" max="11014" width="0.5703125" style="45" customWidth="1"/>
    <col min="11015" max="11015" width="12.28515625" style="45" bestFit="1" customWidth="1"/>
    <col min="11016" max="11017" width="13.7109375" style="45" bestFit="1" customWidth="1"/>
    <col min="11018" max="11018" width="0.7109375" style="45" customWidth="1"/>
    <col min="11019" max="11020" width="12.28515625" style="45" bestFit="1" customWidth="1"/>
    <col min="11021" max="11021" width="13.7109375" style="45" bestFit="1" customWidth="1"/>
    <col min="11022" max="11264" width="8.85546875" style="45"/>
    <col min="11265" max="11265" width="7" style="45" bestFit="1" customWidth="1"/>
    <col min="11266" max="11266" width="40.5703125" style="45" bestFit="1" customWidth="1"/>
    <col min="11267" max="11269" width="13.7109375" style="45" bestFit="1" customWidth="1"/>
    <col min="11270" max="11270" width="0.5703125" style="45" customWidth="1"/>
    <col min="11271" max="11271" width="12.28515625" style="45" bestFit="1" customWidth="1"/>
    <col min="11272" max="11273" width="13.7109375" style="45" bestFit="1" customWidth="1"/>
    <col min="11274" max="11274" width="0.7109375" style="45" customWidth="1"/>
    <col min="11275" max="11276" width="12.28515625" style="45" bestFit="1" customWidth="1"/>
    <col min="11277" max="11277" width="13.7109375" style="45" bestFit="1" customWidth="1"/>
    <col min="11278" max="11520" width="8.85546875" style="45"/>
    <col min="11521" max="11521" width="7" style="45" bestFit="1" customWidth="1"/>
    <col min="11522" max="11522" width="40.5703125" style="45" bestFit="1" customWidth="1"/>
    <col min="11523" max="11525" width="13.7109375" style="45" bestFit="1" customWidth="1"/>
    <col min="11526" max="11526" width="0.5703125" style="45" customWidth="1"/>
    <col min="11527" max="11527" width="12.28515625" style="45" bestFit="1" customWidth="1"/>
    <col min="11528" max="11529" width="13.7109375" style="45" bestFit="1" customWidth="1"/>
    <col min="11530" max="11530" width="0.7109375" style="45" customWidth="1"/>
    <col min="11531" max="11532" width="12.28515625" style="45" bestFit="1" customWidth="1"/>
    <col min="11533" max="11533" width="13.7109375" style="45" bestFit="1" customWidth="1"/>
    <col min="11534" max="11776" width="8.85546875" style="45"/>
    <col min="11777" max="11777" width="7" style="45" bestFit="1" customWidth="1"/>
    <col min="11778" max="11778" width="40.5703125" style="45" bestFit="1" customWidth="1"/>
    <col min="11779" max="11781" width="13.7109375" style="45" bestFit="1" customWidth="1"/>
    <col min="11782" max="11782" width="0.5703125" style="45" customWidth="1"/>
    <col min="11783" max="11783" width="12.28515625" style="45" bestFit="1" customWidth="1"/>
    <col min="11784" max="11785" width="13.7109375" style="45" bestFit="1" customWidth="1"/>
    <col min="11786" max="11786" width="0.7109375" style="45" customWidth="1"/>
    <col min="11787" max="11788" width="12.28515625" style="45" bestFit="1" customWidth="1"/>
    <col min="11789" max="11789" width="13.7109375" style="45" bestFit="1" customWidth="1"/>
    <col min="11790" max="12032" width="8.85546875" style="45"/>
    <col min="12033" max="12033" width="7" style="45" bestFit="1" customWidth="1"/>
    <col min="12034" max="12034" width="40.5703125" style="45" bestFit="1" customWidth="1"/>
    <col min="12035" max="12037" width="13.7109375" style="45" bestFit="1" customWidth="1"/>
    <col min="12038" max="12038" width="0.5703125" style="45" customWidth="1"/>
    <col min="12039" max="12039" width="12.28515625" style="45" bestFit="1" customWidth="1"/>
    <col min="12040" max="12041" width="13.7109375" style="45" bestFit="1" customWidth="1"/>
    <col min="12042" max="12042" width="0.7109375" style="45" customWidth="1"/>
    <col min="12043" max="12044" width="12.28515625" style="45" bestFit="1" customWidth="1"/>
    <col min="12045" max="12045" width="13.7109375" style="45" bestFit="1" customWidth="1"/>
    <col min="12046" max="12288" width="8.85546875" style="45"/>
    <col min="12289" max="12289" width="7" style="45" bestFit="1" customWidth="1"/>
    <col min="12290" max="12290" width="40.5703125" style="45" bestFit="1" customWidth="1"/>
    <col min="12291" max="12293" width="13.7109375" style="45" bestFit="1" customWidth="1"/>
    <col min="12294" max="12294" width="0.5703125" style="45" customWidth="1"/>
    <col min="12295" max="12295" width="12.28515625" style="45" bestFit="1" customWidth="1"/>
    <col min="12296" max="12297" width="13.7109375" style="45" bestFit="1" customWidth="1"/>
    <col min="12298" max="12298" width="0.7109375" style="45" customWidth="1"/>
    <col min="12299" max="12300" width="12.28515625" style="45" bestFit="1" customWidth="1"/>
    <col min="12301" max="12301" width="13.7109375" style="45" bestFit="1" customWidth="1"/>
    <col min="12302" max="12544" width="8.85546875" style="45"/>
    <col min="12545" max="12545" width="7" style="45" bestFit="1" customWidth="1"/>
    <col min="12546" max="12546" width="40.5703125" style="45" bestFit="1" customWidth="1"/>
    <col min="12547" max="12549" width="13.7109375" style="45" bestFit="1" customWidth="1"/>
    <col min="12550" max="12550" width="0.5703125" style="45" customWidth="1"/>
    <col min="12551" max="12551" width="12.28515625" style="45" bestFit="1" customWidth="1"/>
    <col min="12552" max="12553" width="13.7109375" style="45" bestFit="1" customWidth="1"/>
    <col min="12554" max="12554" width="0.7109375" style="45" customWidth="1"/>
    <col min="12555" max="12556" width="12.28515625" style="45" bestFit="1" customWidth="1"/>
    <col min="12557" max="12557" width="13.7109375" style="45" bestFit="1" customWidth="1"/>
    <col min="12558" max="12800" width="8.85546875" style="45"/>
    <col min="12801" max="12801" width="7" style="45" bestFit="1" customWidth="1"/>
    <col min="12802" max="12802" width="40.5703125" style="45" bestFit="1" customWidth="1"/>
    <col min="12803" max="12805" width="13.7109375" style="45" bestFit="1" customWidth="1"/>
    <col min="12806" max="12806" width="0.5703125" style="45" customWidth="1"/>
    <col min="12807" max="12807" width="12.28515625" style="45" bestFit="1" customWidth="1"/>
    <col min="12808" max="12809" width="13.7109375" style="45" bestFit="1" customWidth="1"/>
    <col min="12810" max="12810" width="0.7109375" style="45" customWidth="1"/>
    <col min="12811" max="12812" width="12.28515625" style="45" bestFit="1" customWidth="1"/>
    <col min="12813" max="12813" width="13.7109375" style="45" bestFit="1" customWidth="1"/>
    <col min="12814" max="13056" width="8.85546875" style="45"/>
    <col min="13057" max="13057" width="7" style="45" bestFit="1" customWidth="1"/>
    <col min="13058" max="13058" width="40.5703125" style="45" bestFit="1" customWidth="1"/>
    <col min="13059" max="13061" width="13.7109375" style="45" bestFit="1" customWidth="1"/>
    <col min="13062" max="13062" width="0.5703125" style="45" customWidth="1"/>
    <col min="13063" max="13063" width="12.28515625" style="45" bestFit="1" customWidth="1"/>
    <col min="13064" max="13065" width="13.7109375" style="45" bestFit="1" customWidth="1"/>
    <col min="13066" max="13066" width="0.7109375" style="45" customWidth="1"/>
    <col min="13067" max="13068" width="12.28515625" style="45" bestFit="1" customWidth="1"/>
    <col min="13069" max="13069" width="13.7109375" style="45" bestFit="1" customWidth="1"/>
    <col min="13070" max="13312" width="8.85546875" style="45"/>
    <col min="13313" max="13313" width="7" style="45" bestFit="1" customWidth="1"/>
    <col min="13314" max="13314" width="40.5703125" style="45" bestFit="1" customWidth="1"/>
    <col min="13315" max="13317" width="13.7109375" style="45" bestFit="1" customWidth="1"/>
    <col min="13318" max="13318" width="0.5703125" style="45" customWidth="1"/>
    <col min="13319" max="13319" width="12.28515625" style="45" bestFit="1" customWidth="1"/>
    <col min="13320" max="13321" width="13.7109375" style="45" bestFit="1" customWidth="1"/>
    <col min="13322" max="13322" width="0.7109375" style="45" customWidth="1"/>
    <col min="13323" max="13324" width="12.28515625" style="45" bestFit="1" customWidth="1"/>
    <col min="13325" max="13325" width="13.7109375" style="45" bestFit="1" customWidth="1"/>
    <col min="13326" max="13568" width="8.85546875" style="45"/>
    <col min="13569" max="13569" width="7" style="45" bestFit="1" customWidth="1"/>
    <col min="13570" max="13570" width="40.5703125" style="45" bestFit="1" customWidth="1"/>
    <col min="13571" max="13573" width="13.7109375" style="45" bestFit="1" customWidth="1"/>
    <col min="13574" max="13574" width="0.5703125" style="45" customWidth="1"/>
    <col min="13575" max="13575" width="12.28515625" style="45" bestFit="1" customWidth="1"/>
    <col min="13576" max="13577" width="13.7109375" style="45" bestFit="1" customWidth="1"/>
    <col min="13578" max="13578" width="0.7109375" style="45" customWidth="1"/>
    <col min="13579" max="13580" width="12.28515625" style="45" bestFit="1" customWidth="1"/>
    <col min="13581" max="13581" width="13.7109375" style="45" bestFit="1" customWidth="1"/>
    <col min="13582" max="13824" width="8.85546875" style="45"/>
    <col min="13825" max="13825" width="7" style="45" bestFit="1" customWidth="1"/>
    <col min="13826" max="13826" width="40.5703125" style="45" bestFit="1" customWidth="1"/>
    <col min="13827" max="13829" width="13.7109375" style="45" bestFit="1" customWidth="1"/>
    <col min="13830" max="13830" width="0.5703125" style="45" customWidth="1"/>
    <col min="13831" max="13831" width="12.28515625" style="45" bestFit="1" customWidth="1"/>
    <col min="13832" max="13833" width="13.7109375" style="45" bestFit="1" customWidth="1"/>
    <col min="13834" max="13834" width="0.7109375" style="45" customWidth="1"/>
    <col min="13835" max="13836" width="12.28515625" style="45" bestFit="1" customWidth="1"/>
    <col min="13837" max="13837" width="13.7109375" style="45" bestFit="1" customWidth="1"/>
    <col min="13838" max="14080" width="8.85546875" style="45"/>
    <col min="14081" max="14081" width="7" style="45" bestFit="1" customWidth="1"/>
    <col min="14082" max="14082" width="40.5703125" style="45" bestFit="1" customWidth="1"/>
    <col min="14083" max="14085" width="13.7109375" style="45" bestFit="1" customWidth="1"/>
    <col min="14086" max="14086" width="0.5703125" style="45" customWidth="1"/>
    <col min="14087" max="14087" width="12.28515625" style="45" bestFit="1" customWidth="1"/>
    <col min="14088" max="14089" width="13.7109375" style="45" bestFit="1" customWidth="1"/>
    <col min="14090" max="14090" width="0.7109375" style="45" customWidth="1"/>
    <col min="14091" max="14092" width="12.28515625" style="45" bestFit="1" customWidth="1"/>
    <col min="14093" max="14093" width="13.7109375" style="45" bestFit="1" customWidth="1"/>
    <col min="14094" max="14336" width="8.85546875" style="45"/>
    <col min="14337" max="14337" width="7" style="45" bestFit="1" customWidth="1"/>
    <col min="14338" max="14338" width="40.5703125" style="45" bestFit="1" customWidth="1"/>
    <col min="14339" max="14341" width="13.7109375" style="45" bestFit="1" customWidth="1"/>
    <col min="14342" max="14342" width="0.5703125" style="45" customWidth="1"/>
    <col min="14343" max="14343" width="12.28515625" style="45" bestFit="1" customWidth="1"/>
    <col min="14344" max="14345" width="13.7109375" style="45" bestFit="1" customWidth="1"/>
    <col min="14346" max="14346" width="0.7109375" style="45" customWidth="1"/>
    <col min="14347" max="14348" width="12.28515625" style="45" bestFit="1" customWidth="1"/>
    <col min="14349" max="14349" width="13.7109375" style="45" bestFit="1" customWidth="1"/>
    <col min="14350" max="14592" width="8.85546875" style="45"/>
    <col min="14593" max="14593" width="7" style="45" bestFit="1" customWidth="1"/>
    <col min="14594" max="14594" width="40.5703125" style="45" bestFit="1" customWidth="1"/>
    <col min="14595" max="14597" width="13.7109375" style="45" bestFit="1" customWidth="1"/>
    <col min="14598" max="14598" width="0.5703125" style="45" customWidth="1"/>
    <col min="14599" max="14599" width="12.28515625" style="45" bestFit="1" customWidth="1"/>
    <col min="14600" max="14601" width="13.7109375" style="45" bestFit="1" customWidth="1"/>
    <col min="14602" max="14602" width="0.7109375" style="45" customWidth="1"/>
    <col min="14603" max="14604" width="12.28515625" style="45" bestFit="1" customWidth="1"/>
    <col min="14605" max="14605" width="13.7109375" style="45" bestFit="1" customWidth="1"/>
    <col min="14606" max="14848" width="8.85546875" style="45"/>
    <col min="14849" max="14849" width="7" style="45" bestFit="1" customWidth="1"/>
    <col min="14850" max="14850" width="40.5703125" style="45" bestFit="1" customWidth="1"/>
    <col min="14851" max="14853" width="13.7109375" style="45" bestFit="1" customWidth="1"/>
    <col min="14854" max="14854" width="0.5703125" style="45" customWidth="1"/>
    <col min="14855" max="14855" width="12.28515625" style="45" bestFit="1" customWidth="1"/>
    <col min="14856" max="14857" width="13.7109375" style="45" bestFit="1" customWidth="1"/>
    <col min="14858" max="14858" width="0.7109375" style="45" customWidth="1"/>
    <col min="14859" max="14860" width="12.28515625" style="45" bestFit="1" customWidth="1"/>
    <col min="14861" max="14861" width="13.7109375" style="45" bestFit="1" customWidth="1"/>
    <col min="14862" max="15104" width="8.85546875" style="45"/>
    <col min="15105" max="15105" width="7" style="45" bestFit="1" customWidth="1"/>
    <col min="15106" max="15106" width="40.5703125" style="45" bestFit="1" customWidth="1"/>
    <col min="15107" max="15109" width="13.7109375" style="45" bestFit="1" customWidth="1"/>
    <col min="15110" max="15110" width="0.5703125" style="45" customWidth="1"/>
    <col min="15111" max="15111" width="12.28515625" style="45" bestFit="1" customWidth="1"/>
    <col min="15112" max="15113" width="13.7109375" style="45" bestFit="1" customWidth="1"/>
    <col min="15114" max="15114" width="0.7109375" style="45" customWidth="1"/>
    <col min="15115" max="15116" width="12.28515625" style="45" bestFit="1" customWidth="1"/>
    <col min="15117" max="15117" width="13.7109375" style="45" bestFit="1" customWidth="1"/>
    <col min="15118" max="15360" width="8.85546875" style="45"/>
    <col min="15361" max="15361" width="7" style="45" bestFit="1" customWidth="1"/>
    <col min="15362" max="15362" width="40.5703125" style="45" bestFit="1" customWidth="1"/>
    <col min="15363" max="15365" width="13.7109375" style="45" bestFit="1" customWidth="1"/>
    <col min="15366" max="15366" width="0.5703125" style="45" customWidth="1"/>
    <col min="15367" max="15367" width="12.28515625" style="45" bestFit="1" customWidth="1"/>
    <col min="15368" max="15369" width="13.7109375" style="45" bestFit="1" customWidth="1"/>
    <col min="15370" max="15370" width="0.7109375" style="45" customWidth="1"/>
    <col min="15371" max="15372" width="12.28515625" style="45" bestFit="1" customWidth="1"/>
    <col min="15373" max="15373" width="13.7109375" style="45" bestFit="1" customWidth="1"/>
    <col min="15374" max="15616" width="8.85546875" style="45"/>
    <col min="15617" max="15617" width="7" style="45" bestFit="1" customWidth="1"/>
    <col min="15618" max="15618" width="40.5703125" style="45" bestFit="1" customWidth="1"/>
    <col min="15619" max="15621" width="13.7109375" style="45" bestFit="1" customWidth="1"/>
    <col min="15622" max="15622" width="0.5703125" style="45" customWidth="1"/>
    <col min="15623" max="15623" width="12.28515625" style="45" bestFit="1" customWidth="1"/>
    <col min="15624" max="15625" width="13.7109375" style="45" bestFit="1" customWidth="1"/>
    <col min="15626" max="15626" width="0.7109375" style="45" customWidth="1"/>
    <col min="15627" max="15628" width="12.28515625" style="45" bestFit="1" customWidth="1"/>
    <col min="15629" max="15629" width="13.7109375" style="45" bestFit="1" customWidth="1"/>
    <col min="15630" max="15872" width="8.85546875" style="45"/>
    <col min="15873" max="15873" width="7" style="45" bestFit="1" customWidth="1"/>
    <col min="15874" max="15874" width="40.5703125" style="45" bestFit="1" customWidth="1"/>
    <col min="15875" max="15877" width="13.7109375" style="45" bestFit="1" customWidth="1"/>
    <col min="15878" max="15878" width="0.5703125" style="45" customWidth="1"/>
    <col min="15879" max="15879" width="12.28515625" style="45" bestFit="1" customWidth="1"/>
    <col min="15880" max="15881" width="13.7109375" style="45" bestFit="1" customWidth="1"/>
    <col min="15882" max="15882" width="0.7109375" style="45" customWidth="1"/>
    <col min="15883" max="15884" width="12.28515625" style="45" bestFit="1" customWidth="1"/>
    <col min="15885" max="15885" width="13.7109375" style="45" bestFit="1" customWidth="1"/>
    <col min="15886" max="16128" width="8.85546875" style="45"/>
    <col min="16129" max="16129" width="7" style="45" bestFit="1" customWidth="1"/>
    <col min="16130" max="16130" width="40.5703125" style="45" bestFit="1" customWidth="1"/>
    <col min="16131" max="16133" width="13.7109375" style="45" bestFit="1" customWidth="1"/>
    <col min="16134" max="16134" width="0.5703125" style="45" customWidth="1"/>
    <col min="16135" max="16135" width="12.28515625" style="45" bestFit="1" customWidth="1"/>
    <col min="16136" max="16137" width="13.7109375" style="45" bestFit="1" customWidth="1"/>
    <col min="16138" max="16138" width="0.7109375" style="45" customWidth="1"/>
    <col min="16139" max="16140" width="12.28515625" style="45" bestFit="1" customWidth="1"/>
    <col min="16141" max="16141" width="13.7109375" style="45" bestFit="1" customWidth="1"/>
    <col min="16142" max="16384" width="8.85546875" style="45"/>
  </cols>
  <sheetData>
    <row r="1" spans="1:13" ht="13.5" thickBot="1"/>
    <row r="2" spans="1:13" ht="13.5" thickBot="1">
      <c r="C2" s="199" t="s">
        <v>4</v>
      </c>
      <c r="D2" s="200"/>
      <c r="E2" s="201"/>
      <c r="G2" s="199" t="s">
        <v>112</v>
      </c>
      <c r="H2" s="200"/>
      <c r="I2" s="201"/>
      <c r="K2" s="199" t="s">
        <v>159</v>
      </c>
      <c r="L2" s="200"/>
      <c r="M2" s="201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6">
        <v>302000</v>
      </c>
      <c r="B4" s="147" t="s">
        <v>205</v>
      </c>
      <c r="C4" s="144">
        <f t="shared" ref="C4:D7" si="0">SUM(G4,K4)</f>
        <v>0</v>
      </c>
      <c r="D4" s="144">
        <f t="shared" si="0"/>
        <v>0</v>
      </c>
      <c r="E4" s="144">
        <f>SUM(C4:D4)</f>
        <v>0</v>
      </c>
      <c r="F4" s="144"/>
      <c r="G4" s="145">
        <v>0</v>
      </c>
      <c r="H4" s="145">
        <v>0</v>
      </c>
      <c r="I4" s="144">
        <f>SUM(G4:H4)</f>
        <v>0</v>
      </c>
      <c r="J4" s="144"/>
      <c r="K4" s="145">
        <v>0</v>
      </c>
      <c r="L4" s="145">
        <v>0</v>
      </c>
      <c r="M4" s="144">
        <f>SUM(K4:L4)</f>
        <v>0</v>
      </c>
    </row>
    <row r="5" spans="1:13">
      <c r="A5" s="146">
        <v>303000</v>
      </c>
      <c r="B5" s="143" t="s">
        <v>206</v>
      </c>
      <c r="C5" s="144">
        <f t="shared" si="0"/>
        <v>1801863</v>
      </c>
      <c r="D5" s="144">
        <f t="shared" si="0"/>
        <v>2066105</v>
      </c>
      <c r="E5" s="144">
        <f>SUM(C5:D5)</f>
        <v>3867968</v>
      </c>
      <c r="F5" s="144"/>
      <c r="G5" s="145">
        <v>1022566</v>
      </c>
      <c r="H5" s="145">
        <v>1499848</v>
      </c>
      <c r="I5" s="144">
        <f>SUM(G5:H5)</f>
        <v>2522414</v>
      </c>
      <c r="J5" s="144"/>
      <c r="K5" s="145">
        <v>779297</v>
      </c>
      <c r="L5" s="145">
        <v>566257</v>
      </c>
      <c r="M5" s="144">
        <f>SUM(K5:L5)</f>
        <v>1345554</v>
      </c>
    </row>
    <row r="6" spans="1:13">
      <c r="A6" s="146" t="s">
        <v>214</v>
      </c>
      <c r="B6" s="147" t="s">
        <v>207</v>
      </c>
      <c r="C6" s="144">
        <f t="shared" si="0"/>
        <v>4086592</v>
      </c>
      <c r="D6" s="144">
        <f t="shared" si="0"/>
        <v>49361081</v>
      </c>
      <c r="E6" s="144">
        <f>SUM(C6:D6)</f>
        <v>53447673</v>
      </c>
      <c r="F6" s="144"/>
      <c r="G6" s="145">
        <v>4077302</v>
      </c>
      <c r="H6" s="145">
        <v>35832689</v>
      </c>
      <c r="I6" s="144">
        <f>SUM(G6:H6)</f>
        <v>39909991</v>
      </c>
      <c r="J6" s="144"/>
      <c r="K6" s="145">
        <v>9290</v>
      </c>
      <c r="L6" s="145">
        <v>13528392</v>
      </c>
      <c r="M6" s="144">
        <f>SUM(K6:L6)</f>
        <v>13537682</v>
      </c>
    </row>
    <row r="7" spans="1:13">
      <c r="A7" s="146">
        <v>303110</v>
      </c>
      <c r="B7" s="147" t="s">
        <v>208</v>
      </c>
      <c r="C7" s="144">
        <f t="shared" si="0"/>
        <v>0</v>
      </c>
      <c r="D7" s="144">
        <f t="shared" si="0"/>
        <v>0</v>
      </c>
      <c r="E7" s="144">
        <f>SUM(C7:D7)</f>
        <v>0</v>
      </c>
      <c r="F7" s="144"/>
      <c r="G7" s="145">
        <v>0</v>
      </c>
      <c r="H7" s="145">
        <v>0</v>
      </c>
      <c r="I7" s="144">
        <f>SUM(G7:H7)</f>
        <v>0</v>
      </c>
      <c r="J7" s="144"/>
      <c r="K7" s="145">
        <v>0</v>
      </c>
      <c r="L7" s="145">
        <v>0</v>
      </c>
      <c r="M7" s="144">
        <f>SUM(K7:L7)</f>
        <v>0</v>
      </c>
    </row>
    <row r="8" spans="1:13">
      <c r="A8" s="148"/>
      <c r="B8" s="147" t="s">
        <v>209</v>
      </c>
      <c r="C8" s="149">
        <f>SUM(C4:C7)</f>
        <v>5888455</v>
      </c>
      <c r="D8" s="149">
        <f>SUM(D4:D7)</f>
        <v>51427186</v>
      </c>
      <c r="E8" s="149">
        <f>SUM(E4:E7)</f>
        <v>57315641</v>
      </c>
      <c r="F8" s="144"/>
      <c r="G8" s="149">
        <f>SUM(G4:G7)</f>
        <v>5099868</v>
      </c>
      <c r="H8" s="149">
        <f>SUM(H4:H7)</f>
        <v>37332537</v>
      </c>
      <c r="I8" s="149">
        <f>SUM(I4:I7)</f>
        <v>42432405</v>
      </c>
      <c r="J8" s="144"/>
      <c r="K8" s="149">
        <f>SUM(K4:K7)</f>
        <v>788587</v>
      </c>
      <c r="L8" s="149">
        <f>SUM(L4:L7)</f>
        <v>14094649</v>
      </c>
      <c r="M8" s="149">
        <f>SUM(M4:M7)</f>
        <v>14883236</v>
      </c>
    </row>
    <row r="9" spans="1:13"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>
      <c r="B10" s="45" t="s">
        <v>47</v>
      </c>
      <c r="C10" s="144">
        <f t="shared" ref="C10:D12" si="1">SUM(G10,K10)</f>
        <v>0</v>
      </c>
      <c r="D10" s="144">
        <f t="shared" si="1"/>
        <v>43217516</v>
      </c>
      <c r="E10" s="144">
        <f>SUM(C10:D10)</f>
        <v>43217516</v>
      </c>
      <c r="F10" s="144"/>
      <c r="G10" s="145">
        <v>0</v>
      </c>
      <c r="H10" s="145">
        <v>29713591</v>
      </c>
      <c r="I10" s="144">
        <f>SUM(G10:H10)</f>
        <v>29713591</v>
      </c>
      <c r="J10" s="144"/>
      <c r="K10" s="145"/>
      <c r="L10" s="145">
        <v>13503925</v>
      </c>
      <c r="M10" s="144">
        <f>SUM(K10:L10)</f>
        <v>13503925</v>
      </c>
    </row>
    <row r="11" spans="1:13">
      <c r="B11" s="45" t="s">
        <v>13</v>
      </c>
      <c r="C11" s="144">
        <f t="shared" si="1"/>
        <v>752288955</v>
      </c>
      <c r="D11" s="144">
        <f t="shared" si="1"/>
        <v>2518894</v>
      </c>
      <c r="E11" s="144">
        <f>SUM(C11:D11)</f>
        <v>754807849</v>
      </c>
      <c r="F11" s="144"/>
      <c r="G11" s="145">
        <v>504140137</v>
      </c>
      <c r="H11" s="145">
        <v>1723402</v>
      </c>
      <c r="I11" s="144">
        <f>SUM(G11:H11)</f>
        <v>505863539</v>
      </c>
      <c r="J11" s="144"/>
      <c r="K11" s="145">
        <v>248148818</v>
      </c>
      <c r="L11" s="145">
        <v>795492</v>
      </c>
      <c r="M11" s="144">
        <f>SUM(K11:L11)</f>
        <v>248944310</v>
      </c>
    </row>
    <row r="12" spans="1:13">
      <c r="B12" s="45" t="s">
        <v>210</v>
      </c>
      <c r="C12" s="144">
        <f t="shared" si="1"/>
        <v>53817089</v>
      </c>
      <c r="D12" s="144">
        <f t="shared" si="1"/>
        <v>72466033</v>
      </c>
      <c r="E12" s="144">
        <f>SUM(C12:D12)</f>
        <v>126283122</v>
      </c>
      <c r="F12" s="144"/>
      <c r="G12" s="145">
        <v>46623712</v>
      </c>
      <c r="H12" s="145">
        <v>52605268</v>
      </c>
      <c r="I12" s="144">
        <f>SUM(G12:H12)</f>
        <v>99228980</v>
      </c>
      <c r="J12" s="144"/>
      <c r="K12" s="145">
        <v>7193377</v>
      </c>
      <c r="L12" s="145">
        <v>19860765</v>
      </c>
      <c r="M12" s="144">
        <f>SUM(K12:L12)</f>
        <v>27054142</v>
      </c>
    </row>
    <row r="13" spans="1:13">
      <c r="C13" s="144"/>
      <c r="D13" s="144"/>
      <c r="E13" s="144"/>
      <c r="F13" s="144"/>
      <c r="G13" s="145"/>
      <c r="H13" s="145"/>
      <c r="I13" s="144"/>
      <c r="J13" s="144"/>
      <c r="K13" s="145"/>
      <c r="L13" s="145"/>
      <c r="M13" s="144">
        <f>SUM(K13:L13)</f>
        <v>0</v>
      </c>
    </row>
    <row r="14" spans="1:13" ht="13.5" thickBot="1">
      <c r="B14" s="45" t="s">
        <v>211</v>
      </c>
      <c r="C14" s="150">
        <f t="shared" ref="C14:I14" si="2">SUM(C8:C13)</f>
        <v>811994499</v>
      </c>
      <c r="D14" s="150">
        <f t="shared" si="2"/>
        <v>169629629</v>
      </c>
      <c r="E14" s="150">
        <f t="shared" si="2"/>
        <v>981624128</v>
      </c>
      <c r="F14" s="144">
        <f t="shared" si="2"/>
        <v>0</v>
      </c>
      <c r="G14" s="150">
        <f t="shared" si="2"/>
        <v>555863717</v>
      </c>
      <c r="H14" s="150">
        <f t="shared" si="2"/>
        <v>121374798</v>
      </c>
      <c r="I14" s="150">
        <f t="shared" si="2"/>
        <v>677238515</v>
      </c>
      <c r="J14" s="144"/>
      <c r="K14" s="150">
        <f>SUM(K8:K13)</f>
        <v>256130782</v>
      </c>
      <c r="L14" s="150">
        <f>SUM(L8:L13)</f>
        <v>48254831</v>
      </c>
      <c r="M14" s="150">
        <f>SUM(M8:M13)</f>
        <v>304385613</v>
      </c>
    </row>
    <row r="15" spans="1:13"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</row>
    <row r="16" spans="1:13"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</row>
    <row r="18" spans="1:13">
      <c r="A18" s="45" t="s">
        <v>215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</row>
    <row r="19" spans="1:13">
      <c r="A19" s="45">
        <v>303000</v>
      </c>
      <c r="B19" s="45" t="s">
        <v>17</v>
      </c>
      <c r="C19" s="144">
        <f t="shared" ref="C19:C24" si="3">SUM(G19,K19)</f>
        <v>0</v>
      </c>
      <c r="D19" s="145">
        <v>2023166</v>
      </c>
      <c r="E19" s="144">
        <f t="shared" ref="E19:E24" si="4">SUM(C19:D19)</f>
        <v>2023166</v>
      </c>
      <c r="F19" s="144"/>
      <c r="G19" s="145">
        <v>0</v>
      </c>
      <c r="H19" s="144">
        <f>D19*H31</f>
        <v>1468676.89438</v>
      </c>
      <c r="I19" s="144">
        <f t="shared" ref="I19:I24" si="5">SUM(G19:H19)</f>
        <v>1468676.89438</v>
      </c>
      <c r="J19" s="144"/>
      <c r="K19" s="145">
        <v>0</v>
      </c>
      <c r="L19" s="144">
        <f t="shared" ref="L19:L24" si="6">D19-H19</f>
        <v>554489.10562000005</v>
      </c>
      <c r="M19" s="144">
        <f t="shared" ref="M19:M24" si="7">SUM(K19:L19)</f>
        <v>554489.10562000005</v>
      </c>
    </row>
    <row r="20" spans="1:13">
      <c r="B20" s="45" t="s">
        <v>19</v>
      </c>
      <c r="C20" s="144">
        <f t="shared" si="3"/>
        <v>0</v>
      </c>
      <c r="D20" s="145">
        <v>42939</v>
      </c>
      <c r="E20" s="144">
        <f t="shared" si="4"/>
        <v>42939</v>
      </c>
      <c r="F20" s="144"/>
      <c r="G20" s="145">
        <v>0</v>
      </c>
      <c r="H20" s="144">
        <f>D20*H31</f>
        <v>31170.708269999999</v>
      </c>
      <c r="I20" s="144">
        <f t="shared" si="5"/>
        <v>31170.708269999999</v>
      </c>
      <c r="J20" s="144"/>
      <c r="K20" s="145">
        <v>0</v>
      </c>
      <c r="L20" s="144">
        <f t="shared" si="6"/>
        <v>11768.291730000001</v>
      </c>
      <c r="M20" s="144">
        <f t="shared" si="7"/>
        <v>11768.291730000001</v>
      </c>
    </row>
    <row r="21" spans="1:13">
      <c r="A21" s="45">
        <v>303100</v>
      </c>
      <c r="B21" s="45" t="s">
        <v>17</v>
      </c>
      <c r="C21" s="144">
        <f t="shared" si="3"/>
        <v>0</v>
      </c>
      <c r="D21" s="145">
        <v>21365632</v>
      </c>
      <c r="E21" s="144">
        <f t="shared" si="4"/>
        <v>21365632</v>
      </c>
      <c r="F21" s="144"/>
      <c r="G21" s="145">
        <v>0</v>
      </c>
      <c r="H21" s="144">
        <f>D21*H32</f>
        <v>15509953.23776</v>
      </c>
      <c r="I21" s="144">
        <f t="shared" si="5"/>
        <v>15509953.23776</v>
      </c>
      <c r="J21" s="144"/>
      <c r="K21" s="145">
        <v>0</v>
      </c>
      <c r="L21" s="144">
        <f t="shared" si="6"/>
        <v>5855678.7622400001</v>
      </c>
      <c r="M21" s="144">
        <f t="shared" si="7"/>
        <v>5855678.7622400001</v>
      </c>
    </row>
    <row r="22" spans="1:13">
      <c r="B22" s="45" t="s">
        <v>19</v>
      </c>
      <c r="C22" s="144">
        <f t="shared" si="3"/>
        <v>0</v>
      </c>
      <c r="D22" s="145">
        <v>89509</v>
      </c>
      <c r="E22" s="144">
        <f t="shared" si="4"/>
        <v>89509</v>
      </c>
      <c r="F22" s="144"/>
      <c r="G22" s="145">
        <v>0</v>
      </c>
      <c r="H22" s="144"/>
      <c r="I22" s="144">
        <f t="shared" si="5"/>
        <v>0</v>
      </c>
      <c r="J22" s="144"/>
      <c r="K22" s="145">
        <v>0</v>
      </c>
      <c r="L22" s="144">
        <f t="shared" si="6"/>
        <v>89509</v>
      </c>
      <c r="M22" s="144">
        <f t="shared" si="7"/>
        <v>89509</v>
      </c>
    </row>
    <row r="23" spans="1:13">
      <c r="A23" s="45">
        <v>303110</v>
      </c>
      <c r="B23" s="45" t="s">
        <v>17</v>
      </c>
      <c r="C23" s="144">
        <f t="shared" si="3"/>
        <v>0</v>
      </c>
      <c r="D23" s="145">
        <v>92789</v>
      </c>
      <c r="E23" s="144">
        <f t="shared" si="4"/>
        <v>92789</v>
      </c>
      <c r="F23" s="144"/>
      <c r="G23" s="145">
        <v>0</v>
      </c>
      <c r="H23" s="144">
        <f>D23*H33</f>
        <v>67358.318769999998</v>
      </c>
      <c r="I23" s="144">
        <f t="shared" si="5"/>
        <v>67358.318769999998</v>
      </c>
      <c r="J23" s="144"/>
      <c r="K23" s="145">
        <v>0</v>
      </c>
      <c r="L23" s="144">
        <f t="shared" si="6"/>
        <v>25430.681230000002</v>
      </c>
      <c r="M23" s="144">
        <f t="shared" si="7"/>
        <v>25430.681230000002</v>
      </c>
    </row>
    <row r="24" spans="1:13">
      <c r="B24" s="45" t="s">
        <v>19</v>
      </c>
      <c r="C24" s="144">
        <f t="shared" si="3"/>
        <v>0</v>
      </c>
      <c r="D24" s="145">
        <v>0</v>
      </c>
      <c r="E24" s="144">
        <f t="shared" si="4"/>
        <v>0</v>
      </c>
      <c r="F24" s="144"/>
      <c r="G24" s="145">
        <v>0</v>
      </c>
      <c r="H24" s="144"/>
      <c r="I24" s="144">
        <f t="shared" si="5"/>
        <v>0</v>
      </c>
      <c r="J24" s="144"/>
      <c r="K24" s="145">
        <v>0</v>
      </c>
      <c r="L24" s="144">
        <f t="shared" si="6"/>
        <v>0</v>
      </c>
      <c r="M24" s="144">
        <f t="shared" si="7"/>
        <v>0</v>
      </c>
    </row>
    <row r="25" spans="1:13">
      <c r="A25" s="45">
        <v>303115</v>
      </c>
      <c r="B25" s="45" t="s">
        <v>17</v>
      </c>
      <c r="C25" s="144">
        <f t="shared" ref="C25:C26" si="8">SUM(G25,K25)</f>
        <v>0</v>
      </c>
      <c r="D25" s="145">
        <f>20683505+6210665+431727</f>
        <v>27325897</v>
      </c>
      <c r="E25" s="144">
        <f t="shared" ref="E25:E26" si="9">SUM(C25:D25)</f>
        <v>27325897</v>
      </c>
      <c r="F25" s="144"/>
      <c r="G25" s="145">
        <v>0</v>
      </c>
      <c r="H25" s="144">
        <f>D25*H34</f>
        <v>19836688.40921</v>
      </c>
      <c r="I25" s="144">
        <f t="shared" ref="I25:I26" si="10">SUM(G25:H25)</f>
        <v>19836688.40921</v>
      </c>
      <c r="J25" s="144"/>
      <c r="K25" s="145">
        <v>0</v>
      </c>
      <c r="L25" s="144">
        <f t="shared" ref="L25:L26" si="11">D25-H25</f>
        <v>7489208.5907899998</v>
      </c>
      <c r="M25" s="144">
        <f t="shared" ref="M25:M26" si="12">SUM(K25:L25)</f>
        <v>7489208.5907899998</v>
      </c>
    </row>
    <row r="26" spans="1:13">
      <c r="B26" s="45" t="s">
        <v>19</v>
      </c>
      <c r="C26" s="144">
        <f t="shared" si="8"/>
        <v>0</v>
      </c>
      <c r="D26" s="145">
        <v>0</v>
      </c>
      <c r="E26" s="144">
        <f t="shared" si="9"/>
        <v>0</v>
      </c>
      <c r="F26" s="144"/>
      <c r="G26" s="145">
        <v>0</v>
      </c>
      <c r="H26" s="144"/>
      <c r="I26" s="144">
        <f t="shared" si="10"/>
        <v>0</v>
      </c>
      <c r="J26" s="144"/>
      <c r="K26" s="145">
        <v>0</v>
      </c>
      <c r="L26" s="144">
        <f t="shared" si="11"/>
        <v>0</v>
      </c>
      <c r="M26" s="144">
        <f t="shared" si="12"/>
        <v>0</v>
      </c>
    </row>
    <row r="27" spans="1:13" ht="13.5" thickBot="1">
      <c r="C27" s="150">
        <f>SUM(C19:C26)</f>
        <v>0</v>
      </c>
      <c r="D27" s="151">
        <f>SUM(D19:D26)</f>
        <v>50939932</v>
      </c>
      <c r="E27" s="150">
        <f>SUM(E19:E26)</f>
        <v>50939932</v>
      </c>
      <c r="F27" s="144"/>
      <c r="G27" s="150">
        <f>SUM(G19:G26)</f>
        <v>0</v>
      </c>
      <c r="H27" s="150">
        <f t="shared" ref="H27:I27" si="13">SUM(H19:H26)</f>
        <v>36913847.568389997</v>
      </c>
      <c r="I27" s="150">
        <f t="shared" si="13"/>
        <v>36913847.568389997</v>
      </c>
      <c r="J27" s="144"/>
      <c r="K27" s="150">
        <f>SUM(K19:K26)</f>
        <v>0</v>
      </c>
      <c r="L27" s="150">
        <f t="shared" ref="L27:M27" si="14">SUM(L19:L26)</f>
        <v>14026084.431609999</v>
      </c>
      <c r="M27" s="150">
        <f t="shared" si="14"/>
        <v>14026084.431609999</v>
      </c>
    </row>
    <row r="28" spans="1:13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13">
      <c r="A30" s="45" t="s">
        <v>213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>
      <c r="A31" s="45">
        <v>4</v>
      </c>
      <c r="B31" s="45">
        <v>303000</v>
      </c>
      <c r="C31" s="144"/>
      <c r="D31" s="144"/>
      <c r="E31" s="144"/>
      <c r="F31" s="144"/>
      <c r="G31" s="144"/>
      <c r="H31" s="182">
        <v>0.72592999999999996</v>
      </c>
      <c r="I31" s="183"/>
      <c r="J31" s="183"/>
      <c r="K31" s="183"/>
      <c r="L31" s="184">
        <f>1-H31</f>
        <v>0.27407000000000004</v>
      </c>
      <c r="M31" s="144"/>
    </row>
    <row r="32" spans="1:13">
      <c r="A32" s="45">
        <v>4</v>
      </c>
      <c r="B32" s="45">
        <v>303100</v>
      </c>
      <c r="H32" s="195">
        <f>H31</f>
        <v>0.72592999999999996</v>
      </c>
      <c r="I32" s="186"/>
      <c r="J32" s="186"/>
      <c r="K32" s="186"/>
      <c r="L32" s="184">
        <f>1-H32</f>
        <v>0.27407000000000004</v>
      </c>
    </row>
    <row r="33" spans="1:12">
      <c r="A33" s="45">
        <v>4</v>
      </c>
      <c r="B33" s="45">
        <v>303110</v>
      </c>
      <c r="H33" s="195">
        <f t="shared" ref="H33:H34" si="15">H32</f>
        <v>0.72592999999999996</v>
      </c>
      <c r="I33" s="186"/>
      <c r="J33" s="186"/>
      <c r="K33" s="186"/>
      <c r="L33" s="184">
        <f>1-H33</f>
        <v>0.27407000000000004</v>
      </c>
    </row>
    <row r="34" spans="1:12">
      <c r="A34" s="45">
        <v>4</v>
      </c>
      <c r="B34" s="45">
        <v>303115</v>
      </c>
      <c r="H34" s="195">
        <f t="shared" si="15"/>
        <v>0.72592999999999996</v>
      </c>
      <c r="I34" s="186"/>
      <c r="J34" s="186"/>
      <c r="K34" s="186"/>
      <c r="L34" s="184">
        <f>1-H34</f>
        <v>0.27407000000000004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D24" sqref="D24"/>
    </sheetView>
  </sheetViews>
  <sheetFormatPr defaultColWidth="11.42578125" defaultRowHeight="12.75"/>
  <cols>
    <col min="1" max="1" width="23.42578125" customWidth="1"/>
    <col min="2" max="2" width="19.85546875" customWidth="1"/>
    <col min="3" max="3" width="6" customWidth="1"/>
    <col min="4" max="6" width="13.7109375" customWidth="1"/>
    <col min="7" max="7" width="3" customWidth="1"/>
    <col min="8" max="8" width="30.85546875" style="1" customWidth="1"/>
    <col min="9" max="9" width="15.85546875" style="1" bestFit="1" customWidth="1"/>
    <col min="10" max="10" width="11.42578125" style="1"/>
    <col min="12" max="12" width="11.7109375" bestFit="1" customWidth="1"/>
  </cols>
  <sheetData>
    <row r="1" spans="1:12">
      <c r="C1" s="28" t="str">
        <f>'Elec-Dec19'!C1</f>
        <v>AVISTA UTILITIES</v>
      </c>
    </row>
    <row r="2" spans="1:12">
      <c r="C2" s="28" t="s">
        <v>44</v>
      </c>
    </row>
    <row r="3" spans="1:12">
      <c r="C3" s="29" t="str">
        <f>'SYS-Dec19'!D3</f>
        <v>Average - Twelve Months Ended December 31, 2019</v>
      </c>
    </row>
    <row r="6" spans="1:12">
      <c r="C6" s="28" t="s">
        <v>1</v>
      </c>
      <c r="D6" s="28" t="s">
        <v>45</v>
      </c>
      <c r="E6" s="28"/>
      <c r="F6" s="28"/>
    </row>
    <row r="7" spans="1:12">
      <c r="C7" s="29" t="s">
        <v>3</v>
      </c>
      <c r="D7" s="29" t="s">
        <v>4</v>
      </c>
      <c r="E7" s="29" t="s">
        <v>5</v>
      </c>
      <c r="F7" s="29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8">
        <v>4</v>
      </c>
      <c r="D10" s="23">
        <f>ROUND('SYS-Dec19'!$F$10*J10,0)</f>
        <v>-821800</v>
      </c>
      <c r="E10" s="23">
        <f>D10*E34</f>
        <v>-596569.27399999998</v>
      </c>
      <c r="F10" s="23">
        <f>D10*F34</f>
        <v>-225230.72600000002</v>
      </c>
      <c r="H10" s="6" t="s">
        <v>10</v>
      </c>
      <c r="I10" s="152">
        <f>'G-PLT'!E8-'G-PLT'!E27</f>
        <v>6375709</v>
      </c>
      <c r="J10" s="30">
        <f>ROUND(I10/$I$14,8)</f>
        <v>7.4290099999999998E-3</v>
      </c>
      <c r="L10" s="111"/>
    </row>
    <row r="11" spans="1:12">
      <c r="B11" t="s">
        <v>47</v>
      </c>
      <c r="C11" s="28">
        <v>1</v>
      </c>
      <c r="D11" s="23">
        <f>ROUND('SYS-Dec19'!$F$10*J11,0)</f>
        <v>-5570540</v>
      </c>
      <c r="E11" s="23">
        <f>D11*E33</f>
        <v>-3825846.872</v>
      </c>
      <c r="F11" s="23">
        <f>D11*F33</f>
        <v>-1744693.1280000003</v>
      </c>
      <c r="H11" s="6" t="s">
        <v>47</v>
      </c>
      <c r="I11" s="152">
        <f>'G-PLT'!E10</f>
        <v>43217516</v>
      </c>
      <c r="J11" s="30">
        <f>ROUND(I11/$I$14,8)</f>
        <v>5.0357260000000001E-2</v>
      </c>
      <c r="L11" s="23"/>
    </row>
    <row r="12" spans="1:12">
      <c r="B12" t="s">
        <v>13</v>
      </c>
      <c r="C12" s="28">
        <v>12</v>
      </c>
      <c r="D12" s="23">
        <f>ROUND('SYS-Dec19'!$F$10*J12,0)</f>
        <v>-97291285</v>
      </c>
      <c r="E12" s="23">
        <f>D12*E35</f>
        <v>-68264430.120250002</v>
      </c>
      <c r="F12" s="23">
        <f>D12*F35</f>
        <v>-29026854.879750002</v>
      </c>
      <c r="H12" s="6" t="s">
        <v>13</v>
      </c>
      <c r="I12" s="152">
        <f>'G-PLT'!E11</f>
        <v>754807849</v>
      </c>
      <c r="J12" s="30">
        <f>ROUND(I12/$I$14,8)</f>
        <v>0.8795058</v>
      </c>
      <c r="L12" s="23"/>
    </row>
    <row r="13" spans="1:12">
      <c r="B13" t="s">
        <v>48</v>
      </c>
      <c r="C13" s="28">
        <v>13</v>
      </c>
      <c r="D13" s="23">
        <f>ROUND('SYS-Dec19'!$F$10*J13,0)</f>
        <v>-6936778</v>
      </c>
      <c r="E13" s="23">
        <f>D13*E36</f>
        <v>-5602627.4872599998</v>
      </c>
      <c r="F13" s="23">
        <f>D13*F36</f>
        <v>-1334150.5127399999</v>
      </c>
      <c r="H13" s="6" t="s">
        <v>15</v>
      </c>
      <c r="I13" s="153">
        <f>'G-PLT'!C12</f>
        <v>53817089</v>
      </c>
      <c r="J13" s="31">
        <f>ROUND(I13/$I$14,8)</f>
        <v>6.2707940000000004E-2</v>
      </c>
      <c r="L13" s="23"/>
    </row>
    <row r="14" spans="1:12">
      <c r="C14" s="28"/>
      <c r="D14" s="23"/>
      <c r="E14" s="23"/>
      <c r="F14" s="23"/>
      <c r="H14" s="6"/>
      <c r="I14" s="138">
        <f>SUM(I10:I13)</f>
        <v>858218163</v>
      </c>
      <c r="J14" s="8">
        <f>SUM(J10:J13)</f>
        <v>1.0000000099999999</v>
      </c>
    </row>
    <row r="15" spans="1:12">
      <c r="A15" t="s">
        <v>49</v>
      </c>
      <c r="B15" t="s">
        <v>17</v>
      </c>
      <c r="C15" s="28">
        <v>4</v>
      </c>
      <c r="D15" s="24">
        <f>'SYS-Dec19'!F14</f>
        <v>-18030386.2342427</v>
      </c>
      <c r="E15" s="24">
        <f>D15*E34</f>
        <v>-13088798.279023802</v>
      </c>
      <c r="F15" s="24">
        <f>D15*F34</f>
        <v>-4941587.9552188972</v>
      </c>
      <c r="H15" s="13" t="s">
        <v>18</v>
      </c>
      <c r="I15" s="154">
        <f>'G-PLT'!D12</f>
        <v>72466033</v>
      </c>
      <c r="K15" s="111"/>
    </row>
    <row r="16" spans="1:12">
      <c r="A16" t="s">
        <v>49</v>
      </c>
      <c r="B16" t="s">
        <v>19</v>
      </c>
      <c r="C16" s="28">
        <v>12</v>
      </c>
      <c r="D16" s="32">
        <f>'SYS-Dec19'!F16</f>
        <v>-172889.22371153336</v>
      </c>
      <c r="E16" s="32">
        <f>D16*E35</f>
        <v>-121307.72381719737</v>
      </c>
      <c r="F16" s="32">
        <f>D16*F35</f>
        <v>-51581.499894335975</v>
      </c>
      <c r="H16" s="13" t="s">
        <v>20</v>
      </c>
      <c r="I16" s="154">
        <f>'G-PLT'!E27</f>
        <v>50939932</v>
      </c>
    </row>
    <row r="17" spans="1:9">
      <c r="A17" t="s">
        <v>50</v>
      </c>
      <c r="C17" s="28"/>
      <c r="D17" s="4">
        <f>SUM(D10:D16)</f>
        <v>-128823678.45795424</v>
      </c>
      <c r="E17" s="4">
        <f>SUM(E10:E16)</f>
        <v>-91499579.756350994</v>
      </c>
      <c r="F17" s="4">
        <f>SUM(F10:F16)</f>
        <v>-37324098.701603234</v>
      </c>
      <c r="H17" s="13"/>
      <c r="I17" s="14"/>
    </row>
    <row r="18" spans="1:9">
      <c r="C18" s="28"/>
      <c r="D18" s="23"/>
      <c r="E18" s="23"/>
      <c r="F18" s="23"/>
      <c r="H18" s="13"/>
      <c r="I18" s="7"/>
    </row>
    <row r="19" spans="1:9">
      <c r="A19" t="str">
        <f>'SYS-Dec19'!A27</f>
        <v>ADFIT-Plant - AFUDC Equity</v>
      </c>
      <c r="C19" s="189">
        <v>4</v>
      </c>
      <c r="D19" s="23">
        <f>'SYS-Dec19'!F27</f>
        <v>-300870.05139333336</v>
      </c>
      <c r="E19" s="23">
        <f>D19*E34</f>
        <v>-218410.59640796247</v>
      </c>
      <c r="F19" s="23">
        <f>D19*F34</f>
        <v>-82459.454985370889</v>
      </c>
      <c r="H19" s="13"/>
      <c r="I19" s="7"/>
    </row>
    <row r="20" spans="1:9">
      <c r="A20" s="134" t="s">
        <v>171</v>
      </c>
      <c r="C20" s="133">
        <v>4</v>
      </c>
      <c r="D20" s="23">
        <f>'SYS-Dec19'!F25</f>
        <v>-46270.507769383337</v>
      </c>
      <c r="E20" s="24">
        <f>D20*E34</f>
        <v>-33589.149705028445</v>
      </c>
      <c r="F20" s="24">
        <f>D20*F34</f>
        <v>-12681.358064354892</v>
      </c>
      <c r="H20" s="13"/>
      <c r="I20" s="7"/>
    </row>
    <row r="21" spans="1:9">
      <c r="A21" t="str">
        <f>'SYS-Dec19'!A26</f>
        <v>FMB &amp; MTN Redeemed</v>
      </c>
      <c r="C21" s="28">
        <v>12</v>
      </c>
      <c r="D21" s="32">
        <f>'SYS-Dec19'!F26</f>
        <v>-365410.08141280012</v>
      </c>
      <c r="E21" s="32">
        <f>D21*E35</f>
        <v>-256389.98362329119</v>
      </c>
      <c r="F21" s="32">
        <f>D21*F35</f>
        <v>-109020.09778950892</v>
      </c>
      <c r="H21" s="13"/>
      <c r="I21" s="14"/>
    </row>
    <row r="22" spans="1:9">
      <c r="A22" t="str">
        <f>'SYS-Dec19'!A28</f>
        <v xml:space="preserve">   Total Other Deferred FIT</v>
      </c>
      <c r="C22" s="28"/>
      <c r="D22" s="32">
        <f>SUM(D19:D21)</f>
        <v>-712550.64057551674</v>
      </c>
      <c r="E22" s="32">
        <f t="shared" ref="E22:F22" si="0">SUM(E19:E21)</f>
        <v>-508389.72973628214</v>
      </c>
      <c r="F22" s="32">
        <f t="shared" si="0"/>
        <v>-204160.91083923471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5" thickBot="1">
      <c r="A24" t="str">
        <f>'SYS-Dec19'!A30</f>
        <v xml:space="preserve">      Total Deferred FIT</v>
      </c>
      <c r="C24" s="159" t="s">
        <v>232</v>
      </c>
      <c r="D24" s="202">
        <f>D17+D22</f>
        <v>-129536229.09852976</v>
      </c>
      <c r="E24" s="33">
        <f>E17+E22</f>
        <v>-92007969.486087278</v>
      </c>
      <c r="F24" s="33">
        <f>F17+F22</f>
        <v>-37528259.612442471</v>
      </c>
      <c r="H24" s="13" t="s">
        <v>27</v>
      </c>
      <c r="I24" s="10">
        <f>SUM(I14:I21)</f>
        <v>981624128</v>
      </c>
    </row>
    <row r="25" spans="1:9" s="1" customFormat="1" ht="13.5" thickTop="1">
      <c r="D25" s="16"/>
      <c r="E25" s="170" t="s">
        <v>249</v>
      </c>
      <c r="F25" s="16"/>
    </row>
    <row r="26" spans="1:9" s="1" customFormat="1">
      <c r="A26" s="1" t="s">
        <v>256</v>
      </c>
      <c r="D26" s="16">
        <f>SUM(E26:F26)</f>
        <v>-129090232</v>
      </c>
      <c r="E26" s="203">
        <v>-91014302</v>
      </c>
      <c r="F26" s="203">
        <v>-38075930</v>
      </c>
      <c r="H26" s="6"/>
      <c r="I26" s="18"/>
    </row>
    <row r="27" spans="1:9" ht="13.5" thickBot="1">
      <c r="D27" s="23"/>
      <c r="E27" s="23"/>
      <c r="F27" s="23"/>
      <c r="H27" s="6"/>
      <c r="I27" s="18"/>
    </row>
    <row r="28" spans="1:9" ht="14.25" thickTop="1" thickBot="1">
      <c r="A28" t="s">
        <v>31</v>
      </c>
      <c r="D28" s="23">
        <f>D24-D26</f>
        <v>-445997.09852975607</v>
      </c>
      <c r="E28" s="204">
        <f>E24-E26</f>
        <v>-993667.48608727753</v>
      </c>
      <c r="F28" s="16">
        <f>F24-F26</f>
        <v>547670.38755752891</v>
      </c>
      <c r="H28" s="6"/>
      <c r="I28" s="18"/>
    </row>
    <row r="29" spans="1:9" ht="13.5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8">
        <v>1</v>
      </c>
      <c r="D33" s="34">
        <f>SUM(E33:F33)</f>
        <v>1</v>
      </c>
      <c r="E33" s="25">
        <v>0.68679999999999997</v>
      </c>
      <c r="F33" s="135">
        <f>1-E33</f>
        <v>0.31320000000000003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4">
        <f>SUM(E34:F34)</f>
        <v>1</v>
      </c>
      <c r="E34" s="25">
        <v>0.72592999999999996</v>
      </c>
      <c r="F34" s="135">
        <f t="shared" ref="F34:F36" si="1">1-E34</f>
        <v>0.27407000000000004</v>
      </c>
      <c r="G34" t="s">
        <v>35</v>
      </c>
    </row>
    <row r="35" spans="1:10">
      <c r="A35" t="s">
        <v>52</v>
      </c>
      <c r="C35" s="28">
        <v>12</v>
      </c>
      <c r="D35" s="34">
        <f>SUM(E35:F35)</f>
        <v>1</v>
      </c>
      <c r="E35" s="25">
        <v>0.70165</v>
      </c>
      <c r="F35" s="135">
        <f t="shared" si="1"/>
        <v>0.29835</v>
      </c>
      <c r="G35" t="s">
        <v>38</v>
      </c>
    </row>
    <row r="36" spans="1:10">
      <c r="A36" t="s">
        <v>53</v>
      </c>
      <c r="C36" s="28">
        <v>13</v>
      </c>
      <c r="D36" s="34">
        <f>SUM(E36:F36)</f>
        <v>1</v>
      </c>
      <c r="E36" s="25">
        <v>0.80767</v>
      </c>
      <c r="F36" s="135">
        <f t="shared" si="1"/>
        <v>0.19233</v>
      </c>
      <c r="G36" t="s">
        <v>38</v>
      </c>
    </row>
    <row r="37" spans="1:10" hidden="1">
      <c r="A37" s="35" t="s">
        <v>54</v>
      </c>
      <c r="B37" s="35"/>
      <c r="C37" s="35"/>
      <c r="D37" s="35"/>
      <c r="E37" s="35"/>
      <c r="F37" s="36"/>
      <c r="J37"/>
    </row>
    <row r="38" spans="1:10" hidden="1">
      <c r="A38" s="35"/>
      <c r="B38" s="35" t="s">
        <v>55</v>
      </c>
      <c r="C38" s="35"/>
      <c r="D38" s="37">
        <f>SUM(E38:F38)</f>
        <v>433956075</v>
      </c>
      <c r="E38" s="38">
        <v>281278889</v>
      </c>
      <c r="F38" s="38">
        <v>152677186</v>
      </c>
      <c r="J38"/>
    </row>
    <row r="39" spans="1:10" hidden="1">
      <c r="A39" s="35"/>
      <c r="B39" s="35" t="s">
        <v>56</v>
      </c>
      <c r="C39" s="35"/>
      <c r="D39" s="39">
        <f>SUM(E39:F39)</f>
        <v>146236411</v>
      </c>
      <c r="E39" s="40">
        <v>97488810</v>
      </c>
      <c r="F39" s="40">
        <v>48747601</v>
      </c>
    </row>
    <row r="40" spans="1:10" hidden="1">
      <c r="A40" s="35"/>
      <c r="B40" s="35" t="s">
        <v>57</v>
      </c>
      <c r="C40" s="35"/>
      <c r="D40" s="37">
        <f>SUM(D38:D39)</f>
        <v>580192486</v>
      </c>
      <c r="E40" s="37">
        <f>SUM(E38:E39)</f>
        <v>378767699</v>
      </c>
      <c r="F40" s="37">
        <f>SUM(F38:F39)</f>
        <v>201424787</v>
      </c>
      <c r="H40" s="1" t="s">
        <v>35</v>
      </c>
    </row>
    <row r="41" spans="1:10" hidden="1">
      <c r="A41" s="35"/>
      <c r="B41" s="35" t="s">
        <v>58</v>
      </c>
      <c r="C41" s="41" t="s">
        <v>59</v>
      </c>
      <c r="D41" s="42">
        <f>SUM(E41:F41)</f>
        <v>1</v>
      </c>
      <c r="E41" s="42">
        <f>E40/D40</f>
        <v>0.6528311002635081</v>
      </c>
      <c r="F41" s="42">
        <f>F40/D40</f>
        <v>0.34716889973649195</v>
      </c>
      <c r="H41" s="1" t="s">
        <v>35</v>
      </c>
    </row>
    <row r="42" spans="1:10" hidden="1">
      <c r="A42" t="s">
        <v>40</v>
      </c>
      <c r="C42" s="28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F28" sqref="F28"/>
    </sheetView>
  </sheetViews>
  <sheetFormatPr defaultColWidth="11.42578125" defaultRowHeight="12.75"/>
  <cols>
    <col min="1" max="1" width="25.7109375" customWidth="1"/>
    <col min="2" max="2" width="14.140625" customWidth="1"/>
    <col min="3" max="3" width="2.42578125" customWidth="1"/>
    <col min="4" max="7" width="13.7109375" customWidth="1"/>
  </cols>
  <sheetData>
    <row r="1" spans="1:7">
      <c r="D1" s="28" t="str">
        <f>AvgCalc!E1</f>
        <v>AVISTA UTILITIES</v>
      </c>
    </row>
    <row r="2" spans="1:7">
      <c r="D2" s="28" t="s">
        <v>69</v>
      </c>
    </row>
    <row r="3" spans="1:7">
      <c r="D3" s="53" t="s">
        <v>250</v>
      </c>
    </row>
    <row r="6" spans="1:7">
      <c r="D6" s="28" t="s">
        <v>72</v>
      </c>
      <c r="E6" s="28"/>
      <c r="F6" s="28"/>
      <c r="G6" s="28"/>
    </row>
    <row r="7" spans="1:7">
      <c r="D7" s="29" t="s">
        <v>4</v>
      </c>
      <c r="E7" s="29" t="s">
        <v>2</v>
      </c>
      <c r="F7" s="29" t="s">
        <v>73</v>
      </c>
      <c r="G7" s="3" t="s">
        <v>74</v>
      </c>
    </row>
    <row r="8" spans="1:7">
      <c r="A8" t="s">
        <v>2</v>
      </c>
      <c r="B8" s="54"/>
      <c r="C8" s="54"/>
      <c r="D8" s="23">
        <f>AvgCalc!G66</f>
        <v>-552434344.3912499</v>
      </c>
      <c r="E8" s="206">
        <f>D8</f>
        <v>-552434344.3912499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AvgCalc!H66</f>
        <v>-110620402.33180554</v>
      </c>
      <c r="E10" s="4"/>
      <c r="F10" s="207">
        <f>D10</f>
        <v>-110620402.33180554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AvgCalc!I66</f>
        <v>-65022156.208055556</v>
      </c>
      <c r="E12" s="4"/>
      <c r="F12" s="23"/>
      <c r="G12" s="207">
        <f>D12</f>
        <v>-65022156.208055556</v>
      </c>
    </row>
    <row r="13" spans="1:7">
      <c r="D13" s="207"/>
      <c r="E13" s="4"/>
      <c r="F13" s="23"/>
      <c r="G13" s="23"/>
    </row>
    <row r="14" spans="1:7">
      <c r="A14" t="s">
        <v>77</v>
      </c>
      <c r="B14" t="s">
        <v>17</v>
      </c>
      <c r="D14" s="207">
        <f>AvgCalc!D66</f>
        <v>-87897363.789999992</v>
      </c>
      <c r="E14" s="4">
        <f>D14*E34</f>
        <v>-62036201.415706187</v>
      </c>
      <c r="F14" s="23">
        <f>D14*F34</f>
        <v>-18030386.2342427</v>
      </c>
      <c r="G14" s="23">
        <f>D14*G34</f>
        <v>-7830776.1400510995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208">
        <f>AvgCalc!F66</f>
        <v>-781384.90333333344</v>
      </c>
      <c r="E16" s="15">
        <f>D16*E35</f>
        <v>-608495.67962180008</v>
      </c>
      <c r="F16" s="32">
        <f>D16*F35</f>
        <v>-172889.22371153336</v>
      </c>
      <c r="G16" s="32"/>
    </row>
    <row r="17" spans="1:8" ht="13.5" thickBot="1">
      <c r="A17" t="s">
        <v>71</v>
      </c>
      <c r="D17" s="202">
        <f>SUM(D8:D16)</f>
        <v>-816755651.62444437</v>
      </c>
      <c r="E17" s="4">
        <f>SUM(E8:E16)</f>
        <v>-615079041.48657787</v>
      </c>
      <c r="F17" s="23">
        <f>SUM(F9:F16)</f>
        <v>-128823677.78975977</v>
      </c>
      <c r="G17" s="23">
        <f>SUM(G9:G16)</f>
        <v>-72852932.348106652</v>
      </c>
      <c r="H17" s="55"/>
    </row>
    <row r="18" spans="1:8" ht="13.5" thickTop="1">
      <c r="D18" s="160" t="s">
        <v>225</v>
      </c>
      <c r="E18" s="4"/>
      <c r="F18" s="23"/>
      <c r="G18" s="23"/>
      <c r="H18" s="55"/>
    </row>
    <row r="19" spans="1:8">
      <c r="A19" s="51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59" t="s">
        <v>244</v>
      </c>
      <c r="D20" s="207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59" t="s">
        <v>226</v>
      </c>
      <c r="D21" s="207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59" t="s">
        <v>41</v>
      </c>
      <c r="D22" s="207">
        <f>'CDA DFIT'!E27</f>
        <v>-6412936.1490416685</v>
      </c>
      <c r="E22" s="4">
        <f>D22</f>
        <v>-6412936.1490416685</v>
      </c>
      <c r="F22" s="23"/>
      <c r="G22" s="23"/>
    </row>
    <row r="23" spans="1:8">
      <c r="A23" t="s">
        <v>186</v>
      </c>
      <c r="B23" t="s">
        <v>187</v>
      </c>
      <c r="C23" s="159" t="s">
        <v>227</v>
      </c>
      <c r="D23" s="207">
        <f>'CDA DFIT'!F27</f>
        <v>252672.46999999997</v>
      </c>
      <c r="E23" s="4">
        <f>D23</f>
        <v>252672.46999999997</v>
      </c>
      <c r="F23" s="23"/>
      <c r="G23" s="23"/>
    </row>
    <row r="24" spans="1:8">
      <c r="A24" t="s">
        <v>83</v>
      </c>
      <c r="B24" s="56" t="s">
        <v>84</v>
      </c>
      <c r="C24" s="161" t="s">
        <v>228</v>
      </c>
      <c r="D24" s="207">
        <f>'Other DFIT_AMA'!B26</f>
        <v>89510.560000000012</v>
      </c>
      <c r="E24" s="4">
        <f>D24</f>
        <v>89510.560000000012</v>
      </c>
      <c r="F24" s="23"/>
      <c r="G24" s="23"/>
    </row>
    <row r="25" spans="1:8">
      <c r="A25" s="134" t="s">
        <v>171</v>
      </c>
      <c r="B25" s="57" t="s">
        <v>175</v>
      </c>
      <c r="C25" s="162" t="s">
        <v>229</v>
      </c>
      <c r="D25" s="207">
        <f>'Other DFIT_AMA'!E26</f>
        <v>-225566.75166666668</v>
      </c>
      <c r="E25" s="4">
        <f>D25*E34</f>
        <v>-159200.5019913</v>
      </c>
      <c r="F25" s="4">
        <f>D25*F34</f>
        <v>-46270.507769383337</v>
      </c>
      <c r="G25" s="4">
        <f>D25*G34</f>
        <v>-20095.741905983334</v>
      </c>
    </row>
    <row r="26" spans="1:8">
      <c r="A26" t="s">
        <v>85</v>
      </c>
      <c r="B26" s="57" t="s">
        <v>86</v>
      </c>
      <c r="C26" s="162" t="s">
        <v>230</v>
      </c>
      <c r="D26" s="206">
        <f>'Other DFIT_AMA'!D26</f>
        <v>-1781358.5600000005</v>
      </c>
      <c r="E26" s="4">
        <f>D26*E34</f>
        <v>-1257247.2444768003</v>
      </c>
      <c r="F26" s="4">
        <f>D26*F34</f>
        <v>-365410.08141280012</v>
      </c>
      <c r="G26" s="4">
        <f>D26*G34</f>
        <v>-158701.23411040005</v>
      </c>
    </row>
    <row r="27" spans="1:8">
      <c r="A27" t="s">
        <v>246</v>
      </c>
      <c r="B27" s="191" t="s">
        <v>247</v>
      </c>
      <c r="C27" s="162" t="s">
        <v>120</v>
      </c>
      <c r="D27" s="206">
        <f>'Other DFIT_AMA'!F26</f>
        <v>-1466728.6666666667</v>
      </c>
      <c r="E27" s="4">
        <f>D27*E34</f>
        <v>-1035187.75836</v>
      </c>
      <c r="F27" s="4">
        <f>D27*F34</f>
        <v>-300870.05139333336</v>
      </c>
      <c r="G27" s="4">
        <f>D27*G34</f>
        <v>-130670.85691333334</v>
      </c>
    </row>
    <row r="28" spans="1:8">
      <c r="A28" t="s">
        <v>29</v>
      </c>
      <c r="D28" s="112">
        <f>SUM(D20:D27)</f>
        <v>-9544407.0973750036</v>
      </c>
      <c r="E28" s="112">
        <f t="shared" ref="E28:G28" si="0">SUM(E20:E27)</f>
        <v>-8522388.6238697693</v>
      </c>
      <c r="F28" s="112">
        <f t="shared" si="0"/>
        <v>-712550.64057551674</v>
      </c>
      <c r="G28" s="112">
        <f t="shared" si="0"/>
        <v>-309467.83292971674</v>
      </c>
    </row>
    <row r="29" spans="1:8">
      <c r="D29" s="23"/>
      <c r="E29" s="23"/>
      <c r="F29" s="23"/>
      <c r="G29" s="23"/>
    </row>
    <row r="30" spans="1:8" ht="13.5" thickBot="1">
      <c r="A30" t="s">
        <v>30</v>
      </c>
      <c r="D30" s="58">
        <f>D17+D28</f>
        <v>-826300058.7218194</v>
      </c>
      <c r="E30" s="202">
        <f>E17+E28</f>
        <v>-623601430.11044765</v>
      </c>
      <c r="F30" s="202">
        <f>F17+F28</f>
        <v>-129536228.43033528</v>
      </c>
      <c r="G30" s="22">
        <f>G17+G28</f>
        <v>-73162400.181036368</v>
      </c>
      <c r="H30" s="55"/>
    </row>
    <row r="31" spans="1:8" ht="13.5" thickTop="1">
      <c r="E31" s="192" t="s">
        <v>231</v>
      </c>
      <c r="F31" s="192" t="s">
        <v>232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4">
        <f>SUM(E34:G34)</f>
        <v>1</v>
      </c>
      <c r="E34" s="25">
        <v>0.70577999999999996</v>
      </c>
      <c r="F34" s="25">
        <v>0.20513000000000001</v>
      </c>
      <c r="G34" s="25">
        <v>8.9090000000000003E-2</v>
      </c>
      <c r="H34" t="s">
        <v>88</v>
      </c>
    </row>
    <row r="35" spans="1:8">
      <c r="B35" s="1" t="s">
        <v>89</v>
      </c>
      <c r="C35" s="1"/>
      <c r="D35" s="34">
        <f>SUM(E35:G35)</f>
        <v>1</v>
      </c>
      <c r="E35" s="25">
        <v>0.77873999999999999</v>
      </c>
      <c r="F35" s="25">
        <v>0.22126000000000001</v>
      </c>
      <c r="G35" s="25">
        <v>0</v>
      </c>
      <c r="H35" t="s">
        <v>88</v>
      </c>
    </row>
    <row r="40" spans="1:8">
      <c r="A40" s="48"/>
    </row>
    <row r="41" spans="1:8">
      <c r="A41" s="48"/>
    </row>
    <row r="42" spans="1:8">
      <c r="A42" s="48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opLeftCell="A20" workbookViewId="0">
      <selection activeCell="I39" sqref="I39:I41"/>
    </sheetView>
  </sheetViews>
  <sheetFormatPr defaultColWidth="11.42578125" defaultRowHeight="12.75"/>
  <cols>
    <col min="1" max="1" width="17.28515625" customWidth="1"/>
    <col min="2" max="3" width="14.85546875" bestFit="1" customWidth="1"/>
    <col min="4" max="4" width="14.42578125" customWidth="1"/>
    <col min="5" max="5" width="1.28515625" customWidth="1"/>
    <col min="6" max="6" width="13.85546875" bestFit="1" customWidth="1"/>
    <col min="7" max="8" width="15.85546875" customWidth="1"/>
    <col min="9" max="9" width="14" customWidth="1"/>
    <col min="10" max="10" width="0.85546875" customWidth="1"/>
    <col min="11" max="11" width="14" bestFit="1" customWidth="1"/>
    <col min="12" max="12" width="11.7109375" bestFit="1" customWidth="1"/>
    <col min="13" max="13" width="0.85546875" customWidth="1"/>
    <col min="14" max="14" width="13.7109375" bestFit="1" customWidth="1"/>
    <col min="15" max="15" width="11.140625" bestFit="1" customWidth="1"/>
    <col min="16" max="17" width="9.5703125" bestFit="1" customWidth="1"/>
  </cols>
  <sheetData>
    <row r="1" spans="1:13">
      <c r="E1" s="46" t="s">
        <v>68</v>
      </c>
      <c r="F1" s="46"/>
    </row>
    <row r="2" spans="1:13">
      <c r="E2" s="172" t="s">
        <v>69</v>
      </c>
      <c r="F2" s="172"/>
    </row>
    <row r="3" spans="1:13">
      <c r="E3" s="172" t="s">
        <v>70</v>
      </c>
      <c r="F3" s="172"/>
    </row>
    <row r="4" spans="1:13">
      <c r="A4" s="188" t="s">
        <v>238</v>
      </c>
      <c r="E4" s="47"/>
      <c r="F4" s="47"/>
    </row>
    <row r="5" spans="1:13">
      <c r="A5" s="173"/>
      <c r="B5" s="173">
        <v>282900</v>
      </c>
      <c r="C5" s="173">
        <v>283000</v>
      </c>
      <c r="D5" s="173" t="s">
        <v>72</v>
      </c>
      <c r="E5" s="173"/>
      <c r="F5" s="173">
        <v>282900</v>
      </c>
      <c r="G5" s="173">
        <v>282900</v>
      </c>
      <c r="H5" s="173">
        <v>282900</v>
      </c>
      <c r="I5" s="173">
        <v>282900</v>
      </c>
      <c r="J5" s="173"/>
      <c r="K5" s="173"/>
      <c r="L5" s="173">
        <v>282900</v>
      </c>
    </row>
    <row r="6" spans="1:13">
      <c r="B6" s="173" t="s">
        <v>62</v>
      </c>
      <c r="C6" s="173" t="s">
        <v>62</v>
      </c>
      <c r="D6" s="173" t="s">
        <v>62</v>
      </c>
      <c r="E6" s="173"/>
      <c r="F6" s="173" t="s">
        <v>62</v>
      </c>
      <c r="G6" s="173" t="s">
        <v>65</v>
      </c>
      <c r="H6" s="173" t="s">
        <v>66</v>
      </c>
      <c r="I6" s="173" t="s">
        <v>66</v>
      </c>
      <c r="L6" s="173" t="s">
        <v>234</v>
      </c>
    </row>
    <row r="7" spans="1:13">
      <c r="A7" s="174" t="s">
        <v>106</v>
      </c>
      <c r="B7" s="29" t="s">
        <v>63</v>
      </c>
      <c r="C7" s="29" t="s">
        <v>63</v>
      </c>
      <c r="D7" s="29" t="s">
        <v>63</v>
      </c>
      <c r="E7" s="173"/>
      <c r="F7" s="29" t="s">
        <v>64</v>
      </c>
      <c r="G7" s="29" t="s">
        <v>64</v>
      </c>
      <c r="H7" s="29" t="s">
        <v>64</v>
      </c>
      <c r="I7" s="29" t="s">
        <v>67</v>
      </c>
      <c r="J7" s="174"/>
      <c r="K7" s="29" t="s">
        <v>235</v>
      </c>
      <c r="L7" s="29" t="s">
        <v>234</v>
      </c>
    </row>
    <row r="8" spans="1:13">
      <c r="A8" s="73">
        <f>A52</f>
        <v>201812</v>
      </c>
      <c r="B8" s="52">
        <v>-88521790.540000007</v>
      </c>
      <c r="C8" s="52">
        <v>0</v>
      </c>
      <c r="D8" s="52">
        <f t="shared" ref="D8:D17" si="0">SUM(B8:C8)</f>
        <v>-88521790.540000007</v>
      </c>
      <c r="E8" s="52"/>
      <c r="F8" s="52">
        <v>-765406.82</v>
      </c>
      <c r="G8" s="52">
        <v>-549242838.11000001</v>
      </c>
      <c r="H8" s="52">
        <v>-109964012.87</v>
      </c>
      <c r="I8" s="52">
        <v>-64389426.090000004</v>
      </c>
      <c r="K8" s="52">
        <f t="shared" ref="K8:K17" si="1">SUM(D8:I8)</f>
        <v>-812883474.43000007</v>
      </c>
      <c r="L8" s="52"/>
    </row>
    <row r="9" spans="1:13">
      <c r="A9" s="73">
        <f t="shared" ref="A9:A20" si="2">A53</f>
        <v>201901</v>
      </c>
      <c r="B9" s="52">
        <v>-88087311.540000007</v>
      </c>
      <c r="C9" s="52">
        <v>0</v>
      </c>
      <c r="D9" s="52">
        <f t="shared" si="0"/>
        <v>-88087311.540000007</v>
      </c>
      <c r="E9" s="52"/>
      <c r="F9" s="52">
        <v>-768069.82</v>
      </c>
      <c r="G9" s="52">
        <v>-549461830.11000001</v>
      </c>
      <c r="H9" s="52">
        <v>-110062134.87</v>
      </c>
      <c r="I9" s="52">
        <v>-64454764.090000004</v>
      </c>
      <c r="K9" s="52">
        <f t="shared" si="1"/>
        <v>-812834110.43000007</v>
      </c>
      <c r="L9" s="52"/>
      <c r="M9" s="111">
        <f>K9-K8</f>
        <v>49364</v>
      </c>
    </row>
    <row r="10" spans="1:13">
      <c r="A10" s="73">
        <f t="shared" si="2"/>
        <v>201902</v>
      </c>
      <c r="B10" s="52">
        <v>-87652832.540000007</v>
      </c>
      <c r="C10" s="52">
        <v>0</v>
      </c>
      <c r="D10" s="52">
        <f t="shared" si="0"/>
        <v>-87652832.540000007</v>
      </c>
      <c r="E10" s="52"/>
      <c r="F10" s="52">
        <v>-770732.82</v>
      </c>
      <c r="G10" s="52">
        <v>-549680822.11000001</v>
      </c>
      <c r="H10" s="52">
        <v>-110160256.87</v>
      </c>
      <c r="I10" s="52">
        <v>-64520102.090000004</v>
      </c>
      <c r="K10" s="52">
        <f t="shared" si="1"/>
        <v>-812784746.43000007</v>
      </c>
      <c r="L10" s="52"/>
      <c r="M10" s="111">
        <f t="shared" ref="M10:M20" si="3">K10-K9</f>
        <v>49364</v>
      </c>
    </row>
    <row r="11" spans="1:13">
      <c r="A11" s="73">
        <f t="shared" si="2"/>
        <v>201903</v>
      </c>
      <c r="B11" s="52">
        <v>-87218353.540000007</v>
      </c>
      <c r="C11" s="52">
        <v>0</v>
      </c>
      <c r="D11" s="52">
        <f t="shared" si="0"/>
        <v>-87218353.540000007</v>
      </c>
      <c r="E11" s="52"/>
      <c r="F11" s="52">
        <v>-773395.82</v>
      </c>
      <c r="G11" s="52">
        <v>-549899814.11000001</v>
      </c>
      <c r="H11" s="52">
        <v>-110258378.87</v>
      </c>
      <c r="I11" s="52">
        <v>-64585440.090000004</v>
      </c>
      <c r="K11" s="52">
        <f t="shared" si="1"/>
        <v>-812735382.43000007</v>
      </c>
      <c r="L11" s="52"/>
      <c r="M11" s="111">
        <f t="shared" si="3"/>
        <v>49364</v>
      </c>
    </row>
    <row r="12" spans="1:13">
      <c r="A12" s="73">
        <f t="shared" si="2"/>
        <v>201904</v>
      </c>
      <c r="B12" s="52">
        <v>-86783874.540000007</v>
      </c>
      <c r="C12" s="52">
        <v>0</v>
      </c>
      <c r="D12" s="52">
        <f t="shared" si="0"/>
        <v>-86783874.540000007</v>
      </c>
      <c r="E12" s="52"/>
      <c r="F12" s="52">
        <v>-776058.82</v>
      </c>
      <c r="G12" s="52">
        <v>-550118806.11000001</v>
      </c>
      <c r="H12" s="52">
        <v>-110356500.87</v>
      </c>
      <c r="I12" s="52">
        <v>-64650778.090000004</v>
      </c>
      <c r="K12" s="52">
        <f t="shared" si="1"/>
        <v>-812686018.43000007</v>
      </c>
      <c r="L12" s="52"/>
      <c r="M12" s="111">
        <f t="shared" si="3"/>
        <v>49364</v>
      </c>
    </row>
    <row r="13" spans="1:13">
      <c r="A13" s="73">
        <f t="shared" si="2"/>
        <v>201905</v>
      </c>
      <c r="B13" s="52">
        <v>-86349395.540000007</v>
      </c>
      <c r="C13" s="52">
        <v>0</v>
      </c>
      <c r="D13" s="52">
        <f t="shared" si="0"/>
        <v>-86349395.540000007</v>
      </c>
      <c r="E13" s="52"/>
      <c r="F13" s="52">
        <v>-778721.82</v>
      </c>
      <c r="G13" s="52">
        <v>-550337798.11000001</v>
      </c>
      <c r="H13" s="52">
        <v>-110454622.87</v>
      </c>
      <c r="I13" s="52">
        <v>-64716116.090000004</v>
      </c>
      <c r="K13" s="52">
        <f t="shared" si="1"/>
        <v>-812636654.43000007</v>
      </c>
      <c r="L13" s="52"/>
      <c r="M13" s="111">
        <f t="shared" si="3"/>
        <v>49364</v>
      </c>
    </row>
    <row r="14" spans="1:13">
      <c r="A14" s="73">
        <f t="shared" si="2"/>
        <v>201906</v>
      </c>
      <c r="B14" s="181">
        <v>-85914916.540000007</v>
      </c>
      <c r="C14" s="181">
        <v>0</v>
      </c>
      <c r="D14" s="52">
        <f t="shared" si="0"/>
        <v>-85914916.540000007</v>
      </c>
      <c r="E14" s="52"/>
      <c r="F14" s="52">
        <v>-781384.82</v>
      </c>
      <c r="G14" s="52">
        <v>-550556790.11000001</v>
      </c>
      <c r="H14" s="52">
        <v>-110552744.87</v>
      </c>
      <c r="I14" s="52">
        <v>-64781454.090000004</v>
      </c>
      <c r="K14" s="52">
        <f t="shared" si="1"/>
        <v>-812587290.43000007</v>
      </c>
      <c r="L14" s="52"/>
      <c r="M14" s="111">
        <f t="shared" si="3"/>
        <v>49364</v>
      </c>
    </row>
    <row r="15" spans="1:13">
      <c r="A15" s="73">
        <f t="shared" si="2"/>
        <v>201907</v>
      </c>
      <c r="B15" s="52">
        <v>-85480437.540000007</v>
      </c>
      <c r="C15" s="52">
        <v>0</v>
      </c>
      <c r="D15" s="52">
        <f t="shared" si="0"/>
        <v>-85480437.540000007</v>
      </c>
      <c r="E15" s="52"/>
      <c r="F15" s="52">
        <v>-784047.82</v>
      </c>
      <c r="G15" s="52">
        <v>-550775782.11000001</v>
      </c>
      <c r="H15" s="52">
        <v>-110650866.87</v>
      </c>
      <c r="I15" s="52">
        <v>-64846792.090000004</v>
      </c>
      <c r="K15" s="52">
        <f t="shared" si="1"/>
        <v>-812537926.43000007</v>
      </c>
      <c r="L15" s="52"/>
      <c r="M15" s="111">
        <f t="shared" si="3"/>
        <v>49364</v>
      </c>
    </row>
    <row r="16" spans="1:13">
      <c r="A16" s="73">
        <f t="shared" si="2"/>
        <v>201908</v>
      </c>
      <c r="B16" s="52">
        <v>-85045958.540000007</v>
      </c>
      <c r="C16" s="52">
        <v>0</v>
      </c>
      <c r="D16" s="52">
        <f t="shared" si="0"/>
        <v>-85045958.540000007</v>
      </c>
      <c r="E16" s="52"/>
      <c r="F16" s="52">
        <v>-786710.82</v>
      </c>
      <c r="G16" s="52">
        <v>-550994774.11000001</v>
      </c>
      <c r="H16" s="52">
        <v>-110748988.87</v>
      </c>
      <c r="I16" s="52">
        <v>-64912130.090000004</v>
      </c>
      <c r="K16" s="52">
        <f t="shared" si="1"/>
        <v>-812488562.43000007</v>
      </c>
      <c r="L16" s="52"/>
      <c r="M16" s="111">
        <f t="shared" si="3"/>
        <v>49364</v>
      </c>
    </row>
    <row r="17" spans="1:17">
      <c r="A17" s="73">
        <f t="shared" si="2"/>
        <v>201909</v>
      </c>
      <c r="B17" s="181">
        <v>-85614179.540000007</v>
      </c>
      <c r="C17" s="181">
        <v>0</v>
      </c>
      <c r="D17" s="181">
        <f t="shared" si="0"/>
        <v>-85614179.540000007</v>
      </c>
      <c r="E17" s="181"/>
      <c r="F17" s="181">
        <v>-789373.82</v>
      </c>
      <c r="G17" s="181">
        <v>-550789988.11000001</v>
      </c>
      <c r="H17" s="181">
        <v>-110615177.87</v>
      </c>
      <c r="I17" s="181">
        <v>-64940608.090000004</v>
      </c>
      <c r="J17" s="190"/>
      <c r="K17" s="181">
        <f t="shared" si="1"/>
        <v>-812749327.43000007</v>
      </c>
      <c r="L17" s="52"/>
      <c r="M17" s="111">
        <f t="shared" si="3"/>
        <v>-260765</v>
      </c>
    </row>
    <row r="18" spans="1:17">
      <c r="A18" s="73">
        <f t="shared" si="2"/>
        <v>201910</v>
      </c>
      <c r="B18" s="181">
        <v>-85179700.540000007</v>
      </c>
      <c r="C18" s="181">
        <v>0</v>
      </c>
      <c r="D18" s="181">
        <f t="shared" ref="D18:D20" si="4">SUM(B18:C18)</f>
        <v>-85179700.540000007</v>
      </c>
      <c r="E18" s="181"/>
      <c r="F18" s="181">
        <v>-792036.82</v>
      </c>
      <c r="G18" s="181">
        <v>-551008980.11000001</v>
      </c>
      <c r="H18" s="181">
        <v>-110713299.87</v>
      </c>
      <c r="I18" s="181">
        <v>-65005946.090000004</v>
      </c>
      <c r="J18" s="190"/>
      <c r="K18" s="181">
        <f t="shared" ref="K18:K20" si="5">SUM(D18:I18)</f>
        <v>-812699963.43000007</v>
      </c>
      <c r="L18" s="52"/>
      <c r="M18" s="111">
        <f t="shared" si="3"/>
        <v>49364</v>
      </c>
    </row>
    <row r="19" spans="1:17">
      <c r="A19" s="73">
        <f t="shared" si="2"/>
        <v>201911</v>
      </c>
      <c r="B19" s="52">
        <v>-84745221.540000007</v>
      </c>
      <c r="C19" s="52">
        <v>0</v>
      </c>
      <c r="D19" s="52">
        <f t="shared" si="4"/>
        <v>-84745221.540000007</v>
      </c>
      <c r="E19" s="52"/>
      <c r="F19" s="52">
        <v>-794699.82</v>
      </c>
      <c r="G19" s="52">
        <v>-551227972.11000001</v>
      </c>
      <c r="H19" s="52">
        <v>-110811421.87</v>
      </c>
      <c r="I19" s="52">
        <v>-65071284.090000004</v>
      </c>
      <c r="K19" s="52">
        <f t="shared" si="5"/>
        <v>-812650599.43000007</v>
      </c>
      <c r="L19" s="52"/>
      <c r="M19" s="111">
        <f t="shared" si="3"/>
        <v>49364</v>
      </c>
    </row>
    <row r="20" spans="1:17">
      <c r="A20" s="73">
        <f t="shared" si="2"/>
        <v>201912</v>
      </c>
      <c r="B20" s="177">
        <v>-86000366.540000007</v>
      </c>
      <c r="C20" s="177">
        <v>0</v>
      </c>
      <c r="D20" s="177">
        <f t="shared" si="4"/>
        <v>-86000366.540000007</v>
      </c>
      <c r="E20" s="52"/>
      <c r="F20" s="177">
        <v>-797364.82</v>
      </c>
      <c r="G20" s="177">
        <v>-555563632.11000001</v>
      </c>
      <c r="H20" s="177">
        <v>-111426202.87</v>
      </c>
      <c r="I20" s="177">
        <v>-65615292.090000004</v>
      </c>
      <c r="K20" s="177">
        <f t="shared" si="5"/>
        <v>-819402858.43000007</v>
      </c>
      <c r="L20" s="52"/>
      <c r="M20" s="111">
        <f t="shared" si="3"/>
        <v>-6752259</v>
      </c>
    </row>
    <row r="21" spans="1:17">
      <c r="B21" s="52"/>
      <c r="C21" s="52"/>
      <c r="D21" s="52"/>
      <c r="E21" s="52"/>
      <c r="F21" s="52"/>
      <c r="G21" s="52"/>
      <c r="H21" s="52"/>
      <c r="I21" s="52"/>
      <c r="K21" s="52"/>
      <c r="L21" s="52"/>
    </row>
    <row r="22" spans="1:17" ht="13.5" thickBot="1">
      <c r="A22" t="s">
        <v>236</v>
      </c>
      <c r="B22" s="176">
        <f>(((B8+B20)/2)+(B9+B10+B11+B12+B13+B14+B15+B16+B17+B18+B19))/12</f>
        <v>-86277771.706666663</v>
      </c>
      <c r="C22" s="176">
        <f>(((C8+C20)/2)+(C9+C10+C11+C12+C13+C14+C15+C16+C17+C18+C19))/12</f>
        <v>0</v>
      </c>
      <c r="D22" s="176">
        <f>SUM(B22:C22)</f>
        <v>-86277771.706666663</v>
      </c>
      <c r="E22" s="52"/>
      <c r="F22" s="176">
        <f>(((F8+F20)/2)+(F9+F10+F11+F12+F13+F14+F15+F16+F17+F18+F19))/12</f>
        <v>-781384.90333333344</v>
      </c>
      <c r="G22" s="176">
        <f>(((G8+G20)/2)+(G9+G10+G11+G12+G13+G14+G15+G16+G17+G18+G19))/12</f>
        <v>-550604716.02666652</v>
      </c>
      <c r="H22" s="176">
        <f>(((H8+H20)/2)+(H9+H10+H11+H12+H13+H14+H15+H16+H17+H18+H19))/12</f>
        <v>-110506625.20333333</v>
      </c>
      <c r="I22" s="176">
        <f>(((I8+I20)/2)+(I9+I10+I11+I12+I13+I14+I15+I16+I17+I18+I19))/12</f>
        <v>-64790647.840000026</v>
      </c>
      <c r="J22" s="52"/>
      <c r="K22" s="176">
        <f>SUM(D22:I22)</f>
        <v>-812961145.67999995</v>
      </c>
      <c r="L22" s="52"/>
    </row>
    <row r="23" spans="1:17">
      <c r="B23" s="52"/>
      <c r="C23" s="52"/>
      <c r="D23" s="52"/>
      <c r="E23" s="52"/>
      <c r="F23" s="52"/>
      <c r="G23" s="52"/>
      <c r="H23" s="52"/>
      <c r="I23" s="52"/>
      <c r="J23" s="52"/>
      <c r="K23" s="175"/>
      <c r="L23" s="52"/>
    </row>
    <row r="24" spans="1:17" ht="13.5" thickBot="1">
      <c r="A24" t="s">
        <v>237</v>
      </c>
      <c r="B24" s="176">
        <f>B20</f>
        <v>-86000366.540000007</v>
      </c>
      <c r="C24" s="176">
        <f t="shared" ref="C24:D24" si="6">C20</f>
        <v>0</v>
      </c>
      <c r="D24" s="176">
        <f t="shared" si="6"/>
        <v>-86000366.540000007</v>
      </c>
      <c r="E24" s="52"/>
      <c r="F24" s="176">
        <f>F20</f>
        <v>-797364.82</v>
      </c>
      <c r="G24" s="176">
        <f t="shared" ref="G24:I24" si="7">G20</f>
        <v>-555563632.11000001</v>
      </c>
      <c r="H24" s="176">
        <f t="shared" si="7"/>
        <v>-111426202.87</v>
      </c>
      <c r="I24" s="176">
        <f t="shared" si="7"/>
        <v>-65615292.090000004</v>
      </c>
      <c r="J24" s="52"/>
      <c r="K24" s="176">
        <f>SUM(D24:I24)</f>
        <v>-819402858.43000007</v>
      </c>
      <c r="L24" s="52"/>
    </row>
    <row r="25" spans="1:17">
      <c r="E25" s="47"/>
      <c r="F25" s="47"/>
    </row>
    <row r="26" spans="1:17">
      <c r="A26" s="188" t="s">
        <v>239</v>
      </c>
      <c r="E26" s="47"/>
      <c r="F26" s="47"/>
    </row>
    <row r="27" spans="1:17">
      <c r="A27" s="173"/>
      <c r="B27" s="173">
        <v>282900</v>
      </c>
      <c r="C27" s="173">
        <v>283000</v>
      </c>
      <c r="D27" s="173" t="s">
        <v>72</v>
      </c>
      <c r="E27" s="173"/>
      <c r="F27" s="173">
        <v>282900</v>
      </c>
      <c r="G27" s="173">
        <v>282900</v>
      </c>
      <c r="H27" s="173">
        <v>282900</v>
      </c>
      <c r="I27" s="173">
        <v>282900</v>
      </c>
      <c r="J27" s="173"/>
      <c r="K27" s="173"/>
      <c r="L27" s="173">
        <v>282900</v>
      </c>
      <c r="M27" s="111">
        <f>SUM(N27:Q28)</f>
        <v>-6801622</v>
      </c>
      <c r="N27" s="52">
        <f>-1255145-434479</f>
        <v>-1689624</v>
      </c>
      <c r="O27" s="52">
        <f>-4335661+218992</f>
        <v>-4116669</v>
      </c>
      <c r="P27" s="52">
        <f>-614781+98122</f>
        <v>-516659</v>
      </c>
      <c r="Q27" s="52">
        <f>-544008+65338</f>
        <v>-478670</v>
      </c>
    </row>
    <row r="28" spans="1:17">
      <c r="B28" s="173" t="s">
        <v>62</v>
      </c>
      <c r="C28" s="173" t="s">
        <v>62</v>
      </c>
      <c r="D28" s="173" t="s">
        <v>62</v>
      </c>
      <c r="E28" s="173"/>
      <c r="F28" s="173" t="s">
        <v>62</v>
      </c>
      <c r="G28" s="173" t="s">
        <v>65</v>
      </c>
      <c r="H28" s="173" t="s">
        <v>66</v>
      </c>
      <c r="I28" s="173" t="s">
        <v>66</v>
      </c>
      <c r="L28" s="173" t="s">
        <v>234</v>
      </c>
    </row>
    <row r="29" spans="1:17">
      <c r="A29" s="174" t="s">
        <v>106</v>
      </c>
      <c r="B29" s="29" t="s">
        <v>63</v>
      </c>
      <c r="C29" s="29" t="s">
        <v>63</v>
      </c>
      <c r="D29" s="29" t="s">
        <v>63</v>
      </c>
      <c r="E29" s="173"/>
      <c r="F29" s="29" t="s">
        <v>64</v>
      </c>
      <c r="G29" s="29" t="s">
        <v>64</v>
      </c>
      <c r="H29" s="29" t="s">
        <v>64</v>
      </c>
      <c r="I29" s="29" t="s">
        <v>67</v>
      </c>
      <c r="J29" s="174"/>
      <c r="K29" s="29" t="s">
        <v>235</v>
      </c>
      <c r="L29" s="29" t="s">
        <v>234</v>
      </c>
      <c r="N29" s="29" t="s">
        <v>172</v>
      </c>
      <c r="O29" s="29" t="s">
        <v>253</v>
      </c>
      <c r="P29" s="29" t="s">
        <v>254</v>
      </c>
      <c r="Q29" s="29" t="s">
        <v>255</v>
      </c>
    </row>
    <row r="30" spans="1:17">
      <c r="A30" s="73">
        <f>A52</f>
        <v>201812</v>
      </c>
      <c r="B30" s="52">
        <f>-1002700+N30</f>
        <v>-1143502</v>
      </c>
      <c r="C30" s="52"/>
      <c r="D30" s="52">
        <f t="shared" ref="D30:D38" si="8">SUM(B30:C30)</f>
        <v>-1143502</v>
      </c>
      <c r="E30" s="52"/>
      <c r="F30" s="52"/>
      <c r="G30" s="52">
        <f>423778+O30</f>
        <v>80722.25</v>
      </c>
      <c r="H30" s="52">
        <f>231933+P30</f>
        <v>188878.08333333334</v>
      </c>
      <c r="I30" s="52">
        <f>36860+Q30</f>
        <v>-3029.1666666666642</v>
      </c>
      <c r="K30" s="52">
        <f t="shared" ref="K30:K38" si="9">SUM(D30:I30)</f>
        <v>-876930.83333333326</v>
      </c>
      <c r="L30" s="52"/>
      <c r="N30" s="52">
        <f>(N27/12)</f>
        <v>-140802</v>
      </c>
      <c r="O30" s="52">
        <f t="shared" ref="O30:Q30" si="10">(O27/12)</f>
        <v>-343055.75</v>
      </c>
      <c r="P30" s="52">
        <f t="shared" si="10"/>
        <v>-43054.916666666664</v>
      </c>
      <c r="Q30" s="52">
        <f t="shared" si="10"/>
        <v>-39889.166666666664</v>
      </c>
    </row>
    <row r="31" spans="1:17">
      <c r="A31" s="73">
        <f t="shared" ref="A31:A42" si="11">A53</f>
        <v>201901</v>
      </c>
      <c r="B31" s="52">
        <f t="shared" ref="B31:B38" si="12">-1002700+N31</f>
        <v>-1284304</v>
      </c>
      <c r="C31" s="52"/>
      <c r="D31" s="52">
        <f t="shared" si="8"/>
        <v>-1284304</v>
      </c>
      <c r="E31" s="52"/>
      <c r="F31" s="52"/>
      <c r="G31" s="52">
        <f t="shared" ref="G31:G38" si="13">423778+O31</f>
        <v>-262333.5</v>
      </c>
      <c r="H31" s="52">
        <f t="shared" ref="H31:H38" si="14">231933+P31</f>
        <v>145823.16666666669</v>
      </c>
      <c r="I31" s="52">
        <f t="shared" ref="I31:I38" si="15">36860+Q31</f>
        <v>-42918.333333333328</v>
      </c>
      <c r="K31" s="52">
        <f t="shared" si="9"/>
        <v>-1443732.6666666665</v>
      </c>
      <c r="L31" s="52"/>
      <c r="N31" s="111">
        <f>($N$27/12)+N30</f>
        <v>-281604</v>
      </c>
      <c r="O31" s="52">
        <f>($O$27/12)+O30</f>
        <v>-686111.5</v>
      </c>
      <c r="P31" s="52">
        <f>($P$27/12)+P30</f>
        <v>-86109.833333333328</v>
      </c>
      <c r="Q31" s="52">
        <f>($Q$27/12)+Q30</f>
        <v>-79778.333333333328</v>
      </c>
    </row>
    <row r="32" spans="1:17">
      <c r="A32" s="73">
        <f t="shared" si="11"/>
        <v>201902</v>
      </c>
      <c r="B32" s="52">
        <f t="shared" si="12"/>
        <v>-1425106</v>
      </c>
      <c r="C32" s="52"/>
      <c r="D32" s="52">
        <f t="shared" si="8"/>
        <v>-1425106</v>
      </c>
      <c r="E32" s="52"/>
      <c r="F32" s="52"/>
      <c r="G32" s="52">
        <f t="shared" si="13"/>
        <v>-605389.25</v>
      </c>
      <c r="H32" s="52">
        <f t="shared" si="14"/>
        <v>102768.25</v>
      </c>
      <c r="I32" s="52">
        <f t="shared" si="15"/>
        <v>-82807.5</v>
      </c>
      <c r="K32" s="52">
        <f t="shared" si="9"/>
        <v>-2010534.5</v>
      </c>
      <c r="L32" s="52"/>
      <c r="N32" s="111">
        <f t="shared" ref="N32:N41" si="16">($N$27/12)+N31</f>
        <v>-422406</v>
      </c>
      <c r="O32" s="52">
        <f t="shared" ref="O32:O41" si="17">($O$27/12)+O31</f>
        <v>-1029167.25</v>
      </c>
      <c r="P32" s="52">
        <f t="shared" ref="P32:P41" si="18">($P$27/12)+P31</f>
        <v>-129164.75</v>
      </c>
      <c r="Q32" s="52">
        <f t="shared" ref="Q32:Q41" si="19">($Q$27/12)+Q31</f>
        <v>-119667.5</v>
      </c>
    </row>
    <row r="33" spans="1:17">
      <c r="A33" s="73">
        <f t="shared" si="11"/>
        <v>201903</v>
      </c>
      <c r="B33" s="52">
        <f t="shared" si="12"/>
        <v>-1565908</v>
      </c>
      <c r="C33" s="52"/>
      <c r="D33" s="52">
        <f t="shared" si="8"/>
        <v>-1565908</v>
      </c>
      <c r="E33" s="52"/>
      <c r="F33" s="52"/>
      <c r="G33" s="52">
        <f t="shared" si="13"/>
        <v>-948445</v>
      </c>
      <c r="H33" s="52">
        <f t="shared" si="14"/>
        <v>59713.333333333343</v>
      </c>
      <c r="I33" s="52">
        <f t="shared" si="15"/>
        <v>-122696.66666666666</v>
      </c>
      <c r="K33" s="52">
        <f t="shared" si="9"/>
        <v>-2577336.333333333</v>
      </c>
      <c r="L33" s="52"/>
      <c r="N33" s="111">
        <f t="shared" si="16"/>
        <v>-563208</v>
      </c>
      <c r="O33" s="52">
        <f t="shared" si="17"/>
        <v>-1372223</v>
      </c>
      <c r="P33" s="52">
        <f t="shared" si="18"/>
        <v>-172219.66666666666</v>
      </c>
      <c r="Q33" s="52">
        <f t="shared" si="19"/>
        <v>-159556.66666666666</v>
      </c>
    </row>
    <row r="34" spans="1:17">
      <c r="A34" s="73">
        <f t="shared" si="11"/>
        <v>201904</v>
      </c>
      <c r="B34" s="52">
        <f t="shared" si="12"/>
        <v>-1706710</v>
      </c>
      <c r="C34" s="52"/>
      <c r="D34" s="52">
        <f t="shared" si="8"/>
        <v>-1706710</v>
      </c>
      <c r="E34" s="52"/>
      <c r="F34" s="52"/>
      <c r="G34" s="52">
        <f t="shared" si="13"/>
        <v>-1291500.75</v>
      </c>
      <c r="H34" s="52">
        <f t="shared" si="14"/>
        <v>16658.416666666686</v>
      </c>
      <c r="I34" s="52">
        <f t="shared" si="15"/>
        <v>-162585.83333333331</v>
      </c>
      <c r="K34" s="52">
        <f t="shared" si="9"/>
        <v>-3144138.166666667</v>
      </c>
      <c r="L34" s="52"/>
      <c r="N34" s="111">
        <f t="shared" si="16"/>
        <v>-704010</v>
      </c>
      <c r="O34" s="52">
        <f t="shared" si="17"/>
        <v>-1715278.75</v>
      </c>
      <c r="P34" s="52">
        <f t="shared" si="18"/>
        <v>-215274.58333333331</v>
      </c>
      <c r="Q34" s="52">
        <f t="shared" si="19"/>
        <v>-199445.83333333331</v>
      </c>
    </row>
    <row r="35" spans="1:17">
      <c r="A35" s="73">
        <f t="shared" si="11"/>
        <v>201905</v>
      </c>
      <c r="B35" s="52">
        <f t="shared" si="12"/>
        <v>-1847512</v>
      </c>
      <c r="C35" s="52"/>
      <c r="D35" s="52">
        <f t="shared" si="8"/>
        <v>-1847512</v>
      </c>
      <c r="E35" s="52"/>
      <c r="F35" s="52"/>
      <c r="G35" s="52">
        <f t="shared" si="13"/>
        <v>-1634556.5</v>
      </c>
      <c r="H35" s="52">
        <f t="shared" si="14"/>
        <v>-26396.499999999971</v>
      </c>
      <c r="I35" s="52">
        <f t="shared" si="15"/>
        <v>-202474.99999999997</v>
      </c>
      <c r="K35" s="52">
        <f t="shared" si="9"/>
        <v>-3710940</v>
      </c>
      <c r="L35" s="52"/>
      <c r="N35" s="111">
        <f t="shared" si="16"/>
        <v>-844812</v>
      </c>
      <c r="O35" s="52">
        <f t="shared" si="17"/>
        <v>-2058334.5</v>
      </c>
      <c r="P35" s="52">
        <f t="shared" si="18"/>
        <v>-258329.49999999997</v>
      </c>
      <c r="Q35" s="52">
        <f t="shared" si="19"/>
        <v>-239334.99999999997</v>
      </c>
    </row>
    <row r="36" spans="1:17">
      <c r="A36" s="73">
        <f t="shared" si="11"/>
        <v>201906</v>
      </c>
      <c r="B36" s="52">
        <f t="shared" si="12"/>
        <v>-1988314</v>
      </c>
      <c r="C36" s="52"/>
      <c r="D36" s="52">
        <f t="shared" si="8"/>
        <v>-1988314</v>
      </c>
      <c r="E36" s="52"/>
      <c r="F36" s="52"/>
      <c r="G36" s="52">
        <f t="shared" si="13"/>
        <v>-1977612.25</v>
      </c>
      <c r="H36" s="52">
        <f t="shared" si="14"/>
        <v>-69451.416666666628</v>
      </c>
      <c r="I36" s="52">
        <f t="shared" si="15"/>
        <v>-242364.16666666663</v>
      </c>
      <c r="K36" s="52">
        <f t="shared" si="9"/>
        <v>-4277741.833333333</v>
      </c>
      <c r="L36" s="52"/>
      <c r="N36" s="111">
        <f t="shared" si="16"/>
        <v>-985614</v>
      </c>
      <c r="O36" s="52">
        <f t="shared" si="17"/>
        <v>-2401390.25</v>
      </c>
      <c r="P36" s="52">
        <f t="shared" si="18"/>
        <v>-301384.41666666663</v>
      </c>
      <c r="Q36" s="52">
        <f t="shared" si="19"/>
        <v>-279224.16666666663</v>
      </c>
    </row>
    <row r="37" spans="1:17">
      <c r="A37" s="73">
        <f t="shared" si="11"/>
        <v>201907</v>
      </c>
      <c r="B37" s="52">
        <f t="shared" si="12"/>
        <v>-2129116</v>
      </c>
      <c r="C37" s="52"/>
      <c r="D37" s="52">
        <f t="shared" si="8"/>
        <v>-2129116</v>
      </c>
      <c r="E37" s="52"/>
      <c r="F37" s="52"/>
      <c r="G37" s="52">
        <f t="shared" si="13"/>
        <v>-2320668</v>
      </c>
      <c r="H37" s="52">
        <f t="shared" si="14"/>
        <v>-112506.33333333331</v>
      </c>
      <c r="I37" s="52">
        <f t="shared" si="15"/>
        <v>-282253.33333333331</v>
      </c>
      <c r="K37" s="52">
        <f t="shared" si="9"/>
        <v>-4844543.666666666</v>
      </c>
      <c r="L37" s="52"/>
      <c r="N37" s="111">
        <f t="shared" si="16"/>
        <v>-1126416</v>
      </c>
      <c r="O37" s="52">
        <f t="shared" si="17"/>
        <v>-2744446</v>
      </c>
      <c r="P37" s="52">
        <f t="shared" si="18"/>
        <v>-344439.33333333331</v>
      </c>
      <c r="Q37" s="52">
        <f t="shared" si="19"/>
        <v>-319113.33333333331</v>
      </c>
    </row>
    <row r="38" spans="1:17">
      <c r="A38" s="73">
        <f t="shared" si="11"/>
        <v>201908</v>
      </c>
      <c r="B38" s="52">
        <f t="shared" si="12"/>
        <v>-2269918</v>
      </c>
      <c r="C38" s="52"/>
      <c r="D38" s="52">
        <f t="shared" si="8"/>
        <v>-2269918</v>
      </c>
      <c r="E38" s="52"/>
      <c r="F38" s="52"/>
      <c r="G38" s="52">
        <f t="shared" si="13"/>
        <v>-2663723.75</v>
      </c>
      <c r="H38" s="52">
        <f t="shared" si="14"/>
        <v>-155561.25</v>
      </c>
      <c r="I38" s="52">
        <f t="shared" si="15"/>
        <v>-322142.5</v>
      </c>
      <c r="K38" s="52">
        <f t="shared" si="9"/>
        <v>-5411345.5</v>
      </c>
      <c r="L38" s="52"/>
      <c r="N38" s="111">
        <f t="shared" si="16"/>
        <v>-1267218</v>
      </c>
      <c r="O38" s="52">
        <f t="shared" si="17"/>
        <v>-3087501.75</v>
      </c>
      <c r="P38" s="52">
        <f t="shared" si="18"/>
        <v>-387494.25</v>
      </c>
      <c r="Q38" s="52">
        <f t="shared" si="19"/>
        <v>-359002.5</v>
      </c>
    </row>
    <row r="39" spans="1:17">
      <c r="A39" s="73">
        <f t="shared" si="11"/>
        <v>201909</v>
      </c>
      <c r="B39" s="52">
        <f>N39</f>
        <v>-1408020</v>
      </c>
      <c r="C39" s="52"/>
      <c r="D39" s="52">
        <f t="shared" ref="D39:D41" si="20">SUM(B39:C39)</f>
        <v>-1408020</v>
      </c>
      <c r="E39" s="52"/>
      <c r="F39" s="52"/>
      <c r="G39" s="52">
        <f>O38</f>
        <v>-3087501.75</v>
      </c>
      <c r="H39" s="52">
        <f>P39</f>
        <v>-430549.16666666669</v>
      </c>
      <c r="I39" s="52">
        <f>Q39</f>
        <v>-398891.66666666669</v>
      </c>
      <c r="K39" s="52">
        <f t="shared" ref="K39:K42" si="21">SUM(D39:I39)</f>
        <v>-5324962.583333334</v>
      </c>
      <c r="L39" s="52"/>
      <c r="N39" s="111">
        <f t="shared" si="16"/>
        <v>-1408020</v>
      </c>
      <c r="O39" s="52">
        <f t="shared" si="17"/>
        <v>-3430557.5</v>
      </c>
      <c r="P39" s="52">
        <f t="shared" si="18"/>
        <v>-430549.16666666669</v>
      </c>
      <c r="Q39" s="52">
        <f t="shared" si="19"/>
        <v>-398891.66666666669</v>
      </c>
    </row>
    <row r="40" spans="1:17">
      <c r="A40" s="73">
        <f t="shared" si="11"/>
        <v>201910</v>
      </c>
      <c r="B40" s="52">
        <f t="shared" ref="B40:B41" si="22">N40</f>
        <v>-1548822</v>
      </c>
      <c r="C40" s="52"/>
      <c r="D40" s="52">
        <f t="shared" si="20"/>
        <v>-1548822</v>
      </c>
      <c r="E40" s="52"/>
      <c r="F40" s="52"/>
      <c r="G40" s="52">
        <f t="shared" ref="G40:G41" si="23">O39</f>
        <v>-3430557.5</v>
      </c>
      <c r="H40" s="52">
        <f t="shared" ref="H40:H41" si="24">P40</f>
        <v>-473604.08333333337</v>
      </c>
      <c r="I40" s="52">
        <f t="shared" ref="I40:I41" si="25">Q40</f>
        <v>-438780.83333333337</v>
      </c>
      <c r="K40" s="52">
        <f t="shared" si="21"/>
        <v>-5891764.416666666</v>
      </c>
      <c r="L40" s="52"/>
      <c r="N40" s="111">
        <f t="shared" si="16"/>
        <v>-1548822</v>
      </c>
      <c r="O40" s="52">
        <f t="shared" si="17"/>
        <v>-3773613.25</v>
      </c>
      <c r="P40" s="52">
        <f t="shared" si="18"/>
        <v>-473604.08333333337</v>
      </c>
      <c r="Q40" s="52">
        <f t="shared" si="19"/>
        <v>-438780.83333333337</v>
      </c>
    </row>
    <row r="41" spans="1:17">
      <c r="A41" s="73">
        <f t="shared" si="11"/>
        <v>201911</v>
      </c>
      <c r="B41" s="52">
        <f t="shared" si="22"/>
        <v>-1689624</v>
      </c>
      <c r="C41" s="52"/>
      <c r="D41" s="52">
        <f t="shared" si="20"/>
        <v>-1689624</v>
      </c>
      <c r="E41" s="52"/>
      <c r="F41" s="52"/>
      <c r="G41" s="52">
        <f t="shared" si="23"/>
        <v>-3773613.25</v>
      </c>
      <c r="H41" s="52">
        <f t="shared" si="24"/>
        <v>-516659.00000000006</v>
      </c>
      <c r="I41" s="52">
        <f t="shared" si="25"/>
        <v>-478670.00000000006</v>
      </c>
      <c r="K41" s="52">
        <f t="shared" si="21"/>
        <v>-6458566.25</v>
      </c>
      <c r="L41" s="52"/>
      <c r="N41" s="111">
        <f t="shared" si="16"/>
        <v>-1689624</v>
      </c>
      <c r="O41" s="52">
        <f t="shared" si="17"/>
        <v>-4116669</v>
      </c>
      <c r="P41" s="52">
        <f t="shared" si="18"/>
        <v>-516659.00000000006</v>
      </c>
      <c r="Q41" s="52">
        <f t="shared" si="19"/>
        <v>-478670.00000000006</v>
      </c>
    </row>
    <row r="42" spans="1:17">
      <c r="A42" s="73">
        <f t="shared" si="11"/>
        <v>201912</v>
      </c>
      <c r="B42" s="52"/>
      <c r="C42" s="52"/>
      <c r="D42" s="177">
        <f t="shared" ref="D42" si="26">SUM(B42:C42)</f>
        <v>0</v>
      </c>
      <c r="E42" s="52"/>
      <c r="F42" s="52"/>
      <c r="G42" s="52"/>
      <c r="H42" s="52"/>
      <c r="I42" s="52"/>
      <c r="K42" s="177">
        <f t="shared" si="21"/>
        <v>0</v>
      </c>
      <c r="L42" s="52"/>
    </row>
    <row r="43" spans="1:17">
      <c r="B43" s="180"/>
      <c r="C43" s="180"/>
      <c r="D43" s="52"/>
      <c r="E43" s="52"/>
      <c r="F43" s="180"/>
      <c r="G43" s="180"/>
      <c r="H43" s="180"/>
      <c r="I43" s="180"/>
      <c r="K43" s="52"/>
      <c r="L43" s="52"/>
    </row>
    <row r="44" spans="1:17" ht="13.5" thickBot="1">
      <c r="A44" t="s">
        <v>236</v>
      </c>
      <c r="B44" s="176">
        <f>(((B30+B42)/2)+(B31+B32+B33+B34+B35+B36+B37+B38+B39+B40+B41))/12</f>
        <v>-1619592.0833333333</v>
      </c>
      <c r="C44" s="176">
        <f>(((C30+C42)/2)+(C31+C32+C33+C34+C35+C36+C37+C38+C39+C40+C41))/12</f>
        <v>0</v>
      </c>
      <c r="D44" s="176">
        <f>SUM(B44:C44)</f>
        <v>-1619592.0833333333</v>
      </c>
      <c r="E44" s="52"/>
      <c r="F44" s="176">
        <f>(((F30+F42)/2)+(F31+F32+F33+F34+F35+F36+F37+F38+F39+F40+F41))/12</f>
        <v>0</v>
      </c>
      <c r="G44" s="176">
        <f>(((G30+G42)/2)+(G31+G32+G33+G34+G35+G36+G37+G38+G39+G40+G41))/12</f>
        <v>-1829628.3645833333</v>
      </c>
      <c r="H44" s="176">
        <f>(((H30+H42)/2)+(H31+H32+H33+H34+H35+H36+H37+H38+H39+H40+H41))/12</f>
        <v>-113777.1284722222</v>
      </c>
      <c r="I44" s="176">
        <f>(((I30+I42)/2)+(I31+I32+I33+I34+I35+I36+I37+I38+I39+I40+I41))/12</f>
        <v>-231508.36805555559</v>
      </c>
      <c r="J44" s="52"/>
      <c r="K44" s="176">
        <f>SUM(D44:I44)</f>
        <v>-3794505.944444444</v>
      </c>
      <c r="L44" s="52"/>
    </row>
    <row r="45" spans="1:17">
      <c r="B45" s="52"/>
      <c r="C45" s="52"/>
      <c r="D45" s="52"/>
      <c r="E45" s="52"/>
      <c r="F45" s="52"/>
      <c r="G45" s="52"/>
      <c r="H45" s="52"/>
      <c r="I45" s="52"/>
      <c r="J45" s="52"/>
      <c r="K45" s="175"/>
      <c r="L45" s="52"/>
    </row>
    <row r="46" spans="1:17" ht="13.5" thickBot="1">
      <c r="A46" t="s">
        <v>237</v>
      </c>
      <c r="B46" s="176">
        <f>B42</f>
        <v>0</v>
      </c>
      <c r="C46" s="176">
        <f t="shared" ref="C46:D46" si="27">C42</f>
        <v>0</v>
      </c>
      <c r="D46" s="176">
        <f t="shared" si="27"/>
        <v>0</v>
      </c>
      <c r="E46" s="52"/>
      <c r="F46" s="176">
        <f>F42</f>
        <v>0</v>
      </c>
      <c r="G46" s="176">
        <f t="shared" ref="G46:I46" si="28">G42</f>
        <v>0</v>
      </c>
      <c r="H46" s="176">
        <f t="shared" si="28"/>
        <v>0</v>
      </c>
      <c r="I46" s="176">
        <f t="shared" si="28"/>
        <v>0</v>
      </c>
      <c r="J46" s="52"/>
      <c r="K46" s="176">
        <f>SUM(D46:I46)</f>
        <v>0</v>
      </c>
      <c r="L46" s="52"/>
    </row>
    <row r="47" spans="1:17">
      <c r="E47" s="47"/>
      <c r="F47" s="47"/>
    </row>
    <row r="48" spans="1:17">
      <c r="A48" s="188" t="s">
        <v>240</v>
      </c>
      <c r="E48" s="47"/>
      <c r="F48" s="47"/>
    </row>
    <row r="49" spans="1:12">
      <c r="A49" s="172"/>
      <c r="B49" s="172">
        <v>282900</v>
      </c>
      <c r="C49" s="172">
        <v>283000</v>
      </c>
      <c r="D49" s="172" t="s">
        <v>72</v>
      </c>
      <c r="E49" s="172"/>
      <c r="F49" s="172">
        <v>282900</v>
      </c>
      <c r="G49" s="172">
        <v>282900</v>
      </c>
      <c r="H49" s="172">
        <v>282900</v>
      </c>
      <c r="I49" s="172">
        <v>282900</v>
      </c>
      <c r="J49" s="172"/>
      <c r="K49" s="172"/>
      <c r="L49" s="172">
        <v>282900</v>
      </c>
    </row>
    <row r="50" spans="1:12">
      <c r="B50" s="172" t="s">
        <v>62</v>
      </c>
      <c r="C50" s="172" t="s">
        <v>62</v>
      </c>
      <c r="D50" s="172" t="s">
        <v>62</v>
      </c>
      <c r="E50" s="172"/>
      <c r="F50" s="172" t="s">
        <v>62</v>
      </c>
      <c r="G50" s="172" t="s">
        <v>65</v>
      </c>
      <c r="H50" s="172" t="s">
        <v>66</v>
      </c>
      <c r="I50" s="172" t="s">
        <v>66</v>
      </c>
      <c r="L50" s="172" t="s">
        <v>234</v>
      </c>
    </row>
    <row r="51" spans="1:12">
      <c r="A51" s="174" t="s">
        <v>106</v>
      </c>
      <c r="B51" s="29" t="s">
        <v>63</v>
      </c>
      <c r="C51" s="29" t="s">
        <v>63</v>
      </c>
      <c r="D51" s="29" t="s">
        <v>63</v>
      </c>
      <c r="E51" s="172"/>
      <c r="F51" s="29" t="s">
        <v>64</v>
      </c>
      <c r="G51" s="29" t="s">
        <v>64</v>
      </c>
      <c r="H51" s="29" t="s">
        <v>64</v>
      </c>
      <c r="I51" s="29" t="s">
        <v>67</v>
      </c>
      <c r="J51" s="174"/>
      <c r="K51" s="29" t="s">
        <v>235</v>
      </c>
      <c r="L51" s="29" t="s">
        <v>234</v>
      </c>
    </row>
    <row r="52" spans="1:12">
      <c r="A52" s="73">
        <f>'283200 ED AN'!A6</f>
        <v>201812</v>
      </c>
      <c r="B52" s="52">
        <f>B8+B30</f>
        <v>-89665292.540000007</v>
      </c>
      <c r="C52" s="52">
        <f>C8+C30</f>
        <v>0</v>
      </c>
      <c r="D52" s="52">
        <f>SUM(B52:C52)</f>
        <v>-89665292.540000007</v>
      </c>
      <c r="E52" s="52"/>
      <c r="F52" s="52">
        <f>F8+F30</f>
        <v>-765406.82</v>
      </c>
      <c r="G52" s="52">
        <f t="shared" ref="G52:I52" si="29">G8+G30</f>
        <v>-549162115.86000001</v>
      </c>
      <c r="H52" s="52">
        <f t="shared" si="29"/>
        <v>-109775134.78666668</v>
      </c>
      <c r="I52" s="52">
        <f t="shared" si="29"/>
        <v>-64392455.256666668</v>
      </c>
      <c r="K52" s="52">
        <f>SUM(D52:I52)</f>
        <v>-813760405.26333332</v>
      </c>
      <c r="L52" s="52"/>
    </row>
    <row r="53" spans="1:12">
      <c r="A53" s="73">
        <f>'283200 ED AN'!A7</f>
        <v>201901</v>
      </c>
      <c r="B53" s="52">
        <f t="shared" ref="B53:C64" si="30">B9+B31</f>
        <v>-89371615.540000007</v>
      </c>
      <c r="C53" s="52">
        <f t="shared" si="30"/>
        <v>0</v>
      </c>
      <c r="D53" s="52">
        <f t="shared" ref="D53:D64" si="31">SUM(B53:C53)</f>
        <v>-89371615.540000007</v>
      </c>
      <c r="E53" s="52"/>
      <c r="F53" s="52">
        <f t="shared" ref="F53:I64" si="32">F9+F31</f>
        <v>-768069.82</v>
      </c>
      <c r="G53" s="52">
        <f t="shared" si="32"/>
        <v>-549724163.61000001</v>
      </c>
      <c r="H53" s="52">
        <f t="shared" si="32"/>
        <v>-109916311.70333333</v>
      </c>
      <c r="I53" s="52">
        <f t="shared" si="32"/>
        <v>-64497682.423333339</v>
      </c>
      <c r="K53" s="52">
        <f t="shared" ref="K53:K64" si="33">SUM(D53:I53)</f>
        <v>-814277843.09666669</v>
      </c>
      <c r="L53" s="52"/>
    </row>
    <row r="54" spans="1:12">
      <c r="A54" s="73">
        <f>'283200 ED AN'!A8</f>
        <v>201902</v>
      </c>
      <c r="B54" s="52">
        <f t="shared" si="30"/>
        <v>-89077938.540000007</v>
      </c>
      <c r="C54" s="52">
        <f t="shared" si="30"/>
        <v>0</v>
      </c>
      <c r="D54" s="52">
        <f>SUM(B54:C54)</f>
        <v>-89077938.540000007</v>
      </c>
      <c r="E54" s="52"/>
      <c r="F54" s="52">
        <f t="shared" si="32"/>
        <v>-770732.82</v>
      </c>
      <c r="G54" s="52">
        <f t="shared" si="32"/>
        <v>-550286211.36000001</v>
      </c>
      <c r="H54" s="52">
        <f t="shared" si="32"/>
        <v>-110057488.62</v>
      </c>
      <c r="I54" s="52">
        <f t="shared" si="32"/>
        <v>-64602909.590000004</v>
      </c>
      <c r="K54" s="52">
        <f t="shared" si="33"/>
        <v>-814795280.93000007</v>
      </c>
      <c r="L54" s="52"/>
    </row>
    <row r="55" spans="1:12">
      <c r="A55" s="73">
        <f>'283200 ED AN'!A9</f>
        <v>201903</v>
      </c>
      <c r="B55" s="52">
        <f t="shared" si="30"/>
        <v>-88784261.540000007</v>
      </c>
      <c r="C55" s="52">
        <f t="shared" si="30"/>
        <v>0</v>
      </c>
      <c r="D55" s="52">
        <f t="shared" si="31"/>
        <v>-88784261.540000007</v>
      </c>
      <c r="E55" s="52"/>
      <c r="F55" s="52">
        <f t="shared" si="32"/>
        <v>-773395.82</v>
      </c>
      <c r="G55" s="52">
        <f t="shared" si="32"/>
        <v>-550848259.11000001</v>
      </c>
      <c r="H55" s="52">
        <f t="shared" si="32"/>
        <v>-110198665.53666668</v>
      </c>
      <c r="I55" s="52">
        <f t="shared" si="32"/>
        <v>-64708136.756666668</v>
      </c>
      <c r="K55" s="52">
        <f t="shared" si="33"/>
        <v>-815312718.76333332</v>
      </c>
      <c r="L55" s="52"/>
    </row>
    <row r="56" spans="1:12">
      <c r="A56" s="73">
        <f>'283200 ED AN'!A10</f>
        <v>201904</v>
      </c>
      <c r="B56" s="52">
        <f t="shared" si="30"/>
        <v>-88490584.540000007</v>
      </c>
      <c r="C56" s="52">
        <f t="shared" si="30"/>
        <v>0</v>
      </c>
      <c r="D56" s="52">
        <f t="shared" si="31"/>
        <v>-88490584.540000007</v>
      </c>
      <c r="E56" s="52"/>
      <c r="F56" s="52">
        <f t="shared" si="32"/>
        <v>-776058.82</v>
      </c>
      <c r="G56" s="52">
        <f t="shared" si="32"/>
        <v>-551410306.86000001</v>
      </c>
      <c r="H56" s="52">
        <f t="shared" si="32"/>
        <v>-110339842.45333333</v>
      </c>
      <c r="I56" s="52">
        <f t="shared" si="32"/>
        <v>-64813363.923333339</v>
      </c>
      <c r="K56" s="52">
        <f t="shared" si="33"/>
        <v>-815830156.59666669</v>
      </c>
      <c r="L56" s="52"/>
    </row>
    <row r="57" spans="1:12">
      <c r="A57" s="73">
        <f>'283200 ED AN'!A11</f>
        <v>201905</v>
      </c>
      <c r="B57" s="52">
        <f t="shared" si="30"/>
        <v>-88196907.540000007</v>
      </c>
      <c r="C57" s="52">
        <f t="shared" si="30"/>
        <v>0</v>
      </c>
      <c r="D57" s="52">
        <f t="shared" si="31"/>
        <v>-88196907.540000007</v>
      </c>
      <c r="E57" s="52"/>
      <c r="F57" s="52">
        <f t="shared" si="32"/>
        <v>-778721.82</v>
      </c>
      <c r="G57" s="52">
        <f t="shared" si="32"/>
        <v>-551972354.61000001</v>
      </c>
      <c r="H57" s="52">
        <f t="shared" si="32"/>
        <v>-110481019.37</v>
      </c>
      <c r="I57" s="52">
        <f t="shared" si="32"/>
        <v>-64918591.090000004</v>
      </c>
      <c r="K57" s="52">
        <f t="shared" si="33"/>
        <v>-816347594.43000007</v>
      </c>
      <c r="L57" s="52"/>
    </row>
    <row r="58" spans="1:12">
      <c r="A58" s="73">
        <f>'283200 ED AN'!A12</f>
        <v>201906</v>
      </c>
      <c r="B58" s="52">
        <f t="shared" si="30"/>
        <v>-87903230.540000007</v>
      </c>
      <c r="C58" s="52">
        <f t="shared" si="30"/>
        <v>0</v>
      </c>
      <c r="D58" s="52">
        <f t="shared" si="31"/>
        <v>-87903230.540000007</v>
      </c>
      <c r="E58" s="52"/>
      <c r="F58" s="52">
        <f t="shared" si="32"/>
        <v>-781384.82</v>
      </c>
      <c r="G58" s="52">
        <f t="shared" si="32"/>
        <v>-552534402.36000001</v>
      </c>
      <c r="H58" s="52">
        <f t="shared" si="32"/>
        <v>-110622196.28666668</v>
      </c>
      <c r="I58" s="52">
        <f t="shared" si="32"/>
        <v>-65023818.256666668</v>
      </c>
      <c r="K58" s="52">
        <f t="shared" si="33"/>
        <v>-816865032.26333332</v>
      </c>
      <c r="L58" s="52"/>
    </row>
    <row r="59" spans="1:12">
      <c r="A59" s="73">
        <f>'283200 ED AN'!A13</f>
        <v>201907</v>
      </c>
      <c r="B59" s="52">
        <f t="shared" si="30"/>
        <v>-87609553.540000007</v>
      </c>
      <c r="C59" s="52">
        <f t="shared" si="30"/>
        <v>0</v>
      </c>
      <c r="D59" s="52">
        <f t="shared" si="31"/>
        <v>-87609553.540000007</v>
      </c>
      <c r="E59" s="52"/>
      <c r="F59" s="52">
        <f t="shared" si="32"/>
        <v>-784047.82</v>
      </c>
      <c r="G59" s="52">
        <f t="shared" si="32"/>
        <v>-553096450.11000001</v>
      </c>
      <c r="H59" s="52">
        <f t="shared" si="32"/>
        <v>-110763373.20333333</v>
      </c>
      <c r="I59" s="52">
        <f t="shared" si="32"/>
        <v>-65129045.423333339</v>
      </c>
      <c r="K59" s="52">
        <f t="shared" si="33"/>
        <v>-817382470.09666669</v>
      </c>
      <c r="L59" s="52"/>
    </row>
    <row r="60" spans="1:12">
      <c r="A60" s="73">
        <f>'283200 ED AN'!A14</f>
        <v>201908</v>
      </c>
      <c r="B60" s="52">
        <f t="shared" si="30"/>
        <v>-87315876.540000007</v>
      </c>
      <c r="C60" s="52">
        <f t="shared" si="30"/>
        <v>0</v>
      </c>
      <c r="D60" s="52">
        <f t="shared" si="31"/>
        <v>-87315876.540000007</v>
      </c>
      <c r="E60" s="52"/>
      <c r="F60" s="52">
        <f t="shared" si="32"/>
        <v>-786710.82</v>
      </c>
      <c r="G60" s="52">
        <f t="shared" si="32"/>
        <v>-553658497.86000001</v>
      </c>
      <c r="H60" s="52">
        <f t="shared" si="32"/>
        <v>-110904550.12</v>
      </c>
      <c r="I60" s="52">
        <f t="shared" si="32"/>
        <v>-65234272.590000004</v>
      </c>
      <c r="K60" s="52">
        <f t="shared" si="33"/>
        <v>-817899907.93000007</v>
      </c>
      <c r="L60" s="52"/>
    </row>
    <row r="61" spans="1:12">
      <c r="A61" s="73">
        <f>'283200 ED AN'!A15</f>
        <v>201909</v>
      </c>
      <c r="B61" s="52">
        <f t="shared" si="30"/>
        <v>-87022199.540000007</v>
      </c>
      <c r="C61" s="52">
        <f t="shared" si="30"/>
        <v>0</v>
      </c>
      <c r="D61" s="52">
        <f t="shared" si="31"/>
        <v>-87022199.540000007</v>
      </c>
      <c r="E61" s="52"/>
      <c r="F61" s="52">
        <f t="shared" si="32"/>
        <v>-789373.82</v>
      </c>
      <c r="G61" s="52">
        <f t="shared" si="32"/>
        <v>-553877489.86000001</v>
      </c>
      <c r="H61" s="52">
        <f t="shared" si="32"/>
        <v>-111045727.03666668</v>
      </c>
      <c r="I61" s="52">
        <f t="shared" si="32"/>
        <v>-65339499.756666668</v>
      </c>
      <c r="K61" s="52">
        <f t="shared" si="33"/>
        <v>-818074290.01333332</v>
      </c>
      <c r="L61" s="52"/>
    </row>
    <row r="62" spans="1:12">
      <c r="A62" s="73">
        <f>'283200 ED AN'!A16</f>
        <v>201910</v>
      </c>
      <c r="B62" s="52">
        <f t="shared" si="30"/>
        <v>-86728522.540000007</v>
      </c>
      <c r="C62" s="52">
        <f t="shared" si="30"/>
        <v>0</v>
      </c>
      <c r="D62" s="52">
        <f t="shared" si="31"/>
        <v>-86728522.540000007</v>
      </c>
      <c r="E62" s="52"/>
      <c r="F62" s="52">
        <f t="shared" si="32"/>
        <v>-792036.82</v>
      </c>
      <c r="G62" s="52">
        <f t="shared" si="32"/>
        <v>-554439537.61000001</v>
      </c>
      <c r="H62" s="52">
        <f t="shared" si="32"/>
        <v>-111186903.95333333</v>
      </c>
      <c r="I62" s="52">
        <f t="shared" si="32"/>
        <v>-65444726.923333339</v>
      </c>
      <c r="K62" s="52">
        <f t="shared" si="33"/>
        <v>-818591727.84666669</v>
      </c>
      <c r="L62" s="52"/>
    </row>
    <row r="63" spans="1:12">
      <c r="A63" s="73">
        <f>'283200 ED AN'!A17</f>
        <v>201911</v>
      </c>
      <c r="B63" s="52">
        <f t="shared" si="30"/>
        <v>-86434845.540000007</v>
      </c>
      <c r="C63" s="52">
        <f t="shared" si="30"/>
        <v>0</v>
      </c>
      <c r="D63" s="52">
        <f t="shared" si="31"/>
        <v>-86434845.540000007</v>
      </c>
      <c r="E63" s="52"/>
      <c r="F63" s="52">
        <f t="shared" si="32"/>
        <v>-794699.82</v>
      </c>
      <c r="G63" s="52">
        <f t="shared" si="32"/>
        <v>-555001585.36000001</v>
      </c>
      <c r="H63" s="52">
        <f t="shared" si="32"/>
        <v>-111328080.87</v>
      </c>
      <c r="I63" s="52">
        <f t="shared" si="32"/>
        <v>-65549954.090000004</v>
      </c>
      <c r="K63" s="52">
        <f t="shared" si="33"/>
        <v>-819109165.68000007</v>
      </c>
      <c r="L63" s="52"/>
    </row>
    <row r="64" spans="1:12" ht="15">
      <c r="A64" s="73">
        <f>'283200 ED AN'!A18</f>
        <v>201912</v>
      </c>
      <c r="B64" s="177">
        <f t="shared" si="30"/>
        <v>-86000366.540000007</v>
      </c>
      <c r="C64" s="177">
        <f t="shared" si="30"/>
        <v>0</v>
      </c>
      <c r="D64" s="177">
        <f t="shared" si="31"/>
        <v>-86000366.540000007</v>
      </c>
      <c r="E64" s="52"/>
      <c r="F64" s="178">
        <f t="shared" si="32"/>
        <v>-797364.82</v>
      </c>
      <c r="G64" s="178">
        <f t="shared" si="32"/>
        <v>-555563632.11000001</v>
      </c>
      <c r="H64" s="178">
        <f t="shared" si="32"/>
        <v>-111426202.87</v>
      </c>
      <c r="I64" s="178">
        <f t="shared" si="32"/>
        <v>-65615292.090000004</v>
      </c>
      <c r="K64" s="177">
        <f t="shared" si="33"/>
        <v>-819402858.43000007</v>
      </c>
      <c r="L64" s="52"/>
    </row>
    <row r="65" spans="1:12">
      <c r="B65" s="52"/>
      <c r="C65" s="52"/>
      <c r="D65" s="52"/>
      <c r="E65" s="52"/>
      <c r="F65" s="52"/>
      <c r="G65" s="52"/>
      <c r="H65" s="52"/>
      <c r="I65" s="52"/>
      <c r="K65" s="52"/>
      <c r="L65" s="52"/>
    </row>
    <row r="66" spans="1:12" ht="13.5" thickBot="1">
      <c r="A66" t="s">
        <v>236</v>
      </c>
      <c r="B66" s="176">
        <f>(((B52+B64)/2)+(B53+B54+B55+B56+B57+B58+B59+B60+B61+B62+B63))/12</f>
        <v>-87897363.789999992</v>
      </c>
      <c r="C66" s="176">
        <f>(((C52+C64)/2)+(C53+C54+C55+C56+C57+C58+C59+C60+C61+C62+C63))/12</f>
        <v>0</v>
      </c>
      <c r="D66" s="205">
        <f>SUM(B66:C66)</f>
        <v>-87897363.789999992</v>
      </c>
      <c r="E66" s="52"/>
      <c r="F66" s="205">
        <f>(((F52+F64)/2)+(F53+F54+F55+F56+F57+F58+F59+F60+F61+F62+F63))/12</f>
        <v>-781384.90333333344</v>
      </c>
      <c r="G66" s="205">
        <f>(((G52+G64)/2)+(G53+G54+G55+G56+G57+G58+G59+G60+G61+G62+G63))/12</f>
        <v>-552434344.3912499</v>
      </c>
      <c r="H66" s="205">
        <f>(((H52+H64)/2)+(H53+H54+H55+H56+H57+H58+H59+H60+H61+H62+H63))/12</f>
        <v>-110620402.33180554</v>
      </c>
      <c r="I66" s="205">
        <f>(((I52+I64)/2)+(I53+I54+I55+I56+I57+I58+I59+I60+I61+I62+I63))/12</f>
        <v>-65022156.208055556</v>
      </c>
      <c r="J66" s="52"/>
      <c r="K66" s="205">
        <f>SUM(D66:I66)</f>
        <v>-816755651.62444448</v>
      </c>
      <c r="L66" s="52"/>
    </row>
    <row r="67" spans="1:12">
      <c r="B67" s="52"/>
      <c r="C67" s="52"/>
      <c r="D67" s="52"/>
      <c r="E67" s="52"/>
      <c r="F67" s="52"/>
      <c r="G67" s="52"/>
      <c r="H67" s="52"/>
      <c r="I67" s="52"/>
      <c r="J67" s="52"/>
      <c r="K67" s="175" t="s">
        <v>225</v>
      </c>
      <c r="L67" s="52"/>
    </row>
    <row r="68" spans="1:12" ht="13.5" thickBot="1">
      <c r="A68" t="s">
        <v>237</v>
      </c>
      <c r="B68" s="176">
        <f>B64</f>
        <v>-86000366.540000007</v>
      </c>
      <c r="C68" s="176">
        <f t="shared" ref="C68:D68" si="34">C64</f>
        <v>0</v>
      </c>
      <c r="D68" s="176">
        <f t="shared" si="34"/>
        <v>-86000366.540000007</v>
      </c>
      <c r="E68" s="52"/>
      <c r="F68" s="176">
        <f>F64</f>
        <v>-797364.82</v>
      </c>
      <c r="G68" s="176">
        <f t="shared" ref="G68:I68" si="35">G64</f>
        <v>-555563632.11000001</v>
      </c>
      <c r="H68" s="176">
        <f t="shared" si="35"/>
        <v>-111426202.87</v>
      </c>
      <c r="I68" s="176">
        <f t="shared" si="35"/>
        <v>-65615292.090000004</v>
      </c>
      <c r="J68" s="52"/>
      <c r="K68" s="176">
        <f>SUM(D68:I68)</f>
        <v>-819402858.43000007</v>
      </c>
      <c r="L68" s="52"/>
    </row>
    <row r="69" spans="1:12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12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B1" workbookViewId="0">
      <selection activeCell="B21" sqref="B21:B25"/>
    </sheetView>
  </sheetViews>
  <sheetFormatPr defaultColWidth="10.7109375" defaultRowHeight="12.75"/>
  <cols>
    <col min="1" max="1" width="0" style="55" hidden="1" customWidth="1"/>
    <col min="2" max="2" width="27" style="55" customWidth="1"/>
    <col min="3" max="4" width="14" style="55" customWidth="1"/>
    <col min="5" max="5" width="16.7109375" style="55" bestFit="1" customWidth="1"/>
    <col min="6" max="6" width="18.42578125" style="55" bestFit="1" customWidth="1"/>
    <col min="7" max="7" width="9.28515625" style="55" customWidth="1"/>
    <col min="8" max="8" width="13.28515625" style="55" customWidth="1"/>
    <col min="9" max="9" width="13.42578125" style="55" customWidth="1"/>
    <col min="10" max="10" width="11.28515625" style="55" bestFit="1" customWidth="1"/>
    <col min="11" max="12" width="12.85546875" style="55" bestFit="1" customWidth="1"/>
    <col min="13" max="13" width="13.42578125" style="55" customWidth="1"/>
    <col min="14" max="14" width="13.85546875" style="55" customWidth="1"/>
    <col min="15" max="16384" width="10.7109375" style="55"/>
  </cols>
  <sheetData>
    <row r="1" spans="1:9">
      <c r="B1" s="196" t="str">
        <f>'Elec-Dec19'!C1</f>
        <v>AVISTA UTILITIES</v>
      </c>
      <c r="C1" s="197"/>
      <c r="D1" s="197"/>
      <c r="E1" s="197"/>
      <c r="G1" s="59"/>
      <c r="H1" s="59" t="s">
        <v>65</v>
      </c>
      <c r="I1" s="55" t="s">
        <v>64</v>
      </c>
    </row>
    <row r="2" spans="1:9">
      <c r="B2" s="196" t="s">
        <v>90</v>
      </c>
      <c r="C2" s="197"/>
      <c r="D2" s="197"/>
      <c r="E2" s="197"/>
      <c r="F2" s="59"/>
      <c r="G2" s="59"/>
    </row>
    <row r="3" spans="1:9">
      <c r="B3" s="198" t="str">
        <f>'SYS-Dec19'!D3</f>
        <v>Average - Twelve Months Ended December 31, 2019</v>
      </c>
      <c r="C3" s="197"/>
      <c r="D3" s="197"/>
      <c r="E3" s="197"/>
      <c r="F3" s="59"/>
      <c r="G3" s="59"/>
    </row>
    <row r="4" spans="1:9">
      <c r="B4" s="60"/>
      <c r="C4" s="61"/>
      <c r="D4" s="61"/>
      <c r="E4" s="60"/>
      <c r="F4" s="60"/>
    </row>
    <row r="5" spans="1:9" s="164" customFormat="1" ht="25.5">
      <c r="A5" s="163"/>
      <c r="C5" s="165" t="s">
        <v>91</v>
      </c>
      <c r="D5" s="165" t="s">
        <v>92</v>
      </c>
      <c r="E5" s="164" t="s">
        <v>93</v>
      </c>
      <c r="F5" s="167" t="s">
        <v>185</v>
      </c>
      <c r="G5" s="166"/>
    </row>
    <row r="6" spans="1:9" s="63" customFormat="1">
      <c r="A6" s="62"/>
      <c r="C6" s="28" t="s">
        <v>94</v>
      </c>
      <c r="D6" s="28" t="s">
        <v>94</v>
      </c>
      <c r="E6" s="28" t="s">
        <v>95</v>
      </c>
      <c r="F6" s="133" t="s">
        <v>95</v>
      </c>
      <c r="G6"/>
    </row>
    <row r="7" spans="1:9" s="63" customFormat="1">
      <c r="A7" s="62"/>
      <c r="B7" s="28"/>
      <c r="C7" s="64">
        <v>283324</v>
      </c>
      <c r="D7" s="64">
        <v>283325</v>
      </c>
      <c r="E7" s="64">
        <v>283382</v>
      </c>
      <c r="F7" s="64">
        <v>283333</v>
      </c>
      <c r="G7"/>
    </row>
    <row r="8" spans="1:9" s="63" customFormat="1">
      <c r="A8" s="62"/>
      <c r="B8" s="28"/>
      <c r="C8" s="65" t="s">
        <v>96</v>
      </c>
      <c r="D8" s="65" t="s">
        <v>96</v>
      </c>
      <c r="E8" s="65" t="s">
        <v>97</v>
      </c>
      <c r="F8" s="65" t="s">
        <v>97</v>
      </c>
      <c r="G8"/>
    </row>
    <row r="9" spans="1:9" s="63" customFormat="1">
      <c r="A9" s="62"/>
      <c r="B9" s="28"/>
      <c r="C9" s="65"/>
      <c r="D9" s="65"/>
      <c r="E9" s="65"/>
      <c r="F9" s="61"/>
      <c r="G9"/>
    </row>
    <row r="10" spans="1:9">
      <c r="A10" s="66">
        <v>201012</v>
      </c>
      <c r="B10" s="67">
        <v>43465</v>
      </c>
      <c r="C10" s="44"/>
      <c r="D10" s="44"/>
      <c r="E10" s="44">
        <f>'283382 ED AN'!F6</f>
        <v>-6505765.1500000004</v>
      </c>
      <c r="F10" s="44">
        <f>'283333 ED AN'!F6</f>
        <v>249236.93</v>
      </c>
      <c r="G10"/>
    </row>
    <row r="11" spans="1:9">
      <c r="A11" s="66">
        <v>201112</v>
      </c>
      <c r="B11" s="68">
        <v>43830</v>
      </c>
      <c r="C11" s="44"/>
      <c r="D11" s="44"/>
      <c r="E11" s="44">
        <f>'283382 ED AN'!F18</f>
        <v>-6320107.1490000002</v>
      </c>
      <c r="F11" s="44">
        <f>'283333 ED AN'!F18</f>
        <v>256108.00999999995</v>
      </c>
      <c r="G11"/>
    </row>
    <row r="12" spans="1:9">
      <c r="A12" s="66"/>
      <c r="B12" s="67" t="s">
        <v>98</v>
      </c>
      <c r="C12" s="69">
        <f>C10+C11</f>
        <v>0</v>
      </c>
      <c r="D12" s="69">
        <f>D10+D11</f>
        <v>0</v>
      </c>
      <c r="E12" s="69">
        <f>E10+E11</f>
        <v>-12825872.299000001</v>
      </c>
      <c r="F12" s="69">
        <f>F10+F11</f>
        <v>505344.93999999994</v>
      </c>
      <c r="G12"/>
    </row>
    <row r="13" spans="1:9">
      <c r="A13" s="66"/>
      <c r="B13" s="67"/>
      <c r="C13" s="50"/>
      <c r="D13" s="50"/>
      <c r="E13" s="50"/>
      <c r="F13" s="50"/>
      <c r="G13"/>
    </row>
    <row r="14" spans="1:9">
      <c r="A14" s="66"/>
      <c r="B14" s="67" t="s">
        <v>99</v>
      </c>
      <c r="C14" s="50">
        <f>C12/2</f>
        <v>0</v>
      </c>
      <c r="D14" s="50">
        <f>D12/2</f>
        <v>0</v>
      </c>
      <c r="E14" s="50">
        <f>E12/2</f>
        <v>-6412936.1495000003</v>
      </c>
      <c r="F14" s="50">
        <f>F12/2</f>
        <v>252672.46999999997</v>
      </c>
      <c r="G14"/>
    </row>
    <row r="15" spans="1:9">
      <c r="A15" s="66">
        <v>201101</v>
      </c>
      <c r="B15" s="70">
        <v>43496</v>
      </c>
      <c r="C15" s="44"/>
      <c r="D15" s="44"/>
      <c r="E15" s="44">
        <f>'283382 ED AN'!F7</f>
        <v>-6490293.6490000002</v>
      </c>
      <c r="F15" s="44">
        <f>'283333 ED AN'!F7</f>
        <v>249809.52</v>
      </c>
      <c r="G15"/>
    </row>
    <row r="16" spans="1:9">
      <c r="A16" s="66">
        <v>201102</v>
      </c>
      <c r="B16" s="70">
        <v>43524</v>
      </c>
      <c r="C16" s="44"/>
      <c r="D16" s="44"/>
      <c r="E16" s="44">
        <f>'283382 ED AN'!F8</f>
        <v>-6474822.1490000002</v>
      </c>
      <c r="F16" s="44">
        <f>'283333 ED AN'!F8</f>
        <v>250382.11</v>
      </c>
      <c r="G16"/>
    </row>
    <row r="17" spans="1:11">
      <c r="A17" s="66">
        <v>201103</v>
      </c>
      <c r="B17" s="70">
        <v>43555</v>
      </c>
      <c r="C17" s="44"/>
      <c r="D17" s="44"/>
      <c r="E17" s="44">
        <f>'283382 ED AN'!F9</f>
        <v>-6459350.6490000002</v>
      </c>
      <c r="F17" s="44">
        <f>'283333 ED AN'!F9</f>
        <v>250954.69999999998</v>
      </c>
      <c r="G17"/>
    </row>
    <row r="18" spans="1:11">
      <c r="A18" s="66">
        <v>201104</v>
      </c>
      <c r="B18" s="70">
        <v>43585</v>
      </c>
      <c r="C18" s="44"/>
      <c r="D18" s="44"/>
      <c r="E18" s="44">
        <f>'283382 ED AN'!F10</f>
        <v>-6443879.1490000002</v>
      </c>
      <c r="F18" s="44">
        <f>'283333 ED AN'!F10</f>
        <v>251527.28999999998</v>
      </c>
      <c r="G18"/>
      <c r="H18" s="43"/>
      <c r="I18" s="43"/>
    </row>
    <row r="19" spans="1:11">
      <c r="A19" s="66">
        <v>201105</v>
      </c>
      <c r="B19" s="70">
        <v>43616</v>
      </c>
      <c r="C19" s="44"/>
      <c r="D19" s="44"/>
      <c r="E19" s="44">
        <f>'283382 ED AN'!F11</f>
        <v>-6428407.6490000002</v>
      </c>
      <c r="F19" s="44">
        <f>'283333 ED AN'!F11</f>
        <v>252099.87999999998</v>
      </c>
      <c r="G19"/>
      <c r="I19" s="71"/>
    </row>
    <row r="20" spans="1:11">
      <c r="A20" s="66">
        <v>201106</v>
      </c>
      <c r="B20" s="70">
        <v>43646</v>
      </c>
      <c r="C20" s="44"/>
      <c r="D20" s="44"/>
      <c r="E20" s="44">
        <f>'283382 ED AN'!F12</f>
        <v>-6412936.1490000002</v>
      </c>
      <c r="F20" s="44">
        <f>'283333 ED AN'!F12</f>
        <v>252672.46999999997</v>
      </c>
      <c r="G20" s="71"/>
      <c r="H20" s="71"/>
      <c r="I20" s="71"/>
      <c r="J20" s="43"/>
      <c r="K20" s="43"/>
    </row>
    <row r="21" spans="1:11">
      <c r="A21" s="66">
        <v>201107</v>
      </c>
      <c r="B21" s="70">
        <v>43677</v>
      </c>
      <c r="C21" s="44"/>
      <c r="D21" s="44"/>
      <c r="E21" s="44">
        <f>'283382 ED AN'!F13</f>
        <v>-6397464.6490000002</v>
      </c>
      <c r="F21" s="44">
        <f>'283333 ED AN'!F13</f>
        <v>253245.05999999997</v>
      </c>
      <c r="G21" s="71"/>
      <c r="H21" s="71"/>
      <c r="I21" s="71"/>
      <c r="J21" s="43"/>
      <c r="K21" s="43"/>
    </row>
    <row r="22" spans="1:11">
      <c r="A22" s="66">
        <v>201108</v>
      </c>
      <c r="B22" s="70">
        <v>43708</v>
      </c>
      <c r="C22" s="44"/>
      <c r="D22" s="44"/>
      <c r="E22" s="44">
        <f>'283382 ED AN'!F14</f>
        <v>-6381993.1490000002</v>
      </c>
      <c r="F22" s="44">
        <f>'283333 ED AN'!F14</f>
        <v>253817.64999999997</v>
      </c>
      <c r="G22" s="71"/>
      <c r="H22" s="71"/>
      <c r="I22" s="71"/>
      <c r="J22" s="43"/>
      <c r="K22" s="43"/>
    </row>
    <row r="23" spans="1:11">
      <c r="A23" s="66">
        <v>201109</v>
      </c>
      <c r="B23" s="70">
        <v>43738</v>
      </c>
      <c r="C23" s="44"/>
      <c r="D23" s="44"/>
      <c r="E23" s="44">
        <f>'283382 ED AN'!F15</f>
        <v>-6366521.6490000002</v>
      </c>
      <c r="F23" s="44">
        <f>'283333 ED AN'!F15</f>
        <v>254390.23999999996</v>
      </c>
      <c r="G23" s="71"/>
      <c r="H23" s="71"/>
      <c r="I23" s="71"/>
      <c r="J23" s="43"/>
      <c r="K23" s="43"/>
    </row>
    <row r="24" spans="1:11">
      <c r="A24" s="66">
        <v>201110</v>
      </c>
      <c r="B24" s="70">
        <v>43769</v>
      </c>
      <c r="C24" s="44"/>
      <c r="D24" s="44"/>
      <c r="E24" s="44">
        <f>'283382 ED AN'!F16</f>
        <v>-6351050.1490000002</v>
      </c>
      <c r="F24" s="44">
        <f>'283333 ED AN'!F16</f>
        <v>254962.82999999996</v>
      </c>
      <c r="G24" s="71"/>
      <c r="H24" s="71"/>
      <c r="I24" s="71"/>
      <c r="J24" s="43"/>
      <c r="K24" s="43"/>
    </row>
    <row r="25" spans="1:11">
      <c r="A25" s="66">
        <v>201111</v>
      </c>
      <c r="B25" s="70">
        <v>43799</v>
      </c>
      <c r="C25" s="44"/>
      <c r="D25" s="44"/>
      <c r="E25" s="44">
        <f>'283382 ED AN'!F17</f>
        <v>-6335578.6490000002</v>
      </c>
      <c r="F25" s="44">
        <f>'283333 ED AN'!F17</f>
        <v>255535.41999999995</v>
      </c>
      <c r="G25"/>
      <c r="I25" s="71"/>
    </row>
    <row r="26" spans="1:11">
      <c r="A26" s="66"/>
      <c r="B26" s="72" t="s">
        <v>98</v>
      </c>
      <c r="C26" s="69">
        <f>SUM(C14:C25)</f>
        <v>0</v>
      </c>
      <c r="D26" s="69">
        <f>SUM(D14:D25)</f>
        <v>0</v>
      </c>
      <c r="E26" s="69">
        <f>SUM(E14:E25)</f>
        <v>-76955233.788500026</v>
      </c>
      <c r="F26" s="69">
        <f>SUM(F14:F25)</f>
        <v>3032069.6399999997</v>
      </c>
      <c r="G26"/>
    </row>
    <row r="27" spans="1:11">
      <c r="A27" s="66"/>
      <c r="B27" s="73" t="s">
        <v>100</v>
      </c>
      <c r="C27" s="207">
        <f>C26/12</f>
        <v>0</v>
      </c>
      <c r="D27" s="207">
        <f>D26/12</f>
        <v>0</v>
      </c>
      <c r="E27" s="207">
        <f>E26/12</f>
        <v>-6412936.1490416685</v>
      </c>
      <c r="F27" s="207">
        <f>F26/12</f>
        <v>252672.46999999997</v>
      </c>
      <c r="G27"/>
    </row>
    <row r="28" spans="1:11">
      <c r="A28" s="66"/>
      <c r="C28" s="168" t="s">
        <v>244</v>
      </c>
      <c r="D28" s="168" t="s">
        <v>226</v>
      </c>
      <c r="E28" s="168" t="s">
        <v>41</v>
      </c>
      <c r="F28" s="168" t="s">
        <v>227</v>
      </c>
    </row>
    <row r="29" spans="1:11">
      <c r="A29" s="66"/>
    </row>
    <row r="30" spans="1:11">
      <c r="B30" s="74"/>
    </row>
    <row r="33" spans="2:5" ht="15">
      <c r="B33"/>
      <c r="C33"/>
      <c r="D33"/>
      <c r="E33" s="75"/>
    </row>
    <row r="34" spans="2:5" ht="15">
      <c r="B34"/>
      <c r="C34"/>
      <c r="D34"/>
      <c r="E34" s="75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1" sqref="F1:G2"/>
    </sheetView>
  </sheetViews>
  <sheetFormatPr defaultColWidth="10.7109375" defaultRowHeight="12.75"/>
  <cols>
    <col min="1" max="1" width="27" style="55" customWidth="1"/>
    <col min="2" max="2" width="17.85546875" style="55" customWidth="1"/>
    <col min="3" max="3" width="3.140625" style="55" customWidth="1"/>
    <col min="4" max="4" width="16.5703125" style="55" customWidth="1"/>
    <col min="5" max="5" width="24.28515625" style="55" bestFit="1" customWidth="1"/>
    <col min="6" max="6" width="24.140625" style="55" bestFit="1" customWidth="1"/>
    <col min="7" max="7" width="14.5703125" style="55" customWidth="1"/>
    <col min="8" max="8" width="13.28515625" style="55" customWidth="1"/>
    <col min="9" max="9" width="13.42578125" style="55" customWidth="1"/>
    <col min="10" max="10" width="11.28515625" style="55" bestFit="1" customWidth="1"/>
    <col min="11" max="12" width="12.85546875" style="55" bestFit="1" customWidth="1"/>
    <col min="13" max="13" width="13.42578125" style="55" customWidth="1"/>
    <col min="14" max="14" width="13.85546875" style="55" customWidth="1"/>
    <col min="15" max="16384" width="10.7109375" style="55"/>
  </cols>
  <sheetData>
    <row r="1" spans="1:7">
      <c r="A1" s="196" t="str">
        <f>AvgCalc!E1</f>
        <v>AVISTA UTILITIES</v>
      </c>
      <c r="B1" s="197"/>
      <c r="C1" s="197"/>
      <c r="D1" s="197"/>
      <c r="E1" s="197"/>
      <c r="F1" s="59"/>
      <c r="G1" s="59"/>
    </row>
    <row r="2" spans="1:7">
      <c r="A2" s="196" t="s">
        <v>90</v>
      </c>
      <c r="B2" s="197"/>
      <c r="C2" s="197"/>
      <c r="D2" s="197"/>
      <c r="E2" s="197"/>
      <c r="F2" s="59"/>
      <c r="G2" s="59"/>
    </row>
    <row r="3" spans="1:7">
      <c r="A3" s="198" t="str">
        <f>'SYS-Dec19'!D3</f>
        <v>Average - Twelve Months Ended December 31, 2019</v>
      </c>
      <c r="B3" s="198"/>
      <c r="C3" s="198"/>
      <c r="D3" s="198"/>
      <c r="E3" s="198"/>
      <c r="F3" s="59"/>
      <c r="G3" s="59"/>
    </row>
    <row r="4" spans="1:7">
      <c r="A4" s="60"/>
      <c r="B4" s="61"/>
      <c r="C4" s="61"/>
      <c r="D4" s="60"/>
      <c r="E4" s="60"/>
    </row>
    <row r="5" spans="1:7" s="63" customFormat="1">
      <c r="B5" s="28" t="s">
        <v>83</v>
      </c>
      <c r="C5" s="28"/>
      <c r="D5" s="63" t="s">
        <v>101</v>
      </c>
      <c r="E5" s="76" t="s">
        <v>171</v>
      </c>
      <c r="F5" s="76" t="s">
        <v>171</v>
      </c>
      <c r="G5"/>
    </row>
    <row r="6" spans="1:7" s="63" customFormat="1">
      <c r="B6" s="28" t="s">
        <v>94</v>
      </c>
      <c r="C6" s="28"/>
      <c r="D6" s="28"/>
      <c r="E6" s="77"/>
      <c r="F6" s="77"/>
      <c r="G6"/>
    </row>
    <row r="7" spans="1:7" s="63" customFormat="1">
      <c r="A7" s="28"/>
      <c r="B7" s="64">
        <v>283200</v>
      </c>
      <c r="C7" s="65"/>
      <c r="D7" s="64">
        <v>283850</v>
      </c>
      <c r="E7" s="128">
        <v>283750</v>
      </c>
      <c r="F7" s="128">
        <v>282919</v>
      </c>
      <c r="G7"/>
    </row>
    <row r="8" spans="1:7" s="63" customFormat="1">
      <c r="A8" s="28"/>
      <c r="B8" s="65" t="s">
        <v>173</v>
      </c>
      <c r="C8" s="65"/>
      <c r="D8" s="65" t="s">
        <v>172</v>
      </c>
      <c r="E8" s="78" t="s">
        <v>172</v>
      </c>
      <c r="F8" s="78" t="s">
        <v>172</v>
      </c>
      <c r="G8"/>
    </row>
    <row r="9" spans="1:7">
      <c r="A9" s="67">
        <f>'CDA DFIT'!B10</f>
        <v>43465</v>
      </c>
      <c r="B9" s="49">
        <f>'283200 ED AN'!E6</f>
        <v>64503.58</v>
      </c>
      <c r="C9" s="49"/>
      <c r="D9" s="126">
        <f>'283850 CD AA'!F6</f>
        <v>-1886752.46</v>
      </c>
      <c r="E9" s="126">
        <f>'283750 CD AA'!H6</f>
        <v>-266005.71000000002</v>
      </c>
      <c r="F9" s="126">
        <f>'282919 CD AA'!F6</f>
        <v>-1063746</v>
      </c>
      <c r="G9"/>
    </row>
    <row r="10" spans="1:7">
      <c r="A10" s="67">
        <f>'CDA DFIT'!B11</f>
        <v>43830</v>
      </c>
      <c r="B10" s="49">
        <f>'283200 ED AN'!E18</f>
        <v>114517.54000000002</v>
      </c>
      <c r="C10" s="126"/>
      <c r="D10" s="126">
        <f>'283850 CD AA'!F18</f>
        <v>-1675964.6600000011</v>
      </c>
      <c r="E10" s="126">
        <f>'283750 CD AA'!H18</f>
        <v>-9344.710000000021</v>
      </c>
      <c r="F10" s="126">
        <f>'282919 CD AA'!F18</f>
        <v>-2013214</v>
      </c>
      <c r="G10"/>
    </row>
    <row r="11" spans="1:7">
      <c r="A11" s="67" t="s">
        <v>98</v>
      </c>
      <c r="B11" s="127">
        <f>B9+B10</f>
        <v>179021.12000000002</v>
      </c>
      <c r="C11" s="127"/>
      <c r="D11" s="127">
        <f>D9+D10</f>
        <v>-3562717.120000001</v>
      </c>
      <c r="E11" s="127">
        <f>E9+E10</f>
        <v>-275350.42000000004</v>
      </c>
      <c r="F11" s="127">
        <f>F9+F10</f>
        <v>-3076960</v>
      </c>
      <c r="G11"/>
    </row>
    <row r="12" spans="1:7">
      <c r="A12" s="67"/>
      <c r="B12" s="49"/>
      <c r="C12" s="49"/>
      <c r="D12" s="49"/>
      <c r="E12" s="49"/>
      <c r="F12" s="49"/>
      <c r="G12"/>
    </row>
    <row r="13" spans="1:7">
      <c r="A13" s="67" t="s">
        <v>99</v>
      </c>
      <c r="B13" s="49">
        <f>B11/2</f>
        <v>89510.560000000012</v>
      </c>
      <c r="C13" s="49"/>
      <c r="D13" s="49">
        <f>D11/2</f>
        <v>-1781358.5600000005</v>
      </c>
      <c r="E13" s="49">
        <f>E11/2</f>
        <v>-137675.21000000002</v>
      </c>
      <c r="F13" s="49">
        <f>F11/2</f>
        <v>-1538480</v>
      </c>
      <c r="G13"/>
    </row>
    <row r="14" spans="1:7">
      <c r="A14" s="123">
        <f>'CDA DFIT'!B15</f>
        <v>43496</v>
      </c>
      <c r="B14" s="49">
        <f>'283200 ED AN'!E7</f>
        <v>68671.41</v>
      </c>
      <c r="C14" s="126"/>
      <c r="D14" s="126">
        <f>'283850 CD AA'!F7</f>
        <v>-1869186.81</v>
      </c>
      <c r="E14" s="126">
        <f>'283750 CD AA'!H7</f>
        <v>-266005.71000000002</v>
      </c>
      <c r="F14" s="126">
        <f>'282919 CD AA'!F7</f>
        <v>-1063746</v>
      </c>
      <c r="G14"/>
    </row>
    <row r="15" spans="1:7">
      <c r="A15" s="123">
        <f>'CDA DFIT'!B16</f>
        <v>43524</v>
      </c>
      <c r="B15" s="49">
        <f>'283200 ED AN'!E8</f>
        <v>72839.240000000005</v>
      </c>
      <c r="C15" s="126"/>
      <c r="D15" s="126">
        <f>'283850 CD AA'!F8</f>
        <v>-1851621.1600000001</v>
      </c>
      <c r="E15" s="126">
        <f>'283750 CD AA'!H8</f>
        <v>-266005.71000000002</v>
      </c>
      <c r="F15" s="126">
        <f>'282919 CD AA'!F8</f>
        <v>-1063746</v>
      </c>
      <c r="G15"/>
    </row>
    <row r="16" spans="1:7">
      <c r="A16" s="123">
        <f>'CDA DFIT'!B17</f>
        <v>43555</v>
      </c>
      <c r="B16" s="49">
        <f>'283200 ED AN'!E9</f>
        <v>77007.070000000007</v>
      </c>
      <c r="C16" s="126"/>
      <c r="D16" s="126">
        <f>'283850 CD AA'!F9</f>
        <v>-1834055.5100000002</v>
      </c>
      <c r="E16" s="126">
        <f>'283750 CD AA'!H9</f>
        <v>-266005.71000000002</v>
      </c>
      <c r="F16" s="126">
        <f>'282919 CD AA'!F9</f>
        <v>-1306027</v>
      </c>
      <c r="G16"/>
    </row>
    <row r="17" spans="1:11">
      <c r="A17" s="123">
        <f>'CDA DFIT'!B18</f>
        <v>43585</v>
      </c>
      <c r="B17" s="49">
        <f>'283200 ED AN'!E10</f>
        <v>81174.900000000009</v>
      </c>
      <c r="C17" s="126"/>
      <c r="D17" s="126">
        <f>'283850 CD AA'!F10</f>
        <v>-1816489.8600000003</v>
      </c>
      <c r="E17" s="126">
        <f>'283750 CD AA'!H10</f>
        <v>-266005.71000000002</v>
      </c>
      <c r="F17" s="126">
        <f>'282919 CD AA'!F10</f>
        <v>-1306027</v>
      </c>
      <c r="G17"/>
      <c r="H17" s="43"/>
      <c r="I17" s="43"/>
    </row>
    <row r="18" spans="1:11">
      <c r="A18" s="123">
        <f>'CDA DFIT'!B19</f>
        <v>43616</v>
      </c>
      <c r="B18" s="49">
        <f>'283200 ED AN'!E11</f>
        <v>85342.73000000001</v>
      </c>
      <c r="C18" s="126"/>
      <c r="D18" s="126">
        <f>'283850 CD AA'!F11</f>
        <v>-1798924.2100000004</v>
      </c>
      <c r="E18" s="126">
        <f>'283750 CD AA'!H11</f>
        <v>-266005.71000000002</v>
      </c>
      <c r="F18" s="126">
        <f>'282919 CD AA'!F11</f>
        <v>-1306027</v>
      </c>
      <c r="G18"/>
      <c r="I18" s="71"/>
    </row>
    <row r="19" spans="1:11">
      <c r="A19" s="123">
        <f>'CDA DFIT'!B20</f>
        <v>43646</v>
      </c>
      <c r="B19" s="49">
        <f>'283200 ED AN'!E12</f>
        <v>89510.560000000012</v>
      </c>
      <c r="C19" s="126"/>
      <c r="D19" s="126">
        <f>'283850 CD AA'!F12</f>
        <v>-1781358.5600000005</v>
      </c>
      <c r="E19" s="126">
        <f>'283750 CD AA'!H12</f>
        <v>-266005.71000000002</v>
      </c>
      <c r="F19" s="126">
        <f>'282919 CD AA'!F12</f>
        <v>-1548308</v>
      </c>
      <c r="G19" s="71"/>
      <c r="H19" s="71"/>
      <c r="I19" s="71"/>
      <c r="J19" s="43"/>
      <c r="K19" s="43"/>
    </row>
    <row r="20" spans="1:11">
      <c r="A20" s="123">
        <f>'CDA DFIT'!B21</f>
        <v>43677</v>
      </c>
      <c r="B20" s="49">
        <f>'283200 ED AN'!E13</f>
        <v>93678.390000000014</v>
      </c>
      <c r="C20" s="126"/>
      <c r="D20" s="126">
        <f>'283850 CD AA'!F13</f>
        <v>-1763792.9100000006</v>
      </c>
      <c r="E20" s="126">
        <f>'283750 CD AA'!H13</f>
        <v>-266005.71000000002</v>
      </c>
      <c r="F20" s="126">
        <f>'282919 CD AA'!F13</f>
        <v>-1548308</v>
      </c>
      <c r="G20" s="71"/>
      <c r="H20" s="71"/>
      <c r="I20" s="71"/>
      <c r="J20" s="43"/>
      <c r="K20" s="43"/>
    </row>
    <row r="21" spans="1:11">
      <c r="A21" s="123">
        <f>'CDA DFIT'!B22</f>
        <v>43708</v>
      </c>
      <c r="B21" s="49">
        <f>'283200 ED AN'!E14</f>
        <v>97846.220000000016</v>
      </c>
      <c r="C21" s="126"/>
      <c r="D21" s="126">
        <f>'283850 CD AA'!F14</f>
        <v>-1746227.2600000007</v>
      </c>
      <c r="E21" s="126">
        <f>'283750 CD AA'!H14</f>
        <v>-266005.71000000002</v>
      </c>
      <c r="F21" s="126">
        <f>'282919 CD AA'!F14</f>
        <v>-1548308</v>
      </c>
      <c r="G21" s="71"/>
      <c r="H21" s="71"/>
      <c r="I21" s="71"/>
      <c r="J21" s="43"/>
      <c r="K21" s="43"/>
    </row>
    <row r="22" spans="1:11">
      <c r="A22" s="123">
        <f>'CDA DFIT'!B23</f>
        <v>43738</v>
      </c>
      <c r="B22" s="49">
        <f>'283200 ED AN'!E15</f>
        <v>102014.05000000002</v>
      </c>
      <c r="C22" s="126"/>
      <c r="D22" s="126">
        <f>'283850 CD AA'!F15</f>
        <v>-1728661.6100000008</v>
      </c>
      <c r="E22" s="126">
        <f>'283750 CD AA'!H15</f>
        <v>-147026.71000000002</v>
      </c>
      <c r="F22" s="126">
        <f>'282919 CD AA'!F15</f>
        <v>-1790589</v>
      </c>
      <c r="G22" s="71"/>
      <c r="H22" s="71"/>
      <c r="I22" s="71"/>
      <c r="J22" s="43"/>
      <c r="K22" s="43"/>
    </row>
    <row r="23" spans="1:11">
      <c r="A23" s="123">
        <f>'CDA DFIT'!B24</f>
        <v>43769</v>
      </c>
      <c r="B23" s="49">
        <f>'283200 ED AN'!E16</f>
        <v>106181.88000000002</v>
      </c>
      <c r="C23" s="126"/>
      <c r="D23" s="126">
        <f>'283850 CD AA'!F16</f>
        <v>-1711095.9600000009</v>
      </c>
      <c r="E23" s="126">
        <f>'283750 CD AA'!H16</f>
        <v>-147026.71000000002</v>
      </c>
      <c r="F23" s="126">
        <f>'282919 CD AA'!F16</f>
        <v>-1790589</v>
      </c>
      <c r="G23" s="71"/>
      <c r="H23" s="71"/>
      <c r="I23" s="71"/>
      <c r="J23" s="43"/>
      <c r="K23" s="43"/>
    </row>
    <row r="24" spans="1:11">
      <c r="A24" s="123">
        <f>'CDA DFIT'!B25</f>
        <v>43799</v>
      </c>
      <c r="B24" s="49">
        <f>'283200 ED AN'!E17</f>
        <v>110349.71000000002</v>
      </c>
      <c r="C24" s="126"/>
      <c r="D24" s="126">
        <f>'283850 CD AA'!F17</f>
        <v>-1693530.310000001</v>
      </c>
      <c r="E24" s="126">
        <f>'283750 CD AA'!H17</f>
        <v>-147026.71000000002</v>
      </c>
      <c r="F24" s="126">
        <f>'282919 CD AA'!F17</f>
        <v>-1790589</v>
      </c>
      <c r="G24"/>
      <c r="I24" s="71"/>
    </row>
    <row r="25" spans="1:11">
      <c r="A25" s="72" t="s">
        <v>98</v>
      </c>
      <c r="B25" s="69">
        <f>SUM(B13:B24)</f>
        <v>1074126.7200000002</v>
      </c>
      <c r="C25" s="69"/>
      <c r="D25" s="69">
        <f>SUM(D13:D24)</f>
        <v>-21376302.720000006</v>
      </c>
      <c r="E25" s="69">
        <f>SUM(E13:E24)</f>
        <v>-2706801.02</v>
      </c>
      <c r="F25" s="69">
        <f>SUM(F13:F24)</f>
        <v>-17600744</v>
      </c>
      <c r="G25"/>
    </row>
    <row r="26" spans="1:11">
      <c r="A26" s="73" t="s">
        <v>100</v>
      </c>
      <c r="B26" s="207">
        <f>B25/12</f>
        <v>89510.560000000012</v>
      </c>
      <c r="C26" s="207"/>
      <c r="D26" s="207">
        <f>D25/12</f>
        <v>-1781358.5600000005</v>
      </c>
      <c r="E26" s="207">
        <f>E25/12</f>
        <v>-225566.75166666668</v>
      </c>
      <c r="F26" s="207">
        <f>F25/12</f>
        <v>-1466728.6666666667</v>
      </c>
      <c r="G26"/>
    </row>
    <row r="27" spans="1:11">
      <c r="B27" s="168" t="s">
        <v>228</v>
      </c>
      <c r="C27" s="168"/>
      <c r="D27" s="168" t="s">
        <v>230</v>
      </c>
      <c r="E27" s="168" t="s">
        <v>229</v>
      </c>
      <c r="F27" s="168" t="s">
        <v>120</v>
      </c>
    </row>
  </sheetData>
  <mergeCells count="3">
    <mergeCell ref="A1:E1"/>
    <mergeCell ref="A2:E2"/>
    <mergeCell ref="A3:E3"/>
  </mergeCells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40625" defaultRowHeight="12.75"/>
  <cols>
    <col min="1" max="1" width="10.28515625" style="1" customWidth="1"/>
    <col min="2" max="2" width="25.85546875" style="1" customWidth="1"/>
    <col min="3" max="3" width="16.5703125" style="1" bestFit="1" customWidth="1"/>
    <col min="4" max="4" width="16.5703125" style="1" customWidth="1"/>
    <col min="5" max="5" width="14.5703125" style="1" customWidth="1"/>
    <col min="6" max="6" width="16.570312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283324</v>
      </c>
      <c r="B3" s="83" t="s">
        <v>165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51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190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-0.02</v>
      </c>
      <c r="C6" s="125">
        <v>0</v>
      </c>
      <c r="D6" s="130">
        <f>SUM(B6:C6)</f>
        <v>-0.02</v>
      </c>
      <c r="E6" s="97">
        <f>-D6</f>
        <v>0.02</v>
      </c>
      <c r="F6" s="96">
        <f>SUM(D6:E6)</f>
        <v>0</v>
      </c>
    </row>
    <row r="7" spans="1:8">
      <c r="A7" s="94">
        <f>'283200 ED AN'!A7</f>
        <v>201901</v>
      </c>
      <c r="B7" s="97">
        <f>D6</f>
        <v>-0.02</v>
      </c>
      <c r="C7" s="97">
        <v>0.02</v>
      </c>
      <c r="D7" s="130">
        <f t="shared" ref="D7:D18" si="0">SUM(B7:C7)</f>
        <v>0</v>
      </c>
      <c r="E7" s="97">
        <f>-D7</f>
        <v>0</v>
      </c>
      <c r="F7" s="96">
        <f t="shared" ref="F7:F18" si="1">SUM(D7:E7)</f>
        <v>0</v>
      </c>
      <c r="H7" s="98">
        <v>-3406666.72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97">
        <f t="shared" ref="E8:E18" si="3">-D8</f>
        <v>0</v>
      </c>
      <c r="F8" s="96">
        <f t="shared" si="1"/>
        <v>0</v>
      </c>
      <c r="H8" s="98">
        <v>-3400833.39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97">
        <f t="shared" si="3"/>
        <v>0</v>
      </c>
      <c r="F9" s="96">
        <f t="shared" si="1"/>
        <v>0</v>
      </c>
      <c r="H9" s="98">
        <v>-3395000.06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97">
        <f t="shared" si="3"/>
        <v>0</v>
      </c>
      <c r="F10" s="96">
        <f t="shared" si="1"/>
        <v>0</v>
      </c>
      <c r="H10" s="98">
        <v>-3389166.73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97">
        <f t="shared" si="3"/>
        <v>0</v>
      </c>
      <c r="F11" s="96">
        <f t="shared" si="1"/>
        <v>0</v>
      </c>
      <c r="H11" s="98">
        <v>-3383333.4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97">
        <f t="shared" si="3"/>
        <v>0</v>
      </c>
      <c r="F12" s="96">
        <f t="shared" si="1"/>
        <v>0</v>
      </c>
      <c r="H12" s="98">
        <v>-3377500.07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97">
        <f t="shared" si="3"/>
        <v>0</v>
      </c>
      <c r="F13" s="96">
        <f t="shared" si="1"/>
        <v>0</v>
      </c>
      <c r="H13" s="98">
        <v>-3371666.74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97">
        <f t="shared" si="3"/>
        <v>0</v>
      </c>
      <c r="F14" s="96">
        <f t="shared" si="1"/>
        <v>0</v>
      </c>
      <c r="H14" s="98">
        <v>-3365833.41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97">
        <f t="shared" si="3"/>
        <v>0</v>
      </c>
      <c r="F15" s="96">
        <f t="shared" si="1"/>
        <v>0</v>
      </c>
      <c r="H15" s="98">
        <v>-3360000.08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97">
        <f t="shared" si="3"/>
        <v>0</v>
      </c>
      <c r="F16" s="96">
        <f t="shared" si="1"/>
        <v>0</v>
      </c>
      <c r="H16" s="98">
        <v>-3354166.75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97">
        <f t="shared" si="3"/>
        <v>0</v>
      </c>
      <c r="F17" s="96">
        <f t="shared" si="1"/>
        <v>0</v>
      </c>
      <c r="H17" s="98">
        <v>-3348333.42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97">
        <f t="shared" si="3"/>
        <v>0</v>
      </c>
      <c r="F18" s="96">
        <f t="shared" si="1"/>
        <v>0</v>
      </c>
      <c r="H18" s="98">
        <v>-3342500.09</v>
      </c>
    </row>
    <row r="19" spans="1:8">
      <c r="A19" s="99"/>
      <c r="B19" s="100"/>
      <c r="C19" s="101">
        <f>SUM(C7:C18)</f>
        <v>0.02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222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40625" defaultRowHeight="12.75"/>
  <cols>
    <col min="1" max="1" width="10.28515625" style="1" customWidth="1"/>
    <col min="2" max="2" width="25.85546875" style="1" customWidth="1"/>
    <col min="3" max="3" width="14.7109375" style="1" bestFit="1" customWidth="1"/>
    <col min="4" max="4" width="14.7109375" style="1" customWidth="1"/>
    <col min="5" max="5" width="14.5703125" style="1" customWidth="1"/>
    <col min="6" max="6" width="14.8554687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283325</v>
      </c>
      <c r="B3" s="83" t="s">
        <v>166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221</v>
      </c>
      <c r="D5" s="91" t="s">
        <v>184</v>
      </c>
      <c r="E5" s="91" t="s">
        <v>170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0</v>
      </c>
      <c r="C6" s="125">
        <v>0</v>
      </c>
      <c r="D6" s="130">
        <f>SUM(B6:C6)</f>
        <v>0</v>
      </c>
      <c r="E6" s="125">
        <v>0</v>
      </c>
      <c r="F6" s="96">
        <f>SUM(D6:E6)</f>
        <v>0</v>
      </c>
    </row>
    <row r="7" spans="1:8">
      <c r="A7" s="94">
        <f>'283200 ED AN'!A7</f>
        <v>201901</v>
      </c>
      <c r="B7" s="97">
        <f>D6</f>
        <v>0</v>
      </c>
      <c r="C7" s="97">
        <v>0</v>
      </c>
      <c r="D7" s="130">
        <f t="shared" ref="D7:D18" si="0">SUM(B7:C7)</f>
        <v>0</v>
      </c>
      <c r="E7" s="125">
        <v>0</v>
      </c>
      <c r="F7" s="96">
        <f t="shared" ref="F7:F18" si="1">SUM(D7:E7)</f>
        <v>0</v>
      </c>
      <c r="H7" s="98">
        <v>-700000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125">
        <v>0</v>
      </c>
      <c r="F8" s="96">
        <f t="shared" si="1"/>
        <v>0</v>
      </c>
      <c r="H8" s="98">
        <v>-700000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125">
        <v>0</v>
      </c>
      <c r="F9" s="96">
        <f t="shared" si="1"/>
        <v>0</v>
      </c>
      <c r="H9" s="98">
        <v>-700000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125">
        <v>0</v>
      </c>
      <c r="F10" s="96">
        <f t="shared" si="1"/>
        <v>0</v>
      </c>
      <c r="H10" s="98">
        <v>-700000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125">
        <v>0</v>
      </c>
      <c r="F11" s="96">
        <f t="shared" si="1"/>
        <v>0</v>
      </c>
      <c r="H11" s="98">
        <v>-700000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125">
        <v>0</v>
      </c>
      <c r="F12" s="96">
        <f t="shared" si="1"/>
        <v>0</v>
      </c>
      <c r="H12" s="98">
        <v>-700000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125">
        <v>0</v>
      </c>
      <c r="F13" s="96">
        <f t="shared" si="1"/>
        <v>0</v>
      </c>
      <c r="H13" s="98">
        <v>-700000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125">
        <v>0</v>
      </c>
      <c r="F14" s="96">
        <f t="shared" si="1"/>
        <v>0</v>
      </c>
      <c r="H14" s="98">
        <v>-700000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125">
        <v>0</v>
      </c>
      <c r="F15" s="96">
        <f t="shared" si="1"/>
        <v>0</v>
      </c>
      <c r="H15" s="98">
        <v>-700000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125">
        <v>0</v>
      </c>
      <c r="F16" s="96">
        <f t="shared" si="1"/>
        <v>0</v>
      </c>
      <c r="H16" s="98">
        <v>-700000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125">
        <v>0</v>
      </c>
      <c r="F17" s="96">
        <f t="shared" si="1"/>
        <v>0</v>
      </c>
      <c r="H17" s="98">
        <v>-700000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125">
        <v>0</v>
      </c>
      <c r="F18" s="96">
        <f t="shared" si="1"/>
        <v>0</v>
      </c>
      <c r="H18" s="98">
        <v>-700000</v>
      </c>
    </row>
    <row r="19" spans="1:8">
      <c r="A19" s="99"/>
      <c r="B19" s="100"/>
      <c r="C19" s="101">
        <f>SUM(C7:C18)</f>
        <v>0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220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L25"/>
  <sheetViews>
    <sheetView workbookViewId="0">
      <selection activeCell="I7" sqref="I7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9.140625" style="1" bestFit="1" customWidth="1"/>
    <col min="4" max="4" width="17.28515625" style="1" customWidth="1"/>
    <col min="5" max="5" width="14.5703125" style="1" customWidth="1"/>
    <col min="6" max="6" width="17.7109375" style="1" bestFit="1" customWidth="1"/>
    <col min="7" max="7" width="16.5703125" style="1" bestFit="1" customWidth="1"/>
    <col min="8" max="8" width="11.28515625" style="1" hidden="1" customWidth="1"/>
    <col min="9" max="9" width="16.5703125" style="131" bestFit="1" customWidth="1"/>
    <col min="10" max="10" width="12.7109375" style="131" bestFit="1" customWidth="1"/>
    <col min="11" max="11" width="14" style="1" customWidth="1"/>
    <col min="12" max="16384" width="9.140625" style="1"/>
  </cols>
  <sheetData>
    <row r="2" spans="1:12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2" ht="29.25" customHeight="1">
      <c r="A3" s="82">
        <v>283382</v>
      </c>
      <c r="B3" s="83" t="s">
        <v>167</v>
      </c>
      <c r="C3" s="84"/>
      <c r="D3" s="84"/>
      <c r="E3" s="84"/>
      <c r="F3" s="85"/>
    </row>
    <row r="4" spans="1:12">
      <c r="A4" s="86"/>
      <c r="B4" s="87" t="s">
        <v>104</v>
      </c>
      <c r="C4" s="87" t="s">
        <v>105</v>
      </c>
      <c r="D4" s="87"/>
      <c r="E4" s="88"/>
      <c r="F4" s="89"/>
      <c r="I4" s="157" t="s">
        <v>241</v>
      </c>
    </row>
    <row r="5" spans="1:12" ht="38.25">
      <c r="A5" s="90" t="s">
        <v>106</v>
      </c>
      <c r="B5" s="91" t="s">
        <v>107</v>
      </c>
      <c r="C5" s="91" t="s">
        <v>221</v>
      </c>
      <c r="D5" s="91" t="s">
        <v>182</v>
      </c>
      <c r="E5" s="91" t="s">
        <v>170</v>
      </c>
      <c r="F5" s="92" t="s">
        <v>109</v>
      </c>
      <c r="G5" s="93" t="s">
        <v>194</v>
      </c>
      <c r="H5" s="93" t="s">
        <v>110</v>
      </c>
      <c r="I5" s="131" t="s">
        <v>192</v>
      </c>
      <c r="J5" s="131" t="s">
        <v>193</v>
      </c>
    </row>
    <row r="6" spans="1:12">
      <c r="A6" s="94">
        <f>'283200 ED AN'!A6</f>
        <v>201812</v>
      </c>
      <c r="B6" s="129"/>
      <c r="C6" s="97"/>
      <c r="D6" s="97">
        <v>-6505765.1500000004</v>
      </c>
      <c r="E6" s="103">
        <v>0</v>
      </c>
      <c r="F6" s="96">
        <f>SUM(D6:E6)</f>
        <v>-6505765.1500000004</v>
      </c>
      <c r="G6" s="132">
        <f>I6*-0.21</f>
        <v>-6505765.1714999992</v>
      </c>
      <c r="I6" s="131">
        <v>30979834.149999999</v>
      </c>
      <c r="J6" s="131">
        <v>-73673.8</v>
      </c>
      <c r="L6" s="187"/>
    </row>
    <row r="7" spans="1:12">
      <c r="A7" s="94">
        <f>'283200 ED AN'!A7</f>
        <v>201901</v>
      </c>
      <c r="B7" s="97">
        <f>D6</f>
        <v>-6505765.1500000004</v>
      </c>
      <c r="C7" s="97">
        <v>15471.501</v>
      </c>
      <c r="D7" s="97">
        <f>SUM(B7:C7)</f>
        <v>-6490293.6490000002</v>
      </c>
      <c r="E7" s="103">
        <v>0</v>
      </c>
      <c r="F7" s="96">
        <f t="shared" ref="F7:F18" si="0">SUM(D7:E7)</f>
        <v>-6490293.6490000002</v>
      </c>
      <c r="G7" s="132">
        <f t="shared" ref="G7:G18" si="1">I7*-0.21</f>
        <v>-6490293.6734999996</v>
      </c>
      <c r="H7" s="98">
        <v>-14201390.4</v>
      </c>
      <c r="I7" s="131">
        <f>I6+J7</f>
        <v>30906160.349999998</v>
      </c>
      <c r="J7" s="131">
        <v>-73673.8</v>
      </c>
      <c r="L7" s="187"/>
    </row>
    <row r="8" spans="1:12">
      <c r="A8" s="94">
        <f>'283200 ED AN'!A8</f>
        <v>201902</v>
      </c>
      <c r="B8" s="97">
        <f t="shared" ref="B8:B18" si="2">D7</f>
        <v>-6490293.6490000002</v>
      </c>
      <c r="C8" s="97">
        <v>15471.5</v>
      </c>
      <c r="D8" s="97">
        <f t="shared" ref="D8:D18" si="3">SUM(B8:C8)</f>
        <v>-6474822.1490000002</v>
      </c>
      <c r="E8" s="103">
        <v>0</v>
      </c>
      <c r="F8" s="96">
        <f t="shared" si="0"/>
        <v>-6474822.1490000002</v>
      </c>
      <c r="G8" s="132">
        <f t="shared" si="1"/>
        <v>-6474822.175499999</v>
      </c>
      <c r="H8" s="98">
        <v>-13987215.029999999</v>
      </c>
      <c r="I8" s="131">
        <f t="shared" ref="I8:I17" si="4">I7+J8</f>
        <v>30832486.549999997</v>
      </c>
      <c r="J8" s="131">
        <v>-73673.8</v>
      </c>
      <c r="L8" s="187"/>
    </row>
    <row r="9" spans="1:12">
      <c r="A9" s="94">
        <f>'283200 ED AN'!A9</f>
        <v>201903</v>
      </c>
      <c r="B9" s="97">
        <f t="shared" si="2"/>
        <v>-6474822.1490000002</v>
      </c>
      <c r="C9" s="97">
        <v>15471.5</v>
      </c>
      <c r="D9" s="97">
        <f t="shared" si="3"/>
        <v>-6459350.6490000002</v>
      </c>
      <c r="E9" s="103">
        <v>0</v>
      </c>
      <c r="F9" s="96">
        <f t="shared" si="0"/>
        <v>-6459350.6490000002</v>
      </c>
      <c r="G9" s="132">
        <f t="shared" si="1"/>
        <v>-6459350.6774999993</v>
      </c>
      <c r="H9" s="98">
        <v>-13960022.43</v>
      </c>
      <c r="I9" s="131">
        <f>I8+J9</f>
        <v>30758812.749999996</v>
      </c>
      <c r="J9" s="131">
        <v>-73673.8</v>
      </c>
      <c r="L9" s="187"/>
    </row>
    <row r="10" spans="1:12">
      <c r="A10" s="94">
        <f>'283200 ED AN'!A10</f>
        <v>201904</v>
      </c>
      <c r="B10" s="97">
        <f t="shared" si="2"/>
        <v>-6459350.6490000002</v>
      </c>
      <c r="C10" s="97">
        <v>15471.5</v>
      </c>
      <c r="D10" s="97">
        <f t="shared" si="3"/>
        <v>-6443879.1490000002</v>
      </c>
      <c r="E10" s="103">
        <v>0</v>
      </c>
      <c r="F10" s="96">
        <f t="shared" si="0"/>
        <v>-6443879.1490000002</v>
      </c>
      <c r="G10" s="132">
        <f t="shared" si="1"/>
        <v>-6443879.1794999987</v>
      </c>
      <c r="H10" s="98">
        <v>-13932829.83</v>
      </c>
      <c r="I10" s="131">
        <f t="shared" si="4"/>
        <v>30685138.949999996</v>
      </c>
      <c r="J10" s="131">
        <v>-73673.8</v>
      </c>
      <c r="L10" s="187"/>
    </row>
    <row r="11" spans="1:12">
      <c r="A11" s="94">
        <f>'283200 ED AN'!A11</f>
        <v>201905</v>
      </c>
      <c r="B11" s="97">
        <f t="shared" si="2"/>
        <v>-6443879.1490000002</v>
      </c>
      <c r="C11" s="97">
        <v>15471.5</v>
      </c>
      <c r="D11" s="97">
        <f t="shared" si="3"/>
        <v>-6428407.6490000002</v>
      </c>
      <c r="E11" s="103">
        <v>0</v>
      </c>
      <c r="F11" s="96">
        <f t="shared" si="0"/>
        <v>-6428407.6490000002</v>
      </c>
      <c r="G11" s="132">
        <f t="shared" si="1"/>
        <v>-6428407.681499999</v>
      </c>
      <c r="H11" s="98">
        <v>-13905637.23</v>
      </c>
      <c r="I11" s="131">
        <f t="shared" si="4"/>
        <v>30611465.149999995</v>
      </c>
      <c r="J11" s="131">
        <v>-73673.8</v>
      </c>
      <c r="L11" s="187"/>
    </row>
    <row r="12" spans="1:12">
      <c r="A12" s="94">
        <f>'283200 ED AN'!A12</f>
        <v>201906</v>
      </c>
      <c r="B12" s="97">
        <f t="shared" si="2"/>
        <v>-6428407.6490000002</v>
      </c>
      <c r="C12" s="97">
        <v>15471.5</v>
      </c>
      <c r="D12" s="97">
        <f t="shared" si="3"/>
        <v>-6412936.1490000002</v>
      </c>
      <c r="E12" s="103">
        <v>0</v>
      </c>
      <c r="F12" s="96">
        <f t="shared" si="0"/>
        <v>-6412936.1490000002</v>
      </c>
      <c r="G12" s="132">
        <f t="shared" si="1"/>
        <v>-6412936.1834999984</v>
      </c>
      <c r="H12" s="98">
        <v>-13878444.630000001</v>
      </c>
      <c r="I12" s="131">
        <f t="shared" si="4"/>
        <v>30537791.349999994</v>
      </c>
      <c r="J12" s="131">
        <v>-73673.8</v>
      </c>
      <c r="L12" s="187"/>
    </row>
    <row r="13" spans="1:12">
      <c r="A13" s="94">
        <f>'283200 ED AN'!A13</f>
        <v>201907</v>
      </c>
      <c r="B13" s="97">
        <f t="shared" si="2"/>
        <v>-6412936.1490000002</v>
      </c>
      <c r="C13" s="97">
        <v>15471.5</v>
      </c>
      <c r="D13" s="97">
        <f t="shared" si="3"/>
        <v>-6397464.6490000002</v>
      </c>
      <c r="E13" s="103">
        <v>0</v>
      </c>
      <c r="F13" s="96">
        <f t="shared" si="0"/>
        <v>-6397464.6490000002</v>
      </c>
      <c r="G13" s="132">
        <f t="shared" si="1"/>
        <v>-6397464.6854999987</v>
      </c>
      <c r="H13" s="98">
        <v>-13851252.029999999</v>
      </c>
      <c r="I13" s="131">
        <f t="shared" si="4"/>
        <v>30464117.549999993</v>
      </c>
      <c r="J13" s="131">
        <v>-73673.8</v>
      </c>
      <c r="L13" s="187"/>
    </row>
    <row r="14" spans="1:12">
      <c r="A14" s="94">
        <f>'283200 ED AN'!A14</f>
        <v>201908</v>
      </c>
      <c r="B14" s="97">
        <f t="shared" si="2"/>
        <v>-6397464.6490000002</v>
      </c>
      <c r="C14" s="97">
        <v>15471.5</v>
      </c>
      <c r="D14" s="97">
        <f t="shared" si="3"/>
        <v>-6381993.1490000002</v>
      </c>
      <c r="E14" s="103">
        <v>0</v>
      </c>
      <c r="F14" s="96">
        <f t="shared" si="0"/>
        <v>-6381993.1490000002</v>
      </c>
      <c r="G14" s="132">
        <f t="shared" si="1"/>
        <v>-6381993.1874999981</v>
      </c>
      <c r="H14" s="98">
        <v>-13824059.43</v>
      </c>
      <c r="I14" s="131">
        <f t="shared" si="4"/>
        <v>30390443.749999993</v>
      </c>
      <c r="J14" s="131">
        <v>-73673.8</v>
      </c>
      <c r="L14" s="187"/>
    </row>
    <row r="15" spans="1:12">
      <c r="A15" s="94">
        <f>'283200 ED AN'!A15</f>
        <v>201909</v>
      </c>
      <c r="B15" s="97">
        <f t="shared" si="2"/>
        <v>-6381993.1490000002</v>
      </c>
      <c r="C15" s="97">
        <v>15471.5</v>
      </c>
      <c r="D15" s="97">
        <f t="shared" si="3"/>
        <v>-6366521.6490000002</v>
      </c>
      <c r="E15" s="103">
        <v>0</v>
      </c>
      <c r="F15" s="96">
        <f t="shared" si="0"/>
        <v>-6366521.6490000002</v>
      </c>
      <c r="G15" s="132">
        <f t="shared" si="1"/>
        <v>-6366521.6894999985</v>
      </c>
      <c r="H15" s="98">
        <v>-13796866.83</v>
      </c>
      <c r="I15" s="131">
        <f t="shared" si="4"/>
        <v>30316769.949999992</v>
      </c>
      <c r="J15" s="131">
        <v>-73673.8</v>
      </c>
      <c r="L15" s="187"/>
    </row>
    <row r="16" spans="1:12">
      <c r="A16" s="94">
        <f>'283200 ED AN'!A16</f>
        <v>201910</v>
      </c>
      <c r="B16" s="97">
        <f t="shared" si="2"/>
        <v>-6366521.6490000002</v>
      </c>
      <c r="C16" s="97">
        <v>15471.5</v>
      </c>
      <c r="D16" s="97">
        <f t="shared" si="3"/>
        <v>-6351050.1490000002</v>
      </c>
      <c r="E16" s="103">
        <v>0</v>
      </c>
      <c r="F16" s="96">
        <f t="shared" si="0"/>
        <v>-6351050.1490000002</v>
      </c>
      <c r="G16" s="132">
        <f t="shared" si="1"/>
        <v>-6351050.1914999979</v>
      </c>
      <c r="H16" s="98">
        <v>-13769674.23</v>
      </c>
      <c r="I16" s="131">
        <f t="shared" si="4"/>
        <v>30243096.149999991</v>
      </c>
      <c r="J16" s="131">
        <v>-73673.8</v>
      </c>
      <c r="L16" s="187"/>
    </row>
    <row r="17" spans="1:12">
      <c r="A17" s="94">
        <f>'283200 ED AN'!A17</f>
        <v>201911</v>
      </c>
      <c r="B17" s="97">
        <f t="shared" si="2"/>
        <v>-6351050.1490000002</v>
      </c>
      <c r="C17" s="97">
        <v>15471.5</v>
      </c>
      <c r="D17" s="97">
        <f t="shared" si="3"/>
        <v>-6335578.6490000002</v>
      </c>
      <c r="E17" s="103">
        <v>0</v>
      </c>
      <c r="F17" s="96">
        <f t="shared" si="0"/>
        <v>-6335578.6490000002</v>
      </c>
      <c r="G17" s="132">
        <f t="shared" si="1"/>
        <v>-6335578.6934999982</v>
      </c>
      <c r="H17" s="98">
        <v>-13742481.630000001</v>
      </c>
      <c r="I17" s="131">
        <f t="shared" si="4"/>
        <v>30169422.34999999</v>
      </c>
      <c r="J17" s="131">
        <v>-73673.8</v>
      </c>
      <c r="L17" s="187"/>
    </row>
    <row r="18" spans="1:12">
      <c r="A18" s="94">
        <f>'283200 ED AN'!A18</f>
        <v>201912</v>
      </c>
      <c r="B18" s="97">
        <f t="shared" si="2"/>
        <v>-6335578.6490000002</v>
      </c>
      <c r="C18" s="97">
        <v>15471.5</v>
      </c>
      <c r="D18" s="97">
        <f t="shared" si="3"/>
        <v>-6320107.1490000002</v>
      </c>
      <c r="E18" s="103">
        <v>0</v>
      </c>
      <c r="F18" s="96">
        <f t="shared" si="0"/>
        <v>-6320107.1490000002</v>
      </c>
      <c r="G18" s="132">
        <f t="shared" si="1"/>
        <v>-6320107.1954999976</v>
      </c>
      <c r="H18" s="98">
        <v>-13715289.029999999</v>
      </c>
      <c r="I18" s="131">
        <f>I17+J18</f>
        <v>30095748.54999999</v>
      </c>
      <c r="J18" s="131">
        <v>-73673.8</v>
      </c>
      <c r="L18" s="187"/>
    </row>
    <row r="19" spans="1:12">
      <c r="A19" s="99"/>
      <c r="B19" s="100"/>
      <c r="C19" s="101">
        <f>SUM(C7:C18)</f>
        <v>185658.00099999999</v>
      </c>
      <c r="D19" s="101"/>
      <c r="E19" s="101"/>
      <c r="F19" s="102"/>
    </row>
    <row r="21" spans="1:12">
      <c r="A21" s="104"/>
    </row>
    <row r="24" spans="1:12">
      <c r="A24" s="88"/>
    </row>
    <row r="25" spans="1:12">
      <c r="A25" s="88"/>
    </row>
  </sheetData>
  <pageMargins left="0.7" right="0.7" top="0.75" bottom="0.75" header="0.3" footer="0.3"/>
  <pageSetup scale="88" orientation="portrait" r:id="rId1"/>
  <headerFoot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FFAB66-172E-402C-8C49-1272F7463767}"/>
</file>

<file path=customXml/itemProps2.xml><?xml version="1.0" encoding="utf-8"?>
<ds:datastoreItem xmlns:ds="http://schemas.openxmlformats.org/officeDocument/2006/customXml" ds:itemID="{3CE6F436-3FC0-449A-87A7-A441E67020F4}"/>
</file>

<file path=customXml/itemProps3.xml><?xml version="1.0" encoding="utf-8"?>
<ds:datastoreItem xmlns:ds="http://schemas.openxmlformats.org/officeDocument/2006/customXml" ds:itemID="{5A258294-8357-4BC0-85CE-A00B0CFAF13D}"/>
</file>

<file path=customXml/itemProps4.xml><?xml version="1.0" encoding="utf-8"?>
<ds:datastoreItem xmlns:ds="http://schemas.openxmlformats.org/officeDocument/2006/customXml" ds:itemID="{02CFA9D3-DA09-4038-BD73-F3C6E6D15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Elec-Dec19</vt:lpstr>
      <vt:lpstr>Gas North-Dec19</vt:lpstr>
      <vt:lpstr>SYS-Dec19</vt:lpstr>
      <vt:lpstr>AvgCalc</vt:lpstr>
      <vt:lpstr>CDA DFIT</vt:lpstr>
      <vt:lpstr>Other DFIT_AMA</vt:lpstr>
      <vt:lpstr>283324 ED AN</vt:lpstr>
      <vt:lpstr>283325. ED AN 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'Elec-Dec19'!Print_Area</vt:lpstr>
      <vt:lpstr>'Gas AMA-Functional'!Print_Area</vt:lpstr>
      <vt:lpstr>'Gas North-Dec19'!Print_Area</vt:lpstr>
      <vt:lpstr>'Other DFIT_AMA'!Print_Area</vt:lpstr>
      <vt:lpstr>'SYS-Dec19'!Print_Area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Andrews, Liz</cp:lastModifiedBy>
  <cp:lastPrinted>2018-10-11T14:39:41Z</cp:lastPrinted>
  <dcterms:created xsi:type="dcterms:W3CDTF">2012-08-06T15:48:58Z</dcterms:created>
  <dcterms:modified xsi:type="dcterms:W3CDTF">2020-04-16T20:46:51Z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