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8-08-01 WUSF Petition\Kalama Telephone Company\"/>
    </mc:Choice>
  </mc:AlternateContent>
  <xr:revisionPtr revIDLastSave="0" documentId="13_ncr:1_{A63AD950-9C6E-412A-BB63-CF35145B8572}" xr6:coauthVersionLast="34" xr6:coauthVersionMax="34" xr10:uidLastSave="{00000000-0000-0000-0000-000000000000}"/>
  <bookViews>
    <workbookView xWindow="0" yWindow="0" windowWidth="22200" windowHeight="13230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79017"/>
</workbook>
</file>

<file path=xl/calcChain.xml><?xml version="1.0" encoding="utf-8"?>
<calcChain xmlns="http://schemas.openxmlformats.org/spreadsheetml/2006/main">
  <c r="D21" i="13" l="1"/>
  <c r="D26" i="13"/>
  <c r="C37" i="12" l="1"/>
  <c r="D11" i="8" l="1"/>
  <c r="D10" i="8"/>
  <c r="G19" i="12" l="1"/>
  <c r="B10" i="12"/>
  <c r="C38" i="1" l="1"/>
  <c r="C35" i="1"/>
  <c r="C11" i="8"/>
  <c r="C10" i="8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<sst xmlns="http://schemas.openxmlformats.org/spreadsheetml/2006/main" count="637" uniqueCount="273">
  <si>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</si>
  <si>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</si>
  <si>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</si>
  <si>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</si>
  <si>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</si>
  <si>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</si>
  <si>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</si>
  <si>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</si>
  <si>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</si>
  <si>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</si>
  <si>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</si>
  <si>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</si>
  <si>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</si>
  <si>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</si>
  <si>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</si>
  <si>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</si>
  <si>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</si>
  <si>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</si>
  <si>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</si>
  <si>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</si>
  <si>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</si>
  <si>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</si>
  <si>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</si>
  <si>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</si>
  <si>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</si>
  <si>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</si>
  <si>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</si>
  <si>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</si>
  <si>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</si>
  <si>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</si>
  <si>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</si>
  <si>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</si>
  <si>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</si>
  <si>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</si>
  <si>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</si>
  <si>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</si>
  <si>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</si>
  <si>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</si>
  <si>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</si>
  <si>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</si>
  <si>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</si>
  <si>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</si>
  <si>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</si>
  <si>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</si>
  <si>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</si>
  <si>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</si>
  <si>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</si>
  <si>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</si>
  <si>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</si>
  <si>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</si>
  <si>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</si>
  <si>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</si>
  <si>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</si>
  <si>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</si>
  <si>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</si>
  <si>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</si>
  <si>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</si>
  <si>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</si>
  <si>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</si>
  <si>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</si>
  <si>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</si>
  <si>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</si>
  <si>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</si>
  <si>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</si>
  <si>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</si>
  <si>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</si>
  <si>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</si>
  <si>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</si>
  <si>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</si>
  <si>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</si>
  <si>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</si>
  <si>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</si>
  <si>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</si>
  <si>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</si>
  <si>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</si>
  <si>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</si>
  <si>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</si>
  <si>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</si>
  <si>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</si>
  <si>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</si>
  <si>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</si>
  <si>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</si>
  <si>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</si>
  <si>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</si>
  <si>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</si>
  <si>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</si>
  <si>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</si>
  <si>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</si>
  <si>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</si>
  <si>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</si>
  <si>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</si>
  <si>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</si>
  <si>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</si>
  <si>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</si>
  <si>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</si>
  <si>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</si>
  <si>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</si>
  <si>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</si>
  <si>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</si>
  <si>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</si>
  <si>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</si>
  <si>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</si>
  <si>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</si>
  <si>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</si>
  <si>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</si>
  <si>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</si>
  <si>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</si>
  <si>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</si>
  <si>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</si>
  <si>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</si>
  <si>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</si>
  <si>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</si>
  <si>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</si>
  <si>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</si>
  <si>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</si>
  <si>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</si>
  <si>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</si>
  <si>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</si>
  <si>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</si>
  <si>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</si>
  <si>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</si>
  <si>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</si>
  <si>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</si>
  <si>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</si>
  <si>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</si>
  <si>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</si>
  <si>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</si>
  <si>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</si>
  <si>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</si>
  <si>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</si>
  <si>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</si>
  <si>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</si>
  <si>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</si>
  <si>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</si>
  <si>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</si>
  <si>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</si>
  <si>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</si>
  <si>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</si>
  <si>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</si>
  <si>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</si>
  <si>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</si>
  <si>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</si>
  <si>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</si>
  <si>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</si>
  <si>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</si>
  <si>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</si>
  <si>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</si>
  <si>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</si>
  <si>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</si>
  <si>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</si>
  <si>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</si>
  <si>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</si>
  <si>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</si>
  <si>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</si>
  <si>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</si>
  <si>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</si>
  <si>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</si>
  <si>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</si>
  <si>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</si>
  <si>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</si>
  <si>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</si>
  <si>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</si>
  <si>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</si>
  <si>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</si>
  <si>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</si>
  <si>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</si>
  <si>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</si>
  <si>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</si>
  <si>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</si>
  <si>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</si>
  <si>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</si>
  <si>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</si>
  <si>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</si>
  <si>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</si>
  <si>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</si>
  <si>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</si>
  <si>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</si>
  <si>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</si>
  <si>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</si>
  <si>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</si>
  <si>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</si>
  <si>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</si>
  <si>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</si>
  <si>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</si>
  <si>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</si>
  <si>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</si>
  <si>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</si>
  <si>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</si>
  <si>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</si>
  <si>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</si>
  <si>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</si>
  <si>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</si>
  <si>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</si>
  <si>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</si>
  <si>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</si>
  <si>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</si>
  <si>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</si>
  <si>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</si>
  <si>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</si>
  <si>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</si>
  <si>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</si>
  <si>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</si>
  <si>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</si>
  <si>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</si>
  <si>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</si>
  <si>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</si>
  <si>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</si>
  <si>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</si>
  <si>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</si>
  <si>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</si>
  <si>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</si>
  <si>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</si>
  <si>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</si>
  <si>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</si>
  <si>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</si>
  <si>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</si>
  <si>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</si>
  <si>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</si>
  <si>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</si>
  <si>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</si>
  <si>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</si>
  <si>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</si>
  <si>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</si>
  <si>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</si>
  <si>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</si>
  <si>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</si>
  <si>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</si>
  <si>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</si>
  <si>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</si>
  <si>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</si>
  <si>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</si>
  <si>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</si>
  <si>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</si>
  <si>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</si>
  <si>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</si>
  <si>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</si>
  <si>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</si>
  <si>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</si>
  <si>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</si>
  <si>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</si>
  <si>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</si>
  <si>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</si>
  <si>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</si>
  <si>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</si>
  <si>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</si>
  <si>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</si>
  <si>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</si>
  <si>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</si>
  <si>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</si>
  <si>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</si>
  <si>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</si>
  <si>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</si>
  <si>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</si>
  <si>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</si>
  <si>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</si>
  <si>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</si>
  <si>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</si>
  <si>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</si>
  <si>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</si>
  <si>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</si>
  <si>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</si>
  <si>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</si>
  <si>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</si>
  <si>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</si>
  <si>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</si>
  <si>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</si>
  <si>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</si>
  <si>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</si>
  <si>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</si>
  <si>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</si>
  <si>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</si>
  <si>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</si>
  <si>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Kalama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</si>
</sst>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37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tabSelected="1" zoomScaleNormal="100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D9" sqref="D9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Kalama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340427</v>
      </c>
      <c r="E9" s="55">
        <v>347467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57890</v>
      </c>
      <c r="E11" s="52">
        <v>43628</v>
      </c>
    </row>
    <row r="12" spans="1:5" x14ac:dyDescent="0.25">
      <c r="A12" s="10" t="s">
        <v>176</v>
      </c>
      <c r="B12" s="17" t="s">
        <v>200</v>
      </c>
      <c r="C12" s="10"/>
      <c r="D12" s="52">
        <v>198448</v>
      </c>
      <c r="E12" s="52">
        <v>401353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5352</v>
      </c>
      <c r="E14" s="52">
        <v>2934</v>
      </c>
    </row>
    <row r="15" spans="1:5" x14ac:dyDescent="0.25">
      <c r="A15" s="10" t="s">
        <v>178</v>
      </c>
      <c r="B15" s="17" t="s">
        <v>142</v>
      </c>
      <c r="C15" s="10"/>
      <c r="D15" s="52">
        <v>509611</v>
      </c>
      <c r="E15" s="52">
        <v>427703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1051555</v>
      </c>
      <c r="E16" s="52">
        <v>298476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0</v>
      </c>
      <c r="E17" s="52">
        <v>550584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233091</v>
      </c>
      <c r="E18" s="52">
        <v>262741</v>
      </c>
    </row>
    <row r="19" spans="1:5" x14ac:dyDescent="0.25">
      <c r="A19" s="10">
        <v>7</v>
      </c>
      <c r="B19" s="17" t="s">
        <v>163</v>
      </c>
      <c r="C19" s="11"/>
      <c r="D19" s="53">
        <v>144</v>
      </c>
      <c r="E19" s="53">
        <v>594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2396518</v>
      </c>
      <c r="E20" s="35">
        <f>E9+E11+E12+E14+E15+E16++E17+E18+E19</f>
        <v>2335480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2396518</v>
      </c>
      <c r="E21" s="37">
        <f>IncomeStmtSummary!D10</f>
        <v>2335480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zoomScaleNormal="100" workbookViewId="0">
      <selection activeCell="A17" sqref="A17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Kalama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3" t="s">
        <v>186</v>
      </c>
      <c r="E6" s="124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D24" sqref="D2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Kalama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1601807</v>
      </c>
      <c r="D10" s="81">
        <f>C10</f>
        <v>1601807</v>
      </c>
    </row>
    <row r="11" spans="1:4" x14ac:dyDescent="0.25">
      <c r="A11" s="74">
        <v>2</v>
      </c>
      <c r="B11" s="78" t="s">
        <v>170</v>
      </c>
      <c r="C11" s="93">
        <f>'RateBase '!E15</f>
        <v>1519981</v>
      </c>
      <c r="D11" s="93">
        <f>C11</f>
        <v>1519981</v>
      </c>
    </row>
    <row r="12" spans="1:4" x14ac:dyDescent="0.25">
      <c r="A12" s="74">
        <v>3</v>
      </c>
      <c r="B12" s="89" t="s">
        <v>171</v>
      </c>
      <c r="C12" s="79">
        <f>(C10+C11)/2</f>
        <v>1560894</v>
      </c>
      <c r="D12" s="79">
        <f>(D10+D11)/2</f>
        <v>1560894</v>
      </c>
    </row>
    <row r="13" spans="1:4" x14ac:dyDescent="0.25">
      <c r="A13" s="74">
        <v>4</v>
      </c>
      <c r="B13" s="78" t="s">
        <v>172</v>
      </c>
      <c r="C13" s="58">
        <f>IncomeStmtSummary!D29</f>
        <v>-231369</v>
      </c>
      <c r="D13" s="58">
        <f>C13</f>
        <v>-231369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-231369</v>
      </c>
      <c r="D15" s="79">
        <f>D13+D14</f>
        <v>-231369</v>
      </c>
    </row>
    <row r="16" spans="1:4" x14ac:dyDescent="0.25">
      <c r="A16" s="74">
        <v>7</v>
      </c>
      <c r="B16" s="89" t="s">
        <v>173</v>
      </c>
      <c r="C16" s="80">
        <f>C15/C12</f>
        <v>-0.14822851519706015</v>
      </c>
      <c r="D16" s="80">
        <f>D15/D12</f>
        <v>-0.14822851519706015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zoomScaleNormal="100" workbookViewId="0">
      <selection activeCell="G40" sqref="G40: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786239</v>
      </c>
      <c r="C10" s="54"/>
      <c r="D10" s="58">
        <f>SUM(B10:C10)</f>
        <v>786239</v>
      </c>
      <c r="E10" s="17"/>
      <c r="F10" s="17" t="s">
        <v>77</v>
      </c>
      <c r="G10" s="52">
        <v>32126</v>
      </c>
      <c r="H10" s="54"/>
      <c r="I10" s="58">
        <f>SUM(G10:H10)</f>
        <v>32126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176976</v>
      </c>
      <c r="C17" s="54"/>
      <c r="D17" s="58">
        <f>SUM(B17:C17)</f>
        <v>176976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17974</v>
      </c>
      <c r="H18" s="54"/>
      <c r="I18" s="58">
        <f t="shared" si="0"/>
        <v>17974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215722</v>
      </c>
      <c r="H19" s="111"/>
      <c r="I19" s="59">
        <f t="shared" si="0"/>
        <v>215722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265822</v>
      </c>
      <c r="H20" s="58">
        <f>SUM(H10:H19)</f>
        <v>0</v>
      </c>
      <c r="I20" s="58">
        <f t="shared" ref="I20" si="3">SUM(I10:I19)</f>
        <v>265822</v>
      </c>
    </row>
    <row r="21" spans="1:9" x14ac:dyDescent="0.25">
      <c r="A21" s="17" t="s">
        <v>48</v>
      </c>
      <c r="B21" s="52">
        <v>35802</v>
      </c>
      <c r="C21" s="54"/>
      <c r="D21" s="58">
        <f t="shared" si="2"/>
        <v>35802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29948</v>
      </c>
      <c r="C24" s="111"/>
      <c r="D24" s="59">
        <f t="shared" si="2"/>
        <v>29948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1028965</v>
      </c>
      <c r="C25" s="58">
        <f>C10+C11+C13+C14+C15+C17+C18+C19+C20+C21+C22+C23+C24</f>
        <v>0</v>
      </c>
      <c r="D25" s="58">
        <f t="shared" ref="D25" si="5">D10+D11+D13+D14+D15+D17+D18+D19+D20+D21+D22+D23+D24</f>
        <v>1028965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>
        <v>2802947</v>
      </c>
      <c r="H30" s="54"/>
      <c r="I30" s="58">
        <f t="shared" si="6"/>
        <v>2802947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2802947</v>
      </c>
      <c r="H32" s="119">
        <f>SUM(H22:H31)</f>
        <v>0</v>
      </c>
      <c r="I32" s="119">
        <f>SUM(I22:I31)</f>
        <v>2802947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4134</v>
      </c>
      <c r="D35" s="58">
        <f t="shared" si="7"/>
        <v>4134</v>
      </c>
      <c r="E35" s="17"/>
      <c r="F35" s="18" t="s">
        <v>216</v>
      </c>
      <c r="G35" s="52"/>
      <c r="H35" s="52"/>
      <c r="I35" s="58">
        <f>SUM(G35:H35)</f>
        <v>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577572</v>
      </c>
      <c r="C37" s="54">
        <v>-1328</v>
      </c>
      <c r="D37" s="58">
        <f t="shared" si="7"/>
        <v>576244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64</v>
      </c>
      <c r="B39" s="58">
        <f>B30+B31+B33+B34+B35+B36+B37+B38</f>
        <v>577572</v>
      </c>
      <c r="C39" s="58">
        <f>C30+C31+C33+C34+C35+C36+C37+C38</f>
        <v>2806</v>
      </c>
      <c r="D39" s="58">
        <f>D30+D31+D33+D34+D35+D36+D37+D38</f>
        <v>580378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35000</v>
      </c>
      <c r="H40" s="22"/>
      <c r="I40" s="58">
        <f>SUM(G40:H40)</f>
        <v>35000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18778850</v>
      </c>
      <c r="C42" s="52">
        <v>-43552</v>
      </c>
      <c r="D42" s="58">
        <f>SUM(B42:C42)</f>
        <v>18735298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62942</v>
      </c>
      <c r="C44" s="52"/>
      <c r="D44" s="58">
        <f t="shared" si="10"/>
        <v>62942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-17210039</v>
      </c>
      <c r="C46" s="53">
        <v>40746</v>
      </c>
      <c r="D46" s="59">
        <f t="shared" si="10"/>
        <v>-17169293</v>
      </c>
      <c r="E46" s="17"/>
      <c r="F46" s="17" t="s">
        <v>223</v>
      </c>
      <c r="G46" s="53">
        <v>134521</v>
      </c>
      <c r="H46" s="94">
        <f>-1*(H20+H32+H38)</f>
        <v>0</v>
      </c>
      <c r="I46" s="59">
        <f t="shared" si="9"/>
        <v>134521</v>
      </c>
    </row>
    <row r="47" spans="1:9" x14ac:dyDescent="0.25">
      <c r="A47" s="17" t="s">
        <v>70</v>
      </c>
      <c r="B47" s="58">
        <f>B42+B43+B44+B45+B46</f>
        <v>1631753</v>
      </c>
      <c r="C47" s="58">
        <f t="shared" ref="C47:D47" si="11">C42+C43+C44+C45+C46</f>
        <v>-2806</v>
      </c>
      <c r="D47" s="58">
        <f t="shared" si="11"/>
        <v>1628947</v>
      </c>
      <c r="E47" s="17"/>
      <c r="F47" s="17" t="s">
        <v>224</v>
      </c>
      <c r="G47" s="58">
        <f>SUM(G40:G46)</f>
        <v>169521</v>
      </c>
      <c r="H47" s="61">
        <f t="shared" ref="H47:I47" si="12">SUM(H40:H46)</f>
        <v>0</v>
      </c>
      <c r="I47" s="58">
        <f t="shared" si="12"/>
        <v>169521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3238290</v>
      </c>
      <c r="C49" s="60">
        <f>C25+C39+C47</f>
        <v>0</v>
      </c>
      <c r="D49" s="60">
        <f>D25+D39+D47</f>
        <v>3238290</v>
      </c>
      <c r="E49" s="19"/>
      <c r="F49" s="82" t="s">
        <v>228</v>
      </c>
      <c r="G49" s="60">
        <f>G20+G32+G38+G47</f>
        <v>3238290</v>
      </c>
      <c r="H49" s="60">
        <f>H20+H32+H38+H47</f>
        <v>0</v>
      </c>
      <c r="I49" s="60">
        <f>I20+I32+I38+I47</f>
        <v>3238290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Kalama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f>585002+285495</f>
        <v>870497</v>
      </c>
      <c r="C10" s="54"/>
      <c r="D10" s="58">
        <f>SUM(B10:C10)</f>
        <v>870497</v>
      </c>
      <c r="E10" s="17"/>
      <c r="F10" s="17" t="s">
        <v>77</v>
      </c>
      <c r="G10" s="52">
        <v>43294</v>
      </c>
      <c r="H10" s="54"/>
      <c r="I10" s="58">
        <f>SUM(G10:H10)</f>
        <v>43294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118523</v>
      </c>
      <c r="C17" s="54"/>
      <c r="D17" s="58">
        <f>SUM(B17:C17)</f>
        <v>118523</v>
      </c>
      <c r="E17" s="18"/>
      <c r="F17" s="17" t="s">
        <v>85</v>
      </c>
      <c r="G17" s="52">
        <v>3565</v>
      </c>
      <c r="H17" s="54"/>
      <c r="I17" s="58">
        <f t="shared" si="0"/>
        <v>3565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14192</v>
      </c>
      <c r="H18" s="54"/>
      <c r="I18" s="58">
        <f t="shared" si="0"/>
        <v>14192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f>208187+138593</f>
        <v>346780</v>
      </c>
      <c r="H19" s="111"/>
      <c r="I19" s="59">
        <f t="shared" si="0"/>
        <v>346780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407831</v>
      </c>
      <c r="H20" s="58">
        <f>SUM(H10:H19)</f>
        <v>0</v>
      </c>
      <c r="I20" s="58">
        <f t="shared" ref="I20" si="3">SUM(I10:I19)</f>
        <v>407831</v>
      </c>
    </row>
    <row r="21" spans="1:9" x14ac:dyDescent="0.25">
      <c r="A21" s="17" t="s">
        <v>48</v>
      </c>
      <c r="B21" s="52">
        <v>34672</v>
      </c>
      <c r="C21" s="54"/>
      <c r="D21" s="58">
        <f t="shared" si="2"/>
        <v>34672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32329</v>
      </c>
      <c r="C23" s="54"/>
      <c r="D23" s="58">
        <f t="shared" si="2"/>
        <v>32329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1056021</v>
      </c>
      <c r="C25" s="58">
        <f>C10+C11+C13+C14+C15+C17+C18+C19+C20+C21+C22+C23+C24</f>
        <v>0</v>
      </c>
      <c r="D25" s="58">
        <f t="shared" ref="D25" si="5">D10+D11+D13+D14+D15+D17+D18+D19+D20+D21+D22+D23+D24</f>
        <v>1056021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2800086</v>
      </c>
      <c r="H30" s="54"/>
      <c r="I30" s="58">
        <f t="shared" si="6"/>
        <v>2800086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2800086</v>
      </c>
      <c r="H32" s="81">
        <f>SUM(H22:H31)</f>
        <v>0</v>
      </c>
      <c r="I32" s="58">
        <f>SUM(I22:I31)</f>
        <v>2800086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1109</v>
      </c>
      <c r="D35" s="58">
        <f t="shared" si="7"/>
        <v>1109</v>
      </c>
      <c r="E35" s="17"/>
      <c r="F35" s="18" t="s">
        <v>216</v>
      </c>
      <c r="G35" s="52"/>
      <c r="H35" s="52"/>
      <c r="I35" s="58">
        <f>SUM(G35:H35)</f>
        <v>0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327092</v>
      </c>
      <c r="C37" s="54">
        <f>-567+7</f>
        <v>-560</v>
      </c>
      <c r="D37" s="58">
        <f t="shared" si="7"/>
        <v>326532</v>
      </c>
      <c r="E37" s="17"/>
      <c r="F37" s="17" t="s">
        <v>263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64</v>
      </c>
      <c r="B39" s="58">
        <f>B30+B31+B33+B34+B35+B36+B37+B38</f>
        <v>327092</v>
      </c>
      <c r="C39" s="58">
        <f>C30+C31+C33+C34+C35+C36+C37+C38</f>
        <v>549</v>
      </c>
      <c r="D39" s="58">
        <f t="shared" ref="D39" si="9">D30+D31+D33+D34+D35+D36+D37+D38</f>
        <v>327641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35000</v>
      </c>
      <c r="H40" s="22"/>
      <c r="I40" s="58">
        <f>SUM(G40:H40)</f>
        <v>35000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19212808</v>
      </c>
      <c r="C42" s="52">
        <v>-19912</v>
      </c>
      <c r="D42" s="58">
        <f>SUM(B42:C42)</f>
        <v>19192896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155863</v>
      </c>
      <c r="C44" s="52"/>
      <c r="D44" s="58">
        <f t="shared" si="11"/>
        <v>155863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-17726950</v>
      </c>
      <c r="C46" s="53">
        <v>19363</v>
      </c>
      <c r="D46" s="59">
        <f t="shared" si="11"/>
        <v>-17707587</v>
      </c>
      <c r="E46" s="17"/>
      <c r="F46" s="17" t="s">
        <v>223</v>
      </c>
      <c r="G46" s="53">
        <v>-218083</v>
      </c>
      <c r="H46" s="94">
        <f>-1*(H20+H32+H38)</f>
        <v>0</v>
      </c>
      <c r="I46" s="59">
        <f t="shared" si="10"/>
        <v>-218083</v>
      </c>
    </row>
    <row r="47" spans="1:11" x14ac:dyDescent="0.25">
      <c r="A47" s="17" t="s">
        <v>70</v>
      </c>
      <c r="B47" s="58">
        <f>B42+B43+B44+B45+B46</f>
        <v>1641721</v>
      </c>
      <c r="C47" s="58">
        <f t="shared" ref="C47:D47" si="12">C42+C43+C44+C45+C46</f>
        <v>-549</v>
      </c>
      <c r="D47" s="58">
        <f t="shared" si="12"/>
        <v>1641172</v>
      </c>
      <c r="E47" s="17"/>
      <c r="F47" s="17" t="s">
        <v>224</v>
      </c>
      <c r="G47" s="58">
        <f>SUM(G40:G46)</f>
        <v>-183083</v>
      </c>
      <c r="H47" s="61">
        <f t="shared" ref="H47:I47" si="13">SUM(H40:H46)</f>
        <v>0</v>
      </c>
      <c r="I47" s="58">
        <f t="shared" si="13"/>
        <v>-183083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3024834</v>
      </c>
      <c r="C49" s="60">
        <f t="shared" ref="C49:D49" si="14">C25+C39+C47</f>
        <v>0</v>
      </c>
      <c r="D49" s="60">
        <f t="shared" si="14"/>
        <v>3024834</v>
      </c>
      <c r="E49" s="19"/>
      <c r="F49" s="82" t="s">
        <v>227</v>
      </c>
      <c r="G49" s="60">
        <f>G20+G32+G38+G47</f>
        <v>3024834</v>
      </c>
      <c r="H49" s="60">
        <f>H20+H32+H38+H47</f>
        <v>0</v>
      </c>
      <c r="I49" s="60">
        <f>I20+I32+I38+I47</f>
        <v>3024834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Normal="100" workbookViewId="0">
      <selection activeCell="A17" sqref="A17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Kalama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786239</v>
      </c>
      <c r="C10" s="32">
        <f>'CurrentYearBalanceSheet '!D10</f>
        <v>870497</v>
      </c>
      <c r="D10" s="17"/>
      <c r="E10" s="17" t="s">
        <v>77</v>
      </c>
      <c r="F10" s="32">
        <f>PriorYearBalanceSheet!I10</f>
        <v>32126</v>
      </c>
      <c r="G10" s="32">
        <f>'CurrentYearBalanceSheet '!I10</f>
        <v>43294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176976</v>
      </c>
      <c r="C17" s="32">
        <f>'CurrentYearBalanceSheet '!D17</f>
        <v>118523</v>
      </c>
      <c r="D17" s="17"/>
      <c r="E17" s="17" t="s">
        <v>85</v>
      </c>
      <c r="F17" s="32">
        <f>PriorYearBalanceSheet!I17</f>
        <v>0</v>
      </c>
      <c r="G17" s="32">
        <f>'CurrentYearBalanceSheet '!I17</f>
        <v>3565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17974</v>
      </c>
      <c r="G18" s="32">
        <f>'CurrentYearBalanceSheet '!I18</f>
        <v>14192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215722</v>
      </c>
      <c r="G19" s="32">
        <f>'CurrentYearBalanceSheet '!I19</f>
        <v>346780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265822</v>
      </c>
      <c r="G20" s="35">
        <f>SUM(G10:G19)</f>
        <v>407831</v>
      </c>
    </row>
    <row r="21" spans="1:7" x14ac:dyDescent="0.25">
      <c r="A21" s="17" t="s">
        <v>48</v>
      </c>
      <c r="B21" s="32">
        <f>PriorYearBalanceSheet!D21</f>
        <v>35802</v>
      </c>
      <c r="C21" s="32">
        <f>'CurrentYearBalanceSheet '!D21</f>
        <v>34672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32329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29948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1028965</v>
      </c>
      <c r="C25" s="32">
        <f>C10+C11+C13+C14+C15+C17+C18+C19+C20+C21+C22+C23+C24</f>
        <v>1056021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2802947</v>
      </c>
      <c r="G30" s="32">
        <f>'CurrentYearBalanceSheet '!I30</f>
        <v>2800086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2802947</v>
      </c>
      <c r="G32" s="32">
        <f>SUM(G22:G31)</f>
        <v>2800086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4134</v>
      </c>
      <c r="C35" s="32">
        <f>'CurrentYearBalanceSheet '!D35</f>
        <v>1109</v>
      </c>
      <c r="D35" s="17"/>
      <c r="E35" s="18" t="s">
        <v>216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576244</v>
      </c>
      <c r="C37" s="32">
        <f>'CurrentYearBalanceSheet '!D37</f>
        <v>326532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64</v>
      </c>
      <c r="B39" s="32">
        <f>B30+B31+B33+B34+B35+B36+B37+B38</f>
        <v>580378</v>
      </c>
      <c r="C39" s="32">
        <f>C30+C31+C33+C34+C35+C36+C37+C38</f>
        <v>327641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35000</v>
      </c>
      <c r="G40" s="32">
        <f>'CurrentYearBalanceSheet '!I40</f>
        <v>35000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18735298</v>
      </c>
      <c r="C42" s="32">
        <f>'CurrentYearBalanceSheet '!D42</f>
        <v>19192896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62942</v>
      </c>
      <c r="C44" s="32">
        <f>'CurrentYearBalanceSheet '!D44</f>
        <v>155863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-17169293</v>
      </c>
      <c r="C46" s="33">
        <f>'CurrentYearBalanceSheet '!D46</f>
        <v>-17707587</v>
      </c>
      <c r="D46" s="17"/>
      <c r="E46" s="17" t="s">
        <v>232</v>
      </c>
      <c r="F46" s="33">
        <f>PriorYearBalanceSheet!I46</f>
        <v>134521</v>
      </c>
      <c r="G46" s="33">
        <f>'CurrentYearBalanceSheet '!I46</f>
        <v>-218083</v>
      </c>
    </row>
    <row r="47" spans="1:7" x14ac:dyDescent="0.25">
      <c r="A47" s="17" t="s">
        <v>70</v>
      </c>
      <c r="B47" s="32">
        <f>SUM(B42:B46)</f>
        <v>1628947</v>
      </c>
      <c r="C47" s="32">
        <f>SUM(C42:C46)</f>
        <v>1641172</v>
      </c>
      <c r="D47" s="17"/>
      <c r="E47" s="17" t="s">
        <v>224</v>
      </c>
      <c r="F47" s="32">
        <f>SUM(F40:F46)</f>
        <v>169521</v>
      </c>
      <c r="G47" s="32">
        <f>SUM(G40:G46)</f>
        <v>-183083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3238290</v>
      </c>
      <c r="C49" s="34">
        <f>C25+C39+C47</f>
        <v>3024834</v>
      </c>
      <c r="D49" s="17"/>
      <c r="E49" s="21" t="s">
        <v>225</v>
      </c>
      <c r="F49" s="34">
        <f>F20+F32+F38+F47</f>
        <v>3238290</v>
      </c>
      <c r="G49" s="34">
        <f>G20+G32+G38+G47</f>
        <v>3024834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D14" sqref="D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18735298</v>
      </c>
      <c r="E10" s="58">
        <f>'BalanceSheet(Summary)'!C42</f>
        <v>19192896</v>
      </c>
      <c r="F10" s="58">
        <f>(D10+E10)/2</f>
        <v>18964097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-17169293</v>
      </c>
      <c r="E12" s="58">
        <f>'BalanceSheet(Summary)'!C46</f>
        <v>-17707587</v>
      </c>
      <c r="F12" s="58">
        <f t="shared" ref="F12:F15" si="0">(D12+E12)/2</f>
        <v>-17438440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35802</v>
      </c>
      <c r="E13" s="58">
        <f>'BalanceSheet(Summary)'!C21</f>
        <v>34672</v>
      </c>
      <c r="F13" s="58">
        <f t="shared" si="0"/>
        <v>35237</v>
      </c>
    </row>
    <row r="14" spans="1:6" x14ac:dyDescent="0.25">
      <c r="A14" s="10">
        <v>5</v>
      </c>
      <c r="B14" s="17" t="s">
        <v>257</v>
      </c>
      <c r="C14" s="11"/>
      <c r="D14" s="52"/>
      <c r="E14" s="52"/>
      <c r="F14" s="58">
        <f t="shared" si="0"/>
        <v>0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1601807</v>
      </c>
      <c r="E15" s="62">
        <f>SUM(E10:E14)</f>
        <v>1519981</v>
      </c>
      <c r="F15" s="63">
        <f t="shared" si="0"/>
        <v>1560894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f>1683+7</f>
        <v>1690</v>
      </c>
      <c r="D10" s="52">
        <f>1663+6</f>
        <v>1669</v>
      </c>
      <c r="E10" s="32">
        <f>D10-C10</f>
        <v>-21</v>
      </c>
      <c r="F10" s="38">
        <f>E10/C10</f>
        <v>-1.242603550295858E-2</v>
      </c>
    </row>
    <row r="11" spans="1:6" x14ac:dyDescent="0.25">
      <c r="A11" s="10">
        <v>2</v>
      </c>
      <c r="B11" s="19" t="s">
        <v>122</v>
      </c>
      <c r="C11" s="52">
        <f>480+49</f>
        <v>529</v>
      </c>
      <c r="D11" s="52">
        <f>61+423+41</f>
        <v>525</v>
      </c>
      <c r="E11" s="32">
        <f>D11-C11</f>
        <v>-4</v>
      </c>
      <c r="F11" s="38">
        <f t="shared" ref="F11:F12" si="0">E11/C11</f>
        <v>-7.5614366729678641E-3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2219</v>
      </c>
      <c r="D12" s="34">
        <f t="shared" ref="D12:E12" si="1">SUM(D10:D11)</f>
        <v>2194</v>
      </c>
      <c r="E12" s="34">
        <f t="shared" si="1"/>
        <v>-25</v>
      </c>
      <c r="F12" s="39">
        <f t="shared" si="0"/>
        <v>-1.1266336187471835E-2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zoomScaleNormal="100" workbookViewId="0">
      <selection activeCell="D16" sqref="D1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566448</v>
      </c>
      <c r="D9" s="52"/>
      <c r="E9" s="58">
        <f>SUM(C9:D9)</f>
        <v>566448</v>
      </c>
    </row>
    <row r="10" spans="1:6" x14ac:dyDescent="0.25">
      <c r="A10" s="10">
        <v>2</v>
      </c>
      <c r="B10" s="14" t="s">
        <v>2</v>
      </c>
      <c r="C10" s="52">
        <v>2396518</v>
      </c>
      <c r="D10" s="52"/>
      <c r="E10" s="58">
        <f t="shared" ref="E10:E14" si="0">SUM(C10:D10)</f>
        <v>2396518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12206</v>
      </c>
      <c r="D12" s="52"/>
      <c r="E12" s="58">
        <f t="shared" si="0"/>
        <v>12206</v>
      </c>
    </row>
    <row r="13" spans="1:6" x14ac:dyDescent="0.25">
      <c r="A13" s="10">
        <v>5</v>
      </c>
      <c r="B13" s="14" t="s">
        <v>5</v>
      </c>
      <c r="C13" s="52">
        <v>30026</v>
      </c>
      <c r="D13" s="52"/>
      <c r="E13" s="58">
        <f t="shared" si="0"/>
        <v>30026</v>
      </c>
    </row>
    <row r="14" spans="1:6" x14ac:dyDescent="0.25">
      <c r="A14" s="10">
        <v>6</v>
      </c>
      <c r="B14" s="14" t="s">
        <v>133</v>
      </c>
      <c r="C14" s="52">
        <v>-3053</v>
      </c>
      <c r="D14" s="52"/>
      <c r="E14" s="58">
        <f t="shared" si="0"/>
        <v>-3053</v>
      </c>
    </row>
    <row r="15" spans="1:6" x14ac:dyDescent="0.25">
      <c r="A15" s="10">
        <v>7</v>
      </c>
      <c r="B15" s="88" t="s">
        <v>132</v>
      </c>
      <c r="C15" s="96">
        <f>SUM(C9:C14)</f>
        <v>3002145</v>
      </c>
      <c r="D15" s="96">
        <f t="shared" ref="D15:E15" si="1">SUM(D9:D14)</f>
        <v>0</v>
      </c>
      <c r="E15" s="96">
        <f t="shared" si="1"/>
        <v>3002145</v>
      </c>
      <c r="F15" s="1"/>
    </row>
    <row r="16" spans="1:6" x14ac:dyDescent="0.25">
      <c r="A16" s="10">
        <v>8</v>
      </c>
      <c r="B16" s="14" t="s">
        <v>6</v>
      </c>
      <c r="C16" s="52">
        <v>1054142</v>
      </c>
      <c r="D16" s="52">
        <v>-9350</v>
      </c>
      <c r="E16" s="41">
        <f>SUM(C16:D16)</f>
        <v>1044792</v>
      </c>
    </row>
    <row r="17" spans="1:6" x14ac:dyDescent="0.25">
      <c r="A17" s="10">
        <v>9</v>
      </c>
      <c r="B17" s="14" t="s">
        <v>39</v>
      </c>
      <c r="C17" s="52">
        <v>665004</v>
      </c>
      <c r="D17" s="52"/>
      <c r="E17" s="41">
        <f t="shared" ref="E17:E21" si="2">SUM(C17:D17)</f>
        <v>665004</v>
      </c>
    </row>
    <row r="18" spans="1:6" x14ac:dyDescent="0.25">
      <c r="A18" s="10">
        <v>10</v>
      </c>
      <c r="B18" s="14" t="s">
        <v>7</v>
      </c>
      <c r="C18" s="52">
        <v>660692</v>
      </c>
      <c r="D18" s="52">
        <v>-4183</v>
      </c>
      <c r="E18" s="41">
        <f t="shared" si="2"/>
        <v>656509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221704</v>
      </c>
      <c r="D20" s="52">
        <v>-4111</v>
      </c>
      <c r="E20" s="41">
        <f t="shared" si="2"/>
        <v>217593</v>
      </c>
    </row>
    <row r="21" spans="1:6" x14ac:dyDescent="0.25">
      <c r="A21" s="10">
        <v>13</v>
      </c>
      <c r="B21" s="14" t="s">
        <v>10</v>
      </c>
      <c r="C21" s="52">
        <v>566713</v>
      </c>
      <c r="D21" s="52">
        <v>-5686</v>
      </c>
      <c r="E21" s="41">
        <f t="shared" si="2"/>
        <v>561027</v>
      </c>
    </row>
    <row r="22" spans="1:6" x14ac:dyDescent="0.25">
      <c r="A22" s="10">
        <v>14</v>
      </c>
      <c r="B22" s="83" t="s">
        <v>237</v>
      </c>
      <c r="C22" s="96">
        <f>C16+C17+C18+C19+C20+C21</f>
        <v>3168255</v>
      </c>
      <c r="D22" s="96">
        <f>D16+D17+D18+D19+D20+D21</f>
        <v>-23330</v>
      </c>
      <c r="E22" s="97">
        <f>E16+E17+E18+E19+E20+E21</f>
        <v>3144925</v>
      </c>
      <c r="F22" s="1"/>
    </row>
    <row r="23" spans="1:6" x14ac:dyDescent="0.25">
      <c r="A23" s="10">
        <v>15</v>
      </c>
      <c r="B23" s="14" t="s">
        <v>14</v>
      </c>
      <c r="C23" s="58">
        <f>C15-C22</f>
        <v>-166110</v>
      </c>
      <c r="D23" s="58">
        <f>D15-D22</f>
        <v>23330</v>
      </c>
      <c r="E23" s="58">
        <f>E15-E22</f>
        <v>-142780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85698</v>
      </c>
      <c r="D25" s="112">
        <v>-155</v>
      </c>
      <c r="E25" s="58">
        <f t="shared" ref="E25:E27" si="3">SUM(C25:D25)</f>
        <v>85543</v>
      </c>
    </row>
    <row r="26" spans="1:6" x14ac:dyDescent="0.25">
      <c r="A26" s="10">
        <v>18</v>
      </c>
      <c r="B26" s="14" t="s">
        <v>191</v>
      </c>
      <c r="C26" s="122">
        <v>-123934</v>
      </c>
      <c r="D26" s="54">
        <v>12021</v>
      </c>
      <c r="E26" s="58">
        <f t="shared" si="3"/>
        <v>-111913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-38236</v>
      </c>
      <c r="D28" s="79">
        <f t="shared" ref="D28:E28" si="4">SUM(D25:D27)</f>
        <v>11866</v>
      </c>
      <c r="E28" s="98">
        <f t="shared" si="4"/>
        <v>-26370</v>
      </c>
    </row>
    <row r="29" spans="1:6" x14ac:dyDescent="0.25">
      <c r="A29" s="10">
        <v>21</v>
      </c>
      <c r="B29" s="88" t="s">
        <v>22</v>
      </c>
      <c r="C29" s="79">
        <f>C23+C24-C28</f>
        <v>-127874</v>
      </c>
      <c r="D29" s="79">
        <f>D23+D24-D28</f>
        <v>11464</v>
      </c>
      <c r="E29" s="98">
        <f>E23+E24-E28</f>
        <v>-116410</v>
      </c>
    </row>
    <row r="30" spans="1:6" x14ac:dyDescent="0.25">
      <c r="A30" s="10">
        <v>22</v>
      </c>
      <c r="B30" s="14" t="s">
        <v>15</v>
      </c>
      <c r="C30" s="52">
        <v>117547</v>
      </c>
      <c r="D30" s="54"/>
      <c r="E30" s="58">
        <f>SUM(C30:D30)</f>
        <v>117547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117547</v>
      </c>
      <c r="D34" s="99">
        <f t="shared" ref="D34" si="6">SUM(D30:D33)</f>
        <v>0</v>
      </c>
      <c r="E34" s="79">
        <f>SUM(E30:E33)</f>
        <v>117547</v>
      </c>
    </row>
    <row r="35" spans="1:10" x14ac:dyDescent="0.25">
      <c r="A35" s="10">
        <v>27</v>
      </c>
      <c r="B35" s="14" t="s">
        <v>18</v>
      </c>
      <c r="C35" s="52">
        <f>7730-36593</f>
        <v>-28863</v>
      </c>
      <c r="D35" s="54"/>
      <c r="E35" s="32">
        <f>SUM(C35:D35)</f>
        <v>-28863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f>43362-4930</f>
        <v>38432</v>
      </c>
      <c r="D38" s="69">
        <f>-1*(D29-D34)</f>
        <v>-11464</v>
      </c>
      <c r="E38" s="32">
        <f t="shared" si="7"/>
        <v>26968</v>
      </c>
    </row>
    <row r="39" spans="1:10" x14ac:dyDescent="0.25">
      <c r="A39" s="10">
        <v>31</v>
      </c>
      <c r="B39" s="88" t="s">
        <v>21</v>
      </c>
      <c r="C39" s="79">
        <f>C29-C34+C35+C36+C37+C38</f>
        <v>-235852</v>
      </c>
      <c r="D39" s="79">
        <f t="shared" ref="D39:E39" si="8">D29-D34+D35+D36+D37+D38</f>
        <v>0</v>
      </c>
      <c r="E39" s="79">
        <f t="shared" si="8"/>
        <v>-235852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370373</v>
      </c>
      <c r="D41" s="54"/>
      <c r="E41" s="58">
        <f t="shared" ref="E41:E46" si="9">SUM(C41:D41)</f>
        <v>370373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134521</v>
      </c>
      <c r="D47" s="99">
        <f t="shared" ref="D47:E47" si="10">(D39+D41+D42)-(D43+D44+D45+D46)</f>
        <v>0</v>
      </c>
      <c r="E47" s="98">
        <f t="shared" si="10"/>
        <v>134521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0</v>
      </c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0.82252089755824587</v>
      </c>
      <c r="D53" s="102" t="e">
        <f>((D22+D28-D18-D19)/D15)</f>
        <v>#DIV/0!</v>
      </c>
      <c r="E53" s="102">
        <f>((E22+E28-E18-E19)/E15)</f>
        <v>0.82009563162338928</v>
      </c>
    </row>
    <row r="54" spans="1:7" x14ac:dyDescent="0.25">
      <c r="A54" s="10">
        <v>46</v>
      </c>
      <c r="B54" s="14" t="s">
        <v>36</v>
      </c>
      <c r="C54" s="102">
        <f>((C22+C28+C34)/C15)</f>
        <v>1.0817485497869024</v>
      </c>
      <c r="D54" s="102" t="e">
        <f>((D22+D28+D34)/D15)</f>
        <v>#DIV/0!</v>
      </c>
      <c r="E54" s="102">
        <f>((E22+E28+E34)/E15)</f>
        <v>1.077929946754737</v>
      </c>
    </row>
    <row r="55" spans="1:7" x14ac:dyDescent="0.25">
      <c r="A55" s="10">
        <v>47</v>
      </c>
      <c r="B55" s="14" t="s">
        <v>37</v>
      </c>
      <c r="C55" s="102">
        <f>((C39+C34)/C34)</f>
        <v>-1.0064484844360129</v>
      </c>
      <c r="D55" s="102" t="e">
        <f t="shared" ref="D55:E55" si="13">((D39+D34)/D34)</f>
        <v>#DIV/0!</v>
      </c>
      <c r="E55" s="102">
        <f t="shared" si="13"/>
        <v>-1.0064484844360129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zoomScaleNormal="100" workbookViewId="0">
      <selection activeCell="C26" sqref="C2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570385</v>
      </c>
      <c r="D9" s="52"/>
      <c r="E9" s="32">
        <f>SUM(C9:D9)</f>
        <v>570385</v>
      </c>
    </row>
    <row r="10" spans="1:6" x14ac:dyDescent="0.25">
      <c r="A10" s="10">
        <v>2</v>
      </c>
      <c r="B10" s="17" t="s">
        <v>2</v>
      </c>
      <c r="C10" s="52">
        <v>2335480</v>
      </c>
      <c r="D10" s="52"/>
      <c r="E10" s="32">
        <f t="shared" ref="E10:E14" si="0">SUM(C10:D10)</f>
        <v>2335480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8515</v>
      </c>
      <c r="D12" s="52"/>
      <c r="E12" s="32">
        <f t="shared" si="0"/>
        <v>8515</v>
      </c>
    </row>
    <row r="13" spans="1:6" x14ac:dyDescent="0.25">
      <c r="A13" s="10">
        <v>5</v>
      </c>
      <c r="B13" s="17" t="s">
        <v>5</v>
      </c>
      <c r="C13" s="52">
        <v>29626</v>
      </c>
      <c r="D13" s="52"/>
      <c r="E13" s="32">
        <f t="shared" si="0"/>
        <v>29626</v>
      </c>
    </row>
    <row r="14" spans="1:6" x14ac:dyDescent="0.25">
      <c r="A14" s="10">
        <v>6</v>
      </c>
      <c r="B14" s="17" t="s">
        <v>133</v>
      </c>
      <c r="C14" s="52">
        <v>-5311</v>
      </c>
      <c r="D14" s="52"/>
      <c r="E14" s="32">
        <f t="shared" si="0"/>
        <v>-5311</v>
      </c>
    </row>
    <row r="15" spans="1:6" x14ac:dyDescent="0.25">
      <c r="A15" s="10">
        <v>7</v>
      </c>
      <c r="B15" s="83" t="s">
        <v>132</v>
      </c>
      <c r="C15" s="40">
        <f>SUM(C9:C14)</f>
        <v>2938695</v>
      </c>
      <c r="D15" s="40">
        <f t="shared" ref="D15:E15" si="1">SUM(D9:D14)</f>
        <v>0</v>
      </c>
      <c r="E15" s="40">
        <f t="shared" si="1"/>
        <v>2938695</v>
      </c>
      <c r="F15" s="1"/>
    </row>
    <row r="16" spans="1:6" x14ac:dyDescent="0.25">
      <c r="A16" s="10">
        <v>8</v>
      </c>
      <c r="B16" s="17" t="s">
        <v>6</v>
      </c>
      <c r="C16" s="52">
        <v>988358</v>
      </c>
      <c r="D16" s="52">
        <v>-3091</v>
      </c>
      <c r="E16" s="41">
        <f>SUM(C16:D16)</f>
        <v>985267</v>
      </c>
    </row>
    <row r="17" spans="1:6" x14ac:dyDescent="0.25">
      <c r="A17" s="10">
        <v>9</v>
      </c>
      <c r="B17" s="17" t="s">
        <v>39</v>
      </c>
      <c r="C17" s="52">
        <v>638886</v>
      </c>
      <c r="D17" s="52"/>
      <c r="E17" s="41">
        <f t="shared" ref="E17:E21" si="2">SUM(C17:D17)</f>
        <v>638886</v>
      </c>
    </row>
    <row r="18" spans="1:6" x14ac:dyDescent="0.25">
      <c r="A18" s="10">
        <v>10</v>
      </c>
      <c r="B18" s="17" t="s">
        <v>7</v>
      </c>
      <c r="C18" s="52">
        <v>551441</v>
      </c>
      <c r="D18" s="52">
        <v>-1228</v>
      </c>
      <c r="E18" s="41">
        <f t="shared" si="2"/>
        <v>550213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228850</v>
      </c>
      <c r="D20" s="52">
        <v>-3872</v>
      </c>
      <c r="E20" s="41">
        <f t="shared" si="2"/>
        <v>224978</v>
      </c>
    </row>
    <row r="21" spans="1:6" x14ac:dyDescent="0.25">
      <c r="A21" s="10">
        <v>13</v>
      </c>
      <c r="B21" s="17" t="s">
        <v>10</v>
      </c>
      <c r="C21" s="52">
        <v>564595</v>
      </c>
      <c r="D21" s="52">
        <f>-313-849-4875</f>
        <v>-6037</v>
      </c>
      <c r="E21" s="41">
        <f t="shared" si="2"/>
        <v>558558</v>
      </c>
    </row>
    <row r="22" spans="1:6" x14ac:dyDescent="0.25">
      <c r="A22" s="10">
        <v>14</v>
      </c>
      <c r="B22" s="83" t="s">
        <v>237</v>
      </c>
      <c r="C22" s="40">
        <f>C16+C17+C18+C19+C20+C21</f>
        <v>2972130</v>
      </c>
      <c r="D22" s="40">
        <f>D16+D17+D18+D19+D20+D21</f>
        <v>-14228</v>
      </c>
      <c r="E22" s="42">
        <f>E16+E17+E18+E19+E20+E21</f>
        <v>2957902</v>
      </c>
      <c r="F22" s="1"/>
    </row>
    <row r="23" spans="1:6" x14ac:dyDescent="0.25">
      <c r="A23" s="10">
        <v>15</v>
      </c>
      <c r="B23" s="17" t="s">
        <v>14</v>
      </c>
      <c r="C23" s="32">
        <f>C15-C22</f>
        <v>-33435</v>
      </c>
      <c r="D23" s="32">
        <f>D15-D22</f>
        <v>14228</v>
      </c>
      <c r="E23" s="32">
        <f>E15-E22</f>
        <v>-19207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82504</v>
      </c>
      <c r="D25" s="112">
        <v>-66</v>
      </c>
      <c r="E25" s="32">
        <f t="shared" ref="E25:E27" si="3">SUM(C25:D25)</f>
        <v>82438</v>
      </c>
    </row>
    <row r="26" spans="1:6" x14ac:dyDescent="0.25">
      <c r="A26" s="10">
        <v>18</v>
      </c>
      <c r="B26" s="17" t="s">
        <v>191</v>
      </c>
      <c r="C26" s="52">
        <v>122053</v>
      </c>
      <c r="D26" s="54">
        <f>7702-31</f>
        <v>7671</v>
      </c>
      <c r="E26" s="32">
        <f t="shared" si="3"/>
        <v>129724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204557</v>
      </c>
      <c r="D28" s="37">
        <f t="shared" ref="D28:E28" si="4">SUM(D25:D27)</f>
        <v>7605</v>
      </c>
      <c r="E28" s="43">
        <f t="shared" si="4"/>
        <v>212162</v>
      </c>
    </row>
    <row r="29" spans="1:6" x14ac:dyDescent="0.25">
      <c r="A29" s="10">
        <v>21</v>
      </c>
      <c r="B29" s="83" t="s">
        <v>22</v>
      </c>
      <c r="C29" s="37">
        <f>C23+C24-C28</f>
        <v>-237992</v>
      </c>
      <c r="D29" s="37">
        <f>D23+D24-D28</f>
        <v>6623</v>
      </c>
      <c r="E29" s="43">
        <f>E23+E24-E28</f>
        <v>-231369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126143</v>
      </c>
      <c r="D32" s="54">
        <v>-95</v>
      </c>
      <c r="E32" s="32">
        <f t="shared" si="5"/>
        <v>126048</v>
      </c>
    </row>
    <row r="33" spans="1:5" x14ac:dyDescent="0.25">
      <c r="A33" s="10">
        <v>25</v>
      </c>
      <c r="B33" s="17" t="s">
        <v>268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126143</v>
      </c>
      <c r="D34" s="64">
        <f t="shared" ref="D34" si="6">SUM(D30:D33)</f>
        <v>-95</v>
      </c>
      <c r="E34" s="37">
        <f>SUM(E30:E33)</f>
        <v>126048</v>
      </c>
    </row>
    <row r="35" spans="1:5" x14ac:dyDescent="0.25">
      <c r="A35" s="10">
        <v>27</v>
      </c>
      <c r="B35" s="17" t="s">
        <v>18</v>
      </c>
      <c r="C35" s="52">
        <v>-16840</v>
      </c>
      <c r="D35" s="54"/>
      <c r="E35" s="32">
        <f>SUM(C35:D35)</f>
        <v>-16840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28371</v>
      </c>
      <c r="D38" s="69">
        <f>-1*(D29-D34)</f>
        <v>-6718</v>
      </c>
      <c r="E38" s="32">
        <f t="shared" si="7"/>
        <v>21653</v>
      </c>
    </row>
    <row r="39" spans="1:5" x14ac:dyDescent="0.25">
      <c r="A39" s="10">
        <v>31</v>
      </c>
      <c r="B39" s="83" t="s">
        <v>21</v>
      </c>
      <c r="C39" s="37">
        <f>C29-C34+C35+C36+C37+C38</f>
        <v>-352604</v>
      </c>
      <c r="D39" s="37">
        <f t="shared" ref="D39:E39" si="8">D29-D34+D35+D36+D37+D38</f>
        <v>0</v>
      </c>
      <c r="E39" s="37">
        <f t="shared" si="8"/>
        <v>-352604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134521</v>
      </c>
      <c r="D41" s="54"/>
      <c r="E41" s="32">
        <f t="shared" ref="E41:E46" si="9">SUM(C41:D41)</f>
        <v>134521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-218083</v>
      </c>
      <c r="D47" s="64">
        <f t="shared" ref="D47:E47" si="10">(D39+D41+D42)-(D43+D44+D45+D46)</f>
        <v>0</v>
      </c>
      <c r="E47" s="43">
        <f t="shared" si="10"/>
        <v>-218083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0</v>
      </c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0.89333734872111603</v>
      </c>
      <c r="D53" s="46" t="e">
        <f>((D22+D28-D18-D19)/D15)</f>
        <v>#DIV/0!</v>
      </c>
      <c r="E53" s="46">
        <f>((E22+E28-E18-E19)/E15)</f>
        <v>0.89150149981539428</v>
      </c>
    </row>
    <row r="54" spans="1:7" x14ac:dyDescent="0.25">
      <c r="A54" s="10">
        <v>46</v>
      </c>
      <c r="B54" s="17" t="s">
        <v>36</v>
      </c>
      <c r="C54" s="46">
        <f>((C22+C28+C34)/C15)</f>
        <v>1.1239104432409623</v>
      </c>
      <c r="D54" s="46" t="e">
        <f>((D22+D28+D34)/D15)</f>
        <v>#DIV/0!</v>
      </c>
      <c r="E54" s="46">
        <f>((E22+E28+E34)/E15)</f>
        <v>1.1216243945016411</v>
      </c>
    </row>
    <row r="55" spans="1:7" x14ac:dyDescent="0.25">
      <c r="A55" s="10">
        <v>47</v>
      </c>
      <c r="B55" s="17" t="s">
        <v>37</v>
      </c>
      <c r="C55" s="46">
        <f>((C39+C34)/C34)</f>
        <v>-1.7952720325345044</v>
      </c>
      <c r="D55" s="46">
        <f t="shared" ref="D55:E55" si="13">((D39+D34)/D34)</f>
        <v>1</v>
      </c>
      <c r="E55" s="46">
        <f t="shared" si="13"/>
        <v>-1.7973787763391724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zoomScaleNormal="10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Kalama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566448</v>
      </c>
      <c r="D9" s="41">
        <f>'CurrentYearIncomeStmt '!E9</f>
        <v>570385</v>
      </c>
    </row>
    <row r="10" spans="1:5" x14ac:dyDescent="0.25">
      <c r="A10" s="10">
        <v>2</v>
      </c>
      <c r="B10" s="17" t="s">
        <v>2</v>
      </c>
      <c r="C10" s="32">
        <f>PriorYearIncomeStmt!E10</f>
        <v>2396518</v>
      </c>
      <c r="D10" s="41">
        <f>'CurrentYearIncomeStmt '!E10</f>
        <v>2335480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12206</v>
      </c>
      <c r="D12" s="41">
        <f>'CurrentYearIncomeStmt '!E12</f>
        <v>8515</v>
      </c>
    </row>
    <row r="13" spans="1:5" x14ac:dyDescent="0.25">
      <c r="A13" s="10">
        <v>5</v>
      </c>
      <c r="B13" s="17" t="s">
        <v>5</v>
      </c>
      <c r="C13" s="32">
        <f>PriorYearIncomeStmt!E13</f>
        <v>30026</v>
      </c>
      <c r="D13" s="41">
        <f>'CurrentYearIncomeStmt '!E13</f>
        <v>29626</v>
      </c>
    </row>
    <row r="14" spans="1:5" x14ac:dyDescent="0.25">
      <c r="A14" s="10">
        <v>6</v>
      </c>
      <c r="B14" s="17" t="s">
        <v>133</v>
      </c>
      <c r="C14" s="32">
        <f>PriorYearIncomeStmt!E14</f>
        <v>-3053</v>
      </c>
      <c r="D14" s="41">
        <f>'CurrentYearIncomeStmt '!E14</f>
        <v>-5311</v>
      </c>
    </row>
    <row r="15" spans="1:5" x14ac:dyDescent="0.25">
      <c r="A15" s="10">
        <v>7</v>
      </c>
      <c r="B15" s="83" t="s">
        <v>132</v>
      </c>
      <c r="C15" s="40">
        <f>SUM(C9:C14)</f>
        <v>3002145</v>
      </c>
      <c r="D15" s="42">
        <f t="shared" ref="D15" si="0">SUM(D9:D14)</f>
        <v>2938695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1044792</v>
      </c>
      <c r="D16" s="41">
        <f>'CurrentYearIncomeStmt '!E16</f>
        <v>985267</v>
      </c>
    </row>
    <row r="17" spans="1:5" x14ac:dyDescent="0.25">
      <c r="A17" s="10">
        <v>9</v>
      </c>
      <c r="B17" s="17" t="s">
        <v>39</v>
      </c>
      <c r="C17" s="32">
        <f>PriorYearIncomeStmt!E17</f>
        <v>665004</v>
      </c>
      <c r="D17" s="41">
        <f>'CurrentYearIncomeStmt '!E17</f>
        <v>638886</v>
      </c>
    </row>
    <row r="18" spans="1:5" x14ac:dyDescent="0.25">
      <c r="A18" s="10">
        <v>10</v>
      </c>
      <c r="B18" s="17" t="s">
        <v>7</v>
      </c>
      <c r="C18" s="32">
        <f>PriorYearIncomeStmt!E18</f>
        <v>656509</v>
      </c>
      <c r="D18" s="41">
        <f>'CurrentYearIncomeStmt '!E18</f>
        <v>550213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217593</v>
      </c>
      <c r="D20" s="41">
        <f>'CurrentYearIncomeStmt '!E20</f>
        <v>224978</v>
      </c>
    </row>
    <row r="21" spans="1:5" x14ac:dyDescent="0.25">
      <c r="A21" s="10">
        <v>13</v>
      </c>
      <c r="B21" s="17" t="s">
        <v>10</v>
      </c>
      <c r="C21" s="32">
        <f>PriorYearIncomeStmt!E21</f>
        <v>561027</v>
      </c>
      <c r="D21" s="41">
        <f>'CurrentYearIncomeStmt '!E21</f>
        <v>558558</v>
      </c>
    </row>
    <row r="22" spans="1:5" x14ac:dyDescent="0.25">
      <c r="A22" s="10">
        <v>14</v>
      </c>
      <c r="B22" s="83" t="s">
        <v>237</v>
      </c>
      <c r="C22" s="40">
        <f>C16+C17+C18+C19+C20+C21</f>
        <v>3144925</v>
      </c>
      <c r="D22" s="42">
        <f>D16+D17+D18+D19+D20+D21</f>
        <v>2957902</v>
      </c>
      <c r="E22" s="1"/>
    </row>
    <row r="23" spans="1:5" x14ac:dyDescent="0.25">
      <c r="A23" s="10">
        <v>15</v>
      </c>
      <c r="B23" s="17" t="s">
        <v>14</v>
      </c>
      <c r="C23" s="32">
        <f>C15-C22</f>
        <v>-142780</v>
      </c>
      <c r="D23" s="41">
        <f>D15-D22</f>
        <v>-19207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85543</v>
      </c>
      <c r="D25" s="41">
        <f>'CurrentYearIncomeStmt '!E25</f>
        <v>82438</v>
      </c>
    </row>
    <row r="26" spans="1:5" x14ac:dyDescent="0.25">
      <c r="A26" s="10">
        <v>18</v>
      </c>
      <c r="B26" s="17" t="s">
        <v>181</v>
      </c>
      <c r="C26" s="32">
        <f>PriorYearIncomeStmt!E26</f>
        <v>-111913</v>
      </c>
      <c r="D26" s="41">
        <f>'CurrentYearIncomeStmt '!E26</f>
        <v>129724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-26370</v>
      </c>
      <c r="D28" s="43">
        <f t="shared" ref="D28" si="1">SUM(D25:D27)</f>
        <v>212162</v>
      </c>
    </row>
    <row r="29" spans="1:5" x14ac:dyDescent="0.25">
      <c r="A29" s="10">
        <v>21</v>
      </c>
      <c r="B29" s="83" t="s">
        <v>22</v>
      </c>
      <c r="C29" s="37">
        <f>C23+C24-C28</f>
        <v>-116410</v>
      </c>
      <c r="D29" s="43">
        <f>D23+D24-D28</f>
        <v>-231369</v>
      </c>
    </row>
    <row r="30" spans="1:5" x14ac:dyDescent="0.25">
      <c r="A30" s="10">
        <v>22</v>
      </c>
      <c r="B30" s="17" t="s">
        <v>15</v>
      </c>
      <c r="C30" s="32">
        <f>PriorYearIncomeStmt!E30</f>
        <v>117547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126048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117547</v>
      </c>
      <c r="D34" s="43">
        <f t="shared" ref="D34" si="2">SUM(D30:D33)</f>
        <v>126048</v>
      </c>
    </row>
    <row r="35" spans="1:4" x14ac:dyDescent="0.25">
      <c r="A35" s="10">
        <v>27</v>
      </c>
      <c r="B35" s="17" t="s">
        <v>18</v>
      </c>
      <c r="C35" s="32">
        <f>PriorYearIncomeStmt!E35</f>
        <v>-28863</v>
      </c>
      <c r="D35" s="41">
        <f>'CurrentYearIncomeStmt '!E35</f>
        <v>-16840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26968</v>
      </c>
      <c r="D38" s="41">
        <f>'CurrentYearIncomeStmt '!E38</f>
        <v>21653</v>
      </c>
    </row>
    <row r="39" spans="1:4" x14ac:dyDescent="0.25">
      <c r="A39" s="10">
        <v>31</v>
      </c>
      <c r="B39" s="83" t="s">
        <v>21</v>
      </c>
      <c r="C39" s="37">
        <f>C29-C34+C35+C36+C37+C38</f>
        <v>-235852</v>
      </c>
      <c r="D39" s="43">
        <f t="shared" ref="D39" si="3">D29-D34+D35+D36+D37+D38</f>
        <v>-352604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370373</v>
      </c>
      <c r="D41" s="41">
        <f>'CurrentYearIncomeStmt '!E41</f>
        <v>134521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134521</v>
      </c>
      <c r="D47" s="43">
        <f t="shared" ref="D47" si="4">(D39+D41+D42)-(D43+D44+D45+D46)</f>
        <v>-218083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0.82009563162338928</v>
      </c>
      <c r="D53" s="49">
        <f>((D22+D28-D18-D19)/D15)</f>
        <v>0.89150149981539428</v>
      </c>
    </row>
    <row r="54" spans="1:8" x14ac:dyDescent="0.25">
      <c r="A54" s="10">
        <v>46</v>
      </c>
      <c r="B54" s="17" t="s">
        <v>36</v>
      </c>
      <c r="C54" s="49">
        <f>((C22+C28+C34)/C15)</f>
        <v>1.077929946754737</v>
      </c>
      <c r="D54" s="49">
        <f>((D22+D28+D34)/D15)</f>
        <v>1.1216243945016411</v>
      </c>
    </row>
    <row r="55" spans="1:8" x14ac:dyDescent="0.25">
      <c r="A55" s="10">
        <v>47</v>
      </c>
      <c r="B55" s="17" t="s">
        <v>37</v>
      </c>
      <c r="C55" s="49">
        <f>((C39+C34)/C34)</f>
        <v>-1.0064484844360129</v>
      </c>
      <c r="D55" s="49">
        <f t="shared" ref="D55" si="6">((D39+D34)/D34)</f>
        <v>-1.7973787763391724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37EC3FC3ECEE49BCC5720354392FBC" ma:contentTypeVersion="68" ma:contentTypeDescription="" ma:contentTypeScope="" ma:versionID="a84249dcf07ec2ba924883884d4b20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Kalama Telephone Company</CaseCompanyNames>
    <Nickname xmlns="http://schemas.microsoft.com/sharepoint/v3" xsi:nil="true"/>
    <DocketNumber xmlns="dc463f71-b30c-4ab2-9473-d307f9d35888">180658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8E6587-8D5D-4E7D-86D1-2B6FC0BDA93A}"/>
</file>

<file path=customXml/itemProps2.xml><?xml version="1.0" encoding="utf-8"?>
<ds:datastoreItem xmlns:ds="http://schemas.openxmlformats.org/officeDocument/2006/customXml" ds:itemID="{499EB1B9-D3C9-431C-B9A5-108ED0647513}"/>
</file>

<file path=customXml/itemProps3.xml><?xml version="1.0" encoding="utf-8"?>
<ds:datastoreItem xmlns:ds="http://schemas.openxmlformats.org/officeDocument/2006/customXml" ds:itemID="{ED3F7EA5-68A4-4087-A674-808986CE6CA1}"/>
</file>

<file path=customXml/itemProps4.xml><?xml version="1.0" encoding="utf-8"?>
<ds:datastoreItem xmlns:ds="http://schemas.openxmlformats.org/officeDocument/2006/customXml" ds:itemID="{EC1719B7-FEC9-4BDF-898F-DE5B1C5A1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2018-07-24T18:54:55Z</cp:lastPrinted>
  <dcterms:created xsi:type="dcterms:W3CDTF">2014-05-21T17:51:51Z</dcterms:created>
  <dcterms:modified xsi:type="dcterms:W3CDTF">2018-07-24T21:30:18Z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0x0101006E56B4D1795A2E4DB2F0B01679ED314A00A337EC3FC3ECEE49BCC5720354392FBC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