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0" yWindow="0" windowWidth="288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C118" i="1" l="1"/>
  <c r="C129" i="1" l="1"/>
  <c r="D129" i="1"/>
  <c r="C127" i="1"/>
  <c r="C86" i="1" l="1"/>
  <c r="C85" i="1"/>
  <c r="C84" i="1"/>
  <c r="C83" i="1"/>
  <c r="C130" i="1" l="1"/>
  <c r="A130" i="1"/>
  <c r="C57" i="1" l="1"/>
  <c r="E44" i="1" l="1"/>
  <c r="D44" i="1"/>
  <c r="D45" i="1"/>
  <c r="A129" i="1" l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06" i="1"/>
  <c r="D91" i="1" l="1"/>
  <c r="D90" i="1"/>
  <c r="D124" i="1" l="1"/>
  <c r="D123" i="1"/>
  <c r="D122" i="1"/>
  <c r="D121" i="1"/>
  <c r="D120" i="1"/>
  <c r="D119" i="1"/>
  <c r="A101" i="1"/>
  <c r="A100" i="1"/>
  <c r="A99" i="1"/>
  <c r="E93" i="1"/>
  <c r="D93" i="1"/>
  <c r="E92" i="1"/>
  <c r="D92" i="1"/>
  <c r="E91" i="1"/>
  <c r="C91" i="1" s="1"/>
  <c r="E90" i="1"/>
  <c r="C90" i="1" s="1"/>
  <c r="C79" i="1"/>
  <c r="C78" i="1"/>
  <c r="C77" i="1"/>
  <c r="C76" i="1"/>
  <c r="E66" i="1"/>
  <c r="C60" i="1"/>
  <c r="D61" i="1" s="1"/>
  <c r="D58" i="1"/>
  <c r="C54" i="1"/>
  <c r="D55" i="1" s="1"/>
  <c r="E46" i="1"/>
  <c r="D46" i="1"/>
  <c r="C45" i="1"/>
  <c r="C44" i="1"/>
  <c r="B44" i="1"/>
  <c r="E40" i="1"/>
  <c r="D40" i="1"/>
  <c r="C39" i="1"/>
  <c r="C38" i="1"/>
  <c r="B38" i="1"/>
  <c r="E34" i="1"/>
  <c r="D34" i="1"/>
  <c r="C33" i="1"/>
  <c r="C32" i="1"/>
  <c r="B32" i="1"/>
  <c r="E27" i="1"/>
  <c r="D27" i="1"/>
  <c r="E26" i="1"/>
  <c r="D26" i="1"/>
  <c r="B26" i="1"/>
  <c r="E22" i="1"/>
  <c r="D22" i="1"/>
  <c r="C21" i="1"/>
  <c r="B21" i="1"/>
  <c r="B27" i="1" s="1"/>
  <c r="B33" i="1" s="1"/>
  <c r="B39" i="1" s="1"/>
  <c r="B45" i="1" s="1"/>
  <c r="C20" i="1"/>
  <c r="B20" i="1"/>
  <c r="E16" i="1"/>
  <c r="D16" i="1"/>
  <c r="C15" i="1"/>
  <c r="B15" i="1"/>
  <c r="C14" i="1"/>
  <c r="B14" i="1"/>
  <c r="E10" i="1"/>
  <c r="D10" i="1"/>
  <c r="C9" i="1"/>
  <c r="C8" i="1"/>
  <c r="C10" i="1" s="1"/>
  <c r="C93" i="1" l="1"/>
  <c r="D28" i="1"/>
  <c r="C22" i="1"/>
  <c r="D23" i="1" s="1"/>
  <c r="C107" i="1" s="1"/>
  <c r="D107" i="1" s="1"/>
  <c r="C16" i="1"/>
  <c r="C40" i="1"/>
  <c r="D41" i="1" s="1"/>
  <c r="C115" i="1" s="1"/>
  <c r="C34" i="1"/>
  <c r="D35" i="1" s="1"/>
  <c r="E35" i="1" s="1"/>
  <c r="E28" i="1"/>
  <c r="C27" i="1"/>
  <c r="C92" i="1"/>
  <c r="C95" i="1" s="1"/>
  <c r="D95" i="1"/>
  <c r="C46" i="1"/>
  <c r="D47" i="1" s="1"/>
  <c r="C117" i="1" s="1"/>
  <c r="D117" i="1" s="1"/>
  <c r="D17" i="1"/>
  <c r="C106" i="1" s="1"/>
  <c r="D106" i="1" s="1"/>
  <c r="C111" i="1"/>
  <c r="D111" i="1" s="1"/>
  <c r="E55" i="1"/>
  <c r="D11" i="1"/>
  <c r="E58" i="1"/>
  <c r="C112" i="1"/>
  <c r="C113" i="1"/>
  <c r="D113" i="1" s="1"/>
  <c r="E61" i="1"/>
  <c r="E95" i="1"/>
  <c r="C26" i="1"/>
  <c r="C114" i="1" l="1"/>
  <c r="D114" i="1" s="1"/>
  <c r="D96" i="1"/>
  <c r="C125" i="1" s="1"/>
  <c r="D125" i="1" s="1"/>
  <c r="C28" i="1"/>
  <c r="D29" i="1" s="1"/>
  <c r="E23" i="1"/>
  <c r="E47" i="1"/>
  <c r="C109" i="1"/>
  <c r="D109" i="1" s="1"/>
  <c r="E17" i="1"/>
  <c r="E41" i="1"/>
  <c r="D112" i="1"/>
  <c r="D115" i="1"/>
  <c r="C116" i="1"/>
  <c r="D116" i="1" s="1"/>
  <c r="E11" i="1"/>
  <c r="D105" i="1"/>
  <c r="D67" i="1"/>
  <c r="E67" i="1" s="1"/>
  <c r="D65" i="1" l="1"/>
  <c r="E65" i="1" s="1"/>
  <c r="E96" i="1"/>
  <c r="E29" i="1"/>
  <c r="C108" i="1"/>
  <c r="D108" i="1" s="1"/>
  <c r="E69" i="1"/>
  <c r="D69" i="1"/>
  <c r="C110" i="1" s="1"/>
  <c r="D110" i="1" s="1"/>
</calcChain>
</file>

<file path=xl/comments1.xml><?xml version="1.0" encoding="utf-8"?>
<comments xmlns="http://schemas.openxmlformats.org/spreadsheetml/2006/main">
  <authors>
    <author>Walker, Kyle T.</author>
  </authors>
  <commentList>
    <comment ref="B54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"September 2018.xlsx"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"September 2017.xlsx"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"Margin Analysis 201612.xlsx" - delivered volumes tab. Includes unbilled therms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See "Strength Report Dec 2014 to June 2018.xlsx"</t>
        </r>
      </text>
    </comment>
    <comment ref="B74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The 3-factor information taken from "plant workpaper 2018.xlsx"</t>
        </r>
      </text>
    </comment>
    <comment ref="C1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2018 O&amp;M_UPDATE.xlsx"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2018 O&amp;M_UPDATE.xlsx"</t>
        </r>
      </text>
    </comment>
    <comment ref="C120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2018 O&amp;M_UPDATE.xlsx"</t>
        </r>
      </text>
    </comment>
  </commentList>
</comments>
</file>

<file path=xl/sharedStrings.xml><?xml version="1.0" encoding="utf-8"?>
<sst xmlns="http://schemas.openxmlformats.org/spreadsheetml/2006/main" count="155" uniqueCount="89">
  <si>
    <t>NW Natural</t>
  </si>
  <si>
    <t>State Allocation Factors</t>
  </si>
  <si>
    <t>System</t>
  </si>
  <si>
    <t>Oregon</t>
  </si>
  <si>
    <t>Washington</t>
  </si>
  <si>
    <t>Customers</t>
  </si>
  <si>
    <t>Total Customers</t>
  </si>
  <si>
    <t xml:space="preserve">   Average</t>
  </si>
  <si>
    <t xml:space="preserve">      % of System</t>
  </si>
  <si>
    <t>Residential Customers</t>
  </si>
  <si>
    <t xml:space="preserve">   % of System</t>
  </si>
  <si>
    <t>Commercial Customers</t>
  </si>
  <si>
    <t>Industrial Customers</t>
  </si>
  <si>
    <t xml:space="preserve">The Dalles </t>
  </si>
  <si>
    <t>Portland / Vancouver</t>
  </si>
  <si>
    <t>Portland / Vancouver Commercial</t>
  </si>
  <si>
    <t>Firm Delivered (exclude Unbilled)</t>
  </si>
  <si>
    <t>Sales Volumes (exclude Unbilled)</t>
  </si>
  <si>
    <t>Sendout Volumes</t>
  </si>
  <si>
    <t>3-factor formula (simple average)</t>
  </si>
  <si>
    <t>Gross Plant Directly Assigned</t>
  </si>
  <si>
    <t>Number of Employees Directly Assigned</t>
  </si>
  <si>
    <t>Number of Customers</t>
  </si>
  <si>
    <t xml:space="preserve">   Average </t>
  </si>
  <si>
    <t>Derivation of factor for 3-factor - Gross Plant Directly Assigned</t>
  </si>
  <si>
    <t>Intangible - Other</t>
  </si>
  <si>
    <t>Production</t>
  </si>
  <si>
    <t>Transmission</t>
  </si>
  <si>
    <t>Distribution</t>
  </si>
  <si>
    <t>Average</t>
  </si>
  <si>
    <t>Allocation Factors - Summary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</si>
  <si>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</si>
  <si>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</si>
  <si>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</si>
  <si>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</si>
  <si>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</si>
  <si>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</si>
  <si>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</si>
  <si>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</si>
  <si>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</si>
  <si>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</si>
  <si>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</si>
  <si>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</si>
  <si>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</si>
  <si>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</si>
  <si>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</si>
  <si>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</si>
  <si>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</si>
  <si>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</si>
  <si>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</si>
  <si>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</si>
  <si>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Depreciation</t>
  </si>
  <si>
    <t>Rate Base</t>
  </si>
  <si>
    <t xml:space="preserve">   September 2017</t>
  </si>
  <si>
    <t>September 30, 2017</t>
  </si>
  <si>
    <t xml:space="preserve">   September 2018</t>
  </si>
  <si>
    <t>As of September 30, 2018</t>
  </si>
  <si>
    <t>September 30, 2018</t>
  </si>
  <si>
    <t>Volumes - 12 Months Ended 9/30/18</t>
  </si>
  <si>
    <t>Perimeter</t>
  </si>
  <si>
    <t>firm sales volumes</t>
  </si>
  <si>
    <t>Source</t>
  </si>
  <si>
    <t>Row 96</t>
  </si>
  <si>
    <t>Row 11</t>
  </si>
  <si>
    <t>Row 79 %'s</t>
  </si>
  <si>
    <t>Row 17</t>
  </si>
  <si>
    <t>Row 23</t>
  </si>
  <si>
    <t>Row 29</t>
  </si>
  <si>
    <t>Row 35</t>
  </si>
  <si>
    <t>Row 41</t>
  </si>
  <si>
    <t>Row 47</t>
  </si>
  <si>
    <t>Row 55</t>
  </si>
  <si>
    <t>Row 58</t>
  </si>
  <si>
    <t>Row 61</t>
  </si>
  <si>
    <t>Average Row 112 &amp; 113</t>
  </si>
  <si>
    <t>Row 69</t>
  </si>
  <si>
    <t>Row 115*.8</t>
  </si>
  <si>
    <t>N/A</t>
  </si>
  <si>
    <t>Original Allocation Study-1999</t>
  </si>
  <si>
    <t>181053-NWN-KSM-xlsx-WP29-1-4-2019</t>
  </si>
  <si>
    <t>181053-NWN-KSM-xlsx-WP28-1-4-2019</t>
  </si>
  <si>
    <t>181053-NWN-KSM-xlsx-WP33-1-4-2019</t>
  </si>
  <si>
    <t>181053-NWN-KSM-xlsx-WP27-1-4-2019</t>
  </si>
  <si>
    <t>181053-NWN-KSM-xlsx-WP26-1-4-2019</t>
  </si>
  <si>
    <t>181053-NWN-KSM-xlsx-WP32-1-4-2019</t>
  </si>
  <si>
    <t>181053-NWN-KSM-xlsx-WP7-1-4-2019</t>
  </si>
  <si>
    <t>181053-NWN-KSM-xlsx-WP16-1-4-2019</t>
  </si>
  <si>
    <t>181053-NWN-KSM-xlsx-WP36-1-4-2019</t>
  </si>
  <si>
    <t>181053-NWN-KSM-xlsx-WP37-1-4-2019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</si>
</sst>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rgb="FF0000FF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  <xf numFmtId="0" fontId="3" fillId="0" borderId="0"/>
  </cellStyleXfs>
  <cellXfs count="6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3" fontId="3" fillId="0" borderId="0" xfId="0" applyNumberFormat="1" applyFont="1" applyFill="1" applyBorder="1" applyAlignment="1" applyProtection="1">
      <alignment vertical="top"/>
    </xf>
    <xf numFmtId="3" fontId="3" fillId="0" borderId="0" xfId="3" applyFont="1" applyFill="1">
      <alignment vertical="top"/>
    </xf>
    <xf numFmtId="3" fontId="3" fillId="0" borderId="1" xfId="3" applyFont="1" applyFill="1" applyBorder="1">
      <alignment vertical="top"/>
    </xf>
    <xf numFmtId="3" fontId="3" fillId="0" borderId="0" xfId="3" applyFont="1" applyFill="1" applyBorder="1">
      <alignment vertical="top"/>
    </xf>
    <xf numFmtId="10" fontId="3" fillId="0" borderId="0" xfId="2" applyNumberFormat="1" applyFont="1" applyFill="1" applyAlignment="1">
      <alignment vertical="top"/>
    </xf>
    <xf numFmtId="0" fontId="2" fillId="0" borderId="0" xfId="0" applyFont="1" applyAlignment="1">
      <alignment horizontal="left" vertical="top"/>
    </xf>
    <xf numFmtId="9" fontId="3" fillId="0" borderId="0" xfId="2" applyFont="1" applyFill="1" applyAlignment="1">
      <alignment vertical="top"/>
    </xf>
    <xf numFmtId="3" fontId="3" fillId="0" borderId="0" xfId="3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3" fontId="3" fillId="0" borderId="0" xfId="3" applyFont="1" applyBorder="1" applyAlignment="1">
      <alignment horizontal="right" vertical="top"/>
    </xf>
    <xf numFmtId="10" fontId="3" fillId="0" borderId="0" xfId="2" applyNumberFormat="1" applyFont="1" applyBorder="1" applyAlignment="1">
      <alignment vertical="top"/>
    </xf>
    <xf numFmtId="9" fontId="3" fillId="0" borderId="0" xfId="2" applyFont="1" applyBorder="1" applyAlignment="1">
      <alignment vertical="top"/>
    </xf>
    <xf numFmtId="3" fontId="3" fillId="0" borderId="0" xfId="0" applyNumberFormat="1" applyFont="1" applyFill="1" applyAlignment="1">
      <alignment vertical="top"/>
    </xf>
    <xf numFmtId="4" fontId="3" fillId="0" borderId="0" xfId="2" applyNumberFormat="1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4" fontId="3" fillId="0" borderId="0" xfId="0" applyNumberFormat="1" applyFont="1" applyFill="1" applyBorder="1" applyAlignment="1" applyProtection="1">
      <alignment vertical="top"/>
    </xf>
    <xf numFmtId="164" fontId="3" fillId="0" borderId="0" xfId="1" applyNumberFormat="1" applyFont="1" applyFill="1" applyAlignment="1">
      <alignment horizontal="right" vertical="top"/>
    </xf>
    <xf numFmtId="0" fontId="3" fillId="0" borderId="0" xfId="0" applyFont="1" applyBorder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10" fontId="3" fillId="0" borderId="0" xfId="0" applyNumberFormat="1" applyFont="1" applyFill="1" applyAlignment="1">
      <alignment vertical="top"/>
    </xf>
    <xf numFmtId="10" fontId="3" fillId="0" borderId="1" xfId="0" applyNumberFormat="1" applyFont="1" applyFill="1" applyBorder="1" applyAlignment="1">
      <alignment vertical="top"/>
    </xf>
    <xf numFmtId="10" fontId="3" fillId="0" borderId="1" xfId="2" applyNumberFormat="1" applyFont="1" applyFill="1" applyBorder="1" applyAlignment="1">
      <alignment vertical="top"/>
    </xf>
    <xf numFmtId="3" fontId="2" fillId="0" borderId="0" xfId="3" applyFont="1">
      <alignment vertical="top"/>
    </xf>
    <xf numFmtId="3" fontId="2" fillId="0" borderId="1" xfId="3" applyFont="1" applyFill="1" applyBorder="1" applyAlignment="1">
      <alignment horizontal="center" vertical="top"/>
    </xf>
    <xf numFmtId="3" fontId="2" fillId="0" borderId="1" xfId="3" applyFont="1" applyBorder="1" applyAlignment="1">
      <alignment horizontal="center" vertical="top"/>
    </xf>
    <xf numFmtId="3" fontId="3" fillId="0" borderId="0" xfId="3" applyFont="1">
      <alignment vertical="top"/>
    </xf>
    <xf numFmtId="3" fontId="2" fillId="0" borderId="0" xfId="3" quotePrefix="1" applyFont="1" applyAlignment="1">
      <alignment horizontal="left" vertical="top"/>
    </xf>
    <xf numFmtId="10" fontId="3" fillId="0" borderId="0" xfId="2" applyNumberFormat="1" applyFont="1" applyAlignment="1">
      <alignment vertical="top"/>
    </xf>
    <xf numFmtId="3" fontId="3" fillId="0" borderId="0" xfId="3" applyFont="1" applyBorder="1">
      <alignment vertical="top"/>
    </xf>
    <xf numFmtId="0" fontId="2" fillId="0" borderId="1" xfId="0" quotePrefix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10" fontId="3" fillId="0" borderId="0" xfId="2" applyNumberFormat="1" applyFont="1" applyFill="1" applyBorder="1" applyAlignment="1" applyProtection="1">
      <alignment vertical="top"/>
    </xf>
    <xf numFmtId="165" fontId="3" fillId="0" borderId="0" xfId="2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3" fontId="2" fillId="0" borderId="0" xfId="3" applyFont="1" applyFill="1">
      <alignment vertical="top"/>
    </xf>
    <xf numFmtId="165" fontId="3" fillId="0" borderId="0" xfId="2" applyNumberFormat="1" applyFont="1" applyFill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vertical="center"/>
    </xf>
    <xf numFmtId="0" fontId="7" fillId="0" borderId="0" xfId="0" applyFont="1"/>
    <xf numFmtId="0" fontId="2" fillId="0" borderId="0" xfId="0" quotePrefix="1" applyFont="1" applyFill="1" applyAlignment="1">
      <alignment horizontal="left" vertical="top"/>
    </xf>
    <xf numFmtId="37" fontId="3" fillId="0" borderId="0" xfId="4" applyNumberFormat="1" applyFont="1"/>
    <xf numFmtId="10" fontId="2" fillId="0" borderId="0" xfId="2" applyNumberFormat="1" applyFont="1" applyBorder="1" applyAlignment="1">
      <alignment vertical="top"/>
    </xf>
    <xf numFmtId="3" fontId="2" fillId="0" borderId="0" xfId="3" quotePrefix="1" applyFont="1" applyFill="1" applyAlignment="1">
      <alignment horizontal="left" vertical="top"/>
    </xf>
    <xf numFmtId="10" fontId="7" fillId="0" borderId="0" xfId="2" applyNumberFormat="1" applyFont="1" applyFill="1" applyAlignment="1">
      <alignment vertical="top"/>
    </xf>
    <xf numFmtId="0" fontId="7" fillId="0" borderId="0" xfId="0" applyFont="1" applyAlignment="1">
      <alignment horizontal="center"/>
    </xf>
    <xf numFmtId="165" fontId="8" fillId="0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Fill="1" applyAlignment="1">
      <alignment horizontal="right" vertical="center"/>
    </xf>
    <xf numFmtId="3" fontId="8" fillId="0" borderId="0" xfId="3" quotePrefix="1" applyFont="1" applyFill="1">
      <alignment vertical="top"/>
    </xf>
    <xf numFmtId="3" fontId="8" fillId="0" borderId="0" xfId="3" applyFont="1" applyFill="1">
      <alignment vertical="top"/>
    </xf>
    <xf numFmtId="10" fontId="8" fillId="0" borderId="0" xfId="0" applyNumberFormat="1" applyFont="1" applyFill="1" applyAlignment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</cellXfs>
  <cellStyles count="5">
    <cellStyle name="Comma" xfId="1" builtinId="3"/>
    <cellStyle name="Comma0" xfId="3"/>
    <cellStyle name="Normal" xfId="0" builtinId="0"/>
    <cellStyle name="Normal_2006 master state IS allocation" xfId="4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tabSelected="1" topLeftCell="A93" workbookViewId="0">
      <selection activeCell="C105" sqref="C105:D130"/>
    </sheetView>
  </sheetViews>
  <sheetFormatPr defaultColWidth="9.140625" defaultRowHeight="15" x14ac:dyDescent="0.25"/>
  <cols>
    <col min="1" max="1" width="9.140625" style="53"/>
    <col min="2" max="2" width="42.5703125" style="53" bestFit="1" customWidth="1"/>
    <col min="3" max="5" width="15.7109375" style="53" customWidth="1"/>
    <col min="6" max="6" width="16" style="53" bestFit="1" customWidth="1"/>
    <col min="7" max="7" width="36.42578125" style="59" customWidth="1"/>
    <col min="8" max="8" width="14.28515625" style="53" customWidth="1"/>
    <col min="9" max="9" width="9.140625" style="53"/>
    <col min="10" max="10" width="20.28515625" style="53" customWidth="1"/>
    <col min="11" max="11" width="12.85546875" style="53" customWidth="1"/>
    <col min="12" max="16384" width="9.140625" style="53"/>
  </cols>
  <sheetData>
    <row r="1" spans="1:7" x14ac:dyDescent="0.25">
      <c r="A1" s="1" t="s">
        <v>0</v>
      </c>
      <c r="B1" s="1"/>
      <c r="C1" s="2"/>
      <c r="D1" s="2"/>
      <c r="E1" s="2"/>
      <c r="F1" s="3"/>
    </row>
    <row r="2" spans="1:7" x14ac:dyDescent="0.25">
      <c r="A2" s="1" t="s">
        <v>1</v>
      </c>
      <c r="B2" s="1"/>
      <c r="C2" s="2"/>
      <c r="D2" s="2"/>
      <c r="E2" s="2"/>
      <c r="F2" s="3"/>
    </row>
    <row r="3" spans="1:7" x14ac:dyDescent="0.25">
      <c r="A3" s="1" t="s">
        <v>56</v>
      </c>
      <c r="B3" s="1"/>
      <c r="C3" s="2"/>
      <c r="D3" s="2"/>
      <c r="E3" s="2"/>
      <c r="F3" s="3"/>
    </row>
    <row r="4" spans="1:7" x14ac:dyDescent="0.25">
      <c r="A4" s="1"/>
      <c r="B4" s="1"/>
      <c r="C4" s="4" t="s">
        <v>2</v>
      </c>
      <c r="D4" s="5" t="s">
        <v>3</v>
      </c>
      <c r="E4" s="5" t="s">
        <v>4</v>
      </c>
      <c r="F4" s="3"/>
      <c r="G4" s="5" t="s">
        <v>61</v>
      </c>
    </row>
    <row r="5" spans="1:7" x14ac:dyDescent="0.25">
      <c r="A5" s="1" t="s">
        <v>5</v>
      </c>
      <c r="B5" s="1"/>
      <c r="C5" s="6"/>
      <c r="D5" s="6"/>
      <c r="E5" s="6"/>
      <c r="F5" s="7"/>
    </row>
    <row r="6" spans="1:7" x14ac:dyDescent="0.25">
      <c r="A6" s="1"/>
      <c r="B6" s="1"/>
      <c r="C6" s="8"/>
      <c r="D6" s="9"/>
      <c r="E6" s="9"/>
      <c r="F6" s="7"/>
    </row>
    <row r="7" spans="1:7" x14ac:dyDescent="0.25">
      <c r="A7" s="1"/>
      <c r="B7" s="1" t="s">
        <v>6</v>
      </c>
      <c r="C7" s="6"/>
      <c r="D7" s="10"/>
      <c r="E7" s="6"/>
      <c r="F7" s="7"/>
    </row>
    <row r="8" spans="1:7" x14ac:dyDescent="0.25">
      <c r="A8" s="1"/>
      <c r="B8" s="54" t="s">
        <v>55</v>
      </c>
      <c r="C8" s="11">
        <f>SUM(D8:E8)</f>
        <v>743384</v>
      </c>
      <c r="D8" s="11">
        <v>659822</v>
      </c>
      <c r="E8" s="11">
        <v>83562</v>
      </c>
      <c r="F8" s="40"/>
      <c r="G8" s="59" t="s">
        <v>82</v>
      </c>
    </row>
    <row r="9" spans="1:7" x14ac:dyDescent="0.25">
      <c r="A9" s="1"/>
      <c r="B9" s="54" t="s">
        <v>53</v>
      </c>
      <c r="C9" s="12">
        <f>D9+E9</f>
        <v>730824</v>
      </c>
      <c r="D9" s="12">
        <v>649912</v>
      </c>
      <c r="E9" s="12">
        <v>80912</v>
      </c>
      <c r="F9" s="40"/>
      <c r="G9" s="59" t="s">
        <v>83</v>
      </c>
    </row>
    <row r="10" spans="1:7" x14ac:dyDescent="0.25">
      <c r="A10" s="1"/>
      <c r="B10" s="1" t="s">
        <v>7</v>
      </c>
      <c r="C10" s="13">
        <f>AVERAGE(C8:C9)</f>
        <v>737104</v>
      </c>
      <c r="D10" s="11">
        <f>AVERAGE(D8:D9)</f>
        <v>654867</v>
      </c>
      <c r="E10" s="11">
        <f>AVERAGE(E8:E9)</f>
        <v>82237</v>
      </c>
      <c r="F10" s="40"/>
    </row>
    <row r="11" spans="1:7" x14ac:dyDescent="0.25">
      <c r="A11" s="1"/>
      <c r="B11" s="1" t="s">
        <v>8</v>
      </c>
      <c r="C11" s="10"/>
      <c r="D11" s="14">
        <f>ROUND(+D10/C10,4)</f>
        <v>0.88839999999999997</v>
      </c>
      <c r="E11" s="14">
        <f>1-D11</f>
        <v>0.11160000000000003</v>
      </c>
      <c r="F11" s="40"/>
    </row>
    <row r="12" spans="1:7" x14ac:dyDescent="0.25">
      <c r="A12" s="1"/>
      <c r="B12" s="1"/>
      <c r="C12" s="6"/>
      <c r="D12" s="14"/>
      <c r="E12" s="14"/>
      <c r="F12" s="40"/>
    </row>
    <row r="13" spans="1:7" x14ac:dyDescent="0.25">
      <c r="A13" s="1"/>
      <c r="B13" s="15" t="s">
        <v>9</v>
      </c>
      <c r="C13" s="6"/>
      <c r="D13" s="16"/>
      <c r="E13" s="16"/>
      <c r="F13" s="40"/>
    </row>
    <row r="14" spans="1:7" x14ac:dyDescent="0.25">
      <c r="A14" s="1"/>
      <c r="B14" s="1" t="str">
        <f>B$8</f>
        <v xml:space="preserve">   September 2018</v>
      </c>
      <c r="C14" s="11">
        <f>SUM(D14:E14)</f>
        <v>674167</v>
      </c>
      <c r="D14" s="11">
        <v>597650</v>
      </c>
      <c r="E14" s="11">
        <v>76517</v>
      </c>
      <c r="F14" s="40"/>
      <c r="G14" s="59" t="s">
        <v>82</v>
      </c>
    </row>
    <row r="15" spans="1:7" x14ac:dyDescent="0.25">
      <c r="A15" s="1"/>
      <c r="B15" s="1" t="str">
        <f>+B9</f>
        <v xml:space="preserve">   September 2017</v>
      </c>
      <c r="C15" s="12">
        <f>D15+E15</f>
        <v>662555</v>
      </c>
      <c r="D15" s="12">
        <v>588474</v>
      </c>
      <c r="E15" s="12">
        <v>74081</v>
      </c>
      <c r="F15" s="40"/>
      <c r="G15" s="59" t="s">
        <v>83</v>
      </c>
    </row>
    <row r="16" spans="1:7" x14ac:dyDescent="0.25">
      <c r="A16" s="1"/>
      <c r="B16" s="1" t="s">
        <v>7</v>
      </c>
      <c r="C16" s="13">
        <f>AVERAGE(C14:C15)</f>
        <v>668361</v>
      </c>
      <c r="D16" s="17">
        <f>+AVERAGE(D14:D15)</f>
        <v>593062</v>
      </c>
      <c r="E16" s="17">
        <f>+AVERAGE(E14:E15)</f>
        <v>75299</v>
      </c>
      <c r="F16" s="40"/>
    </row>
    <row r="17" spans="1:7" x14ac:dyDescent="0.25">
      <c r="A17" s="1"/>
      <c r="B17" s="1" t="s">
        <v>10</v>
      </c>
      <c r="C17" s="11"/>
      <c r="D17" s="14">
        <f>ROUND(+D16/C16,4)</f>
        <v>0.88729999999999998</v>
      </c>
      <c r="E17" s="14">
        <f>1-D17</f>
        <v>0.11270000000000002</v>
      </c>
      <c r="F17" s="40"/>
    </row>
    <row r="18" spans="1:7" x14ac:dyDescent="0.25">
      <c r="A18" s="1"/>
      <c r="B18" s="1"/>
      <c r="C18" s="6"/>
      <c r="D18" s="14"/>
      <c r="E18" s="14"/>
      <c r="F18" s="40"/>
    </row>
    <row r="19" spans="1:7" x14ac:dyDescent="0.25">
      <c r="A19" s="1"/>
      <c r="B19" s="15" t="s">
        <v>11</v>
      </c>
      <c r="C19" s="6"/>
      <c r="D19" s="16"/>
      <c r="E19" s="16"/>
      <c r="F19" s="40"/>
    </row>
    <row r="20" spans="1:7" x14ac:dyDescent="0.25">
      <c r="A20" s="1"/>
      <c r="B20" s="1" t="str">
        <f>B$8</f>
        <v xml:space="preserve">   September 2018</v>
      </c>
      <c r="C20" s="11">
        <f>SUM(D20:E20)</f>
        <v>68025</v>
      </c>
      <c r="D20" s="11">
        <v>61081</v>
      </c>
      <c r="E20" s="11">
        <v>6944</v>
      </c>
      <c r="F20" s="40"/>
      <c r="G20" s="59" t="s">
        <v>82</v>
      </c>
    </row>
    <row r="21" spans="1:7" x14ac:dyDescent="0.25">
      <c r="A21" s="1"/>
      <c r="B21" s="1" t="str">
        <f>+B9</f>
        <v xml:space="preserve">   September 2017</v>
      </c>
      <c r="C21" s="12">
        <f>D21+E21</f>
        <v>67078</v>
      </c>
      <c r="D21" s="12">
        <v>60346</v>
      </c>
      <c r="E21" s="12">
        <v>6732</v>
      </c>
      <c r="F21" s="40"/>
      <c r="G21" s="59" t="s">
        <v>83</v>
      </c>
    </row>
    <row r="22" spans="1:7" x14ac:dyDescent="0.25">
      <c r="A22" s="1"/>
      <c r="B22" s="1" t="s">
        <v>7</v>
      </c>
      <c r="C22" s="13">
        <f>AVERAGE(C20:C21)</f>
        <v>67551.5</v>
      </c>
      <c r="D22" s="17">
        <f>+AVERAGE(D20:D21)</f>
        <v>60713.5</v>
      </c>
      <c r="E22" s="17">
        <f>+AVERAGE(E20:E21)</f>
        <v>6838</v>
      </c>
      <c r="F22" s="40"/>
    </row>
    <row r="23" spans="1:7" x14ac:dyDescent="0.25">
      <c r="A23" s="1"/>
      <c r="B23" s="1" t="s">
        <v>10</v>
      </c>
      <c r="C23" s="10"/>
      <c r="D23" s="14">
        <f>ROUND(+D22/C22,4)</f>
        <v>0.89880000000000004</v>
      </c>
      <c r="E23" s="14">
        <f>1-D23</f>
        <v>0.10119999999999996</v>
      </c>
      <c r="F23" s="40"/>
    </row>
    <row r="24" spans="1:7" x14ac:dyDescent="0.25">
      <c r="A24" s="1"/>
      <c r="B24" s="1"/>
      <c r="C24" s="6"/>
      <c r="D24" s="14"/>
      <c r="E24" s="14"/>
      <c r="F24" s="40"/>
    </row>
    <row r="25" spans="1:7" x14ac:dyDescent="0.25">
      <c r="A25" s="1"/>
      <c r="B25" s="1" t="s">
        <v>12</v>
      </c>
      <c r="C25" s="6"/>
      <c r="D25" s="16"/>
      <c r="E25" s="16"/>
      <c r="F25" s="40"/>
    </row>
    <row r="26" spans="1:7" x14ac:dyDescent="0.25">
      <c r="A26" s="1"/>
      <c r="B26" s="1" t="str">
        <f>B$8</f>
        <v xml:space="preserve">   September 2018</v>
      </c>
      <c r="C26" s="11">
        <f>SUM(D26:E26)</f>
        <v>1192</v>
      </c>
      <c r="D26" s="11">
        <f>D8-D14-D20</f>
        <v>1091</v>
      </c>
      <c r="E26" s="11">
        <f>E8-E14-E20</f>
        <v>101</v>
      </c>
      <c r="F26" s="40"/>
      <c r="G26" s="59" t="s">
        <v>82</v>
      </c>
    </row>
    <row r="27" spans="1:7" x14ac:dyDescent="0.25">
      <c r="A27" s="1"/>
      <c r="B27" s="1" t="str">
        <f>+B21</f>
        <v xml:space="preserve">   September 2017</v>
      </c>
      <c r="C27" s="12">
        <f>D27+E27</f>
        <v>1191</v>
      </c>
      <c r="D27" s="12">
        <f>D9-D15-D21</f>
        <v>1092</v>
      </c>
      <c r="E27" s="12">
        <f>E9-E15-E21</f>
        <v>99</v>
      </c>
      <c r="F27" s="40"/>
      <c r="G27" s="59" t="s">
        <v>83</v>
      </c>
    </row>
    <row r="28" spans="1:7" x14ac:dyDescent="0.25">
      <c r="A28" s="1"/>
      <c r="B28" s="1" t="s">
        <v>7</v>
      </c>
      <c r="C28" s="13">
        <f>AVERAGE(C26:C27)</f>
        <v>1191.5</v>
      </c>
      <c r="D28" s="17">
        <f>+AVERAGE(D26:D27)</f>
        <v>1091.5</v>
      </c>
      <c r="E28" s="17">
        <f>+AVERAGE(E26:E27)</f>
        <v>100</v>
      </c>
      <c r="F28" s="40"/>
    </row>
    <row r="29" spans="1:7" x14ac:dyDescent="0.25">
      <c r="A29" s="15"/>
      <c r="B29" s="1" t="s">
        <v>10</v>
      </c>
      <c r="C29" s="10"/>
      <c r="D29" s="14">
        <f>ROUND(+D28/C28,4)</f>
        <v>0.91610000000000003</v>
      </c>
      <c r="E29" s="14">
        <f>1-D29</f>
        <v>8.3899999999999975E-2</v>
      </c>
      <c r="F29" s="40"/>
    </row>
    <row r="30" spans="1:7" x14ac:dyDescent="0.25">
      <c r="A30" s="15"/>
      <c r="B30" s="1"/>
      <c r="C30" s="11"/>
      <c r="D30" s="14"/>
      <c r="E30" s="14"/>
      <c r="F30" s="40"/>
    </row>
    <row r="31" spans="1:7" x14ac:dyDescent="0.25">
      <c r="A31" s="1"/>
      <c r="B31" s="18" t="s">
        <v>13</v>
      </c>
      <c r="C31" s="8"/>
      <c r="D31" s="8"/>
      <c r="E31" s="8"/>
      <c r="F31" s="40"/>
    </row>
    <row r="32" spans="1:7" x14ac:dyDescent="0.25">
      <c r="A32" s="1"/>
      <c r="B32" s="19" t="str">
        <f>B$8</f>
        <v xml:space="preserve">   September 2018</v>
      </c>
      <c r="C32" s="11">
        <f>SUM(D32:E32)</f>
        <v>8170</v>
      </c>
      <c r="D32" s="13">
        <v>6108</v>
      </c>
      <c r="E32" s="11">
        <v>2062</v>
      </c>
      <c r="F32" s="40"/>
      <c r="G32" s="59" t="s">
        <v>82</v>
      </c>
    </row>
    <row r="33" spans="1:7" x14ac:dyDescent="0.25">
      <c r="A33" s="1"/>
      <c r="B33" s="19" t="str">
        <f>+B27</f>
        <v xml:space="preserve">   September 2017</v>
      </c>
      <c r="C33" s="12">
        <f>D33+E33</f>
        <v>7970</v>
      </c>
      <c r="D33" s="12">
        <v>5972</v>
      </c>
      <c r="E33" s="12">
        <v>1998</v>
      </c>
      <c r="F33" s="40"/>
      <c r="G33" s="59" t="s">
        <v>83</v>
      </c>
    </row>
    <row r="34" spans="1:7" x14ac:dyDescent="0.25">
      <c r="A34" s="1"/>
      <c r="B34" s="19" t="s">
        <v>7</v>
      </c>
      <c r="C34" s="13">
        <f>AVERAGE(C32:C33)</f>
        <v>8070</v>
      </c>
      <c r="D34" s="17">
        <f>+AVERAGE(D32:D33)</f>
        <v>6040</v>
      </c>
      <c r="E34" s="17">
        <f>+AVERAGE(E32:E33)</f>
        <v>2030</v>
      </c>
      <c r="F34" s="40"/>
    </row>
    <row r="35" spans="1:7" x14ac:dyDescent="0.25">
      <c r="A35" s="15"/>
      <c r="B35" s="19" t="s">
        <v>10</v>
      </c>
      <c r="C35" s="10"/>
      <c r="D35" s="14">
        <f>ROUND(+D34/C34,4)</f>
        <v>0.74850000000000005</v>
      </c>
      <c r="E35" s="14">
        <f>1-D35</f>
        <v>0.25149999999999995</v>
      </c>
      <c r="F35" s="40"/>
    </row>
    <row r="36" spans="1:7" x14ac:dyDescent="0.25">
      <c r="A36" s="15"/>
      <c r="B36" s="19"/>
      <c r="C36" s="11"/>
      <c r="D36" s="14"/>
      <c r="E36" s="14"/>
      <c r="F36" s="40"/>
    </row>
    <row r="37" spans="1:7" x14ac:dyDescent="0.25">
      <c r="A37" s="1"/>
      <c r="B37" s="18" t="s">
        <v>14</v>
      </c>
      <c r="C37" s="8"/>
      <c r="D37" s="8"/>
      <c r="E37" s="8"/>
      <c r="F37" s="40"/>
    </row>
    <row r="38" spans="1:7" x14ac:dyDescent="0.25">
      <c r="A38" s="1"/>
      <c r="B38" s="19" t="str">
        <f>B$8</f>
        <v xml:space="preserve">   September 2018</v>
      </c>
      <c r="C38" s="11">
        <f>D38+E38</f>
        <v>528934</v>
      </c>
      <c r="D38" s="13">
        <v>447434</v>
      </c>
      <c r="E38" s="11">
        <v>81500</v>
      </c>
      <c r="F38" s="40"/>
      <c r="G38" s="59" t="s">
        <v>82</v>
      </c>
    </row>
    <row r="39" spans="1:7" x14ac:dyDescent="0.25">
      <c r="A39" s="1"/>
      <c r="B39" s="19" t="str">
        <f>+B33</f>
        <v xml:space="preserve">   September 2017</v>
      </c>
      <c r="C39" s="12">
        <f>D39+E39</f>
        <v>520413</v>
      </c>
      <c r="D39" s="12">
        <v>441499</v>
      </c>
      <c r="E39" s="12">
        <v>78914</v>
      </c>
      <c r="F39" s="40"/>
      <c r="G39" s="59" t="s">
        <v>83</v>
      </c>
    </row>
    <row r="40" spans="1:7" x14ac:dyDescent="0.25">
      <c r="A40" s="1"/>
      <c r="B40" s="19" t="s">
        <v>7</v>
      </c>
      <c r="C40" s="13">
        <f>AVERAGE(C38:C39)</f>
        <v>524673.5</v>
      </c>
      <c r="D40" s="17">
        <f>+AVERAGE(D38:D39)</f>
        <v>444466.5</v>
      </c>
      <c r="E40" s="17">
        <f>+AVERAGE(E38:E39)</f>
        <v>80207</v>
      </c>
      <c r="F40" s="40"/>
    </row>
    <row r="41" spans="1:7" x14ac:dyDescent="0.25">
      <c r="A41" s="15"/>
      <c r="B41" s="19" t="s">
        <v>10</v>
      </c>
      <c r="C41" s="11"/>
      <c r="D41" s="14">
        <f>ROUND(+D40/C40,4)</f>
        <v>0.84709999999999996</v>
      </c>
      <c r="E41" s="14">
        <f>1-D41</f>
        <v>0.15290000000000004</v>
      </c>
      <c r="F41" s="40"/>
    </row>
    <row r="42" spans="1:7" x14ac:dyDescent="0.25">
      <c r="A42" s="15"/>
      <c r="B42" s="19"/>
      <c r="C42" s="11"/>
      <c r="D42" s="14"/>
      <c r="E42" s="14"/>
      <c r="F42" s="40"/>
    </row>
    <row r="43" spans="1:7" x14ac:dyDescent="0.25">
      <c r="A43" s="1"/>
      <c r="B43" s="18" t="s">
        <v>15</v>
      </c>
      <c r="C43" s="8"/>
      <c r="D43" s="8"/>
      <c r="E43" s="8"/>
      <c r="F43" s="40"/>
    </row>
    <row r="44" spans="1:7" x14ac:dyDescent="0.25">
      <c r="A44" s="1"/>
      <c r="B44" s="19" t="str">
        <f>B$8</f>
        <v xml:space="preserve">   September 2018</v>
      </c>
      <c r="C44" s="11">
        <f>D44+E44</f>
        <v>44505</v>
      </c>
      <c r="D44" s="13">
        <f>37654+95</f>
        <v>37749</v>
      </c>
      <c r="E44" s="11">
        <f>6735+21</f>
        <v>6756</v>
      </c>
      <c r="F44" s="40"/>
      <c r="G44" s="59" t="s">
        <v>82</v>
      </c>
    </row>
    <row r="45" spans="1:7" x14ac:dyDescent="0.25">
      <c r="A45" s="1"/>
      <c r="B45" s="19" t="str">
        <f>+B39</f>
        <v xml:space="preserve">   September 2017</v>
      </c>
      <c r="C45" s="12">
        <f>D45+E45</f>
        <v>44101</v>
      </c>
      <c r="D45" s="12">
        <f>37457+98</f>
        <v>37555</v>
      </c>
      <c r="E45" s="12">
        <v>6546</v>
      </c>
      <c r="F45" s="40"/>
      <c r="G45" s="59" t="s">
        <v>83</v>
      </c>
    </row>
    <row r="46" spans="1:7" x14ac:dyDescent="0.25">
      <c r="A46" s="1"/>
      <c r="B46" s="19" t="s">
        <v>7</v>
      </c>
      <c r="C46" s="13">
        <f>AVERAGE(C44:C45)</f>
        <v>44303</v>
      </c>
      <c r="D46" s="17">
        <f>+AVERAGE(D44:D45)</f>
        <v>37652</v>
      </c>
      <c r="E46" s="17">
        <f>+AVERAGE(E44:E45)</f>
        <v>6651</v>
      </c>
      <c r="F46" s="20"/>
    </row>
    <row r="47" spans="1:7" x14ac:dyDescent="0.25">
      <c r="A47" s="1"/>
      <c r="B47" s="19" t="s">
        <v>10</v>
      </c>
      <c r="C47" s="8"/>
      <c r="D47" s="14">
        <f>ROUND(+D46/C46,4)</f>
        <v>0.84989999999999999</v>
      </c>
      <c r="E47" s="14">
        <f>1-D47</f>
        <v>0.15010000000000001</v>
      </c>
      <c r="F47" s="21"/>
    </row>
    <row r="48" spans="1:7" x14ac:dyDescent="0.25">
      <c r="A48" s="1"/>
      <c r="B48" s="1"/>
      <c r="C48" s="8"/>
      <c r="D48" s="16"/>
      <c r="E48" s="8"/>
      <c r="F48" s="22"/>
    </row>
    <row r="49" spans="1:7" x14ac:dyDescent="0.25">
      <c r="A49" s="1" t="s">
        <v>0</v>
      </c>
      <c r="B49" s="1"/>
      <c r="C49" s="8"/>
      <c r="D49" s="16"/>
      <c r="E49" s="8"/>
      <c r="F49" s="22"/>
    </row>
    <row r="50" spans="1:7" x14ac:dyDescent="0.25">
      <c r="A50" s="1" t="s">
        <v>1</v>
      </c>
      <c r="B50" s="1"/>
      <c r="C50" s="23"/>
      <c r="D50" s="24"/>
      <c r="E50" s="8"/>
      <c r="F50" s="22"/>
    </row>
    <row r="51" spans="1:7" x14ac:dyDescent="0.25">
      <c r="A51" s="1"/>
      <c r="B51" s="1"/>
      <c r="C51" s="23"/>
      <c r="D51" s="24"/>
      <c r="E51" s="25"/>
      <c r="F51" s="22"/>
    </row>
    <row r="52" spans="1:7" x14ac:dyDescent="0.25">
      <c r="A52" s="54" t="s">
        <v>58</v>
      </c>
      <c r="B52" s="1"/>
      <c r="C52" s="10"/>
      <c r="D52" s="24"/>
      <c r="E52" s="24"/>
      <c r="F52" s="22"/>
    </row>
    <row r="53" spans="1:7" x14ac:dyDescent="0.25">
      <c r="A53" s="1"/>
      <c r="B53" s="1"/>
      <c r="C53" s="11"/>
      <c r="D53" s="11"/>
      <c r="E53" s="11"/>
      <c r="F53" s="10"/>
    </row>
    <row r="54" spans="1:7" x14ac:dyDescent="0.25">
      <c r="A54" s="1"/>
      <c r="B54" s="1" t="s">
        <v>16</v>
      </c>
      <c r="C54" s="11">
        <f>D54+E54</f>
        <v>718198081</v>
      </c>
      <c r="D54" s="11">
        <v>643338229</v>
      </c>
      <c r="E54" s="11">
        <v>74859852</v>
      </c>
      <c r="F54" s="40"/>
      <c r="G54" s="59" t="s">
        <v>82</v>
      </c>
    </row>
    <row r="55" spans="1:7" x14ac:dyDescent="0.25">
      <c r="A55" s="1"/>
      <c r="B55" s="1" t="s">
        <v>10</v>
      </c>
      <c r="C55" s="6"/>
      <c r="D55" s="14">
        <f>ROUND(+D54/C54,4)</f>
        <v>0.89580000000000004</v>
      </c>
      <c r="E55" s="14">
        <f>1-D55</f>
        <v>0.10419999999999996</v>
      </c>
      <c r="F55" s="21"/>
    </row>
    <row r="56" spans="1:7" x14ac:dyDescent="0.25">
      <c r="A56" s="1"/>
      <c r="B56" s="1"/>
      <c r="C56" s="6"/>
      <c r="D56" s="26"/>
      <c r="E56" s="10"/>
      <c r="F56" s="6"/>
    </row>
    <row r="57" spans="1:7" x14ac:dyDescent="0.25">
      <c r="A57" s="1"/>
      <c r="B57" s="1" t="s">
        <v>17</v>
      </c>
      <c r="C57" s="11">
        <f>D57+E57</f>
        <v>770767889</v>
      </c>
      <c r="D57" s="11">
        <v>694588839</v>
      </c>
      <c r="E57" s="11">
        <v>76179050</v>
      </c>
      <c r="F57" s="40"/>
      <c r="G57" s="59" t="s">
        <v>82</v>
      </c>
    </row>
    <row r="58" spans="1:7" x14ac:dyDescent="0.25">
      <c r="A58" s="1"/>
      <c r="B58" s="1" t="s">
        <v>10</v>
      </c>
      <c r="C58" s="8"/>
      <c r="D58" s="14">
        <f>ROUND(+D57/C57,4)</f>
        <v>0.9012</v>
      </c>
      <c r="E58" s="14">
        <f>1-D58</f>
        <v>9.8799999999999999E-2</v>
      </c>
      <c r="F58" s="21"/>
    </row>
    <row r="59" spans="1:7" x14ac:dyDescent="0.25">
      <c r="A59" s="1"/>
      <c r="B59" s="1"/>
      <c r="C59" s="27"/>
      <c r="D59" s="23"/>
      <c r="E59" s="8"/>
      <c r="F59" s="28"/>
    </row>
    <row r="60" spans="1:7" x14ac:dyDescent="0.25">
      <c r="A60" s="1"/>
      <c r="B60" s="1" t="s">
        <v>18</v>
      </c>
      <c r="C60" s="11">
        <f>D60+E60</f>
        <v>1159757008</v>
      </c>
      <c r="D60" s="11">
        <v>1062790701</v>
      </c>
      <c r="E60" s="11">
        <v>96966307</v>
      </c>
      <c r="F60" s="55"/>
      <c r="G60" s="59" t="s">
        <v>82</v>
      </c>
    </row>
    <row r="61" spans="1:7" x14ac:dyDescent="0.25">
      <c r="A61" s="1"/>
      <c r="B61" s="1" t="s">
        <v>10</v>
      </c>
      <c r="C61" s="8"/>
      <c r="D61" s="14">
        <f>ROUND(+D60/C60,4)</f>
        <v>0.91639999999999999</v>
      </c>
      <c r="E61" s="14">
        <f>1-D61</f>
        <v>8.3600000000000008E-2</v>
      </c>
      <c r="F61" s="56"/>
    </row>
    <row r="62" spans="1:7" x14ac:dyDescent="0.25">
      <c r="A62" s="1"/>
      <c r="B62" s="1"/>
      <c r="C62" s="6"/>
      <c r="D62" s="6"/>
      <c r="E62" s="6"/>
      <c r="F62" s="7"/>
    </row>
    <row r="63" spans="1:7" x14ac:dyDescent="0.25">
      <c r="A63" s="1"/>
      <c r="B63" s="1"/>
      <c r="C63" s="6"/>
      <c r="D63" s="6"/>
      <c r="E63" s="6"/>
      <c r="F63" s="29"/>
    </row>
    <row r="64" spans="1:7" x14ac:dyDescent="0.25">
      <c r="A64" s="1" t="s">
        <v>19</v>
      </c>
      <c r="B64" s="1"/>
      <c r="C64" s="6"/>
      <c r="D64" s="6"/>
      <c r="E64" s="6"/>
      <c r="F64" s="30"/>
    </row>
    <row r="65" spans="1:7" x14ac:dyDescent="0.25">
      <c r="A65" s="1"/>
      <c r="B65" s="1" t="s">
        <v>20</v>
      </c>
      <c r="C65" s="6"/>
      <c r="D65" s="31">
        <f>D96</f>
        <v>0.88419999999999999</v>
      </c>
      <c r="E65" s="14">
        <f>1-D65</f>
        <v>0.11580000000000001</v>
      </c>
      <c r="F65" s="30"/>
      <c r="G65" s="59" t="s">
        <v>62</v>
      </c>
    </row>
    <row r="66" spans="1:7" x14ac:dyDescent="0.25">
      <c r="A66" s="1"/>
      <c r="B66" s="1" t="s">
        <v>21</v>
      </c>
      <c r="C66" s="6"/>
      <c r="D66" s="64">
        <v>0.89100000000000001</v>
      </c>
      <c r="E66" s="14">
        <f>1-D66</f>
        <v>0.10899999999999999</v>
      </c>
      <c r="F66" s="9"/>
      <c r="G66" s="59" t="s">
        <v>84</v>
      </c>
    </row>
    <row r="67" spans="1:7" x14ac:dyDescent="0.25">
      <c r="A67" s="1"/>
      <c r="B67" s="1" t="s">
        <v>22</v>
      </c>
      <c r="C67" s="31"/>
      <c r="D67" s="32">
        <f>D11</f>
        <v>0.88839999999999997</v>
      </c>
      <c r="E67" s="33">
        <f>1-D67</f>
        <v>0.11160000000000003</v>
      </c>
      <c r="F67" s="30"/>
      <c r="G67" s="59" t="s">
        <v>63</v>
      </c>
    </row>
    <row r="68" spans="1:7" x14ac:dyDescent="0.25">
      <c r="A68" s="1"/>
      <c r="B68" s="1"/>
      <c r="C68" s="6"/>
      <c r="D68" s="31"/>
      <c r="E68" s="6"/>
      <c r="F68" s="30"/>
    </row>
    <row r="69" spans="1:7" x14ac:dyDescent="0.25">
      <c r="A69" s="1"/>
      <c r="B69" s="1" t="s">
        <v>23</v>
      </c>
      <c r="C69" s="6"/>
      <c r="D69" s="31">
        <f>ROUND(AVERAGE(D65:D67),4)</f>
        <v>0.88790000000000002</v>
      </c>
      <c r="E69" s="31">
        <f>ROUND(AVERAGE(E65:E67),4)</f>
        <v>0.11210000000000001</v>
      </c>
      <c r="F69" s="30"/>
    </row>
    <row r="70" spans="1:7" x14ac:dyDescent="0.25">
      <c r="A70" s="1"/>
      <c r="B70" s="1"/>
      <c r="C70" s="6"/>
      <c r="D70" s="6"/>
      <c r="E70" s="6"/>
      <c r="F70" s="30"/>
    </row>
    <row r="71" spans="1:7" x14ac:dyDescent="0.25">
      <c r="A71" s="1"/>
      <c r="B71" s="1"/>
      <c r="C71" s="6"/>
      <c r="D71" s="6"/>
      <c r="E71" s="8"/>
      <c r="F71" s="30"/>
    </row>
    <row r="72" spans="1:7" x14ac:dyDescent="0.25">
      <c r="A72" s="34" t="s">
        <v>24</v>
      </c>
      <c r="B72" s="34"/>
      <c r="C72" s="11"/>
      <c r="D72" s="11"/>
      <c r="E72" s="11"/>
      <c r="F72" s="30"/>
    </row>
    <row r="73" spans="1:7" x14ac:dyDescent="0.25">
      <c r="A73" s="34"/>
      <c r="B73" s="34"/>
      <c r="C73" s="11"/>
      <c r="D73" s="11"/>
      <c r="E73" s="11"/>
      <c r="F73" s="30"/>
    </row>
    <row r="74" spans="1:7" x14ac:dyDescent="0.25">
      <c r="A74" s="57" t="s">
        <v>57</v>
      </c>
      <c r="B74" s="34"/>
      <c r="C74" s="35" t="s">
        <v>2</v>
      </c>
      <c r="D74" s="35" t="s">
        <v>3</v>
      </c>
      <c r="E74" s="35" t="s">
        <v>4</v>
      </c>
      <c r="F74" s="30"/>
    </row>
    <row r="75" spans="1:7" x14ac:dyDescent="0.25">
      <c r="A75" s="19"/>
      <c r="B75" s="34"/>
      <c r="C75" s="11"/>
      <c r="D75" s="11"/>
      <c r="E75" s="11"/>
      <c r="F75" s="57"/>
    </row>
    <row r="76" spans="1:7" x14ac:dyDescent="0.25">
      <c r="A76" s="19"/>
      <c r="B76" s="34" t="s">
        <v>25</v>
      </c>
      <c r="C76" s="11">
        <f>D76+E76</f>
        <v>84795.27</v>
      </c>
      <c r="D76" s="62">
        <v>84348.27</v>
      </c>
      <c r="E76" s="62">
        <v>447</v>
      </c>
      <c r="F76" s="23"/>
      <c r="G76" s="59" t="s">
        <v>85</v>
      </c>
    </row>
    <row r="77" spans="1:7" x14ac:dyDescent="0.25">
      <c r="A77" s="19"/>
      <c r="B77" s="34" t="s">
        <v>26</v>
      </c>
      <c r="C77" s="11">
        <f>D77+E77</f>
        <v>675198</v>
      </c>
      <c r="D77" s="63">
        <v>675198</v>
      </c>
      <c r="E77" s="63">
        <v>0</v>
      </c>
      <c r="F77" s="23"/>
      <c r="G77" s="59" t="s">
        <v>85</v>
      </c>
    </row>
    <row r="78" spans="1:7" x14ac:dyDescent="0.25">
      <c r="A78" s="19"/>
      <c r="B78" s="34" t="s">
        <v>27</v>
      </c>
      <c r="C78" s="11">
        <f>D78+E78</f>
        <v>169634548.50999993</v>
      </c>
      <c r="D78" s="63">
        <v>168519547.43999994</v>
      </c>
      <c r="E78" s="63">
        <v>1115001.0699999996</v>
      </c>
      <c r="F78" s="30"/>
      <c r="G78" s="59" t="s">
        <v>85</v>
      </c>
    </row>
    <row r="79" spans="1:7" x14ac:dyDescent="0.25">
      <c r="A79" s="19"/>
      <c r="B79" s="34" t="s">
        <v>28</v>
      </c>
      <c r="C79" s="11">
        <f>D79+E79</f>
        <v>2226387112.1400003</v>
      </c>
      <c r="D79" s="63">
        <v>1945089163.5800002</v>
      </c>
      <c r="E79" s="63">
        <v>281297948.56</v>
      </c>
      <c r="F79" s="23"/>
      <c r="G79" s="59" t="s">
        <v>85</v>
      </c>
    </row>
    <row r="80" spans="1:7" x14ac:dyDescent="0.25">
      <c r="A80" s="49"/>
      <c r="B80" s="34"/>
      <c r="C80" s="11"/>
      <c r="D80" s="11"/>
      <c r="E80" s="11"/>
      <c r="F80" s="58"/>
    </row>
    <row r="81" spans="1:7" x14ac:dyDescent="0.25">
      <c r="A81" s="57" t="s">
        <v>54</v>
      </c>
      <c r="B81" s="34"/>
      <c r="C81" s="35" t="s">
        <v>2</v>
      </c>
      <c r="D81" s="36" t="s">
        <v>3</v>
      </c>
      <c r="E81" s="36" t="s">
        <v>4</v>
      </c>
      <c r="F81" s="23"/>
    </row>
    <row r="82" spans="1:7" x14ac:dyDescent="0.25">
      <c r="A82" s="19"/>
      <c r="B82" s="34"/>
      <c r="C82" s="11"/>
      <c r="D82" s="37"/>
      <c r="E82" s="37"/>
      <c r="F82" s="23"/>
    </row>
    <row r="83" spans="1:7" x14ac:dyDescent="0.25">
      <c r="A83" s="1"/>
      <c r="B83" s="34" t="s">
        <v>25</v>
      </c>
      <c r="C83" s="11">
        <f>D83+E83</f>
        <v>84795.27</v>
      </c>
      <c r="D83" s="62">
        <v>84348.27</v>
      </c>
      <c r="E83" s="62">
        <v>447</v>
      </c>
      <c r="F83" s="23"/>
      <c r="G83" s="59" t="s">
        <v>85</v>
      </c>
    </row>
    <row r="84" spans="1:7" x14ac:dyDescent="0.25">
      <c r="A84" s="1"/>
      <c r="B84" s="34" t="s">
        <v>26</v>
      </c>
      <c r="C84" s="11">
        <f>D84+E84</f>
        <v>675198</v>
      </c>
      <c r="D84" s="63">
        <v>675198</v>
      </c>
      <c r="E84" s="63">
        <v>0</v>
      </c>
      <c r="F84" s="23"/>
      <c r="G84" s="59" t="s">
        <v>85</v>
      </c>
    </row>
    <row r="85" spans="1:7" x14ac:dyDescent="0.25">
      <c r="A85" s="1"/>
      <c r="B85" s="34" t="s">
        <v>27</v>
      </c>
      <c r="C85" s="11">
        <f>D85+E85</f>
        <v>165102347.74999991</v>
      </c>
      <c r="D85" s="63">
        <v>163987674.07999992</v>
      </c>
      <c r="E85" s="63">
        <v>1114673.6699999997</v>
      </c>
      <c r="F85" s="23"/>
      <c r="G85" s="59" t="s">
        <v>85</v>
      </c>
    </row>
    <row r="86" spans="1:7" x14ac:dyDescent="0.25">
      <c r="A86" s="1"/>
      <c r="B86" s="34" t="s">
        <v>28</v>
      </c>
      <c r="C86" s="11">
        <f>D86+E86</f>
        <v>2132874661.9300003</v>
      </c>
      <c r="D86" s="63">
        <v>1872543945.0000002</v>
      </c>
      <c r="E86" s="63">
        <v>260330716.93000004</v>
      </c>
      <c r="F86" s="23"/>
      <c r="G86" s="59" t="s">
        <v>85</v>
      </c>
    </row>
    <row r="87" spans="1:7" x14ac:dyDescent="0.25">
      <c r="A87" s="34"/>
      <c r="B87" s="34"/>
      <c r="C87" s="11"/>
      <c r="D87" s="37"/>
      <c r="E87" s="37"/>
      <c r="F87" s="30"/>
    </row>
    <row r="88" spans="1:7" x14ac:dyDescent="0.25">
      <c r="A88" s="38" t="s">
        <v>29</v>
      </c>
      <c r="B88" s="34"/>
      <c r="C88" s="35" t="s">
        <v>2</v>
      </c>
      <c r="D88" s="36" t="s">
        <v>3</v>
      </c>
      <c r="E88" s="36" t="s">
        <v>4</v>
      </c>
      <c r="F88" s="30"/>
    </row>
    <row r="89" spans="1:7" x14ac:dyDescent="0.25">
      <c r="A89" s="1"/>
      <c r="B89" s="34"/>
      <c r="C89" s="11"/>
      <c r="D89" s="37"/>
      <c r="E89" s="37"/>
      <c r="F89" s="30"/>
    </row>
    <row r="90" spans="1:7" x14ac:dyDescent="0.25">
      <c r="A90" s="1"/>
      <c r="B90" s="34" t="s">
        <v>25</v>
      </c>
      <c r="C90" s="11">
        <f>+E90+D90</f>
        <v>84795.27</v>
      </c>
      <c r="D90" s="37">
        <f>(+D83+D76)/2</f>
        <v>84348.27</v>
      </c>
      <c r="E90" s="37">
        <f t="shared" ref="D90:E93" si="0">(+E83+E76)/2</f>
        <v>447</v>
      </c>
      <c r="F90" s="37"/>
    </row>
    <row r="91" spans="1:7" x14ac:dyDescent="0.25">
      <c r="A91" s="1"/>
      <c r="B91" s="34" t="s">
        <v>26</v>
      </c>
      <c r="C91" s="11">
        <f>+E91+D91</f>
        <v>675198</v>
      </c>
      <c r="D91" s="37">
        <f>(+D84+D77)/2</f>
        <v>675198</v>
      </c>
      <c r="E91" s="37">
        <f t="shared" si="0"/>
        <v>0</v>
      </c>
      <c r="F91" s="37"/>
    </row>
    <row r="92" spans="1:7" x14ac:dyDescent="0.25">
      <c r="A92" s="1"/>
      <c r="B92" s="34" t="s">
        <v>27</v>
      </c>
      <c r="C92" s="11">
        <f>+E92+D92</f>
        <v>167368448.12999994</v>
      </c>
      <c r="D92" s="37">
        <f t="shared" si="0"/>
        <v>166253610.75999993</v>
      </c>
      <c r="E92" s="37">
        <f t="shared" si="0"/>
        <v>1114837.3699999996</v>
      </c>
      <c r="F92" s="37"/>
    </row>
    <row r="93" spans="1:7" x14ac:dyDescent="0.25">
      <c r="A93" s="1"/>
      <c r="B93" s="34" t="s">
        <v>28</v>
      </c>
      <c r="C93" s="11">
        <f>+E93+D93</f>
        <v>2179630887.0350003</v>
      </c>
      <c r="D93" s="37">
        <f t="shared" si="0"/>
        <v>1908816554.2900002</v>
      </c>
      <c r="E93" s="37">
        <f t="shared" si="0"/>
        <v>270814332.745</v>
      </c>
      <c r="F93" s="37"/>
    </row>
    <row r="94" spans="1:7" x14ac:dyDescent="0.25">
      <c r="A94" s="34"/>
      <c r="B94" s="34"/>
      <c r="C94" s="11"/>
      <c r="D94" s="37"/>
      <c r="E94" s="37"/>
      <c r="F94" s="37"/>
    </row>
    <row r="95" spans="1:7" x14ac:dyDescent="0.25">
      <c r="A95" s="34" t="s">
        <v>20</v>
      </c>
      <c r="B95" s="34"/>
      <c r="C95" s="11">
        <f>SUM(C90:C94)</f>
        <v>2347759328.4350004</v>
      </c>
      <c r="D95" s="37">
        <f>SUM(D90:D94)</f>
        <v>2075829711.3200002</v>
      </c>
      <c r="E95" s="37">
        <f>SUM(E90:E94)</f>
        <v>271929617.11500001</v>
      </c>
      <c r="F95" s="37"/>
    </row>
    <row r="96" spans="1:7" x14ac:dyDescent="0.25">
      <c r="A96" s="1"/>
      <c r="B96" s="1" t="s">
        <v>10</v>
      </c>
      <c r="C96" s="11"/>
      <c r="D96" s="39">
        <f>ROUND(+D95/C95,4)</f>
        <v>0.88419999999999999</v>
      </c>
      <c r="E96" s="39">
        <f>1-D96</f>
        <v>0.11580000000000001</v>
      </c>
      <c r="F96" s="37"/>
    </row>
    <row r="97" spans="1:7" x14ac:dyDescent="0.25">
      <c r="A97" s="1"/>
      <c r="B97" s="1"/>
      <c r="C97" s="11"/>
      <c r="D97" s="39"/>
      <c r="E97" s="39"/>
      <c r="F97" s="30"/>
    </row>
    <row r="98" spans="1:7" x14ac:dyDescent="0.25">
      <c r="A98" s="1"/>
      <c r="B98" s="1"/>
      <c r="C98" s="11"/>
      <c r="D98" s="37"/>
      <c r="E98" s="37"/>
      <c r="F98" s="30"/>
    </row>
    <row r="99" spans="1:7" x14ac:dyDescent="0.25">
      <c r="A99" s="1" t="str">
        <f>+A1</f>
        <v>NW Natural</v>
      </c>
      <c r="B99" s="1"/>
      <c r="C99" s="11"/>
      <c r="D99" s="39"/>
      <c r="E99" s="39"/>
      <c r="F99" s="30"/>
    </row>
    <row r="100" spans="1:7" x14ac:dyDescent="0.25">
      <c r="A100" s="1" t="str">
        <f>+A2</f>
        <v>State Allocation Factors</v>
      </c>
      <c r="B100" s="1"/>
      <c r="C100" s="11"/>
      <c r="D100" s="39"/>
      <c r="E100" s="39"/>
      <c r="F100" s="30"/>
    </row>
    <row r="101" spans="1:7" x14ac:dyDescent="0.25">
      <c r="A101" s="1" t="str">
        <f>+A3</f>
        <v>As of September 30, 2018</v>
      </c>
      <c r="B101" s="34"/>
      <c r="C101" s="11"/>
      <c r="D101" s="40"/>
      <c r="E101" s="40"/>
      <c r="F101" s="30"/>
    </row>
    <row r="102" spans="1:7" x14ac:dyDescent="0.25">
      <c r="A102" s="1"/>
      <c r="B102" s="1"/>
      <c r="C102" s="6"/>
      <c r="D102" s="6"/>
      <c r="E102" s="6"/>
      <c r="F102" s="30"/>
    </row>
    <row r="103" spans="1:7" x14ac:dyDescent="0.25">
      <c r="A103" s="41" t="s">
        <v>30</v>
      </c>
      <c r="B103" s="42"/>
      <c r="C103" s="65" t="s">
        <v>3</v>
      </c>
      <c r="D103" s="65" t="s">
        <v>4</v>
      </c>
      <c r="E103" s="43"/>
      <c r="F103" s="30"/>
    </row>
    <row r="104" spans="1:7" x14ac:dyDescent="0.25">
      <c r="A104" s="44"/>
      <c r="B104" s="2"/>
      <c r="C104" s="45"/>
      <c r="D104" s="6"/>
      <c r="E104" s="6"/>
      <c r="F104" s="30"/>
    </row>
    <row r="105" spans="1:7" x14ac:dyDescent="0.25">
      <c r="A105" s="44">
        <v>1</v>
      </c>
      <c r="B105" s="15" t="s">
        <v>31</v>
      </c>
      <c r="C105" s="50">
        <f>ROUND(+D11,4)</f>
        <v>0.88839999999999997</v>
      </c>
      <c r="D105" s="51">
        <f>1-C105</f>
        <v>0.11160000000000003</v>
      </c>
      <c r="E105" s="46"/>
      <c r="F105" s="30"/>
      <c r="G105" s="59" t="s">
        <v>63</v>
      </c>
    </row>
    <row r="106" spans="1:7" x14ac:dyDescent="0.25">
      <c r="A106" s="44">
        <f>+A105+1</f>
        <v>2</v>
      </c>
      <c r="B106" s="15" t="s">
        <v>32</v>
      </c>
      <c r="C106" s="50">
        <f>ROUND(+D17,4)</f>
        <v>0.88729999999999998</v>
      </c>
      <c r="D106" s="51">
        <f t="shared" ref="D106:D126" si="1">1-C106</f>
        <v>0.11270000000000002</v>
      </c>
      <c r="E106" s="46"/>
      <c r="F106" s="30"/>
      <c r="G106" s="59" t="s">
        <v>65</v>
      </c>
    </row>
    <row r="107" spans="1:7" x14ac:dyDescent="0.25">
      <c r="A107" s="44">
        <f t="shared" ref="A107:A130" si="2">+A106+1</f>
        <v>3</v>
      </c>
      <c r="B107" s="15" t="s">
        <v>33</v>
      </c>
      <c r="C107" s="50">
        <f>ROUND(+D23,4)</f>
        <v>0.89880000000000004</v>
      </c>
      <c r="D107" s="51">
        <f t="shared" si="1"/>
        <v>0.10119999999999996</v>
      </c>
      <c r="E107" s="46"/>
      <c r="F107" s="30"/>
      <c r="G107" s="59" t="s">
        <v>66</v>
      </c>
    </row>
    <row r="108" spans="1:7" x14ac:dyDescent="0.25">
      <c r="A108" s="44">
        <f t="shared" si="2"/>
        <v>4</v>
      </c>
      <c r="B108" s="15" t="s">
        <v>34</v>
      </c>
      <c r="C108" s="50">
        <f>ROUND(+D29,54)</f>
        <v>0.91610000000000003</v>
      </c>
      <c r="D108" s="51">
        <f t="shared" si="1"/>
        <v>8.3899999999999975E-2</v>
      </c>
      <c r="E108" s="46"/>
      <c r="F108" s="30"/>
      <c r="G108" s="59" t="s">
        <v>67</v>
      </c>
    </row>
    <row r="109" spans="1:7" x14ac:dyDescent="0.25">
      <c r="A109" s="44">
        <f t="shared" si="2"/>
        <v>5</v>
      </c>
      <c r="B109" s="15" t="s">
        <v>35</v>
      </c>
      <c r="C109" s="50">
        <f>ROUND(+D35,4)</f>
        <v>0.74850000000000005</v>
      </c>
      <c r="D109" s="51">
        <f t="shared" si="1"/>
        <v>0.25149999999999995</v>
      </c>
      <c r="E109" s="46"/>
      <c r="F109" s="30"/>
      <c r="G109" s="59" t="s">
        <v>68</v>
      </c>
    </row>
    <row r="110" spans="1:7" x14ac:dyDescent="0.25">
      <c r="A110" s="44">
        <f t="shared" si="2"/>
        <v>6</v>
      </c>
      <c r="B110" s="15" t="s">
        <v>36</v>
      </c>
      <c r="C110" s="50">
        <f>ROUND(+D69,4)</f>
        <v>0.88790000000000002</v>
      </c>
      <c r="D110" s="51">
        <f t="shared" si="1"/>
        <v>0.11209999999999998</v>
      </c>
      <c r="E110" s="46"/>
      <c r="F110" s="30"/>
      <c r="G110" s="59" t="s">
        <v>75</v>
      </c>
    </row>
    <row r="111" spans="1:7" x14ac:dyDescent="0.25">
      <c r="A111" s="44">
        <f t="shared" si="2"/>
        <v>7</v>
      </c>
      <c r="B111" s="15" t="s">
        <v>60</v>
      </c>
      <c r="C111" s="50">
        <f>ROUND(+D55,4)</f>
        <v>0.89580000000000004</v>
      </c>
      <c r="D111" s="51">
        <f t="shared" si="1"/>
        <v>0.10419999999999996</v>
      </c>
      <c r="E111" s="46"/>
      <c r="F111" s="30"/>
      <c r="G111" s="59" t="s">
        <v>71</v>
      </c>
    </row>
    <row r="112" spans="1:7" x14ac:dyDescent="0.25">
      <c r="A112" s="44">
        <f t="shared" si="2"/>
        <v>8</v>
      </c>
      <c r="B112" s="15" t="s">
        <v>37</v>
      </c>
      <c r="C112" s="50">
        <f>ROUND(+D58,4)</f>
        <v>0.9012</v>
      </c>
      <c r="D112" s="51">
        <f t="shared" si="1"/>
        <v>9.8799999999999999E-2</v>
      </c>
      <c r="E112" s="46"/>
      <c r="F112" s="30"/>
      <c r="G112" s="59" t="s">
        <v>72</v>
      </c>
    </row>
    <row r="113" spans="1:7" x14ac:dyDescent="0.25">
      <c r="A113" s="44">
        <f t="shared" si="2"/>
        <v>9</v>
      </c>
      <c r="B113" s="15" t="s">
        <v>38</v>
      </c>
      <c r="C113" s="50">
        <f>ROUND(+D61,4)</f>
        <v>0.91639999999999999</v>
      </c>
      <c r="D113" s="51">
        <f t="shared" si="1"/>
        <v>8.3600000000000008E-2</v>
      </c>
      <c r="E113" s="46"/>
      <c r="F113" s="30"/>
      <c r="G113" s="59" t="s">
        <v>73</v>
      </c>
    </row>
    <row r="114" spans="1:7" x14ac:dyDescent="0.25">
      <c r="A114" s="44">
        <f t="shared" si="2"/>
        <v>10</v>
      </c>
      <c r="B114" s="15" t="s">
        <v>39</v>
      </c>
      <c r="C114" s="50">
        <f>ROUND((+C112+C113)/2,4)</f>
        <v>0.90880000000000005</v>
      </c>
      <c r="D114" s="51">
        <f t="shared" si="1"/>
        <v>9.1199999999999948E-2</v>
      </c>
      <c r="E114" s="46"/>
      <c r="F114" s="30"/>
      <c r="G114" s="59" t="s">
        <v>74</v>
      </c>
    </row>
    <row r="115" spans="1:7" x14ac:dyDescent="0.25">
      <c r="A115" s="44">
        <f t="shared" si="2"/>
        <v>11</v>
      </c>
      <c r="B115" s="15" t="s">
        <v>40</v>
      </c>
      <c r="C115" s="50">
        <f>ROUND(+D41,4)</f>
        <v>0.84709999999999996</v>
      </c>
      <c r="D115" s="51">
        <f t="shared" si="1"/>
        <v>0.15290000000000004</v>
      </c>
      <c r="E115" s="46"/>
      <c r="F115" s="30"/>
      <c r="G115" s="59" t="s">
        <v>69</v>
      </c>
    </row>
    <row r="116" spans="1:7" x14ac:dyDescent="0.25">
      <c r="A116" s="44">
        <f t="shared" si="2"/>
        <v>12</v>
      </c>
      <c r="B116" s="15" t="s">
        <v>41</v>
      </c>
      <c r="C116" s="50">
        <f>ROUND(0.2+C115*0.8,4)</f>
        <v>0.87770000000000004</v>
      </c>
      <c r="D116" s="51">
        <f t="shared" si="1"/>
        <v>0.12229999999999996</v>
      </c>
      <c r="E116" s="46"/>
      <c r="F116" s="30"/>
      <c r="G116" s="59" t="s">
        <v>76</v>
      </c>
    </row>
    <row r="117" spans="1:7" x14ac:dyDescent="0.25">
      <c r="A117" s="44">
        <f t="shared" si="2"/>
        <v>13</v>
      </c>
      <c r="B117" s="15" t="s">
        <v>42</v>
      </c>
      <c r="C117" s="50">
        <f>ROUND(+D47,4)</f>
        <v>0.84989999999999999</v>
      </c>
      <c r="D117" s="51">
        <f t="shared" si="1"/>
        <v>0.15010000000000001</v>
      </c>
      <c r="E117" s="46"/>
      <c r="F117" s="30"/>
      <c r="G117" s="59" t="s">
        <v>70</v>
      </c>
    </row>
    <row r="118" spans="1:7" x14ac:dyDescent="0.25">
      <c r="A118" s="44">
        <f t="shared" si="2"/>
        <v>14</v>
      </c>
      <c r="B118" s="15" t="s">
        <v>43</v>
      </c>
      <c r="C118" s="60">
        <f>1-D118</f>
        <v>0.89242410462823729</v>
      </c>
      <c r="D118" s="51">
        <v>0.10757589537176274</v>
      </c>
      <c r="E118" s="46"/>
      <c r="F118" s="47"/>
      <c r="G118" s="59" t="s">
        <v>81</v>
      </c>
    </row>
    <row r="119" spans="1:7" x14ac:dyDescent="0.25">
      <c r="A119" s="44">
        <f t="shared" si="2"/>
        <v>15</v>
      </c>
      <c r="B119" s="15" t="s">
        <v>44</v>
      </c>
      <c r="C119" s="60">
        <v>0.86973999999999996</v>
      </c>
      <c r="D119" s="51">
        <f t="shared" si="1"/>
        <v>0.13026000000000004</v>
      </c>
      <c r="E119" s="46"/>
      <c r="F119" s="47"/>
      <c r="G119" s="59" t="s">
        <v>81</v>
      </c>
    </row>
    <row r="120" spans="1:7" x14ac:dyDescent="0.25">
      <c r="A120" s="44">
        <f t="shared" si="2"/>
        <v>16</v>
      </c>
      <c r="B120" s="1" t="s">
        <v>45</v>
      </c>
      <c r="C120" s="60">
        <v>0.88792000000000004</v>
      </c>
      <c r="D120" s="51">
        <f t="shared" si="1"/>
        <v>0.11207999999999996</v>
      </c>
      <c r="E120" s="46"/>
      <c r="F120" s="47"/>
      <c r="G120" s="59" t="s">
        <v>81</v>
      </c>
    </row>
    <row r="121" spans="1:7" x14ac:dyDescent="0.25">
      <c r="A121" s="44">
        <f t="shared" si="2"/>
        <v>17</v>
      </c>
      <c r="B121" s="2" t="s">
        <v>46</v>
      </c>
      <c r="C121" s="61">
        <v>0.7</v>
      </c>
      <c r="D121" s="51">
        <f t="shared" si="1"/>
        <v>0.30000000000000004</v>
      </c>
      <c r="E121" s="46"/>
      <c r="F121" s="30"/>
      <c r="G121" s="59" t="s">
        <v>78</v>
      </c>
    </row>
    <row r="122" spans="1:7" x14ac:dyDescent="0.25">
      <c r="A122" s="44">
        <f t="shared" si="2"/>
        <v>18</v>
      </c>
      <c r="B122" s="2" t="s">
        <v>47</v>
      </c>
      <c r="C122" s="61">
        <v>0.87234042553191493</v>
      </c>
      <c r="D122" s="51">
        <f t="shared" si="1"/>
        <v>0.12765957446808507</v>
      </c>
      <c r="E122" s="46"/>
      <c r="F122" s="30"/>
      <c r="G122" s="59" t="s">
        <v>79</v>
      </c>
    </row>
    <row r="123" spans="1:7" x14ac:dyDescent="0.25">
      <c r="A123" s="44">
        <f t="shared" si="2"/>
        <v>19</v>
      </c>
      <c r="B123" s="15" t="s">
        <v>48</v>
      </c>
      <c r="C123" s="61">
        <v>0</v>
      </c>
      <c r="D123" s="51">
        <f t="shared" si="1"/>
        <v>1</v>
      </c>
      <c r="E123" s="46"/>
      <c r="F123" s="30"/>
      <c r="G123" s="59" t="s">
        <v>77</v>
      </c>
    </row>
    <row r="124" spans="1:7" x14ac:dyDescent="0.25">
      <c r="A124" s="44">
        <f t="shared" si="2"/>
        <v>20</v>
      </c>
      <c r="B124" s="15" t="s">
        <v>49</v>
      </c>
      <c r="C124" s="61">
        <v>1</v>
      </c>
      <c r="D124" s="51">
        <f t="shared" si="1"/>
        <v>0</v>
      </c>
      <c r="E124" s="46"/>
      <c r="F124" s="30"/>
      <c r="G124" s="59" t="s">
        <v>77</v>
      </c>
    </row>
    <row r="125" spans="1:7" x14ac:dyDescent="0.25">
      <c r="A125" s="44">
        <f t="shared" si="2"/>
        <v>21</v>
      </c>
      <c r="B125" s="2" t="s">
        <v>50</v>
      </c>
      <c r="C125" s="60">
        <f>ROUND(+D96,5)</f>
        <v>0.88419999999999999</v>
      </c>
      <c r="D125" s="51">
        <f t="shared" si="1"/>
        <v>0.11580000000000001</v>
      </c>
      <c r="E125" s="46"/>
      <c r="F125" s="30"/>
      <c r="G125" s="59" t="s">
        <v>62</v>
      </c>
    </row>
    <row r="126" spans="1:7" x14ac:dyDescent="0.25">
      <c r="A126" s="44">
        <f t="shared" si="2"/>
        <v>22</v>
      </c>
      <c r="B126" s="2" t="s">
        <v>27</v>
      </c>
      <c r="C126" s="60">
        <v>0.98860000000000003</v>
      </c>
      <c r="D126" s="51">
        <v>1.2E-2</v>
      </c>
      <c r="E126" s="46"/>
      <c r="F126" s="7"/>
      <c r="G126" s="59" t="s">
        <v>80</v>
      </c>
    </row>
    <row r="127" spans="1:7" x14ac:dyDescent="0.25">
      <c r="A127" s="44">
        <f t="shared" si="2"/>
        <v>23</v>
      </c>
      <c r="B127" s="48" t="s">
        <v>51</v>
      </c>
      <c r="C127" s="60">
        <f>1-D127</f>
        <v>0.88707393132221091</v>
      </c>
      <c r="D127" s="52">
        <v>0.11292606867778904</v>
      </c>
      <c r="E127" s="46"/>
      <c r="F127" s="30"/>
      <c r="G127" s="59" t="s">
        <v>86</v>
      </c>
    </row>
    <row r="128" spans="1:7" x14ac:dyDescent="0.25">
      <c r="A128" s="44">
        <f t="shared" si="2"/>
        <v>24</v>
      </c>
      <c r="B128" s="48" t="s">
        <v>52</v>
      </c>
      <c r="C128" s="60">
        <v>0.87988297503264945</v>
      </c>
      <c r="D128" s="52">
        <v>0.12011702496735058</v>
      </c>
      <c r="E128" s="46"/>
      <c r="F128" s="30"/>
      <c r="G128" s="59" t="s">
        <v>88</v>
      </c>
    </row>
    <row r="129" spans="1:7" x14ac:dyDescent="0.25">
      <c r="A129" s="44">
        <f t="shared" si="2"/>
        <v>25</v>
      </c>
      <c r="B129" s="48" t="s">
        <v>28</v>
      </c>
      <c r="C129" s="60">
        <f>1-D129</f>
        <v>0.8736527232725414</v>
      </c>
      <c r="D129" s="52">
        <f>+E79/C79</f>
        <v>0.1263472767274586</v>
      </c>
      <c r="E129" s="46"/>
      <c r="G129" s="59" t="s">
        <v>64</v>
      </c>
    </row>
    <row r="130" spans="1:7" x14ac:dyDescent="0.25">
      <c r="A130" s="44">
        <f t="shared" si="2"/>
        <v>26</v>
      </c>
      <c r="B130" s="48" t="s">
        <v>59</v>
      </c>
      <c r="C130" s="61">
        <f>1-D130</f>
        <v>0.93478300000000003</v>
      </c>
      <c r="D130" s="52">
        <v>6.5216999999999997E-2</v>
      </c>
      <c r="G130" s="59" t="s">
        <v>87</v>
      </c>
    </row>
  </sheetData>
  <pageMargins left="0.7" right="0.7" top="0.75" bottom="0.75" header="0.3" footer="0.3"/>
  <pageSetup scale="80" fitToHeight="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0D63E9-F30D-4307-B4D2-4292E981A5E4}"/>
</file>

<file path=customXml/itemProps2.xml><?xml version="1.0" encoding="utf-8"?>
<ds:datastoreItem xmlns:ds="http://schemas.openxmlformats.org/officeDocument/2006/customXml" ds:itemID="{863BCCC4-5643-47A2-9EEB-0F421B0C9BF8}"/>
</file>

<file path=customXml/itemProps3.xml><?xml version="1.0" encoding="utf-8"?>
<ds:datastoreItem xmlns:ds="http://schemas.openxmlformats.org/officeDocument/2006/customXml" ds:itemID="{4BFC1145-169B-4DD6-B4FD-EFFE4D1AFBF5}"/>
</file>

<file path=customXml/itemProps4.xml><?xml version="1.0" encoding="utf-8"?>
<ds:datastoreItem xmlns:ds="http://schemas.openxmlformats.org/officeDocument/2006/customXml" ds:itemID="{0DBDB4A4-DF1C-4C34-8D92-33F2B6EC1C57}"/>
</file>

<file path=customXml/itemProps5.xml><?xml version="1.0" encoding="utf-8"?>
<ds:datastoreItem xmlns:ds="http://schemas.openxmlformats.org/officeDocument/2006/customXml" ds:itemID="{78C7500F-2343-4925-917D-B0AFA247C976}"/>
</file>

<file path=customXml/itemProps6.xml><?xml version="1.0" encoding="utf-8"?>
<ds:datastoreItem xmlns:ds="http://schemas.openxmlformats.org/officeDocument/2006/customXml" ds:itemID="{1ED77738-D71D-4014-856A-88C1F8F03ECD}"/>
</file>

<file path=customXml/itemProps7.xml><?xml version="1.0" encoding="utf-8"?>
<ds:datastoreItem xmlns:ds="http://schemas.openxmlformats.org/officeDocument/2006/customXml" ds:itemID="{CEC892D6-20E5-479C-A5C8-03F8CD1D8E10}"/>
</file>

<file path=customXml/itemProps8.xml><?xml version="1.0" encoding="utf-8"?>
<ds:datastoreItem xmlns:ds="http://schemas.openxmlformats.org/officeDocument/2006/customXml" ds:itemID="{E9C4734D-80CD-4125-88F0-601CEDD73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McVay, Kevin</cp:lastModifiedBy>
  <cp:lastPrinted>2017-11-21T19:58:03Z</cp:lastPrinted>
  <dcterms:created xsi:type="dcterms:W3CDTF">2017-10-19T12:29:42Z</dcterms:created>
  <dcterms:modified xsi:type="dcterms:W3CDTF">2019-03-12T00:17:40Z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