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hristopher.mickelso\Desktop\BR3\"/>
    </mc:Choice>
  </mc:AlternateContent>
  <xr:revisionPtr revIDLastSave="0" documentId="13_ncr:1_{A885AAD9-3182-42A4-98E4-BDE1750DFAE1}" xr6:coauthVersionLast="47" xr6:coauthVersionMax="48" xr10:uidLastSave="{00000000-0000-0000-0000-000000000000}"/>
  <bookViews>
    <workbookView xWindow="-28920" yWindow="-120" windowWidth="29040" windowHeight="15840" tabRatio="795" xr2:uid="{00000000-000D-0000-FFFF-FFFF00000000}"/>
  </bookViews>
  <sheets>
    <sheet name="Dashboard" sheetId="66" r:id="rId1"/>
    <sheet name="Assistance" sheetId="67" r:id="rId2"/>
  </sheets>
  <definedNames>
    <definedName name="_xlnm._FilterDatabase" localSheetId="0" hidden="1">Dashboard!#REF!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66" l="1"/>
  <c r="F90" i="66" s="1"/>
  <c r="F91" i="66" s="1"/>
  <c r="F92" i="66" s="1"/>
  <c r="F93" i="66" s="1"/>
  <c r="N29" i="67"/>
  <c r="S29" i="67"/>
  <c r="S28" i="67"/>
  <c r="V2" i="67"/>
  <c r="V3" i="67"/>
  <c r="V4" i="67"/>
  <c r="V5" i="67"/>
  <c r="V6" i="67"/>
  <c r="V7" i="67"/>
  <c r="V8" i="67"/>
  <c r="V9" i="67"/>
  <c r="V10" i="67"/>
  <c r="V11" i="67"/>
  <c r="V12" i="67"/>
  <c r="V13" i="67"/>
  <c r="V14" i="67"/>
  <c r="V15" i="67"/>
  <c r="V16" i="67"/>
  <c r="V17" i="67"/>
  <c r="V18" i="67"/>
  <c r="V19" i="67"/>
  <c r="V20" i="67"/>
  <c r="V21" i="67"/>
  <c r="V22" i="67"/>
  <c r="V23" i="67"/>
  <c r="V24" i="67"/>
  <c r="V25" i="67"/>
  <c r="U2" i="67"/>
  <c r="U3" i="67"/>
  <c r="U4" i="67"/>
  <c r="U5" i="67"/>
  <c r="U6" i="67"/>
  <c r="U7" i="67"/>
  <c r="U8" i="67"/>
  <c r="U9" i="67"/>
  <c r="U10" i="67"/>
  <c r="U11" i="67"/>
  <c r="U12" i="67"/>
  <c r="U13" i="67"/>
  <c r="U14" i="67"/>
  <c r="U15" i="67"/>
  <c r="U16" i="67"/>
  <c r="U17" i="67"/>
  <c r="U18" i="67"/>
  <c r="U19" i="67"/>
  <c r="U20" i="67"/>
  <c r="U21" i="67"/>
  <c r="U22" i="67"/>
  <c r="U23" i="67"/>
  <c r="U24" i="67"/>
  <c r="U25" i="67"/>
  <c r="T2" i="67"/>
  <c r="T3" i="67"/>
  <c r="T4" i="67"/>
  <c r="T5" i="67"/>
  <c r="T6" i="67"/>
  <c r="T7" i="67"/>
  <c r="T8" i="67"/>
  <c r="T9" i="67"/>
  <c r="T10" i="67"/>
  <c r="T11" i="67"/>
  <c r="T12" i="67"/>
  <c r="T13" i="67"/>
  <c r="T14" i="67"/>
  <c r="T15" i="67"/>
  <c r="T16" i="67"/>
  <c r="T17" i="67"/>
  <c r="T18" i="67"/>
  <c r="T19" i="67"/>
  <c r="T20" i="67"/>
  <c r="T21" i="67"/>
  <c r="T22" i="67"/>
  <c r="T23" i="67"/>
  <c r="T24" i="67"/>
  <c r="T25" i="67"/>
  <c r="S2" i="67"/>
  <c r="S3" i="67"/>
  <c r="S4" i="67"/>
  <c r="S5" i="67"/>
  <c r="S6" i="67"/>
  <c r="S7" i="67"/>
  <c r="S8" i="67"/>
  <c r="S9" i="67"/>
  <c r="S10" i="67"/>
  <c r="S11" i="67"/>
  <c r="S12" i="67"/>
  <c r="S13" i="67"/>
  <c r="S14" i="67"/>
  <c r="S15" i="67"/>
  <c r="S16" i="67"/>
  <c r="S17" i="67"/>
  <c r="S18" i="67"/>
  <c r="S19" i="67"/>
  <c r="S20" i="67"/>
  <c r="S21" i="67"/>
  <c r="S22" i="67"/>
  <c r="S23" i="67"/>
  <c r="S24" i="67"/>
  <c r="S25" i="67"/>
  <c r="R2" i="67"/>
  <c r="R3" i="67"/>
  <c r="R4" i="67"/>
  <c r="R5" i="67"/>
  <c r="R6" i="67"/>
  <c r="R7" i="67"/>
  <c r="R8" i="67"/>
  <c r="R9" i="67"/>
  <c r="R10" i="67"/>
  <c r="R11" i="67"/>
  <c r="R12" i="67"/>
  <c r="R13" i="67"/>
  <c r="R14" i="67"/>
  <c r="R15" i="67"/>
  <c r="R16" i="67"/>
  <c r="R17" i="67"/>
  <c r="R18" i="67"/>
  <c r="R19" i="67"/>
  <c r="R20" i="67"/>
  <c r="R21" i="67"/>
  <c r="R22" i="67"/>
  <c r="R23" i="67"/>
  <c r="R24" i="67"/>
  <c r="R25" i="67"/>
  <c r="Q2" i="67"/>
  <c r="Q3" i="67"/>
  <c r="Q4" i="67"/>
  <c r="Q5" i="67"/>
  <c r="Q6" i="67"/>
  <c r="Q7" i="67"/>
  <c r="Q8" i="67"/>
  <c r="Q9" i="67"/>
  <c r="Q10" i="67"/>
  <c r="Q11" i="67"/>
  <c r="Q12" i="67"/>
  <c r="Q13" i="67"/>
  <c r="Q14" i="67"/>
  <c r="Q15" i="67"/>
  <c r="Q16" i="67"/>
  <c r="Q17" i="67"/>
  <c r="Q18" i="67"/>
  <c r="Q19" i="67"/>
  <c r="Q20" i="67"/>
  <c r="Q21" i="67"/>
  <c r="Q22" i="67"/>
  <c r="Q23" i="67"/>
  <c r="Q24" i="67"/>
  <c r="Q25" i="67"/>
  <c r="P2" i="67"/>
  <c r="P3" i="67"/>
  <c r="P4" i="67"/>
  <c r="P5" i="67"/>
  <c r="P6" i="67"/>
  <c r="P7" i="67"/>
  <c r="P8" i="67"/>
  <c r="P9" i="67"/>
  <c r="P10" i="67"/>
  <c r="P11" i="67"/>
  <c r="P12" i="67"/>
  <c r="P13" i="67"/>
  <c r="P14" i="67"/>
  <c r="P15" i="67"/>
  <c r="P16" i="67"/>
  <c r="P17" i="67"/>
  <c r="P18" i="67"/>
  <c r="P19" i="67"/>
  <c r="P20" i="67"/>
  <c r="P21" i="67"/>
  <c r="P22" i="67"/>
  <c r="P23" i="67"/>
  <c r="P24" i="67"/>
  <c r="P25" i="67"/>
  <c r="O2" i="67"/>
  <c r="O3" i="67"/>
  <c r="O4" i="67"/>
  <c r="O5" i="67"/>
  <c r="O6" i="67"/>
  <c r="O7" i="67"/>
  <c r="O8" i="67"/>
  <c r="O9" i="67"/>
  <c r="O10" i="67"/>
  <c r="O11" i="67"/>
  <c r="O12" i="67"/>
  <c r="O13" i="67"/>
  <c r="O14" i="67"/>
  <c r="O15" i="67"/>
  <c r="O16" i="67"/>
  <c r="O17" i="67"/>
  <c r="O18" i="67"/>
  <c r="O19" i="67"/>
  <c r="O20" i="67"/>
  <c r="O21" i="67"/>
  <c r="O22" i="67"/>
  <c r="O23" i="67"/>
  <c r="O24" i="67"/>
  <c r="O25" i="67"/>
  <c r="T54" i="66" l="1"/>
  <c r="S54" i="66"/>
  <c r="F19" i="66"/>
  <c r="F29" i="66" s="1"/>
  <c r="F20" i="66"/>
  <c r="F30" i="66" s="1"/>
  <c r="F21" i="66"/>
  <c r="F31" i="66" s="1"/>
  <c r="F22" i="66"/>
  <c r="F32" i="66" s="1"/>
  <c r="F23" i="66"/>
  <c r="F33" i="66" s="1"/>
  <c r="N26" i="67"/>
  <c r="M26" i="67"/>
  <c r="L26" i="67"/>
  <c r="C89" i="66"/>
  <c r="D89" i="66"/>
  <c r="D93" i="66"/>
  <c r="C93" i="66"/>
  <c r="D92" i="66"/>
  <c r="C92" i="66"/>
  <c r="D91" i="66"/>
  <c r="C91" i="66"/>
  <c r="D90" i="66"/>
  <c r="C90" i="66"/>
  <c r="D82" i="66"/>
  <c r="D81" i="66"/>
  <c r="D80" i="66"/>
  <c r="D79" i="66"/>
  <c r="D78" i="66"/>
  <c r="C82" i="66"/>
  <c r="C81" i="66"/>
  <c r="C80" i="66"/>
  <c r="C79" i="66"/>
  <c r="C78" i="66"/>
  <c r="M28" i="66"/>
  <c r="Z28" i="67"/>
  <c r="M29" i="66" s="1"/>
  <c r="Z2" i="67"/>
  <c r="Z3" i="67"/>
  <c r="Z4" i="67"/>
  <c r="Z5" i="67"/>
  <c r="Z6" i="67"/>
  <c r="Z7" i="67"/>
  <c r="Z8" i="67"/>
  <c r="Z9" i="67"/>
  <c r="Z10" i="67"/>
  <c r="Z11" i="67"/>
  <c r="Z12" i="67"/>
  <c r="Z13" i="67"/>
  <c r="Z14" i="67"/>
  <c r="Z15" i="67"/>
  <c r="Z16" i="67"/>
  <c r="Z17" i="67"/>
  <c r="Z29" i="67" s="1"/>
  <c r="Z18" i="67"/>
  <c r="Z19" i="67"/>
  <c r="Z20" i="67"/>
  <c r="Z21" i="67"/>
  <c r="Z22" i="67"/>
  <c r="Z23" i="67"/>
  <c r="Z24" i="67"/>
  <c r="Z25" i="67"/>
  <c r="X2" i="67"/>
  <c r="X3" i="67"/>
  <c r="X4" i="67"/>
  <c r="X5" i="67"/>
  <c r="X6" i="67"/>
  <c r="X7" i="67"/>
  <c r="X8" i="67"/>
  <c r="X9" i="67"/>
  <c r="X10" i="67"/>
  <c r="X11" i="67"/>
  <c r="X12" i="67"/>
  <c r="X13" i="67"/>
  <c r="X14" i="67"/>
  <c r="X15" i="67"/>
  <c r="X16" i="67"/>
  <c r="X17" i="67"/>
  <c r="X18" i="67"/>
  <c r="X19" i="67"/>
  <c r="X20" i="67"/>
  <c r="X21" i="67"/>
  <c r="X22" i="67"/>
  <c r="X23" i="67"/>
  <c r="X24" i="67"/>
  <c r="X25" i="67"/>
  <c r="W2" i="67"/>
  <c r="Y2" i="67" s="1"/>
  <c r="W3" i="67"/>
  <c r="Y3" i="67" s="1"/>
  <c r="W4" i="67"/>
  <c r="Y4" i="67" s="1"/>
  <c r="W5" i="67"/>
  <c r="Y5" i="67" s="1"/>
  <c r="W6" i="67"/>
  <c r="Y6" i="67" s="1"/>
  <c r="W7" i="67"/>
  <c r="Y7" i="67" s="1"/>
  <c r="W8" i="67"/>
  <c r="Y8" i="67" s="1"/>
  <c r="W9" i="67"/>
  <c r="Y9" i="67" s="1"/>
  <c r="W10" i="67"/>
  <c r="Y10" i="67" s="1"/>
  <c r="W11" i="67"/>
  <c r="Y11" i="67" s="1"/>
  <c r="W12" i="67"/>
  <c r="Y12" i="67" s="1"/>
  <c r="W13" i="67"/>
  <c r="Y13" i="67" s="1"/>
  <c r="W14" i="67"/>
  <c r="Y14" i="67" s="1"/>
  <c r="W15" i="67"/>
  <c r="Y15" i="67" s="1"/>
  <c r="W16" i="67"/>
  <c r="Y16" i="67" s="1"/>
  <c r="W17" i="67"/>
  <c r="Y17" i="67" s="1"/>
  <c r="W18" i="67"/>
  <c r="Y18" i="67" s="1"/>
  <c r="W19" i="67"/>
  <c r="Y19" i="67" s="1"/>
  <c r="W20" i="67"/>
  <c r="Y20" i="67" s="1"/>
  <c r="W21" i="67"/>
  <c r="Y21" i="67" s="1"/>
  <c r="W22" i="67"/>
  <c r="Y22" i="67" s="1"/>
  <c r="W23" i="67"/>
  <c r="Y23" i="67" s="1"/>
  <c r="W24" i="67"/>
  <c r="Y24" i="67" s="1"/>
  <c r="W25" i="67"/>
  <c r="Y25" i="67" s="1"/>
  <c r="B76" i="66"/>
  <c r="B87" i="66" s="1"/>
  <c r="U54" i="66" l="1"/>
  <c r="D23" i="66"/>
  <c r="D29" i="66"/>
  <c r="D30" i="66"/>
  <c r="D33" i="66"/>
  <c r="D20" i="66"/>
  <c r="D19" i="66"/>
  <c r="D21" i="66"/>
  <c r="D31" i="66"/>
  <c r="D22" i="66"/>
  <c r="D32" i="66"/>
  <c r="Z26" i="67"/>
  <c r="Y28" i="67"/>
  <c r="F12" i="66" s="1"/>
  <c r="Y26" i="67"/>
  <c r="Y29" i="67"/>
  <c r="C19" i="66" l="1"/>
  <c r="B78" i="66" s="1"/>
  <c r="B89" i="66" s="1"/>
  <c r="H40" i="66"/>
  <c r="I40" i="66"/>
  <c r="J40" i="66"/>
  <c r="K40" i="66"/>
  <c r="L40" i="66"/>
  <c r="G40" i="66"/>
  <c r="G30" i="66" l="1"/>
  <c r="G20" i="66" s="1"/>
  <c r="G31" i="66"/>
  <c r="G21" i="66" s="1"/>
  <c r="G32" i="66"/>
  <c r="G22" i="66" s="1"/>
  <c r="G33" i="66"/>
  <c r="G29" i="66"/>
  <c r="H29" i="66" s="1"/>
  <c r="C29" i="66"/>
  <c r="H59" i="66"/>
  <c r="D59" i="66"/>
  <c r="L59" i="66"/>
  <c r="L71" i="66"/>
  <c r="D71" i="66"/>
  <c r="H71" i="66"/>
  <c r="C20" i="66"/>
  <c r="C21" i="66"/>
  <c r="C22" i="66"/>
  <c r="C23" i="66"/>
  <c r="K71" i="66"/>
  <c r="G71" i="66"/>
  <c r="K59" i="66"/>
  <c r="T55" i="66" s="1"/>
  <c r="G59" i="66"/>
  <c r="S55" i="66" s="1"/>
  <c r="J125" i="66"/>
  <c r="O67" i="66"/>
  <c r="O55" i="66"/>
  <c r="C71" i="66"/>
  <c r="K26" i="67"/>
  <c r="J26" i="67"/>
  <c r="I26" i="67"/>
  <c r="H26" i="67"/>
  <c r="G26" i="67"/>
  <c r="F26" i="67"/>
  <c r="E26" i="67"/>
  <c r="D26" i="67"/>
  <c r="C26" i="67"/>
  <c r="J124" i="66"/>
  <c r="J123" i="66"/>
  <c r="J122" i="66"/>
  <c r="B117" i="66"/>
  <c r="B116" i="66"/>
  <c r="B115" i="66"/>
  <c r="B114" i="66"/>
  <c r="B113" i="66"/>
  <c r="B112" i="66"/>
  <c r="B111" i="66"/>
  <c r="J106" i="66"/>
  <c r="J117" i="66" s="1"/>
  <c r="J105" i="66"/>
  <c r="J116" i="66" s="1"/>
  <c r="J104" i="66"/>
  <c r="J115" i="66" s="1"/>
  <c r="J103" i="66"/>
  <c r="J114" i="66" s="1"/>
  <c r="J102" i="66"/>
  <c r="J113" i="66" s="1"/>
  <c r="J101" i="66"/>
  <c r="J112" i="66" s="1"/>
  <c r="J100" i="66"/>
  <c r="J111" i="66" s="1"/>
  <c r="C59" i="66"/>
  <c r="F38" i="66"/>
  <c r="K38" i="66" s="1"/>
  <c r="U55" i="66" l="1"/>
  <c r="G23" i="66"/>
  <c r="H23" i="66" s="1"/>
  <c r="J23" i="66" s="1"/>
  <c r="H33" i="66"/>
  <c r="J33" i="66" s="1"/>
  <c r="F34" i="66"/>
  <c r="F24" i="66"/>
  <c r="C43" i="66" s="1"/>
  <c r="T29" i="67"/>
  <c r="C33" i="66"/>
  <c r="B82" i="66"/>
  <c r="B93" i="66" s="1"/>
  <c r="C32" i="66"/>
  <c r="B81" i="66"/>
  <c r="B92" i="66" s="1"/>
  <c r="C31" i="66"/>
  <c r="B80" i="66"/>
  <c r="B91" i="66" s="1"/>
  <c r="C30" i="66"/>
  <c r="B79" i="66"/>
  <c r="B90" i="66" s="1"/>
  <c r="H30" i="66"/>
  <c r="J30" i="66" s="1"/>
  <c r="I29" i="66"/>
  <c r="L29" i="66" s="1"/>
  <c r="H31" i="66"/>
  <c r="I31" i="66" s="1"/>
  <c r="L31" i="66" s="1"/>
  <c r="G19" i="66"/>
  <c r="H19" i="66" s="1"/>
  <c r="H20" i="66"/>
  <c r="J20" i="66" s="1"/>
  <c r="H32" i="66"/>
  <c r="J32" i="66" s="1"/>
  <c r="H22" i="66"/>
  <c r="J22" i="66" s="1"/>
  <c r="J38" i="66"/>
  <c r="L38" i="66"/>
  <c r="R26" i="67"/>
  <c r="G38" i="66"/>
  <c r="H38" i="66"/>
  <c r="I38" i="66"/>
  <c r="J29" i="66" l="1"/>
  <c r="T26" i="67"/>
  <c r="S26" i="67"/>
  <c r="T28" i="67"/>
  <c r="N31" i="66" s="1"/>
  <c r="I19" i="66"/>
  <c r="J19" i="66"/>
  <c r="I30" i="66"/>
  <c r="L30" i="66" s="1"/>
  <c r="I23" i="66"/>
  <c r="J31" i="66"/>
  <c r="I20" i="66"/>
  <c r="I22" i="66"/>
  <c r="I33" i="66"/>
  <c r="L33" i="66" s="1"/>
  <c r="I32" i="66"/>
  <c r="L32" i="66" s="1"/>
  <c r="H21" i="66"/>
  <c r="J21" i="66" s="1"/>
  <c r="V26" i="67" l="1"/>
  <c r="U26" i="67"/>
  <c r="N30" i="66"/>
  <c r="N29" i="66"/>
  <c r="N32" i="66"/>
  <c r="N33" i="66"/>
  <c r="J34" i="66"/>
  <c r="C40" i="66" s="1"/>
  <c r="I21" i="66"/>
  <c r="J24" i="66" l="1"/>
  <c r="C39" i="66" s="1"/>
  <c r="C42" i="66" s="1"/>
  <c r="C41" i="66" l="1"/>
  <c r="C44" i="66" l="1"/>
  <c r="D41" i="66" s="1"/>
  <c r="D42" i="66" l="1"/>
  <c r="K100" i="66"/>
  <c r="L114" i="66" s="1"/>
  <c r="D44" i="66"/>
  <c r="D43" i="66"/>
  <c r="D40" i="66"/>
  <c r="D39" i="66"/>
  <c r="C100" i="66"/>
  <c r="C115" i="66" s="1"/>
  <c r="C46" i="66"/>
  <c r="C47" i="66"/>
  <c r="K101" i="66" s="1"/>
  <c r="L101" i="66" s="1"/>
  <c r="M101" i="66" s="1"/>
  <c r="N101" i="66" s="1"/>
  <c r="O101" i="66" s="1"/>
  <c r="P101" i="66" s="1"/>
  <c r="O115" i="66" l="1"/>
  <c r="P115" i="66"/>
  <c r="L116" i="66"/>
  <c r="L117" i="66"/>
  <c r="P113" i="66"/>
  <c r="N117" i="66"/>
  <c r="P117" i="66"/>
  <c r="N114" i="66"/>
  <c r="M114" i="66"/>
  <c r="N113" i="66"/>
  <c r="M117" i="66"/>
  <c r="O116" i="66"/>
  <c r="K116" i="66"/>
  <c r="O114" i="66"/>
  <c r="K113" i="66"/>
  <c r="M116" i="66"/>
  <c r="L113" i="66"/>
  <c r="K111" i="66"/>
  <c r="P116" i="66"/>
  <c r="P114" i="66"/>
  <c r="K115" i="66"/>
  <c r="G39" i="66" s="1"/>
  <c r="K123" i="66" s="1"/>
  <c r="K124" i="66" s="1"/>
  <c r="K112" i="66"/>
  <c r="L112" i="66" s="1"/>
  <c r="M112" i="66" s="1"/>
  <c r="N112" i="66" s="1"/>
  <c r="O112" i="66" s="1"/>
  <c r="P112" i="66" s="1"/>
  <c r="N115" i="66"/>
  <c r="O113" i="66"/>
  <c r="O117" i="66"/>
  <c r="M113" i="66"/>
  <c r="M115" i="66"/>
  <c r="N116" i="66"/>
  <c r="L115" i="66"/>
  <c r="K114" i="66"/>
  <c r="K117" i="66"/>
  <c r="C111" i="66"/>
  <c r="D116" i="66"/>
  <c r="H117" i="66"/>
  <c r="C114" i="66"/>
  <c r="G117" i="66"/>
  <c r="F116" i="66"/>
  <c r="D115" i="66"/>
  <c r="D117" i="66"/>
  <c r="H113" i="66"/>
  <c r="H115" i="66"/>
  <c r="C113" i="66"/>
  <c r="F117" i="66"/>
  <c r="G115" i="66"/>
  <c r="F115" i="66"/>
  <c r="E116" i="66"/>
  <c r="E117" i="66"/>
  <c r="G113" i="66"/>
  <c r="E114" i="66"/>
  <c r="C116" i="66"/>
  <c r="C117" i="66"/>
  <c r="G114" i="66"/>
  <c r="F114" i="66"/>
  <c r="D114" i="66"/>
  <c r="E113" i="66"/>
  <c r="G116" i="66"/>
  <c r="E115" i="66"/>
  <c r="H114" i="66"/>
  <c r="H116" i="66"/>
  <c r="F113" i="66"/>
  <c r="D113" i="66"/>
  <c r="C101" i="66"/>
  <c r="D101" i="66" s="1"/>
  <c r="E101" i="66" s="1"/>
  <c r="F101" i="66" s="1"/>
  <c r="G101" i="66" s="1"/>
  <c r="H101" i="66" s="1"/>
  <c r="H39" i="66" l="1"/>
  <c r="L123" i="66" s="1"/>
  <c r="L124" i="66" s="1"/>
  <c r="C123" i="66"/>
  <c r="C124" i="66" s="1"/>
  <c r="G42" i="66" s="1"/>
  <c r="I39" i="66"/>
  <c r="M123" i="66" s="1"/>
  <c r="M124" i="66" s="1"/>
  <c r="L39" i="66"/>
  <c r="K39" i="66"/>
  <c r="J39" i="66"/>
  <c r="C125" i="66"/>
  <c r="K125" i="66"/>
  <c r="C112" i="66"/>
  <c r="D112" i="66" s="1"/>
  <c r="E112" i="66" s="1"/>
  <c r="F112" i="66" s="1"/>
  <c r="G41" i="66"/>
  <c r="D123" i="66" l="1"/>
  <c r="D124" i="66" s="1"/>
  <c r="H42" i="66" s="1"/>
  <c r="D125" i="66"/>
  <c r="L125" i="66"/>
  <c r="H43" i="66" s="1"/>
  <c r="G43" i="66"/>
  <c r="M125" i="66"/>
  <c r="E123" i="66"/>
  <c r="E125" i="66"/>
  <c r="G112" i="66"/>
  <c r="N123" i="66"/>
  <c r="N124" i="66" s="1"/>
  <c r="H41" i="66" l="1"/>
  <c r="I43" i="66"/>
  <c r="E124" i="66"/>
  <c r="I42" i="66" s="1"/>
  <c r="I41" i="66"/>
  <c r="F123" i="66"/>
  <c r="F125" i="66"/>
  <c r="N125" i="66"/>
  <c r="H112" i="66"/>
  <c r="P123" i="66" s="1"/>
  <c r="P124" i="66" s="1"/>
  <c r="O123" i="66"/>
  <c r="O124" i="66" s="1"/>
  <c r="J43" i="66" l="1"/>
  <c r="F124" i="66"/>
  <c r="J42" i="66" s="1"/>
  <c r="J41" i="66"/>
  <c r="G123" i="66"/>
  <c r="O125" i="66"/>
  <c r="G125" i="66"/>
  <c r="H123" i="66"/>
  <c r="H125" i="66"/>
  <c r="P125" i="66"/>
  <c r="K43" i="66" l="1"/>
  <c r="L43" i="66"/>
  <c r="H124" i="66"/>
  <c r="L42" i="66" s="1"/>
  <c r="L41" i="66"/>
  <c r="G124" i="66"/>
  <c r="K42" i="66" s="1"/>
  <c r="K41" i="66"/>
</calcChain>
</file>

<file path=xl/sharedStrings.xml><?xml version="1.0" encoding="utf-8"?>
<sst xmlns="http://schemas.openxmlformats.org/spreadsheetml/2006/main" count="291" uniqueCount="152">
  <si>
    <t>TOGGLES</t>
  </si>
  <si>
    <t>State</t>
  </si>
  <si>
    <t>OR</t>
  </si>
  <si>
    <t>Assistance Levels</t>
  </si>
  <si>
    <t>Proposed</t>
  </si>
  <si>
    <t>Income % Type</t>
  </si>
  <si>
    <t>FPL</t>
  </si>
  <si>
    <t>RD Spread</t>
  </si>
  <si>
    <t>Base Rev</t>
  </si>
  <si>
    <t>Arrearage Frequency</t>
  </si>
  <si>
    <t>Agency Fee</t>
  </si>
  <si>
    <t>Enrollement Level</t>
  </si>
  <si>
    <t>CBO Funding %</t>
  </si>
  <si>
    <t>Assistance Received</t>
  </si>
  <si>
    <t>Avg. LIHEAP</t>
  </si>
  <si>
    <t>Arrearage % Level</t>
  </si>
  <si>
    <t>ANNUAL RESULTS</t>
  </si>
  <si>
    <t>Arrearage Management</t>
  </si>
  <si>
    <t>Avg. Arrearage</t>
  </si>
  <si>
    <t>Tier</t>
  </si>
  <si>
    <t>Income %</t>
  </si>
  <si>
    <t>Discount</t>
  </si>
  <si>
    <t>Count</t>
  </si>
  <si>
    <t>Avg. Arrear</t>
  </si>
  <si>
    <t>Grant</t>
  </si>
  <si>
    <t>Post</t>
  </si>
  <si>
    <t>AMP Costs</t>
  </si>
  <si>
    <t>T1</t>
  </si>
  <si>
    <t>T2</t>
  </si>
  <si>
    <t>T3</t>
  </si>
  <si>
    <t>T4</t>
  </si>
  <si>
    <t>T5</t>
  </si>
  <si>
    <t>Energy Discount</t>
  </si>
  <si>
    <t>Avg. Bills</t>
  </si>
  <si>
    <t>AMPED w/ Other Assistance</t>
  </si>
  <si>
    <t>Avg Bill</t>
  </si>
  <si>
    <t>ED Costs</t>
  </si>
  <si>
    <t>Acct Balance</t>
  </si>
  <si>
    <t>AMPED Program Cost</t>
  </si>
  <si>
    <t>Rate Spread</t>
  </si>
  <si>
    <t>Cost Component</t>
  </si>
  <si>
    <t>Amount</t>
  </si>
  <si>
    <t>Percentage</t>
  </si>
  <si>
    <t>AMPED Portion</t>
  </si>
  <si>
    <t>Adminstrative</t>
  </si>
  <si>
    <t>$ Increase</t>
  </si>
  <si>
    <t>Community Based-Org</t>
  </si>
  <si>
    <t>% Increase</t>
  </si>
  <si>
    <t>$ per Therm</t>
  </si>
  <si>
    <t>Total (rounded)</t>
  </si>
  <si>
    <t>Retail % Inc</t>
  </si>
  <si>
    <t>Base % Inc</t>
  </si>
  <si>
    <t>DATA</t>
  </si>
  <si>
    <t>WA</t>
  </si>
  <si>
    <t>SMI</t>
  </si>
  <si>
    <t>AMI</t>
  </si>
  <si>
    <t>Rev Type</t>
  </si>
  <si>
    <t>Diff</t>
  </si>
  <si>
    <t>0-25%</t>
  </si>
  <si>
    <t>0-15%</t>
  </si>
  <si>
    <t>0-30%</t>
  </si>
  <si>
    <t>Retail Rev</t>
  </si>
  <si>
    <t>0-60%</t>
  </si>
  <si>
    <t>26-50%</t>
  </si>
  <si>
    <t>16-30%</t>
  </si>
  <si>
    <t>31-60%</t>
  </si>
  <si>
    <t>0-80%</t>
  </si>
  <si>
    <t>51-100%</t>
  </si>
  <si>
    <t>31-45%</t>
  </si>
  <si>
    <t>61-80%</t>
  </si>
  <si>
    <t>101-150%</t>
  </si>
  <si>
    <t>46-60%</t>
  </si>
  <si>
    <t>81-100%</t>
  </si>
  <si>
    <t>151-200%</t>
  </si>
  <si>
    <t>Over</t>
  </si>
  <si>
    <t>OR DATA</t>
  </si>
  <si>
    <t>WA DISCOUNT</t>
  </si>
  <si>
    <t>WEAF</t>
  </si>
  <si>
    <t>Report</t>
  </si>
  <si>
    <t>Bin</t>
  </si>
  <si>
    <t>AMP</t>
  </si>
  <si>
    <t>ED</t>
  </si>
  <si>
    <t>OR DISCOUNT</t>
  </si>
  <si>
    <t>OLIBA</t>
  </si>
  <si>
    <t>RATE SPREAD</t>
  </si>
  <si>
    <t>Type</t>
  </si>
  <si>
    <t>Sch. 503</t>
  </si>
  <si>
    <t>Sch. 504</t>
  </si>
  <si>
    <t>Sch. 505</t>
  </si>
  <si>
    <t>Sch. 511</t>
  </si>
  <si>
    <t>Sch. 570</t>
  </si>
  <si>
    <t>Sch. 663</t>
  </si>
  <si>
    <t>Sch. 101</t>
  </si>
  <si>
    <t>Sch. 104</t>
  </si>
  <si>
    <t>Sch. 105</t>
  </si>
  <si>
    <t>Sch. 111</t>
  </si>
  <si>
    <t>Sch. 163</t>
  </si>
  <si>
    <t>Sch. 170</t>
  </si>
  <si>
    <t>RES Only</t>
  </si>
  <si>
    <t>Equal %</t>
  </si>
  <si>
    <t>Therms</t>
  </si>
  <si>
    <t>GRC</t>
  </si>
  <si>
    <t>OPEN</t>
  </si>
  <si>
    <t>COUNTY</t>
  </si>
  <si>
    <t>STATE</t>
  </si>
  <si>
    <t>CUSTOMER_COUNT</t>
  </si>
  <si>
    <t>WEAF_COUNT</t>
  </si>
  <si>
    <t>WEAF_TOTAL_BILL</t>
  </si>
  <si>
    <t>WEAF_TOTAL_ASSIST</t>
  </si>
  <si>
    <t>LIHEAP_COUNT</t>
  </si>
  <si>
    <t>LIHEAP_TOTAL_BILL</t>
  </si>
  <si>
    <t>LIHEAP_TOTAL_ASSIST</t>
  </si>
  <si>
    <t>BIGHRT_COUNT</t>
  </si>
  <si>
    <t>BIGHRT_TOTAL_BILL</t>
  </si>
  <si>
    <t>BIGHRT_TOTAL_ASSIST</t>
  </si>
  <si>
    <t>OLIBA_COUNT</t>
  </si>
  <si>
    <t>OLIBA_TOTAL_ASSIST</t>
  </si>
  <si>
    <t>Bill</t>
  </si>
  <si>
    <t>Assistance</t>
  </si>
  <si>
    <t>%</t>
  </si>
  <si>
    <t>Avg. Bill</t>
  </si>
  <si>
    <t>Avg. Assistance</t>
  </si>
  <si>
    <t>Avg. Remaining</t>
  </si>
  <si>
    <t>% Reduced</t>
  </si>
  <si>
    <t>BHG Bill</t>
  </si>
  <si>
    <t>BHG Arrear Grant</t>
  </si>
  <si>
    <t>Arrear Level Forgiven</t>
  </si>
  <si>
    <t>LIHEAP Avg. Assistance</t>
  </si>
  <si>
    <t xml:space="preserve">ADAMS       </t>
  </si>
  <si>
    <t xml:space="preserve">BAKER       </t>
  </si>
  <si>
    <t xml:space="preserve">BENTON      </t>
  </si>
  <si>
    <t xml:space="preserve">CHELAN      </t>
  </si>
  <si>
    <t xml:space="preserve">COWLITZ     </t>
  </si>
  <si>
    <t xml:space="preserve">CROOK       </t>
  </si>
  <si>
    <t xml:space="preserve">DESCHUTES   </t>
  </si>
  <si>
    <t xml:space="preserve">DOUGLAS     </t>
  </si>
  <si>
    <t xml:space="preserve">FRANKLIN    </t>
  </si>
  <si>
    <t xml:space="preserve">GRANT       </t>
  </si>
  <si>
    <t>GRAYS HARBOR</t>
  </si>
  <si>
    <t xml:space="preserve">ISLAND      </t>
  </si>
  <si>
    <t xml:space="preserve">JEFFERSON   </t>
  </si>
  <si>
    <t xml:space="preserve">KITSAP      </t>
  </si>
  <si>
    <t xml:space="preserve">KLAMATH     </t>
  </si>
  <si>
    <t xml:space="preserve">MALHEUR     </t>
  </si>
  <si>
    <t xml:space="preserve">MASON       </t>
  </si>
  <si>
    <t xml:space="preserve">MORROW      </t>
  </si>
  <si>
    <t xml:space="preserve">SKAGIT      </t>
  </si>
  <si>
    <t xml:space="preserve">SNOHOMISH   </t>
  </si>
  <si>
    <t xml:space="preserve">UMATILLA    </t>
  </si>
  <si>
    <t xml:space="preserve">WALLA WALLA </t>
  </si>
  <si>
    <t xml:space="preserve">WHATCOM     </t>
  </si>
  <si>
    <t xml:space="preserve">YAKIMA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</si>
</sst>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&quot;$&quot;#,##0"/>
    <numFmt numFmtId="168" formatCode="&quot;$&quot;#,##0.00"/>
    <numFmt numFmtId="169" formatCode="&quot;$&quot;#,##0.000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7" tint="0.79998168889431442"/>
      </patternFill>
    </fill>
    <fill>
      <patternFill patternType="solid">
        <fgColor theme="9" tint="0.79998168889431442"/>
        <bgColor theme="9" tint="0.79998168889431442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8">
    <xf numFmtId="0" fontId="0" fillId="0" borderId="0" xfId="0"/>
    <xf numFmtId="9" fontId="7" fillId="2" borderId="0" xfId="7" applyNumberFormat="1" applyFont="1" applyFill="1"/>
    <xf numFmtId="0" fontId="8" fillId="2" borderId="0" xfId="7" applyFont="1" applyFill="1"/>
    <xf numFmtId="0" fontId="8" fillId="0" borderId="0" xfId="7" applyFont="1"/>
    <xf numFmtId="9" fontId="7" fillId="0" borderId="0" xfId="7" applyNumberFormat="1" applyFont="1"/>
    <xf numFmtId="166" fontId="8" fillId="0" borderId="0" xfId="9" applyNumberFormat="1" applyFont="1" applyFill="1" applyBorder="1" applyAlignment="1"/>
    <xf numFmtId="166" fontId="8" fillId="0" borderId="0" xfId="7" applyNumberFormat="1" applyFont="1"/>
    <xf numFmtId="9" fontId="8" fillId="0" borderId="0" xfId="8" applyFont="1"/>
    <xf numFmtId="9" fontId="8" fillId="0" borderId="0" xfId="7" applyNumberFormat="1" applyFont="1" applyAlignment="1">
      <alignment horizontal="left"/>
    </xf>
    <xf numFmtId="0" fontId="9" fillId="0" borderId="3" xfId="7" applyFont="1" applyBorder="1" applyAlignment="1">
      <alignment horizontal="center"/>
    </xf>
    <xf numFmtId="44" fontId="8" fillId="0" borderId="0" xfId="10" applyFont="1" applyFill="1" applyBorder="1" applyAlignment="1"/>
    <xf numFmtId="165" fontId="8" fillId="0" borderId="0" xfId="7" applyNumberFormat="1" applyFont="1"/>
    <xf numFmtId="164" fontId="9" fillId="0" borderId="3" xfId="7" applyNumberFormat="1" applyFont="1" applyBorder="1" applyAlignment="1">
      <alignment horizontal="center"/>
    </xf>
    <xf numFmtId="167" fontId="8" fillId="0" borderId="0" xfId="9" applyNumberFormat="1" applyFont="1"/>
    <xf numFmtId="164" fontId="8" fillId="0" borderId="0" xfId="10" applyNumberFormat="1" applyFont="1" applyFill="1" applyBorder="1" applyAlignment="1"/>
    <xf numFmtId="164" fontId="8" fillId="0" borderId="0" xfId="7" applyNumberFormat="1" applyFont="1"/>
    <xf numFmtId="166" fontId="8" fillId="0" borderId="0" xfId="9" applyNumberFormat="1" applyFont="1"/>
    <xf numFmtId="167" fontId="8" fillId="0" borderId="0" xfId="7" applyNumberFormat="1" applyFont="1"/>
    <xf numFmtId="9" fontId="8" fillId="0" borderId="0" xfId="7" applyNumberFormat="1" applyFont="1"/>
    <xf numFmtId="10" fontId="8" fillId="0" borderId="0" xfId="8" applyNumberFormat="1" applyFont="1"/>
    <xf numFmtId="166" fontId="8" fillId="0" borderId="4" xfId="9" applyNumberFormat="1" applyFont="1" applyFill="1" applyBorder="1" applyAlignment="1"/>
    <xf numFmtId="0" fontId="10" fillId="0" borderId="0" xfId="7" applyFont="1"/>
    <xf numFmtId="166" fontId="10" fillId="0" borderId="0" xfId="9" applyNumberFormat="1" applyFont="1" applyFill="1" applyBorder="1" applyAlignment="1"/>
    <xf numFmtId="166" fontId="10" fillId="0" borderId="0" xfId="7" applyNumberFormat="1" applyFont="1"/>
    <xf numFmtId="9" fontId="10" fillId="0" borderId="0" xfId="8" applyFont="1"/>
    <xf numFmtId="43" fontId="8" fillId="0" borderId="0" xfId="9" applyFont="1"/>
    <xf numFmtId="168" fontId="8" fillId="0" borderId="0" xfId="9" applyNumberFormat="1" applyFont="1"/>
    <xf numFmtId="0" fontId="8" fillId="3" borderId="0" xfId="7" applyFont="1" applyFill="1" applyAlignment="1">
      <alignment horizontal="center"/>
    </xf>
    <xf numFmtId="165" fontId="8" fillId="3" borderId="0" xfId="8" applyNumberFormat="1" applyFont="1" applyFill="1" applyAlignment="1">
      <alignment horizontal="center"/>
    </xf>
    <xf numFmtId="0" fontId="7" fillId="0" borderId="0" xfId="7" applyFont="1"/>
    <xf numFmtId="0" fontId="7" fillId="0" borderId="0" xfId="7" applyFont="1" applyAlignment="1">
      <alignment horizontal="right"/>
    </xf>
    <xf numFmtId="166" fontId="4" fillId="0" borderId="0" xfId="9" applyNumberFormat="1" applyFont="1" applyAlignment="1">
      <alignment horizontal="right"/>
    </xf>
    <xf numFmtId="167" fontId="4" fillId="0" borderId="0" xfId="7" applyNumberFormat="1" applyFont="1" applyAlignment="1">
      <alignment horizontal="right"/>
    </xf>
    <xf numFmtId="0" fontId="5" fillId="0" borderId="5" xfId="7" applyFont="1" applyBorder="1"/>
    <xf numFmtId="167" fontId="4" fillId="0" borderId="5" xfId="7" applyNumberFormat="1" applyFont="1" applyBorder="1" applyAlignment="1">
      <alignment horizontal="right"/>
    </xf>
    <xf numFmtId="0" fontId="5" fillId="4" borderId="5" xfId="7" applyFont="1" applyFill="1" applyBorder="1"/>
    <xf numFmtId="167" fontId="4" fillId="4" borderId="5" xfId="7" applyNumberFormat="1" applyFont="1" applyFill="1" applyBorder="1" applyAlignment="1">
      <alignment horizontal="right"/>
    </xf>
    <xf numFmtId="0" fontId="8" fillId="0" borderId="0" xfId="7" applyFont="1" applyAlignment="1">
      <alignment horizontal="left"/>
    </xf>
    <xf numFmtId="0" fontId="8" fillId="0" borderId="4" xfId="7" applyFont="1" applyBorder="1" applyAlignment="1">
      <alignment horizontal="left"/>
    </xf>
    <xf numFmtId="169" fontId="8" fillId="0" borderId="0" xfId="9" applyNumberFormat="1" applyFont="1"/>
    <xf numFmtId="0" fontId="8" fillId="0" borderId="0" xfId="7" applyFont="1" applyAlignment="1">
      <alignment horizontal="right"/>
    </xf>
    <xf numFmtId="167" fontId="8" fillId="0" borderId="0" xfId="9" applyNumberFormat="1" applyFont="1" applyFill="1" applyBorder="1" applyAlignment="1"/>
    <xf numFmtId="167" fontId="8" fillId="0" borderId="4" xfId="9" applyNumberFormat="1" applyFont="1" applyFill="1" applyBorder="1" applyAlignment="1"/>
    <xf numFmtId="167" fontId="8" fillId="0" borderId="2" xfId="9" applyNumberFormat="1" applyFont="1" applyFill="1" applyBorder="1" applyAlignment="1"/>
    <xf numFmtId="167" fontId="8" fillId="0" borderId="0" xfId="10" applyNumberFormat="1" applyFont="1" applyFill="1" applyBorder="1" applyAlignment="1"/>
    <xf numFmtId="164" fontId="7" fillId="0" borderId="1" xfId="7" applyNumberFormat="1" applyFont="1" applyBorder="1"/>
    <xf numFmtId="168" fontId="8" fillId="0" borderId="0" xfId="10" applyNumberFormat="1" applyFont="1" applyFill="1" applyBorder="1" applyAlignment="1"/>
    <xf numFmtId="169" fontId="8" fillId="0" borderId="0" xfId="10" applyNumberFormat="1" applyFont="1" applyFill="1" applyBorder="1" applyAlignment="1"/>
    <xf numFmtId="1" fontId="8" fillId="3" borderId="0" xfId="8" applyNumberFormat="1" applyFont="1" applyFill="1" applyAlignment="1">
      <alignment horizontal="center"/>
    </xf>
    <xf numFmtId="165" fontId="8" fillId="0" borderId="0" xfId="1" applyNumberFormat="1" applyFont="1" applyFill="1" applyBorder="1" applyAlignment="1"/>
    <xf numFmtId="165" fontId="8" fillId="0" borderId="4" xfId="1" applyNumberFormat="1" applyFont="1" applyFill="1" applyBorder="1" applyAlignment="1"/>
    <xf numFmtId="165" fontId="9" fillId="0" borderId="3" xfId="7" applyNumberFormat="1" applyFont="1" applyBorder="1" applyAlignment="1">
      <alignment horizontal="center"/>
    </xf>
    <xf numFmtId="165" fontId="8" fillId="0" borderId="0" xfId="8" applyNumberFormat="1" applyFont="1" applyFill="1"/>
    <xf numFmtId="164" fontId="8" fillId="0" borderId="2" xfId="10" applyNumberFormat="1" applyFont="1" applyFill="1" applyBorder="1" applyAlignment="1"/>
    <xf numFmtId="9" fontId="8" fillId="0" borderId="0" xfId="1" applyFont="1"/>
    <xf numFmtId="9" fontId="8" fillId="0" borderId="6" xfId="1" applyFont="1" applyBorder="1"/>
    <xf numFmtId="9" fontId="8" fillId="5" borderId="6" xfId="1" applyFont="1" applyFill="1" applyBorder="1"/>
    <xf numFmtId="9" fontId="0" fillId="0" borderId="0" xfId="0" applyNumberFormat="1"/>
    <xf numFmtId="0" fontId="8" fillId="0" borderId="0" xfId="0" applyFont="1"/>
    <xf numFmtId="166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10" fontId="8" fillId="0" borderId="0" xfId="0" applyNumberFormat="1" applyFont="1"/>
    <xf numFmtId="167" fontId="8" fillId="0" borderId="0" xfId="0" applyNumberFormat="1" applyFont="1"/>
    <xf numFmtId="167" fontId="0" fillId="0" borderId="0" xfId="0" applyNumberFormat="1"/>
    <xf numFmtId="165" fontId="8" fillId="0" borderId="0" xfId="8" applyNumberFormat="1" applyFont="1" applyFill="1" applyAlignment="1">
      <alignment horizontal="center"/>
    </xf>
    <xf numFmtId="166" fontId="8" fillId="0" borderId="2" xfId="9" applyNumberFormat="1" applyFont="1" applyFill="1" applyBorder="1" applyAlignment="1"/>
    <xf numFmtId="165" fontId="8" fillId="0" borderId="1" xfId="8" applyNumberFormat="1" applyFont="1" applyFill="1" applyBorder="1"/>
    <xf numFmtId="167" fontId="8" fillId="3" borderId="0" xfId="8" applyNumberFormat="1" applyFont="1" applyFill="1" applyAlignment="1">
      <alignment horizontal="center"/>
    </xf>
  </cellXfs>
  <cellStyles count="11">
    <cellStyle name="Comma 2" xfId="6" xr:uid="{A58F62E3-752A-434E-A5EB-DB2CD6E7CA45}"/>
    <cellStyle name="Comma 3" xfId="9" xr:uid="{4A67A1BB-A021-4703-A821-4F30C0237776}"/>
    <cellStyle name="Currency 2" xfId="10" xr:uid="{2660FE23-8BED-4F6B-AEF0-6FABE4C4A3AF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56FBD157-65AB-4A0A-98A3-C601908CD24B}"/>
    <cellStyle name="Normal 5" xfId="7" xr:uid="{30BEE901-821A-4C44-9981-DE3A1579C698}"/>
    <cellStyle name="Percent" xfId="1" builtinId="5"/>
    <cellStyle name="Percent 2" xfId="5" xr:uid="{316E3C7B-7CD6-48F9-A682-951DC80D2F32}"/>
    <cellStyle name="Percent 3" xfId="8" xr:uid="{9393A9F1-416E-4EAB-A97A-65FBF0943548}"/>
  </cellStyles>
  <dxfs count="50">
    <dxf>
      <numFmt numFmtId="167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7" formatCode="&quot;$&quot;#,##0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7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7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BC8E67-BA17-4023-BB2C-B3423AF4AE02}" name="Table4" displayName="Table4" ref="A1:Z26" totalsRowCount="1" headerRowDxfId="49">
  <sortState xmlns:xlrd2="http://schemas.microsoft.com/office/spreadsheetml/2017/richdata2" ref="A2:V25">
    <sortCondition ref="A1:A25"/>
  </sortState>
  <tableColumns count="26">
    <tableColumn id="1" xr3:uid="{19B692AF-C2DA-47F9-9036-E60F4366D4CC}" name="COUNTY" dataDxfId="48" totalsRowDxfId="47"/>
    <tableColumn id="20" xr3:uid="{7A013D98-9754-4185-AAC8-3890B26FCF82}" name="STATE" dataDxfId="46" totalsRowDxfId="45"/>
    <tableColumn id="2" xr3:uid="{65152531-A424-4AF8-A99A-D91781DF7B57}" name="CUSTOMER_COUNT" totalsRowFunction="sum" dataDxfId="44" totalsRowDxfId="43"/>
    <tableColumn id="3" xr3:uid="{398DFB01-A36E-4AEB-8C7A-256B21A36562}" name="WEAF_COUNT" totalsRowFunction="sum" dataDxfId="42" totalsRowDxfId="41"/>
    <tableColumn id="4" xr3:uid="{5843980B-A062-4348-9B99-2FA1060AC678}" name="WEAF_TOTAL_BILL" totalsRowFunction="sum" dataDxfId="40" totalsRowDxfId="39"/>
    <tableColumn id="5" xr3:uid="{DD576975-6017-42A0-AC24-FFC258755A37}" name="WEAF_TOTAL_ASSIST" totalsRowFunction="sum" dataDxfId="38" totalsRowDxfId="37"/>
    <tableColumn id="6" xr3:uid="{93A1F690-6061-409E-8F65-87EEFE5C2E0F}" name="LIHEAP_COUNT" totalsRowFunction="sum" dataDxfId="36" totalsRowDxfId="35"/>
    <tableColumn id="7" xr3:uid="{4B20A484-41EA-4767-87F9-8CBA19CCECA4}" name="LIHEAP_TOTAL_BILL" totalsRowFunction="sum" dataDxfId="34" totalsRowDxfId="33"/>
    <tableColumn id="8" xr3:uid="{6EA31746-0DBC-4FE0-BBA3-E84C72B005EA}" name="LIHEAP_TOTAL_ASSIST" totalsRowFunction="sum" dataDxfId="32" totalsRowDxfId="31"/>
    <tableColumn id="9" xr3:uid="{6920F498-E361-4294-9701-B461AD6BC447}" name="BIGHRT_COUNT" totalsRowFunction="sum" dataDxfId="30" totalsRowDxfId="29"/>
    <tableColumn id="10" xr3:uid="{0DC569AA-4B33-48B4-8110-AC70279BA9C7}" name="BIGHRT_TOTAL_BILL" totalsRowFunction="sum" dataDxfId="28" totalsRowDxfId="27"/>
    <tableColumn id="11" xr3:uid="{0EBE84A8-A53A-41D7-8BBF-80FB00460243}" name="BIGHRT_TOTAL_ASSIST" totalsRowFunction="sum" dataDxfId="26" totalsRowDxfId="25"/>
    <tableColumn id="27" xr3:uid="{CC412577-D8A3-45DE-B6BF-721727646362}" name="OLIBA_COUNT" totalsRowFunction="sum" dataDxfId="24" totalsRowDxfId="23" dataCellStyle="Comma 3"/>
    <tableColumn id="25" xr3:uid="{24BCDCC8-0BA0-49E9-B60A-4D1A3AFDFB8D}" name="OLIBA_TOTAL_ASSIST" totalsRowFunction="sum" dataDxfId="22" totalsRowDxfId="21" dataCellStyle="Normal 5"/>
    <tableColumn id="12" xr3:uid="{05476341-FC18-4AEF-8633-2B21528BB367}" name="Count" dataDxfId="20" totalsRowDxfId="19">
      <calculatedColumnFormula>Table4[[#This Row],[WEAF_COUNT]]+Table4[[#This Row],[LIHEAP_COUNT]]+Table4[[#This Row],[BIGHRT_COUNT]]+Table4[[#This Row],[OLIBA_COUNT]]</calculatedColumnFormula>
    </tableColumn>
    <tableColumn id="13" xr3:uid="{29E266B5-438C-46E1-9396-5DD06E937544}" name="Bill" dataDxfId="18" totalsRowDxfId="17">
      <calculatedColumnFormula>Table4[[#This Row],[WEAF_TOTAL_BILL]]+Table4[[#This Row],[LIHEAP_TOTAL_BILL]]+Table4[[#This Row],[BIGHRT_TOTAL_BILL]]</calculatedColumnFormula>
    </tableColumn>
    <tableColumn id="14" xr3:uid="{9C73E269-CE31-48B3-AE13-5C34472A889F}" name="Assistance" dataDxfId="16" totalsRowDxfId="15">
      <calculatedColumnFormula>Table4[[#This Row],[WEAF_TOTAL_ASSIST]]+Table4[[#This Row],[LIHEAP_TOTAL_ASSIST]]+Table4[[#This Row],[BIGHRT_TOTAL_ASSIST]]+Table4[[#This Row],[OLIBA_TOTAL_ASSIST]]</calculatedColumnFormula>
    </tableColumn>
    <tableColumn id="15" xr3:uid="{D4603313-FF7E-4506-AE56-A636793C1833}" name="%" totalsRowFunction="custom" dataDxfId="14" totalsRowDxfId="13" dataCellStyle="Percent">
      <calculatedColumnFormula>Table4[[#This Row],[Count]]/Table4[[#This Row],[CUSTOMER_COUNT]]</calculatedColumnFormula>
      <totalsRowFormula>SUBTOTAL(1, Table4[%])</totalsRowFormula>
    </tableColumn>
    <tableColumn id="16" xr3:uid="{FFB8EAB9-1B81-4868-A074-3CA53E69AEF3}" name="Avg. Bill" totalsRowFunction="average" dataDxfId="12" totalsRowDxfId="11">
      <calculatedColumnFormula>Table4[[#This Row],[Bill]]/Table4[[#This Row],[Count]]</calculatedColumnFormula>
    </tableColumn>
    <tableColumn id="17" xr3:uid="{2AB4543C-1712-44B2-8A57-6C80CF3473ED}" name="Avg. Assistance" totalsRowFunction="average" dataDxfId="10" totalsRowDxfId="9">
      <calculatedColumnFormula>Table4[[#This Row],[Assistance]]/Table4[[#This Row],[Count]]</calculatedColumnFormula>
    </tableColumn>
    <tableColumn id="18" xr3:uid="{772DA0EA-EF83-43D6-AFF8-B21021F2EAAA}" name="Avg. Remaining" totalsRowFunction="average" dataDxfId="8" totalsRowDxfId="7">
      <calculatedColumnFormula>Table4[[#This Row],[Avg. Bill]]-Table4[[#This Row],[Avg. Assistance]]</calculatedColumnFormula>
    </tableColumn>
    <tableColumn id="19" xr3:uid="{FB4D10C1-C6F1-4394-8610-ECA78C537238}" name="% Reduced" totalsRowFunction="average" dataDxfId="6" totalsRowDxfId="5" dataCellStyle="Percent">
      <calculatedColumnFormula>Table4[[#This Row],[Avg. Assistance]]/Table4[[#This Row],[Avg. Bill]]</calculatedColumnFormula>
    </tableColumn>
    <tableColumn id="21" xr3:uid="{D4BF9005-32B3-4DAC-963E-0DC2AFD6FAB6}" name="BHG Bill" dataDxfId="4" dataCellStyle="Normal 5">
      <calculatedColumnFormula>Table4[[#This Row],[BIGHRT_TOTAL_BILL]]/Table4[[#This Row],[BIGHRT_COUNT]]</calculatedColumnFormula>
    </tableColumn>
    <tableColumn id="22" xr3:uid="{D4D33DE6-D743-423E-95AF-832105AABEA3}" name="BHG Arrear Grant" dataDxfId="3" dataCellStyle="Normal 5">
      <calculatedColumnFormula>Table4[[#This Row],[BIGHRT_TOTAL_ASSIST]]/Table4[[#This Row],[BIGHRT_COUNT]]</calculatedColumnFormula>
    </tableColumn>
    <tableColumn id="23" xr3:uid="{BB55ED04-CA18-4513-B844-8F46376B7499}" name="Arrear Level Forgiven" totalsRowFunction="average" totalsRowDxfId="2" dataCellStyle="Percent">
      <calculatedColumnFormula>(Table4[[#This Row],[BHG Bill]]-Table4[[#This Row],[BHG Arrear Grant]])/Table4[[#This Row],[BHG Bill]]</calculatedColumnFormula>
    </tableColumn>
    <tableColumn id="24" xr3:uid="{4BDDF191-0EC0-4E32-B319-B5294E1B3AF2}" name="LIHEAP Avg. Assistance" totalsRowFunction="average" dataDxfId="1" totalsRowDxfId="0" dataCellStyle="Normal 5">
      <calculatedColumnFormula>IFERROR(Table4[[#This Row],[LIHEAP_TOTAL_ASSIST]]/Table4[[#This Row],[LIHEAP_COUNT]], 0)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BD84D-FED9-4826-B1B2-D0E1040ADDC6}">
  <sheetPr>
    <tabColor theme="7" tint="0.79998168889431442"/>
    <pageSetUpPr fitToPage="1"/>
  </sheetPr>
  <dimension ref="A2:U125"/>
  <sheetViews>
    <sheetView tabSelected="1" workbookViewId="0">
      <pane ySplit="13" topLeftCell="A14" activePane="bottomLeft" state="frozen"/>
      <selection pane="bottomLeft" activeCell="H10" sqref="H10"/>
    </sheetView>
  </sheetViews>
  <sheetFormatPr defaultColWidth="8.85546875" defaultRowHeight="12.75" x14ac:dyDescent="0.2"/>
  <cols>
    <col min="1" max="1" width="3.7109375" style="3" customWidth="1"/>
    <col min="2" max="2" width="19.5703125" style="3" bestFit="1" customWidth="1"/>
    <col min="3" max="3" width="13.140625" style="3" customWidth="1"/>
    <col min="4" max="4" width="12" style="3" bestFit="1" customWidth="1"/>
    <col min="5" max="5" width="14.7109375" style="3" bestFit="1" customWidth="1"/>
    <col min="6" max="6" width="13" style="3" customWidth="1"/>
    <col min="7" max="7" width="11" style="3" bestFit="1" customWidth="1"/>
    <col min="8" max="8" width="12" style="3" bestFit="1" customWidth="1"/>
    <col min="9" max="9" width="9.85546875" style="3" bestFit="1" customWidth="1"/>
    <col min="10" max="10" width="10.85546875" style="3" bestFit="1" customWidth="1"/>
    <col min="11" max="11" width="11" style="3" bestFit="1" customWidth="1"/>
    <col min="12" max="12" width="12.42578125" style="3" customWidth="1"/>
    <col min="13" max="13" width="13.42578125" style="3" bestFit="1" customWidth="1"/>
    <col min="14" max="14" width="11.140625" style="3" bestFit="1" customWidth="1"/>
    <col min="15" max="15" width="13.140625" style="3" bestFit="1" customWidth="1"/>
    <col min="16" max="16" width="10" style="3" bestFit="1" customWidth="1"/>
    <col min="17" max="18" width="8.85546875" style="3"/>
    <col min="19" max="19" width="10" style="3" bestFit="1" customWidth="1"/>
    <col min="20" max="16384" width="8.85546875" style="3"/>
  </cols>
  <sheetData>
    <row r="2" spans="2:16" x14ac:dyDescent="0.2">
      <c r="B2" s="1" t="s">
        <v>0</v>
      </c>
      <c r="C2" s="2"/>
      <c r="D2" s="2"/>
      <c r="E2" s="2"/>
      <c r="F2" s="2"/>
    </row>
    <row r="3" spans="2:16" ht="5.25" customHeight="1" x14ac:dyDescent="0.2"/>
    <row r="4" spans="2:16" x14ac:dyDescent="0.2">
      <c r="B4" s="3" t="s">
        <v>1</v>
      </c>
      <c r="C4" s="27" t="s">
        <v>53</v>
      </c>
      <c r="E4" s="3" t="s">
        <v>3</v>
      </c>
      <c r="F4" s="27" t="s">
        <v>4</v>
      </c>
    </row>
    <row r="5" spans="2:16" ht="5.25" customHeight="1" x14ac:dyDescent="0.2"/>
    <row r="6" spans="2:16" x14ac:dyDescent="0.2">
      <c r="B6" s="3" t="s">
        <v>5</v>
      </c>
      <c r="C6" s="27" t="s">
        <v>6</v>
      </c>
      <c r="E6" s="3" t="s">
        <v>7</v>
      </c>
      <c r="F6" s="27" t="s">
        <v>8</v>
      </c>
    </row>
    <row r="7" spans="2:16" ht="5.25" customHeight="1" x14ac:dyDescent="0.2"/>
    <row r="8" spans="2:16" x14ac:dyDescent="0.2">
      <c r="B8" s="3" t="s">
        <v>9</v>
      </c>
      <c r="C8" s="48">
        <v>1</v>
      </c>
      <c r="E8" s="3" t="s">
        <v>10</v>
      </c>
      <c r="F8" s="67">
        <v>75</v>
      </c>
    </row>
    <row r="9" spans="2:16" ht="5.25" customHeight="1" x14ac:dyDescent="0.2"/>
    <row r="10" spans="2:16" x14ac:dyDescent="0.2">
      <c r="B10" s="3" t="s">
        <v>11</v>
      </c>
      <c r="C10" s="28">
        <v>0.2</v>
      </c>
      <c r="E10" s="3" t="s">
        <v>12</v>
      </c>
      <c r="F10" s="28">
        <v>0.03</v>
      </c>
    </row>
    <row r="11" spans="2:16" ht="5.25" customHeight="1" x14ac:dyDescent="0.2"/>
    <row r="12" spans="2:16" x14ac:dyDescent="0.2">
      <c r="B12" s="3" t="s">
        <v>13</v>
      </c>
      <c r="C12" s="27" t="s">
        <v>14</v>
      </c>
      <c r="E12" s="3" t="s">
        <v>15</v>
      </c>
      <c r="F12" s="64">
        <f>IF($C$4="WA", Assistance!Y28, Assistance!Y29)</f>
        <v>0.4012715938319798</v>
      </c>
    </row>
    <row r="13" spans="2:16" ht="5.25" customHeight="1" x14ac:dyDescent="0.2"/>
    <row r="15" spans="2:16" x14ac:dyDescent="0.2">
      <c r="B15" s="1" t="s">
        <v>16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2:16" ht="8.25" customHeight="1" x14ac:dyDescent="0.2">
      <c r="B16" s="4"/>
      <c r="C16" s="5"/>
      <c r="D16" s="6"/>
      <c r="E16" s="7"/>
    </row>
    <row r="17" spans="2:19" ht="13.5" thickBot="1" x14ac:dyDescent="0.25">
      <c r="B17" s="8" t="s">
        <v>17</v>
      </c>
      <c r="E17" s="7"/>
      <c r="F17" s="8" t="s">
        <v>18</v>
      </c>
    </row>
    <row r="18" spans="2:19" x14ac:dyDescent="0.2">
      <c r="B18" s="9" t="s">
        <v>19</v>
      </c>
      <c r="C18" s="9" t="s">
        <v>20</v>
      </c>
      <c r="D18" s="9" t="s">
        <v>21</v>
      </c>
      <c r="F18" s="9" t="s">
        <v>22</v>
      </c>
      <c r="G18" s="9" t="s">
        <v>23</v>
      </c>
      <c r="H18" s="9" t="s">
        <v>24</v>
      </c>
      <c r="I18" s="9" t="s">
        <v>25</v>
      </c>
      <c r="J18" s="9" t="s">
        <v>26</v>
      </c>
      <c r="Q18" s="13"/>
    </row>
    <row r="19" spans="2:19" x14ac:dyDescent="0.2">
      <c r="B19" s="3" t="s">
        <v>27</v>
      </c>
      <c r="C19" s="37" t="str">
        <f>IF($C$6="FPL",B54,IF($C$6="SMI",F54,J54))</f>
        <v>0-25%</v>
      </c>
      <c r="D19" s="52">
        <f>IF($C$4="WA",C78,C89)</f>
        <v>1</v>
      </c>
      <c r="F19" s="5">
        <f>IF($C$4="WA",IF($C$6="FPL",C54,IF($C$6="SMI",G54,K54)),IF($C$6="FPL",C66,IF($C$6="SMI",G66,K66)))*$C$10</f>
        <v>245.8</v>
      </c>
      <c r="G19" s="41">
        <f>G29*$F$12</f>
        <v>247.18330180049955</v>
      </c>
      <c r="H19" s="41">
        <f>G19*D19</f>
        <v>247.18330180049955</v>
      </c>
      <c r="I19" s="41">
        <f>G19-H19</f>
        <v>0</v>
      </c>
      <c r="J19" s="41">
        <f>H19*F19*$C$8</f>
        <v>60757.655582562795</v>
      </c>
    </row>
    <row r="20" spans="2:19" x14ac:dyDescent="0.2">
      <c r="B20" s="3" t="s">
        <v>28</v>
      </c>
      <c r="C20" s="37" t="str">
        <f>IF($C$6="FPL",B55,IF($C$6="SMI",F55,J55))</f>
        <v>26-50%</v>
      </c>
      <c r="D20" s="52">
        <f>IF($C$4="WA",C79,C90)</f>
        <v>1</v>
      </c>
      <c r="F20" s="5">
        <f>IF($C$4="WA",IF($C$6="FPL",C55,IF($C$6="SMI",G55,K55)),IF($C$6="FPL",C67,IF($C$6="SMI",G67,K67)))*$C$10</f>
        <v>303</v>
      </c>
      <c r="G20" s="41">
        <f>G30*$F$12</f>
        <v>252.80110411414728</v>
      </c>
      <c r="H20" s="41">
        <f>G20*D20</f>
        <v>252.80110411414728</v>
      </c>
      <c r="I20" s="41">
        <f t="shared" ref="I20:I23" si="0">G20-H20</f>
        <v>0</v>
      </c>
      <c r="J20" s="41">
        <f t="shared" ref="J20:J23" si="1">H20*F20*$C$8</f>
        <v>76598.734546586624</v>
      </c>
    </row>
    <row r="21" spans="2:19" x14ac:dyDescent="0.2">
      <c r="B21" s="3" t="s">
        <v>29</v>
      </c>
      <c r="C21" s="37" t="str">
        <f>IF($C$6="FPL",B56,IF($C$6="SMI",F56,J56))</f>
        <v>51-100%</v>
      </c>
      <c r="D21" s="52">
        <f>IF($C$4="WA",C80,C91)</f>
        <v>1</v>
      </c>
      <c r="F21" s="5">
        <f>IF($C$4="WA",IF($C$6="FPL",C56,IF($C$6="SMI",G56,K56)),IF($C$6="FPL",C68,IF($C$6="SMI",G68,K68)))*$C$10</f>
        <v>1942</v>
      </c>
      <c r="G21" s="41">
        <f>G31*$F$12</f>
        <v>241.56549948685185</v>
      </c>
      <c r="H21" s="41">
        <f t="shared" ref="H21:H23" si="2">G21*D21</f>
        <v>241.56549948685185</v>
      </c>
      <c r="I21" s="41">
        <f t="shared" si="0"/>
        <v>0</v>
      </c>
      <c r="J21" s="41">
        <f t="shared" si="1"/>
        <v>469120.20000346628</v>
      </c>
    </row>
    <row r="22" spans="2:19" x14ac:dyDescent="0.2">
      <c r="B22" s="3" t="s">
        <v>30</v>
      </c>
      <c r="C22" s="37" t="str">
        <f>IF($C$6="FPL",B57,IF($C$6="SMI",F57,J57))</f>
        <v>101-150%</v>
      </c>
      <c r="D22" s="52">
        <f>IF($C$4="WA",C81,C92)</f>
        <v>0.9</v>
      </c>
      <c r="F22" s="5">
        <f>IF($C$4="WA",IF($C$6="FPL",C57,IF($C$6="SMI",G57,K57)),IF($C$6="FPL",C69,IF($C$6="SMI",G69,K69)))*$C$10</f>
        <v>2476.4</v>
      </c>
      <c r="G22" s="41">
        <f>G32*$F$12</f>
        <v>248.38711658199549</v>
      </c>
      <c r="H22" s="41">
        <f t="shared" si="2"/>
        <v>223.54840492379594</v>
      </c>
      <c r="I22" s="41">
        <f t="shared" si="0"/>
        <v>24.838711658199543</v>
      </c>
      <c r="J22" s="41">
        <f t="shared" si="1"/>
        <v>553595.26995328825</v>
      </c>
    </row>
    <row r="23" spans="2:19" x14ac:dyDescent="0.2">
      <c r="B23" s="3" t="s">
        <v>31</v>
      </c>
      <c r="C23" s="37" t="str">
        <f>IF($C$6="FPL",B58,IF($C$6="SMI",F58,J58))</f>
        <v>151-200%</v>
      </c>
      <c r="D23" s="52">
        <f>IF($C$4="WA",C82,C93)</f>
        <v>0</v>
      </c>
      <c r="F23" s="65">
        <f>IF($C$4="WA",IF($C$6="FPL",C58,IF($C$6="SMI",G58,K58)),IF($C$6="FPL",C70,IF($C$6="SMI",G70,K70)))*$C$10</f>
        <v>2822.8</v>
      </c>
      <c r="G23" s="41">
        <f>G33*$F$12</f>
        <v>246.38075861283559</v>
      </c>
      <c r="H23" s="41">
        <f t="shared" si="2"/>
        <v>0</v>
      </c>
      <c r="I23" s="41">
        <f t="shared" si="0"/>
        <v>246.38075861283559</v>
      </c>
      <c r="J23" s="43">
        <f t="shared" si="1"/>
        <v>0</v>
      </c>
    </row>
    <row r="24" spans="2:19" x14ac:dyDescent="0.2">
      <c r="D24" s="11"/>
      <c r="F24" s="6">
        <f>SUM(F19:F23)</f>
        <v>7790.0000000000009</v>
      </c>
      <c r="J24" s="41">
        <f>SUM(J19:J23)</f>
        <v>1160071.8600859041</v>
      </c>
      <c r="S24" s="6"/>
    </row>
    <row r="25" spans="2:19" x14ac:dyDescent="0.2">
      <c r="D25" s="11"/>
    </row>
    <row r="26" spans="2:19" x14ac:dyDescent="0.2">
      <c r="D26" s="11"/>
    </row>
    <row r="27" spans="2:19" ht="13.5" thickBot="1" x14ac:dyDescent="0.25">
      <c r="B27" s="8" t="s">
        <v>32</v>
      </c>
      <c r="D27" s="11"/>
      <c r="E27" s="7"/>
      <c r="F27" s="8" t="s">
        <v>33</v>
      </c>
      <c r="L27" s="8" t="s">
        <v>34</v>
      </c>
    </row>
    <row r="28" spans="2:19" x14ac:dyDescent="0.2">
      <c r="B28" s="9" t="s">
        <v>19</v>
      </c>
      <c r="C28" s="9" t="s">
        <v>20</v>
      </c>
      <c r="D28" s="51" t="s">
        <v>21</v>
      </c>
      <c r="F28" s="9" t="s">
        <v>22</v>
      </c>
      <c r="G28" s="9" t="s">
        <v>35</v>
      </c>
      <c r="H28" s="9" t="s">
        <v>21</v>
      </c>
      <c r="I28" s="9" t="s">
        <v>25</v>
      </c>
      <c r="J28" s="9" t="s">
        <v>36</v>
      </c>
      <c r="L28" s="9" t="s">
        <v>25</v>
      </c>
      <c r="M28" s="9" t="str">
        <f>C12</f>
        <v>Avg. LIHEAP</v>
      </c>
      <c r="N28" s="9" t="s">
        <v>37</v>
      </c>
    </row>
    <row r="29" spans="2:19" x14ac:dyDescent="0.2">
      <c r="B29" s="3" t="s">
        <v>27</v>
      </c>
      <c r="C29" s="37" t="str">
        <f>C19</f>
        <v>0-25%</v>
      </c>
      <c r="D29" s="52">
        <f>IF($C$4="WA",D78,D89)</f>
        <v>0.95</v>
      </c>
      <c r="F29" s="5">
        <f>F19</f>
        <v>245.8</v>
      </c>
      <c r="G29" s="41">
        <f>IF($C$4="WA",IF($C$6="FPL",D54,IF($C$6="SMI",H54,L54)),IF($C$6="FPL",D66,IF($C$6="SMI",H66,L66)))</f>
        <v>616</v>
      </c>
      <c r="H29" s="41">
        <f>G29*D29</f>
        <v>585.19999999999993</v>
      </c>
      <c r="I29" s="41">
        <f>G29-H29</f>
        <v>30.800000000000068</v>
      </c>
      <c r="J29" s="41">
        <f>H29*F29</f>
        <v>143842.16</v>
      </c>
      <c r="L29" s="44">
        <f>I29</f>
        <v>30.800000000000068</v>
      </c>
      <c r="M29" s="44">
        <f>IF($C$12="Avg. Assistance", IF($C$4="WA", Assistance!T28,Assistance!T29), IF($C$4="WA", Assistance!Z28, Assistance!Z29))</f>
        <v>459.91019469156987</v>
      </c>
      <c r="N29" s="44">
        <f>L29-$M$29</f>
        <v>-429.1101946915698</v>
      </c>
    </row>
    <row r="30" spans="2:19" x14ac:dyDescent="0.2">
      <c r="B30" s="3" t="s">
        <v>28</v>
      </c>
      <c r="C30" s="37" t="str">
        <f t="shared" ref="C30:C33" si="3">C20</f>
        <v>26-50%</v>
      </c>
      <c r="D30" s="52">
        <f>IF($C$4="WA",D79,D90)</f>
        <v>0.7</v>
      </c>
      <c r="F30" s="5">
        <f t="shared" ref="F30:F33" si="4">F20</f>
        <v>303</v>
      </c>
      <c r="G30" s="41">
        <f>IF($C$4="WA",IF($C$6="FPL",D55,IF($C$6="SMI",H55,L55)),IF($C$6="FPL",D67,IF($C$6="SMI",H67,L67)))</f>
        <v>630</v>
      </c>
      <c r="H30" s="41">
        <f>G30*D30</f>
        <v>441</v>
      </c>
      <c r="I30" s="41">
        <f t="shared" ref="I30:I33" si="5">G30-H30</f>
        <v>189</v>
      </c>
      <c r="J30" s="41">
        <f t="shared" ref="J30:J32" si="6">H30*F30</f>
        <v>133623</v>
      </c>
      <c r="L30" s="44">
        <f t="shared" ref="L30:L33" si="7">I30</f>
        <v>189</v>
      </c>
      <c r="M30" s="10"/>
      <c r="N30" s="44">
        <f t="shared" ref="N30:N33" si="8">L30-$M$29</f>
        <v>-270.91019469156987</v>
      </c>
    </row>
    <row r="31" spans="2:19" x14ac:dyDescent="0.2">
      <c r="B31" s="3" t="s">
        <v>29</v>
      </c>
      <c r="C31" s="37" t="str">
        <f t="shared" si="3"/>
        <v>51-100%</v>
      </c>
      <c r="D31" s="52">
        <f>IF($C$4="WA",D80,D91)</f>
        <v>0.45</v>
      </c>
      <c r="F31" s="5">
        <f t="shared" si="4"/>
        <v>1942</v>
      </c>
      <c r="G31" s="41">
        <f>IF($C$4="WA",IF($C$6="FPL",D56,IF($C$6="SMI",H56,L56)),IF($C$6="FPL",D68,IF($C$6="SMI",H68,L68)))</f>
        <v>602</v>
      </c>
      <c r="H31" s="41">
        <f t="shared" ref="H31:H32" si="9">G31*D31</f>
        <v>270.90000000000003</v>
      </c>
      <c r="I31" s="41">
        <f t="shared" si="5"/>
        <v>331.09999999999997</v>
      </c>
      <c r="J31" s="41">
        <f t="shared" si="6"/>
        <v>526087.80000000005</v>
      </c>
      <c r="L31" s="44">
        <f t="shared" si="7"/>
        <v>331.09999999999997</v>
      </c>
      <c r="M31" s="10"/>
      <c r="N31" s="44">
        <f t="shared" si="8"/>
        <v>-128.8101946915699</v>
      </c>
    </row>
    <row r="32" spans="2:19" x14ac:dyDescent="0.2">
      <c r="B32" s="3" t="s">
        <v>30</v>
      </c>
      <c r="C32" s="37" t="str">
        <f t="shared" si="3"/>
        <v>101-150%</v>
      </c>
      <c r="D32" s="52">
        <f>IF($C$4="WA",D81,D92)</f>
        <v>0.15</v>
      </c>
      <c r="F32" s="5">
        <f t="shared" si="4"/>
        <v>2476.4</v>
      </c>
      <c r="G32" s="41">
        <f>IF($C$4="WA",IF($C$6="FPL",D57,IF($C$6="SMI",H57,L57)),IF($C$6="FPL",D69,IF($C$6="SMI",H69,L69)))</f>
        <v>619</v>
      </c>
      <c r="H32" s="41">
        <f t="shared" si="9"/>
        <v>92.85</v>
      </c>
      <c r="I32" s="41">
        <f t="shared" si="5"/>
        <v>526.15</v>
      </c>
      <c r="J32" s="41">
        <f t="shared" si="6"/>
        <v>229933.74</v>
      </c>
      <c r="L32" s="44">
        <f t="shared" si="7"/>
        <v>526.15</v>
      </c>
      <c r="M32" s="10"/>
      <c r="N32" s="44">
        <f t="shared" si="8"/>
        <v>66.239805308430107</v>
      </c>
    </row>
    <row r="33" spans="2:16" x14ac:dyDescent="0.2">
      <c r="B33" s="3" t="s">
        <v>31</v>
      </c>
      <c r="C33" s="37" t="str">
        <f t="shared" si="3"/>
        <v>151-200%</v>
      </c>
      <c r="D33" s="52">
        <f>IF($C$4="WA",D82,D93)</f>
        <v>0</v>
      </c>
      <c r="F33" s="65">
        <f t="shared" si="4"/>
        <v>2822.8</v>
      </c>
      <c r="G33" s="41">
        <f>IF($C$4="WA",IF($C$6="FPL",D58,IF($C$6="SMI",H58,L58)),IF($C$6="FPL",D70,IF($C$6="SMI",H70,L70)))</f>
        <v>614</v>
      </c>
      <c r="H33" s="41">
        <f>G33*D33</f>
        <v>0</v>
      </c>
      <c r="I33" s="41">
        <f t="shared" si="5"/>
        <v>614</v>
      </c>
      <c r="J33" s="43">
        <f>H33*F33</f>
        <v>0</v>
      </c>
      <c r="L33" s="44">
        <f t="shared" si="7"/>
        <v>614</v>
      </c>
      <c r="M33" s="10"/>
      <c r="N33" s="44">
        <f t="shared" si="8"/>
        <v>154.08980530843013</v>
      </c>
      <c r="P33" s="11"/>
    </row>
    <row r="34" spans="2:16" x14ac:dyDescent="0.2">
      <c r="F34" s="6">
        <f>SUM(F29:F33)</f>
        <v>7790.0000000000009</v>
      </c>
      <c r="J34" s="41">
        <f>SUM(J29:J33)</f>
        <v>1033486.7000000001</v>
      </c>
    </row>
    <row r="37" spans="2:16" ht="13.5" thickBot="1" x14ac:dyDescent="0.25">
      <c r="B37" s="3" t="s">
        <v>38</v>
      </c>
      <c r="F37" s="3" t="s">
        <v>39</v>
      </c>
    </row>
    <row r="38" spans="2:16" x14ac:dyDescent="0.2">
      <c r="B38" s="9" t="s">
        <v>40</v>
      </c>
      <c r="C38" s="12" t="s">
        <v>41</v>
      </c>
      <c r="D38" s="12" t="s">
        <v>42</v>
      </c>
      <c r="F38" s="9" t="str">
        <f>C4</f>
        <v>WA</v>
      </c>
      <c r="G38" s="9" t="str">
        <f t="shared" ref="G38:L38" si="10">IF($F$38="WA", C99, K99)</f>
        <v>Sch. 503</v>
      </c>
      <c r="H38" s="9" t="str">
        <f t="shared" si="10"/>
        <v>Sch. 504</v>
      </c>
      <c r="I38" s="9" t="str">
        <f t="shared" si="10"/>
        <v>Sch. 505</v>
      </c>
      <c r="J38" s="9" t="str">
        <f t="shared" si="10"/>
        <v>Sch. 511</v>
      </c>
      <c r="K38" s="9" t="str">
        <f t="shared" si="10"/>
        <v>Sch. 570</v>
      </c>
      <c r="L38" s="9" t="str">
        <f t="shared" si="10"/>
        <v>Sch. 663</v>
      </c>
    </row>
    <row r="39" spans="2:16" x14ac:dyDescent="0.2">
      <c r="B39" s="3" t="s">
        <v>17</v>
      </c>
      <c r="C39" s="14">
        <f>J24</f>
        <v>1160071.8600859041</v>
      </c>
      <c r="D39" s="52">
        <f>C39/$C$44</f>
        <v>0.38374854782861534</v>
      </c>
      <c r="F39" s="3" t="s">
        <v>43</v>
      </c>
      <c r="G39" s="13">
        <f t="shared" ref="G39:L39" si="11">IFERROR(IF($C$4="WA", VLOOKUP($F$6, $B$111:$H$117, C$97, FALSE), VLOOKUP($F$6, $J$111:$P$117, C$97, FALSE)), "")</f>
        <v>1484799.3821280252</v>
      </c>
      <c r="H39" s="13">
        <f t="shared" si="11"/>
        <v>806500.32775379682</v>
      </c>
      <c r="I39" s="13">
        <f t="shared" si="11"/>
        <v>72743.636834669407</v>
      </c>
      <c r="J39" s="13">
        <f t="shared" si="11"/>
        <v>59410.147447166302</v>
      </c>
      <c r="K39" s="13">
        <f t="shared" si="11"/>
        <v>4548.3664033387913</v>
      </c>
      <c r="L39" s="13">
        <f t="shared" si="11"/>
        <v>594998.1394330035</v>
      </c>
    </row>
    <row r="40" spans="2:16" x14ac:dyDescent="0.2">
      <c r="B40" s="3" t="s">
        <v>32</v>
      </c>
      <c r="C40" s="14">
        <f>J34</f>
        <v>1033486.7000000001</v>
      </c>
      <c r="D40" s="52">
        <f t="shared" ref="D40:D44" si="12">C40/$C$44</f>
        <v>0.34187452861395967</v>
      </c>
      <c r="F40" s="3" t="s">
        <v>33</v>
      </c>
      <c r="G40" s="46">
        <f t="shared" ref="G40:L43" si="13">IF($C$4="WA", C122, K122)</f>
        <v>54.079563714333339</v>
      </c>
      <c r="H40" s="46">
        <f t="shared" si="13"/>
        <v>242.10836935259738</v>
      </c>
      <c r="I40" s="46">
        <f t="shared" si="13"/>
        <v>1563.8912471966592</v>
      </c>
      <c r="J40" s="46">
        <f t="shared" si="13"/>
        <v>12368.406112261295</v>
      </c>
      <c r="K40" s="46">
        <f t="shared" si="13"/>
        <v>16075.98556177056</v>
      </c>
      <c r="L40" s="46">
        <f t="shared" si="13"/>
        <v>12940.934409573314</v>
      </c>
    </row>
    <row r="41" spans="2:16" x14ac:dyDescent="0.2">
      <c r="B41" s="3" t="s">
        <v>44</v>
      </c>
      <c r="C41" s="14">
        <f>SUM(C39:C40)*IF($C$6="AMI", 12%, 8%)</f>
        <v>175484.68480687236</v>
      </c>
      <c r="D41" s="52">
        <f t="shared" si="12"/>
        <v>5.8049846115406006E-2</v>
      </c>
      <c r="F41" s="3" t="s">
        <v>45</v>
      </c>
      <c r="G41" s="46">
        <f t="shared" si="13"/>
        <v>0.6333636118325856</v>
      </c>
      <c r="H41" s="46">
        <f t="shared" si="13"/>
        <v>2.5037574282364017</v>
      </c>
      <c r="I41" s="46">
        <f t="shared" si="13"/>
        <v>12.422069131603381</v>
      </c>
      <c r="J41" s="46">
        <f t="shared" si="13"/>
        <v>55.009395784413243</v>
      </c>
      <c r="K41" s="46">
        <f t="shared" si="13"/>
        <v>47.378816701445743</v>
      </c>
      <c r="L41" s="46">
        <f t="shared" si="13"/>
        <v>263.27351302345284</v>
      </c>
    </row>
    <row r="42" spans="2:16" x14ac:dyDescent="0.2">
      <c r="B42" s="3" t="s">
        <v>46</v>
      </c>
      <c r="C42" s="14">
        <f>IF($C$4="WA", IF((SUM(C39:C40)*$F$10)&lt;70000, 70000, SUM(C39:C40)*$F$10), IF((SUM(C39:C40)*$F$10)&lt;35000, 35000, SUM(C39:C40)*$F$10))</f>
        <v>70000</v>
      </c>
      <c r="D42" s="52">
        <f t="shared" si="12"/>
        <v>2.3155805491233875E-2</v>
      </c>
      <c r="F42" s="18" t="s">
        <v>47</v>
      </c>
      <c r="G42" s="11">
        <f t="shared" si="13"/>
        <v>1.171169973149613E-2</v>
      </c>
      <c r="H42" s="11">
        <f t="shared" si="13"/>
        <v>1.034147408836588E-2</v>
      </c>
      <c r="I42" s="11">
        <f t="shared" si="13"/>
        <v>7.9430517651853747E-3</v>
      </c>
      <c r="J42" s="11">
        <f t="shared" si="13"/>
        <v>4.4475735422270972E-3</v>
      </c>
      <c r="K42" s="11">
        <f t="shared" si="13"/>
        <v>2.9471796002426606E-3</v>
      </c>
      <c r="L42" s="11">
        <f t="shared" si="13"/>
        <v>2.0344242903255195E-2</v>
      </c>
    </row>
    <row r="43" spans="2:16" x14ac:dyDescent="0.2">
      <c r="B43" s="3" t="s">
        <v>10</v>
      </c>
      <c r="C43" s="53">
        <f>F24*$F$8</f>
        <v>584250.00000000012</v>
      </c>
      <c r="D43" s="52">
        <f t="shared" si="12"/>
        <v>0.19326827654647705</v>
      </c>
      <c r="F43" s="3" t="s">
        <v>48</v>
      </c>
      <c r="G43" s="47">
        <f t="shared" si="13"/>
        <v>1.127053564699363E-2</v>
      </c>
      <c r="H43" s="47">
        <f t="shared" si="13"/>
        <v>8.6445324465297783E-3</v>
      </c>
      <c r="I43" s="47">
        <f t="shared" si="13"/>
        <v>5.4639506372640683E-3</v>
      </c>
      <c r="J43" s="47">
        <f t="shared" si="13"/>
        <v>4.6931692786551776E-3</v>
      </c>
      <c r="K43" s="47">
        <f t="shared" si="13"/>
        <v>1.9487337105179321E-3</v>
      </c>
      <c r="L43" s="47">
        <f t="shared" si="13"/>
        <v>9.273405446070549E-4</v>
      </c>
    </row>
    <row r="44" spans="2:16" ht="13.5" thickBot="1" x14ac:dyDescent="0.25">
      <c r="B44" s="3" t="s">
        <v>49</v>
      </c>
      <c r="C44" s="45">
        <f>ROUND(SUM(C39:C43),-3)</f>
        <v>3023000</v>
      </c>
      <c r="D44" s="66">
        <f t="shared" si="12"/>
        <v>1</v>
      </c>
    </row>
    <row r="45" spans="2:16" ht="13.5" thickTop="1" x14ac:dyDescent="0.2">
      <c r="D45" s="6"/>
      <c r="E45" s="7"/>
    </row>
    <row r="46" spans="2:16" x14ac:dyDescent="0.2">
      <c r="B46" s="40" t="s">
        <v>50</v>
      </c>
      <c r="C46" s="11">
        <f>$C$44/IF($C$4="WA",O54,O66)</f>
        <v>1.1635912132319851E-2</v>
      </c>
      <c r="D46" s="6"/>
      <c r="E46" s="7"/>
    </row>
    <row r="47" spans="2:16" x14ac:dyDescent="0.2">
      <c r="B47" s="40" t="s">
        <v>51</v>
      </c>
      <c r="C47" s="11">
        <f>$C$44/IF($C$4="WA",O55,O67)</f>
        <v>2.8300611178866245E-2</v>
      </c>
      <c r="D47" s="6"/>
      <c r="E47" s="7"/>
    </row>
    <row r="48" spans="2:16" x14ac:dyDescent="0.2">
      <c r="C48" s="47"/>
      <c r="D48" s="6"/>
      <c r="E48" s="7"/>
    </row>
    <row r="49" spans="1:21" x14ac:dyDescent="0.2">
      <c r="C49" s="47"/>
      <c r="D49" s="6"/>
      <c r="E49" s="7"/>
    </row>
    <row r="50" spans="1:21" x14ac:dyDescent="0.2">
      <c r="B50" s="1" t="s">
        <v>52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21" ht="8.25" customHeight="1" x14ac:dyDescent="0.2">
      <c r="B51" s="4"/>
      <c r="C51" s="5"/>
      <c r="D51" s="6"/>
      <c r="E51" s="7"/>
    </row>
    <row r="52" spans="1:21" ht="13.5" thickBot="1" x14ac:dyDescent="0.25">
      <c r="B52" s="3" t="s">
        <v>53</v>
      </c>
    </row>
    <row r="53" spans="1:21" x14ac:dyDescent="0.2">
      <c r="B53" s="9" t="s">
        <v>6</v>
      </c>
      <c r="C53" s="9" t="s">
        <v>22</v>
      </c>
      <c r="D53" s="9" t="s">
        <v>35</v>
      </c>
      <c r="F53" s="9" t="s">
        <v>54</v>
      </c>
      <c r="G53" s="9" t="s">
        <v>22</v>
      </c>
      <c r="H53" s="9" t="s">
        <v>35</v>
      </c>
      <c r="J53" s="9" t="s">
        <v>55</v>
      </c>
      <c r="K53" s="9" t="s">
        <v>22</v>
      </c>
      <c r="L53" s="9" t="s">
        <v>35</v>
      </c>
      <c r="N53" s="9" t="s">
        <v>56</v>
      </c>
      <c r="O53" s="9" t="s">
        <v>53</v>
      </c>
      <c r="S53" s="3" t="s">
        <v>54</v>
      </c>
      <c r="T53" s="3" t="s">
        <v>55</v>
      </c>
      <c r="U53" s="3" t="s">
        <v>57</v>
      </c>
    </row>
    <row r="54" spans="1:21" x14ac:dyDescent="0.2">
      <c r="B54" s="37" t="s">
        <v>58</v>
      </c>
      <c r="C54" s="5">
        <v>1229</v>
      </c>
      <c r="D54" s="41">
        <v>616</v>
      </c>
      <c r="F54" s="37" t="s">
        <v>59</v>
      </c>
      <c r="G54" s="5">
        <v>2997</v>
      </c>
      <c r="H54" s="41">
        <v>625</v>
      </c>
      <c r="J54" s="37" t="s">
        <v>60</v>
      </c>
      <c r="K54" s="5">
        <v>14935</v>
      </c>
      <c r="L54" s="41">
        <v>633</v>
      </c>
      <c r="N54" s="3" t="s">
        <v>61</v>
      </c>
      <c r="O54" s="14">
        <v>259799143</v>
      </c>
      <c r="R54" s="3" t="s">
        <v>62</v>
      </c>
      <c r="S54" s="6">
        <f>SUM(G54:G57)</f>
        <v>43733</v>
      </c>
      <c r="T54" s="6">
        <f>SUM(K54:K55)</f>
        <v>39209</v>
      </c>
      <c r="U54" s="6">
        <f>S54-T54</f>
        <v>4524</v>
      </c>
    </row>
    <row r="55" spans="1:21" x14ac:dyDescent="0.2">
      <c r="B55" s="37" t="s">
        <v>63</v>
      </c>
      <c r="C55" s="5">
        <v>1515</v>
      </c>
      <c r="D55" s="41">
        <v>630</v>
      </c>
      <c r="F55" s="37" t="s">
        <v>64</v>
      </c>
      <c r="G55" s="5">
        <v>11468</v>
      </c>
      <c r="H55" s="41">
        <v>603</v>
      </c>
      <c r="J55" s="37" t="s">
        <v>65</v>
      </c>
      <c r="K55" s="5">
        <v>24274</v>
      </c>
      <c r="L55" s="41">
        <v>670</v>
      </c>
      <c r="N55" s="3" t="s">
        <v>8</v>
      </c>
      <c r="O55" s="14">
        <f>SUM($C$104:$H$104)</f>
        <v>106817481.11</v>
      </c>
      <c r="Q55" s="11"/>
      <c r="R55" s="11" t="s">
        <v>66</v>
      </c>
      <c r="S55" s="6">
        <f>G59</f>
        <v>66478</v>
      </c>
      <c r="T55" s="6">
        <f>K59</f>
        <v>59909</v>
      </c>
      <c r="U55" s="6">
        <f>S55-T55</f>
        <v>6569</v>
      </c>
    </row>
    <row r="56" spans="1:21" x14ac:dyDescent="0.2">
      <c r="B56" s="37" t="s">
        <v>67</v>
      </c>
      <c r="C56" s="5">
        <v>9710</v>
      </c>
      <c r="D56" s="41">
        <v>602</v>
      </c>
      <c r="F56" s="37" t="s">
        <v>68</v>
      </c>
      <c r="G56" s="5">
        <v>20110</v>
      </c>
      <c r="H56" s="41">
        <v>609.62391817466562</v>
      </c>
      <c r="J56" s="37" t="s">
        <v>69</v>
      </c>
      <c r="K56" s="5">
        <v>20700</v>
      </c>
      <c r="L56" s="41">
        <v>662</v>
      </c>
    </row>
    <row r="57" spans="1:21" x14ac:dyDescent="0.2">
      <c r="B57" s="37" t="s">
        <v>70</v>
      </c>
      <c r="C57" s="5">
        <v>12382</v>
      </c>
      <c r="D57" s="41">
        <v>619</v>
      </c>
      <c r="F57" s="37" t="s">
        <v>71</v>
      </c>
      <c r="G57" s="5">
        <v>9158</v>
      </c>
      <c r="H57" s="41">
        <v>654.37608182533438</v>
      </c>
      <c r="J57" s="37" t="s">
        <v>72</v>
      </c>
      <c r="K57" s="5">
        <v>0</v>
      </c>
      <c r="L57" s="41">
        <v>683</v>
      </c>
      <c r="Q57" s="11"/>
    </row>
    <row r="58" spans="1:21" ht="13.5" thickBot="1" x14ac:dyDescent="0.25">
      <c r="B58" s="38" t="s">
        <v>73</v>
      </c>
      <c r="C58" s="20">
        <v>14114</v>
      </c>
      <c r="D58" s="42">
        <v>614</v>
      </c>
      <c r="F58" s="38" t="s">
        <v>69</v>
      </c>
      <c r="G58" s="20">
        <v>22745</v>
      </c>
      <c r="H58" s="42">
        <v>675</v>
      </c>
      <c r="J58" s="38" t="s">
        <v>74</v>
      </c>
      <c r="K58" s="20">
        <v>0</v>
      </c>
      <c r="L58" s="42">
        <v>0</v>
      </c>
      <c r="Q58" s="11"/>
    </row>
    <row r="59" spans="1:21" x14ac:dyDescent="0.2">
      <c r="C59" s="6">
        <f>SUM(C54:C58)</f>
        <v>38950</v>
      </c>
      <c r="D59" s="17">
        <f>AVERAGE(D54:D58)</f>
        <v>616.20000000000005</v>
      </c>
      <c r="G59" s="6">
        <f>SUM(G54:G58)</f>
        <v>66478</v>
      </c>
      <c r="H59" s="17">
        <f>AVERAGE(H54:H58)</f>
        <v>633.4</v>
      </c>
      <c r="K59" s="6">
        <f>SUM(K54:K58)</f>
        <v>59909</v>
      </c>
      <c r="L59" s="17">
        <f>AVERAGE(L54:L58)</f>
        <v>529.6</v>
      </c>
      <c r="Q59" s="11"/>
    </row>
    <row r="60" spans="1:21" x14ac:dyDescent="0.2">
      <c r="A60" s="18"/>
      <c r="C60" s="11"/>
      <c r="D60" s="11"/>
    </row>
    <row r="61" spans="1:21" x14ac:dyDescent="0.2">
      <c r="A61" s="18"/>
      <c r="G61" s="6"/>
      <c r="H61" s="17"/>
    </row>
    <row r="62" spans="1:21" x14ac:dyDescent="0.2">
      <c r="B62" s="1" t="s">
        <v>75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21" ht="8.25" customHeight="1" x14ac:dyDescent="0.2">
      <c r="B63" s="4"/>
      <c r="C63" s="5"/>
      <c r="D63" s="5"/>
      <c r="F63" s="7"/>
    </row>
    <row r="64" spans="1:21" ht="13.5" thickBot="1" x14ac:dyDescent="0.25">
      <c r="B64" s="3" t="s">
        <v>2</v>
      </c>
    </row>
    <row r="65" spans="1:17" x14ac:dyDescent="0.2">
      <c r="B65" s="9" t="s">
        <v>6</v>
      </c>
      <c r="C65" s="9" t="s">
        <v>22</v>
      </c>
      <c r="D65" s="9" t="s">
        <v>35</v>
      </c>
      <c r="F65" s="9" t="s">
        <v>54</v>
      </c>
      <c r="G65" s="9" t="s">
        <v>22</v>
      </c>
      <c r="H65" s="9" t="s">
        <v>35</v>
      </c>
      <c r="J65" s="9" t="s">
        <v>55</v>
      </c>
      <c r="K65" s="9" t="s">
        <v>22</v>
      </c>
      <c r="L65" s="9" t="s">
        <v>35</v>
      </c>
      <c r="N65" s="9" t="s">
        <v>56</v>
      </c>
      <c r="O65" s="9" t="s">
        <v>2</v>
      </c>
    </row>
    <row r="66" spans="1:17" x14ac:dyDescent="0.2">
      <c r="B66" s="37" t="s">
        <v>58</v>
      </c>
      <c r="C66" s="5">
        <v>893</v>
      </c>
      <c r="D66" s="41">
        <v>661</v>
      </c>
      <c r="F66" s="37" t="s">
        <v>59</v>
      </c>
      <c r="G66" s="5">
        <v>1387</v>
      </c>
      <c r="H66" s="41">
        <v>668</v>
      </c>
      <c r="J66" s="37" t="s">
        <v>60</v>
      </c>
      <c r="K66" s="5">
        <v>5236</v>
      </c>
      <c r="L66" s="41">
        <v>621</v>
      </c>
      <c r="N66" s="3" t="s">
        <v>61</v>
      </c>
      <c r="O66" s="14">
        <v>71076848</v>
      </c>
    </row>
    <row r="67" spans="1:17" x14ac:dyDescent="0.2">
      <c r="B67" s="37" t="s">
        <v>63</v>
      </c>
      <c r="C67" s="5">
        <v>681</v>
      </c>
      <c r="D67" s="41">
        <v>667</v>
      </c>
      <c r="F67" s="37" t="s">
        <v>64</v>
      </c>
      <c r="G67" s="5">
        <v>2877</v>
      </c>
      <c r="H67" s="41">
        <v>621</v>
      </c>
      <c r="J67" s="37" t="s">
        <v>65</v>
      </c>
      <c r="K67" s="5">
        <v>8689</v>
      </c>
      <c r="L67" s="41">
        <v>595</v>
      </c>
      <c r="N67" s="3" t="s">
        <v>8</v>
      </c>
      <c r="O67" s="14">
        <f>SUM($K$104:$P$104)</f>
        <v>38119519.308991402</v>
      </c>
    </row>
    <row r="68" spans="1:17" x14ac:dyDescent="0.2">
      <c r="B68" s="37" t="s">
        <v>67</v>
      </c>
      <c r="C68" s="5">
        <v>3279</v>
      </c>
      <c r="D68" s="41">
        <v>611</v>
      </c>
      <c r="F68" s="37" t="s">
        <v>68</v>
      </c>
      <c r="G68" s="5">
        <v>6637</v>
      </c>
      <c r="H68" s="41">
        <v>613</v>
      </c>
      <c r="J68" s="37" t="s">
        <v>69</v>
      </c>
      <c r="K68" s="5">
        <v>7470</v>
      </c>
      <c r="L68" s="41">
        <v>671</v>
      </c>
    </row>
    <row r="69" spans="1:17" x14ac:dyDescent="0.2">
      <c r="B69" s="37" t="s">
        <v>70</v>
      </c>
      <c r="C69" s="5">
        <v>5102</v>
      </c>
      <c r="D69" s="41">
        <v>580</v>
      </c>
      <c r="F69" s="37" t="s">
        <v>71</v>
      </c>
      <c r="G69" s="5">
        <v>2751</v>
      </c>
      <c r="H69" s="41">
        <v>658</v>
      </c>
      <c r="J69" s="37" t="s">
        <v>72</v>
      </c>
      <c r="K69" s="5">
        <v>0</v>
      </c>
      <c r="L69" s="41">
        <v>722</v>
      </c>
    </row>
    <row r="70" spans="1:17" ht="13.5" thickBot="1" x14ac:dyDescent="0.25">
      <c r="B70" s="38" t="s">
        <v>73</v>
      </c>
      <c r="C70" s="20">
        <v>5660</v>
      </c>
      <c r="D70" s="42">
        <v>697</v>
      </c>
      <c r="F70" s="38" t="s">
        <v>69</v>
      </c>
      <c r="G70" s="20">
        <v>7486</v>
      </c>
      <c r="H70" s="42">
        <v>700</v>
      </c>
      <c r="J70" s="38" t="s">
        <v>74</v>
      </c>
      <c r="K70" s="20">
        <v>0</v>
      </c>
      <c r="L70" s="42">
        <v>0</v>
      </c>
    </row>
    <row r="71" spans="1:17" x14ac:dyDescent="0.2">
      <c r="C71" s="6">
        <f>SUM(C66:C70)</f>
        <v>15615</v>
      </c>
      <c r="D71" s="17">
        <f>AVERAGE(D66:D70)</f>
        <v>643.20000000000005</v>
      </c>
      <c r="G71" s="6">
        <f>SUM(G66:G70)</f>
        <v>21138</v>
      </c>
      <c r="H71" s="17">
        <f>AVERAGE(H66:H70)</f>
        <v>652</v>
      </c>
      <c r="K71" s="6">
        <f>SUM(K66:K70)</f>
        <v>21395</v>
      </c>
      <c r="L71" s="17">
        <f>AVERAGE(L66:L70)</f>
        <v>521.79999999999995</v>
      </c>
    </row>
    <row r="72" spans="1:17" x14ac:dyDescent="0.2">
      <c r="A72" s="18"/>
      <c r="C72" s="11"/>
    </row>
    <row r="73" spans="1:17" x14ac:dyDescent="0.2">
      <c r="A73" s="18"/>
      <c r="G73" s="6"/>
      <c r="H73" s="17"/>
    </row>
    <row r="74" spans="1:17" x14ac:dyDescent="0.2">
      <c r="B74" s="1" t="s">
        <v>76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7" ht="8.25" customHeight="1" x14ac:dyDescent="0.2">
      <c r="B75" s="4"/>
      <c r="C75" s="5"/>
      <c r="D75" s="6"/>
      <c r="E75" s="7"/>
    </row>
    <row r="76" spans="1:17" ht="13.5" thickBot="1" x14ac:dyDescent="0.25">
      <c r="B76" s="3" t="str">
        <f>C6</f>
        <v>FPL</v>
      </c>
      <c r="F76" s="3" t="s">
        <v>77</v>
      </c>
      <c r="H76" s="3" t="s">
        <v>78</v>
      </c>
      <c r="J76" s="3" t="s">
        <v>4</v>
      </c>
    </row>
    <row r="77" spans="1:17" x14ac:dyDescent="0.2">
      <c r="B77" s="9" t="s">
        <v>79</v>
      </c>
      <c r="C77" s="9" t="s">
        <v>80</v>
      </c>
      <c r="D77" s="9" t="s">
        <v>81</v>
      </c>
      <c r="F77" s="9" t="s">
        <v>80</v>
      </c>
      <c r="H77" s="9" t="s">
        <v>81</v>
      </c>
      <c r="J77" s="9" t="s">
        <v>80</v>
      </c>
      <c r="K77" s="9" t="s">
        <v>81</v>
      </c>
    </row>
    <row r="78" spans="1:17" x14ac:dyDescent="0.2">
      <c r="B78" s="37" t="str">
        <f>C19</f>
        <v>0-25%</v>
      </c>
      <c r="C78" s="49">
        <f>IF($F$4="Proposed", J78, F78)</f>
        <v>1</v>
      </c>
      <c r="D78" s="49">
        <f>IF($F$4="Proposed", K78, H78)</f>
        <v>0.95</v>
      </c>
      <c r="F78" s="49">
        <v>0.89</v>
      </c>
      <c r="H78" s="49">
        <v>0.92800000000000005</v>
      </c>
      <c r="J78" s="49">
        <v>1</v>
      </c>
      <c r="K78" s="49">
        <v>0.95</v>
      </c>
      <c r="Q78" s="11"/>
    </row>
    <row r="79" spans="1:17" x14ac:dyDescent="0.2">
      <c r="B79" s="37" t="str">
        <f>C20</f>
        <v>26-50%</v>
      </c>
      <c r="C79" s="49">
        <f>IF($F$4="Proposed", J79, F79)</f>
        <v>1</v>
      </c>
      <c r="D79" s="49">
        <f>IF($F$4="Proposed", K79, H79)</f>
        <v>0.7</v>
      </c>
      <c r="F79" s="49">
        <v>0.87</v>
      </c>
      <c r="H79" s="49">
        <v>0.72799999999999998</v>
      </c>
      <c r="J79" s="49">
        <v>1</v>
      </c>
      <c r="K79" s="49">
        <v>0.7</v>
      </c>
      <c r="Q79" s="11"/>
    </row>
    <row r="80" spans="1:17" x14ac:dyDescent="0.2">
      <c r="B80" s="37" t="str">
        <f>C21</f>
        <v>51-100%</v>
      </c>
      <c r="C80" s="49">
        <f>IF($F$4="Proposed", J80, F80)</f>
        <v>1</v>
      </c>
      <c r="D80" s="49">
        <f>IF($F$4="Proposed", K80, H80)</f>
        <v>0.45</v>
      </c>
      <c r="F80" s="49">
        <v>0.84</v>
      </c>
      <c r="H80" s="49">
        <v>0.53700000000000003</v>
      </c>
      <c r="J80" s="49">
        <v>1</v>
      </c>
      <c r="K80" s="49">
        <v>0.45</v>
      </c>
    </row>
    <row r="81" spans="1:17" x14ac:dyDescent="0.2">
      <c r="B81" s="37" t="str">
        <f>C22</f>
        <v>101-150%</v>
      </c>
      <c r="C81" s="49">
        <f>IF($F$4="Proposed", J81, F81)</f>
        <v>0.9</v>
      </c>
      <c r="D81" s="49">
        <f>IF($F$4="Proposed", K81, H81)</f>
        <v>0.15</v>
      </c>
      <c r="F81" s="49">
        <v>0.75</v>
      </c>
      <c r="H81" s="49">
        <v>2.4E-2</v>
      </c>
      <c r="J81" s="49">
        <v>0.9</v>
      </c>
      <c r="K81" s="49">
        <v>0.15</v>
      </c>
      <c r="Q81" s="11"/>
    </row>
    <row r="82" spans="1:17" ht="13.5" thickBot="1" x14ac:dyDescent="0.25">
      <c r="B82" s="38" t="str">
        <f>C23</f>
        <v>151-200%</v>
      </c>
      <c r="C82" s="50">
        <f>IF($F$4="Proposed", J82, F82)</f>
        <v>0</v>
      </c>
      <c r="D82" s="50">
        <f>IF($F$4="Proposed", K82, H82)</f>
        <v>0</v>
      </c>
      <c r="F82" s="50">
        <v>0.5</v>
      </c>
      <c r="H82" s="50">
        <v>0</v>
      </c>
      <c r="J82" s="50">
        <v>0</v>
      </c>
      <c r="K82" s="50">
        <v>0</v>
      </c>
      <c r="Q82" s="11"/>
    </row>
    <row r="83" spans="1:17" x14ac:dyDescent="0.2">
      <c r="C83" s="6"/>
      <c r="D83" s="17"/>
      <c r="Q83" s="11"/>
    </row>
    <row r="84" spans="1:17" x14ac:dyDescent="0.2">
      <c r="A84" s="18"/>
      <c r="C84" s="11"/>
      <c r="D84" s="11"/>
    </row>
    <row r="85" spans="1:17" x14ac:dyDescent="0.2">
      <c r="B85" s="1" t="s">
        <v>82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7" ht="8.25" customHeight="1" x14ac:dyDescent="0.2">
      <c r="B86" s="4"/>
      <c r="C86" s="5"/>
      <c r="D86" s="5"/>
      <c r="F86" s="7"/>
    </row>
    <row r="87" spans="1:17" ht="13.5" thickBot="1" x14ac:dyDescent="0.25">
      <c r="B87" s="3" t="str">
        <f>B76</f>
        <v>FPL</v>
      </c>
      <c r="F87" s="3" t="s">
        <v>83</v>
      </c>
      <c r="H87" s="3" t="s">
        <v>78</v>
      </c>
      <c r="J87" s="3" t="s">
        <v>4</v>
      </c>
    </row>
    <row r="88" spans="1:17" x14ac:dyDescent="0.2">
      <c r="B88" s="9" t="s">
        <v>79</v>
      </c>
      <c r="C88" s="9" t="s">
        <v>80</v>
      </c>
      <c r="D88" s="9" t="s">
        <v>81</v>
      </c>
      <c r="F88" s="9" t="s">
        <v>80</v>
      </c>
      <c r="H88" s="9" t="s">
        <v>81</v>
      </c>
      <c r="J88" s="9" t="s">
        <v>80</v>
      </c>
      <c r="K88" s="9" t="s">
        <v>81</v>
      </c>
    </row>
    <row r="89" spans="1:17" x14ac:dyDescent="0.2">
      <c r="B89" s="37" t="str">
        <f>B78</f>
        <v>0-25%</v>
      </c>
      <c r="C89" s="49">
        <f>IF($F$4="Proposed", J89, F89)</f>
        <v>1</v>
      </c>
      <c r="D89" s="49">
        <f>IF($F$4="Proposed", K89, H89)</f>
        <v>0.95</v>
      </c>
      <c r="F89" s="49">
        <f>Assistance!N29/Assistance!S29</f>
        <v>0.83433788354009097</v>
      </c>
      <c r="H89" s="49">
        <v>0.95299999999999996</v>
      </c>
      <c r="J89" s="49">
        <v>1</v>
      </c>
      <c r="K89" s="49">
        <v>0.95</v>
      </c>
    </row>
    <row r="90" spans="1:17" x14ac:dyDescent="0.2">
      <c r="B90" s="37" t="str">
        <f t="shared" ref="B90:B93" si="14">B79</f>
        <v>26-50%</v>
      </c>
      <c r="C90" s="49">
        <f>IF($F$4="Proposed", J90, F90)</f>
        <v>1</v>
      </c>
      <c r="D90" s="49">
        <f>IF($F$4="Proposed", K90, H90)</f>
        <v>0.7</v>
      </c>
      <c r="F90" s="49">
        <f>F89</f>
        <v>0.83433788354009097</v>
      </c>
      <c r="H90" s="49">
        <v>0.70799999999999996</v>
      </c>
      <c r="J90" s="49">
        <v>1</v>
      </c>
      <c r="K90" s="49">
        <v>0.7</v>
      </c>
    </row>
    <row r="91" spans="1:17" x14ac:dyDescent="0.2">
      <c r="B91" s="37" t="str">
        <f t="shared" si="14"/>
        <v>51-100%</v>
      </c>
      <c r="C91" s="49">
        <f>IF($F$4="Proposed", J91, F91)</f>
        <v>1</v>
      </c>
      <c r="D91" s="49">
        <f>IF($F$4="Proposed", K91, H91)</f>
        <v>0.45</v>
      </c>
      <c r="F91" s="49">
        <f>F90</f>
        <v>0.83433788354009097</v>
      </c>
      <c r="H91" s="49">
        <v>0.46300000000000002</v>
      </c>
      <c r="J91" s="49">
        <v>1</v>
      </c>
      <c r="K91" s="49">
        <v>0.45</v>
      </c>
    </row>
    <row r="92" spans="1:17" x14ac:dyDescent="0.2">
      <c r="B92" s="37" t="str">
        <f t="shared" si="14"/>
        <v>101-150%</v>
      </c>
      <c r="C92" s="49">
        <f>IF($F$4="Proposed", J92, F92)</f>
        <v>0.9</v>
      </c>
      <c r="D92" s="49">
        <f>IF($F$4="Proposed", K92, H92)</f>
        <v>0.15</v>
      </c>
      <c r="F92" s="49">
        <f>F91</f>
        <v>0.83433788354009097</v>
      </c>
      <c r="H92" s="49">
        <v>0.155</v>
      </c>
      <c r="J92" s="49">
        <v>0.9</v>
      </c>
      <c r="K92" s="49">
        <v>0.15</v>
      </c>
    </row>
    <row r="93" spans="1:17" ht="13.5" thickBot="1" x14ac:dyDescent="0.25">
      <c r="B93" s="38" t="str">
        <f t="shared" si="14"/>
        <v>151-200%</v>
      </c>
      <c r="C93" s="50">
        <f>IF($F$4="Proposed", J93, F93)</f>
        <v>0</v>
      </c>
      <c r="D93" s="50">
        <f>IF($F$4="Proposed", K93, H93)</f>
        <v>0</v>
      </c>
      <c r="F93" s="50">
        <f>F92</f>
        <v>0.83433788354009097</v>
      </c>
      <c r="H93" s="50">
        <v>0</v>
      </c>
      <c r="J93" s="50">
        <v>0</v>
      </c>
      <c r="K93" s="50">
        <v>0</v>
      </c>
    </row>
    <row r="94" spans="1:17" x14ac:dyDescent="0.2">
      <c r="C94" s="6"/>
      <c r="D94" s="17"/>
    </row>
    <row r="95" spans="1:17" x14ac:dyDescent="0.2">
      <c r="A95" s="18"/>
      <c r="C95" s="11"/>
    </row>
    <row r="96" spans="1:17" x14ac:dyDescent="0.2">
      <c r="B96" s="1" t="s">
        <v>84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2:16" ht="8.25" customHeight="1" x14ac:dyDescent="0.2">
      <c r="B97" s="4"/>
      <c r="C97" s="22">
        <v>2</v>
      </c>
      <c r="D97" s="23">
        <v>3</v>
      </c>
      <c r="E97" s="24">
        <v>4</v>
      </c>
      <c r="F97" s="21">
        <v>5</v>
      </c>
      <c r="G97" s="21">
        <v>6</v>
      </c>
      <c r="H97" s="21">
        <v>7</v>
      </c>
      <c r="I97" s="21"/>
      <c r="J97" s="21"/>
    </row>
    <row r="98" spans="2:16" ht="13.5" thickBot="1" x14ac:dyDescent="0.25">
      <c r="B98" s="3" t="s">
        <v>53</v>
      </c>
      <c r="J98" s="3" t="s">
        <v>2</v>
      </c>
    </row>
    <row r="99" spans="2:16" x14ac:dyDescent="0.2">
      <c r="B99" s="9" t="s">
        <v>85</v>
      </c>
      <c r="C99" s="9" t="s">
        <v>86</v>
      </c>
      <c r="D99" s="9" t="s">
        <v>87</v>
      </c>
      <c r="E99" s="9" t="s">
        <v>88</v>
      </c>
      <c r="F99" s="9" t="s">
        <v>89</v>
      </c>
      <c r="G99" s="9" t="s">
        <v>90</v>
      </c>
      <c r="H99" s="9" t="s">
        <v>91</v>
      </c>
      <c r="I99" s="21"/>
      <c r="J99" s="9" t="s">
        <v>85</v>
      </c>
      <c r="K99" s="9" t="s">
        <v>92</v>
      </c>
      <c r="L99" s="9" t="s">
        <v>93</v>
      </c>
      <c r="M99" s="9" t="s">
        <v>94</v>
      </c>
      <c r="N99" s="9" t="s">
        <v>95</v>
      </c>
      <c r="O99" s="9" t="s">
        <v>96</v>
      </c>
      <c r="P99" s="9" t="s">
        <v>97</v>
      </c>
    </row>
    <row r="100" spans="2:16" x14ac:dyDescent="0.2">
      <c r="B100" s="3" t="s">
        <v>98</v>
      </c>
      <c r="C100" s="15">
        <f>IF($C$4="WA",$C$44, 0)</f>
        <v>3023000</v>
      </c>
      <c r="J100" s="3" t="str">
        <f t="shared" ref="J100:J106" si="15">B100</f>
        <v>RES Only</v>
      </c>
      <c r="K100" s="15">
        <f>IF($C$4="OR",$C$44, 0)</f>
        <v>0</v>
      </c>
    </row>
    <row r="101" spans="2:16" x14ac:dyDescent="0.2">
      <c r="B101" s="3" t="s">
        <v>99</v>
      </c>
      <c r="C101" s="11">
        <f>IF($C$4="WA",$C$47, 0)</f>
        <v>2.8300611178866245E-2</v>
      </c>
      <c r="D101" s="11">
        <f>C101</f>
        <v>2.8300611178866245E-2</v>
      </c>
      <c r="E101" s="11">
        <f>D101</f>
        <v>2.8300611178866245E-2</v>
      </c>
      <c r="F101" s="11">
        <f>E101</f>
        <v>2.8300611178866245E-2</v>
      </c>
      <c r="G101" s="11">
        <f>F101</f>
        <v>2.8300611178866245E-2</v>
      </c>
      <c r="H101" s="11">
        <f>G101</f>
        <v>2.8300611178866245E-2</v>
      </c>
      <c r="I101" s="11"/>
      <c r="J101" s="3" t="str">
        <f t="shared" si="15"/>
        <v>Equal %</v>
      </c>
      <c r="K101" s="11">
        <f>IF($C$4="OR",$C$47, 0)</f>
        <v>0</v>
      </c>
      <c r="L101" s="11">
        <f>K101</f>
        <v>0</v>
      </c>
      <c r="M101" s="11">
        <f>L101</f>
        <v>0</v>
      </c>
      <c r="N101" s="11">
        <f>M101</f>
        <v>0</v>
      </c>
      <c r="O101" s="11">
        <f>N101</f>
        <v>0</v>
      </c>
      <c r="P101" s="11">
        <f>O101</f>
        <v>0</v>
      </c>
    </row>
    <row r="102" spans="2:16" x14ac:dyDescent="0.2">
      <c r="B102" s="3" t="s">
        <v>22</v>
      </c>
      <c r="C102" s="16">
        <v>195359</v>
      </c>
      <c r="D102" s="16">
        <v>26843</v>
      </c>
      <c r="E102" s="16">
        <v>488</v>
      </c>
      <c r="F102" s="16">
        <v>90</v>
      </c>
      <c r="G102" s="16">
        <v>8</v>
      </c>
      <c r="H102" s="16">
        <v>188.33333333333334</v>
      </c>
      <c r="I102" s="16"/>
      <c r="J102" s="3" t="str">
        <f t="shared" si="15"/>
        <v>Count</v>
      </c>
      <c r="K102" s="16">
        <v>67704.083333333328</v>
      </c>
      <c r="L102" s="16">
        <v>10227.75</v>
      </c>
      <c r="M102" s="16">
        <v>151</v>
      </c>
      <c r="N102" s="16">
        <v>20</v>
      </c>
      <c r="O102" s="16">
        <v>37</v>
      </c>
      <c r="P102" s="16">
        <v>4</v>
      </c>
    </row>
    <row r="103" spans="2:16" x14ac:dyDescent="0.2">
      <c r="B103" s="3" t="s">
        <v>100</v>
      </c>
      <c r="C103" s="16">
        <v>131741687.23064102</v>
      </c>
      <c r="D103" s="16">
        <v>93296003.311035588</v>
      </c>
      <c r="E103" s="16">
        <v>13313377.38276016</v>
      </c>
      <c r="F103" s="16">
        <v>12658854.586253112</v>
      </c>
      <c r="G103" s="16">
        <v>2334011.2498643706</v>
      </c>
      <c r="H103" s="16">
        <v>641617734.59945512</v>
      </c>
      <c r="I103" s="16"/>
      <c r="J103" s="3" t="str">
        <f t="shared" si="15"/>
        <v>Therms</v>
      </c>
      <c r="K103" s="16">
        <v>47916046.796139695</v>
      </c>
      <c r="L103" s="16">
        <v>30931911.83819247</v>
      </c>
      <c r="M103" s="16">
        <v>3196788.0227048602</v>
      </c>
      <c r="N103" s="16">
        <v>3015329.1213618801</v>
      </c>
      <c r="O103" s="16">
        <v>37657289.450000003</v>
      </c>
      <c r="P103" s="16">
        <v>1917596.70484811</v>
      </c>
    </row>
    <row r="104" spans="2:16" x14ac:dyDescent="0.2">
      <c r="B104" s="3" t="s">
        <v>8</v>
      </c>
      <c r="C104" s="13">
        <v>52465276.200000003</v>
      </c>
      <c r="D104" s="13">
        <v>28497629.350000001</v>
      </c>
      <c r="E104" s="13">
        <v>2570391.02</v>
      </c>
      <c r="F104" s="13">
        <v>2099253.16</v>
      </c>
      <c r="G104" s="13">
        <v>160716.19</v>
      </c>
      <c r="H104" s="13">
        <v>21024215.189999998</v>
      </c>
      <c r="I104" s="13"/>
      <c r="J104" s="3" t="str">
        <f t="shared" si="15"/>
        <v>Base Rev</v>
      </c>
      <c r="K104" s="13">
        <v>23785591.740711927</v>
      </c>
      <c r="L104" s="13">
        <v>9911673.4803287685</v>
      </c>
      <c r="M104" s="13">
        <v>837884.2378438072</v>
      </c>
      <c r="N104" s="13">
        <v>520424.06726476323</v>
      </c>
      <c r="O104" s="13">
        <v>2812224.0146501334</v>
      </c>
      <c r="P104" s="13">
        <v>251721.76819200226</v>
      </c>
    </row>
    <row r="105" spans="2:16" x14ac:dyDescent="0.2">
      <c r="B105" s="3" t="s">
        <v>101</v>
      </c>
      <c r="C105" s="25">
        <v>1</v>
      </c>
      <c r="D105" s="25">
        <v>1</v>
      </c>
      <c r="E105" s="25">
        <v>1</v>
      </c>
      <c r="F105" s="25">
        <v>1</v>
      </c>
      <c r="G105" s="25">
        <v>1</v>
      </c>
      <c r="H105" s="25">
        <v>1</v>
      </c>
      <c r="I105" s="25"/>
      <c r="J105" s="3" t="str">
        <f t="shared" si="15"/>
        <v>GRC</v>
      </c>
      <c r="K105" s="25">
        <v>1.1653112450762206</v>
      </c>
      <c r="L105" s="25">
        <v>1.17</v>
      </c>
      <c r="M105" s="25">
        <v>1.01</v>
      </c>
      <c r="N105" s="25">
        <v>0.33</v>
      </c>
      <c r="O105" s="25">
        <v>0</v>
      </c>
      <c r="P105" s="25">
        <v>0</v>
      </c>
    </row>
    <row r="106" spans="2:16" x14ac:dyDescent="0.2">
      <c r="B106" s="3" t="s">
        <v>102</v>
      </c>
      <c r="C106" s="25">
        <v>1</v>
      </c>
      <c r="D106" s="25">
        <v>1</v>
      </c>
      <c r="E106" s="25">
        <v>1</v>
      </c>
      <c r="F106" s="25">
        <v>1</v>
      </c>
      <c r="G106" s="25">
        <v>1</v>
      </c>
      <c r="H106" s="25">
        <v>1</v>
      </c>
      <c r="I106" s="25"/>
      <c r="J106" s="3" t="str">
        <f t="shared" si="15"/>
        <v>OPEN</v>
      </c>
      <c r="K106" s="25">
        <v>1</v>
      </c>
      <c r="L106" s="25">
        <v>1</v>
      </c>
      <c r="M106" s="25">
        <v>1</v>
      </c>
      <c r="N106" s="25">
        <v>1</v>
      </c>
      <c r="O106" s="25">
        <v>1</v>
      </c>
      <c r="P106" s="25">
        <v>1</v>
      </c>
    </row>
    <row r="109" spans="2:16" ht="13.5" thickBot="1" x14ac:dyDescent="0.25">
      <c r="B109" s="3" t="s">
        <v>53</v>
      </c>
      <c r="J109" s="3" t="s">
        <v>2</v>
      </c>
    </row>
    <row r="110" spans="2:16" x14ac:dyDescent="0.2">
      <c r="B110" s="9" t="s">
        <v>85</v>
      </c>
      <c r="C110" s="9" t="s">
        <v>86</v>
      </c>
      <c r="D110" s="9" t="s">
        <v>87</v>
      </c>
      <c r="E110" s="9" t="s">
        <v>88</v>
      </c>
      <c r="F110" s="9" t="s">
        <v>89</v>
      </c>
      <c r="G110" s="9" t="s">
        <v>90</v>
      </c>
      <c r="H110" s="9" t="s">
        <v>91</v>
      </c>
      <c r="J110" s="9" t="s">
        <v>85</v>
      </c>
      <c r="K110" s="9" t="s">
        <v>92</v>
      </c>
      <c r="L110" s="9" t="s">
        <v>93</v>
      </c>
      <c r="M110" s="9" t="s">
        <v>94</v>
      </c>
      <c r="N110" s="9" t="s">
        <v>95</v>
      </c>
      <c r="O110" s="9" t="s">
        <v>96</v>
      </c>
      <c r="P110" s="9" t="s">
        <v>97</v>
      </c>
    </row>
    <row r="111" spans="2:16" x14ac:dyDescent="0.2">
      <c r="B111" s="15" t="str">
        <f>B100</f>
        <v>RES Only</v>
      </c>
      <c r="C111" s="15">
        <f>C100</f>
        <v>3023000</v>
      </c>
      <c r="J111" s="3" t="str">
        <f>J100</f>
        <v>RES Only</v>
      </c>
      <c r="K111" s="15">
        <f>K100</f>
        <v>0</v>
      </c>
    </row>
    <row r="112" spans="2:16" x14ac:dyDescent="0.2">
      <c r="B112" s="15" t="str">
        <f t="shared" ref="B112:B117" si="16">B101</f>
        <v>Equal %</v>
      </c>
      <c r="C112" s="15">
        <f>C100/COUNT($C$101:$H$101)</f>
        <v>503833.33333333331</v>
      </c>
      <c r="D112" s="15">
        <f>C112</f>
        <v>503833.33333333331</v>
      </c>
      <c r="E112" s="15">
        <f>D112</f>
        <v>503833.33333333331</v>
      </c>
      <c r="F112" s="15">
        <f>E112</f>
        <v>503833.33333333331</v>
      </c>
      <c r="G112" s="15">
        <f>F112</f>
        <v>503833.33333333331</v>
      </c>
      <c r="H112" s="15">
        <f>G112</f>
        <v>503833.33333333331</v>
      </c>
      <c r="I112" s="11"/>
      <c r="J112" s="3" t="str">
        <f t="shared" ref="J112:J117" si="17">J101</f>
        <v>Equal %</v>
      </c>
      <c r="K112" s="15">
        <f>K100/COUNT($K$101:$P$101)</f>
        <v>0</v>
      </c>
      <c r="L112" s="15">
        <f>K112</f>
        <v>0</v>
      </c>
      <c r="M112" s="15">
        <f>L112</f>
        <v>0</v>
      </c>
      <c r="N112" s="15">
        <f>M112</f>
        <v>0</v>
      </c>
      <c r="O112" s="15">
        <f>N112</f>
        <v>0</v>
      </c>
      <c r="P112" s="15">
        <f>O112</f>
        <v>0</v>
      </c>
    </row>
    <row r="113" spans="2:16" x14ac:dyDescent="0.2">
      <c r="B113" s="15" t="str">
        <f t="shared" si="16"/>
        <v>Count</v>
      </c>
      <c r="C113" s="15">
        <f t="shared" ref="C113:H113" si="18">C102/SUM($C$102:$H$102)*$C$100</f>
        <v>2648578.206356728</v>
      </c>
      <c r="D113" s="15">
        <f t="shared" si="18"/>
        <v>363923.77516896412</v>
      </c>
      <c r="E113" s="15">
        <f t="shared" si="18"/>
        <v>6616.0564125639639</v>
      </c>
      <c r="F113" s="15">
        <f t="shared" si="18"/>
        <v>1220.1743383826984</v>
      </c>
      <c r="G113" s="15">
        <f t="shared" si="18"/>
        <v>108.45994118957317</v>
      </c>
      <c r="H113" s="15">
        <f t="shared" si="18"/>
        <v>2553.3277821712022</v>
      </c>
      <c r="I113" s="16"/>
      <c r="J113" s="3" t="str">
        <f t="shared" si="17"/>
        <v>Count</v>
      </c>
      <c r="K113" s="15">
        <f t="shared" ref="K113:P113" si="19">K102/SUM($K$102:$P$102)*$K$100</f>
        <v>0</v>
      </c>
      <c r="L113" s="15">
        <f t="shared" si="19"/>
        <v>0</v>
      </c>
      <c r="M113" s="15">
        <f t="shared" si="19"/>
        <v>0</v>
      </c>
      <c r="N113" s="15">
        <f t="shared" si="19"/>
        <v>0</v>
      </c>
      <c r="O113" s="15">
        <f t="shared" si="19"/>
        <v>0</v>
      </c>
      <c r="P113" s="15">
        <f t="shared" si="19"/>
        <v>0</v>
      </c>
    </row>
    <row r="114" spans="2:16" x14ac:dyDescent="0.2">
      <c r="B114" s="15" t="str">
        <f t="shared" si="16"/>
        <v>Therms</v>
      </c>
      <c r="C114" s="15">
        <f t="shared" ref="C114:H114" si="20">C103/SUM($C$103:$H$103)*$C$100</f>
        <v>444996.84687950765</v>
      </c>
      <c r="D114" s="15">
        <f t="shared" si="20"/>
        <v>315135.08117736387</v>
      </c>
      <c r="E114" s="15">
        <f t="shared" si="20"/>
        <v>44969.903461713817</v>
      </c>
      <c r="F114" s="15">
        <f t="shared" si="20"/>
        <v>42759.057473788358</v>
      </c>
      <c r="G114" s="15">
        <f t="shared" si="20"/>
        <v>7883.8192268830708</v>
      </c>
      <c r="H114" s="15">
        <f t="shared" si="20"/>
        <v>2167255.2917807433</v>
      </c>
      <c r="I114" s="16"/>
      <c r="J114" s="3" t="str">
        <f t="shared" si="17"/>
        <v>Therms</v>
      </c>
      <c r="K114" s="15">
        <f t="shared" ref="K114:P114" si="21">K103/SUM($K$103:$P$103)*$K$100</f>
        <v>0</v>
      </c>
      <c r="L114" s="15">
        <f t="shared" si="21"/>
        <v>0</v>
      </c>
      <c r="M114" s="15">
        <f t="shared" si="21"/>
        <v>0</v>
      </c>
      <c r="N114" s="15">
        <f t="shared" si="21"/>
        <v>0</v>
      </c>
      <c r="O114" s="15">
        <f t="shared" si="21"/>
        <v>0</v>
      </c>
      <c r="P114" s="15">
        <f t="shared" si="21"/>
        <v>0</v>
      </c>
    </row>
    <row r="115" spans="2:16" x14ac:dyDescent="0.2">
      <c r="B115" s="15" t="str">
        <f t="shared" si="16"/>
        <v>Base Rev</v>
      </c>
      <c r="C115" s="15">
        <f t="shared" ref="C115:H115" si="22">C104/SUM($C$104:$H$104)*$C$100</f>
        <v>1484799.3821280252</v>
      </c>
      <c r="D115" s="15">
        <f t="shared" si="22"/>
        <v>806500.32775379682</v>
      </c>
      <c r="E115" s="15">
        <f t="shared" si="22"/>
        <v>72743.636834669407</v>
      </c>
      <c r="F115" s="15">
        <f t="shared" si="22"/>
        <v>59410.147447166302</v>
      </c>
      <c r="G115" s="15">
        <f t="shared" si="22"/>
        <v>4548.3664033387913</v>
      </c>
      <c r="H115" s="15">
        <f t="shared" si="22"/>
        <v>594998.1394330035</v>
      </c>
      <c r="I115" s="13"/>
      <c r="J115" s="3" t="str">
        <f t="shared" si="17"/>
        <v>Base Rev</v>
      </c>
      <c r="K115" s="15">
        <f t="shared" ref="K115:P115" si="23">K104/SUM($K$104:$P$104)*$K$100</f>
        <v>0</v>
      </c>
      <c r="L115" s="15">
        <f t="shared" si="23"/>
        <v>0</v>
      </c>
      <c r="M115" s="15">
        <f t="shared" si="23"/>
        <v>0</v>
      </c>
      <c r="N115" s="15">
        <f t="shared" si="23"/>
        <v>0</v>
      </c>
      <c r="O115" s="15">
        <f t="shared" si="23"/>
        <v>0</v>
      </c>
      <c r="P115" s="15">
        <f t="shared" si="23"/>
        <v>0</v>
      </c>
    </row>
    <row r="116" spans="2:16" x14ac:dyDescent="0.2">
      <c r="B116" s="15" t="str">
        <f t="shared" si="16"/>
        <v>GRC</v>
      </c>
      <c r="C116" s="15">
        <f t="shared" ref="C116:H117" si="24">C105/SUM($C$106:$H$106)*$C$100</f>
        <v>503833.33333333331</v>
      </c>
      <c r="D116" s="15">
        <f t="shared" si="24"/>
        <v>503833.33333333331</v>
      </c>
      <c r="E116" s="15">
        <f t="shared" si="24"/>
        <v>503833.33333333331</v>
      </c>
      <c r="F116" s="15">
        <f t="shared" si="24"/>
        <v>503833.33333333331</v>
      </c>
      <c r="G116" s="15">
        <f t="shared" si="24"/>
        <v>503833.33333333331</v>
      </c>
      <c r="H116" s="15">
        <f t="shared" si="24"/>
        <v>503833.33333333331</v>
      </c>
      <c r="I116" s="25"/>
      <c r="J116" s="3" t="str">
        <f t="shared" si="17"/>
        <v>GRC</v>
      </c>
      <c r="K116" s="15">
        <f t="shared" ref="K116:P117" si="25">K105/SUM($K$106:$P$106)*$K$100</f>
        <v>0</v>
      </c>
      <c r="L116" s="15">
        <f t="shared" si="25"/>
        <v>0</v>
      </c>
      <c r="M116" s="15">
        <f t="shared" si="25"/>
        <v>0</v>
      </c>
      <c r="N116" s="15">
        <f t="shared" si="25"/>
        <v>0</v>
      </c>
      <c r="O116" s="15">
        <f t="shared" si="25"/>
        <v>0</v>
      </c>
      <c r="P116" s="15">
        <f t="shared" si="25"/>
        <v>0</v>
      </c>
    </row>
    <row r="117" spans="2:16" x14ac:dyDescent="0.2">
      <c r="B117" s="15" t="str">
        <f t="shared" si="16"/>
        <v>OPEN</v>
      </c>
      <c r="C117" s="15">
        <f t="shared" si="24"/>
        <v>503833.33333333331</v>
      </c>
      <c r="D117" s="15">
        <f t="shared" si="24"/>
        <v>503833.33333333331</v>
      </c>
      <c r="E117" s="15">
        <f t="shared" si="24"/>
        <v>503833.33333333331</v>
      </c>
      <c r="F117" s="15">
        <f t="shared" si="24"/>
        <v>503833.33333333331</v>
      </c>
      <c r="G117" s="15">
        <f t="shared" si="24"/>
        <v>503833.33333333331</v>
      </c>
      <c r="H117" s="15">
        <f t="shared" si="24"/>
        <v>503833.33333333331</v>
      </c>
      <c r="I117" s="25"/>
      <c r="J117" s="3" t="str">
        <f t="shared" si="17"/>
        <v>OPEN</v>
      </c>
      <c r="K117" s="15">
        <f t="shared" si="25"/>
        <v>0</v>
      </c>
      <c r="L117" s="15">
        <f t="shared" si="25"/>
        <v>0</v>
      </c>
      <c r="M117" s="15">
        <f t="shared" si="25"/>
        <v>0</v>
      </c>
      <c r="N117" s="15">
        <f t="shared" si="25"/>
        <v>0</v>
      </c>
      <c r="O117" s="15">
        <f t="shared" si="25"/>
        <v>0</v>
      </c>
      <c r="P117" s="15">
        <f t="shared" si="25"/>
        <v>0</v>
      </c>
    </row>
    <row r="120" spans="2:16" ht="13.5" thickBot="1" x14ac:dyDescent="0.25">
      <c r="B120" s="3" t="s">
        <v>53</v>
      </c>
      <c r="J120" s="3" t="s">
        <v>2</v>
      </c>
    </row>
    <row r="121" spans="2:16" x14ac:dyDescent="0.2">
      <c r="B121" s="9" t="s">
        <v>85</v>
      </c>
      <c r="C121" s="9" t="s">
        <v>86</v>
      </c>
      <c r="D121" s="9" t="s">
        <v>87</v>
      </c>
      <c r="E121" s="9" t="s">
        <v>88</v>
      </c>
      <c r="F121" s="9" t="s">
        <v>89</v>
      </c>
      <c r="G121" s="9" t="s">
        <v>90</v>
      </c>
      <c r="H121" s="9" t="s">
        <v>91</v>
      </c>
      <c r="J121" s="9" t="s">
        <v>85</v>
      </c>
      <c r="K121" s="9" t="s">
        <v>92</v>
      </c>
      <c r="L121" s="9" t="s">
        <v>93</v>
      </c>
      <c r="M121" s="9" t="s">
        <v>94</v>
      </c>
      <c r="N121" s="9" t="s">
        <v>95</v>
      </c>
      <c r="O121" s="9" t="s">
        <v>96</v>
      </c>
      <c r="P121" s="9" t="s">
        <v>97</v>
      </c>
    </row>
    <row r="122" spans="2:16" x14ac:dyDescent="0.2">
      <c r="B122" s="3" t="s">
        <v>33</v>
      </c>
      <c r="C122" s="26">
        <v>54.079563714333339</v>
      </c>
      <c r="D122" s="26">
        <v>242.10836935259738</v>
      </c>
      <c r="E122" s="26">
        <v>1563.8912471966592</v>
      </c>
      <c r="F122" s="26">
        <v>12368.406112261295</v>
      </c>
      <c r="G122" s="26">
        <v>16075.98556177056</v>
      </c>
      <c r="H122" s="26">
        <v>12940.934409573314</v>
      </c>
      <c r="J122" s="3" t="str">
        <f>B122</f>
        <v>Avg. Bills</v>
      </c>
      <c r="K122" s="26">
        <v>50.770949999999999</v>
      </c>
      <c r="L122" s="26">
        <v>174.05724999999998</v>
      </c>
      <c r="M122" s="26">
        <v>1141.6030639999999</v>
      </c>
      <c r="N122" s="26">
        <v>7717.4138050952388</v>
      </c>
      <c r="O122" s="26">
        <v>7041.0872092566651</v>
      </c>
      <c r="P122" s="26">
        <v>20689.206513679703</v>
      </c>
    </row>
    <row r="123" spans="2:16" x14ac:dyDescent="0.2">
      <c r="B123" s="3" t="s">
        <v>45</v>
      </c>
      <c r="C123" s="26">
        <f t="shared" ref="C123:H123" si="26">IF($C$4="WA", G$39/C$102/12, 0)</f>
        <v>0.6333636118325856</v>
      </c>
      <c r="D123" s="26">
        <f t="shared" si="26"/>
        <v>2.5037574282364017</v>
      </c>
      <c r="E123" s="26">
        <f t="shared" si="26"/>
        <v>12.422069131603381</v>
      </c>
      <c r="F123" s="26">
        <f t="shared" si="26"/>
        <v>55.009395784413243</v>
      </c>
      <c r="G123" s="26">
        <f t="shared" si="26"/>
        <v>47.378816701445743</v>
      </c>
      <c r="H123" s="26">
        <f t="shared" si="26"/>
        <v>263.27351302345284</v>
      </c>
      <c r="J123" s="3" t="str">
        <f>B123</f>
        <v>$ Increase</v>
      </c>
      <c r="K123" s="26">
        <f t="shared" ref="K123:P123" si="27">IF($C$4="OR", G$39/K$102/12, 0)</f>
        <v>0</v>
      </c>
      <c r="L123" s="26">
        <f t="shared" si="27"/>
        <v>0</v>
      </c>
      <c r="M123" s="26">
        <f t="shared" si="27"/>
        <v>0</v>
      </c>
      <c r="N123" s="26">
        <f t="shared" si="27"/>
        <v>0</v>
      </c>
      <c r="O123" s="26">
        <f t="shared" si="27"/>
        <v>0</v>
      </c>
      <c r="P123" s="26">
        <f t="shared" si="27"/>
        <v>0</v>
      </c>
    </row>
    <row r="124" spans="2:16" x14ac:dyDescent="0.2">
      <c r="B124" s="3" t="s">
        <v>47</v>
      </c>
      <c r="C124" s="11">
        <f>C123/C122</f>
        <v>1.171169973149613E-2</v>
      </c>
      <c r="D124" s="11">
        <f t="shared" ref="D124:H124" si="28">D123/D122</f>
        <v>1.034147408836588E-2</v>
      </c>
      <c r="E124" s="11">
        <f t="shared" si="28"/>
        <v>7.9430517651853747E-3</v>
      </c>
      <c r="F124" s="11">
        <f t="shared" si="28"/>
        <v>4.4475735422270972E-3</v>
      </c>
      <c r="G124" s="11">
        <f t="shared" si="28"/>
        <v>2.9471796002426606E-3</v>
      </c>
      <c r="H124" s="11">
        <f t="shared" si="28"/>
        <v>2.0344242903255195E-2</v>
      </c>
      <c r="J124" s="3" t="str">
        <f>B124</f>
        <v>% Increase</v>
      </c>
      <c r="K124" s="11">
        <f t="shared" ref="K124:P124" si="29">K123/K122</f>
        <v>0</v>
      </c>
      <c r="L124" s="11">
        <f t="shared" si="29"/>
        <v>0</v>
      </c>
      <c r="M124" s="11">
        <f t="shared" si="29"/>
        <v>0</v>
      </c>
      <c r="N124" s="11">
        <f t="shared" si="29"/>
        <v>0</v>
      </c>
      <c r="O124" s="11">
        <f t="shared" si="29"/>
        <v>0</v>
      </c>
      <c r="P124" s="11">
        <f t="shared" si="29"/>
        <v>0</v>
      </c>
    </row>
    <row r="125" spans="2:16" x14ac:dyDescent="0.2">
      <c r="B125" s="3" t="s">
        <v>48</v>
      </c>
      <c r="C125" s="39">
        <f t="shared" ref="C125:H125" si="30">G39/C103</f>
        <v>1.127053564699363E-2</v>
      </c>
      <c r="D125" s="39">
        <f t="shared" si="30"/>
        <v>8.6445324465297783E-3</v>
      </c>
      <c r="E125" s="39">
        <f t="shared" si="30"/>
        <v>5.4639506372640683E-3</v>
      </c>
      <c r="F125" s="39">
        <f t="shared" si="30"/>
        <v>4.6931692786551776E-3</v>
      </c>
      <c r="G125" s="39">
        <f t="shared" si="30"/>
        <v>1.9487337105179321E-3</v>
      </c>
      <c r="H125" s="39">
        <f t="shared" si="30"/>
        <v>9.273405446070549E-4</v>
      </c>
      <c r="J125" s="3" t="str">
        <f>B125</f>
        <v>$ per Therm</v>
      </c>
      <c r="K125" s="39">
        <f t="shared" ref="K125:P125" si="31">G39/K103</f>
        <v>3.0987518407875971E-2</v>
      </c>
      <c r="L125" s="39">
        <f t="shared" si="31"/>
        <v>2.6073407035836337E-2</v>
      </c>
      <c r="M125" s="39">
        <f t="shared" si="31"/>
        <v>2.2755226908389034E-2</v>
      </c>
      <c r="N125" s="39">
        <f t="shared" si="31"/>
        <v>1.9702707417999392E-2</v>
      </c>
      <c r="O125" s="39">
        <f t="shared" si="31"/>
        <v>1.2078315964238342E-4</v>
      </c>
      <c r="P125" s="39">
        <f t="shared" si="31"/>
        <v>0.31028325086746145</v>
      </c>
    </row>
  </sheetData>
  <dataValidations count="6">
    <dataValidation type="list" allowBlank="1" showInputMessage="1" showErrorMessage="1" sqref="C6" xr:uid="{365A98B4-A025-4C62-873E-064F74DB7774}">
      <formula1>"FPL, SMI, AMI"</formula1>
    </dataValidation>
    <dataValidation type="list" allowBlank="1" showInputMessage="1" showErrorMessage="1" sqref="C3:C5" xr:uid="{25FA86DE-E8A1-4517-8E3A-4CE15819BAA9}">
      <formula1>"WA, OR"</formula1>
    </dataValidation>
    <dataValidation type="list" allowBlank="1" showInputMessage="1" showErrorMessage="1" sqref="C12" xr:uid="{BA68A474-7F16-435E-893F-7884FE1203E9}">
      <formula1>"Avg. Assistance, Avg. LIHEAP"</formula1>
    </dataValidation>
    <dataValidation type="list" allowBlank="1" showInputMessage="1" showErrorMessage="1" sqref="C11:C13 F6 F12" xr:uid="{A2829DED-D94D-4B5B-8CFF-D39EF457BF79}">
      <formula1>$J$100:$J$106</formula1>
    </dataValidation>
    <dataValidation type="list" allowBlank="1" showInputMessage="1" showErrorMessage="1" sqref="F4" xr:uid="{8069F7E7-20F6-4CA3-9FB1-6AE76EB92B95}">
      <formula1>"Proposed, Report+Current"</formula1>
    </dataValidation>
    <dataValidation type="list" allowBlank="1" showInputMessage="1" showErrorMessage="1" sqref="F4" xr:uid="{D2296834-8389-424E-B519-F6EBB00BA639}">
      <formula1>"Proposed, Report+Prior Program"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067A-9FD7-4276-9EB6-0A109B4F2255}">
  <sheetPr>
    <tabColor theme="9" tint="0.79998168889431442"/>
    <pageSetUpPr fitToPage="1"/>
  </sheetPr>
  <dimension ref="A1:Z29"/>
  <sheetViews>
    <sheetView topLeftCell="E1" zoomScale="80" zoomScaleNormal="80" workbookViewId="0">
      <pane ySplit="1" topLeftCell="A2" activePane="bottomLeft" state="frozen"/>
      <selection activeCell="U2" sqref="U2"/>
      <selection pane="bottomLeft" activeCell="P29" sqref="P29"/>
    </sheetView>
  </sheetViews>
  <sheetFormatPr defaultColWidth="9.140625" defaultRowHeight="12.75" x14ac:dyDescent="0.2"/>
  <cols>
    <col min="1" max="1" width="13.5703125" style="3" bestFit="1" customWidth="1"/>
    <col min="2" max="2" width="6" style="3" bestFit="1" customWidth="1"/>
    <col min="3" max="3" width="17.140625" style="3" bestFit="1" customWidth="1"/>
    <col min="4" max="4" width="12.7109375" style="3" bestFit="1" customWidth="1"/>
    <col min="5" max="5" width="16.5703125" style="3" bestFit="1" customWidth="1"/>
    <col min="6" max="6" width="18.7109375" style="3" bestFit="1" customWidth="1"/>
    <col min="7" max="7" width="13.7109375" style="3" bestFit="1" customWidth="1"/>
    <col min="8" max="8" width="17.7109375" style="3" bestFit="1" customWidth="1"/>
    <col min="9" max="9" width="19.85546875" style="3" bestFit="1" customWidth="1"/>
    <col min="10" max="10" width="13.85546875" style="3" bestFit="1" customWidth="1"/>
    <col min="11" max="11" width="17.85546875" style="3" bestFit="1" customWidth="1"/>
    <col min="12" max="12" width="20" style="3" bestFit="1" customWidth="1"/>
    <col min="13" max="13" width="12.85546875" style="3" bestFit="1" customWidth="1"/>
    <col min="14" max="14" width="18.85546875" style="3" bestFit="1" customWidth="1"/>
    <col min="15" max="15" width="7.140625" style="3" bestFit="1" customWidth="1"/>
    <col min="16" max="16" width="10.85546875" style="3" bestFit="1" customWidth="1"/>
    <col min="17" max="17" width="9.85546875" style="3" bestFit="1" customWidth="1"/>
    <col min="18" max="18" width="7.42578125" style="3" bestFit="1" customWidth="1"/>
    <col min="19" max="19" width="7.85546875" style="3" bestFit="1" customWidth="1"/>
    <col min="20" max="20" width="13.7109375" style="3" bestFit="1" customWidth="1"/>
    <col min="21" max="21" width="13.85546875" style="3" bestFit="1" customWidth="1"/>
    <col min="22" max="22" width="10.28515625" style="3" bestFit="1" customWidth="1"/>
    <col min="23" max="23" width="7.85546875" style="3" bestFit="1" customWidth="1"/>
    <col min="24" max="24" width="15.7109375" style="3" bestFit="1" customWidth="1"/>
    <col min="25" max="25" width="19.28515625" style="3" bestFit="1" customWidth="1"/>
    <col min="26" max="26" width="20.28515625" style="3" bestFit="1" customWidth="1"/>
    <col min="27" max="16384" width="9.140625" style="3"/>
  </cols>
  <sheetData>
    <row r="1" spans="1:26" x14ac:dyDescent="0.2">
      <c r="A1" s="29" t="s">
        <v>103</v>
      </c>
      <c r="B1" s="29" t="s">
        <v>104</v>
      </c>
      <c r="C1" s="29" t="s">
        <v>105</v>
      </c>
      <c r="D1" s="29" t="s">
        <v>106</v>
      </c>
      <c r="E1" s="29" t="s">
        <v>107</v>
      </c>
      <c r="F1" s="29" t="s">
        <v>108</v>
      </c>
      <c r="G1" s="29" t="s">
        <v>109</v>
      </c>
      <c r="H1" s="29" t="s">
        <v>110</v>
      </c>
      <c r="I1" s="29" t="s">
        <v>111</v>
      </c>
      <c r="J1" s="29" t="s">
        <v>112</v>
      </c>
      <c r="K1" s="29" t="s">
        <v>113</v>
      </c>
      <c r="L1" s="29" t="s">
        <v>114</v>
      </c>
      <c r="M1" s="29" t="s">
        <v>115</v>
      </c>
      <c r="N1" s="29" t="s">
        <v>116</v>
      </c>
      <c r="O1" s="30" t="s">
        <v>22</v>
      </c>
      <c r="P1" s="30" t="s">
        <v>117</v>
      </c>
      <c r="Q1" s="30" t="s">
        <v>118</v>
      </c>
      <c r="R1" s="30" t="s">
        <v>119</v>
      </c>
      <c r="S1" s="3" t="s">
        <v>120</v>
      </c>
      <c r="T1" s="3" t="s">
        <v>121</v>
      </c>
      <c r="U1" s="3" t="s">
        <v>122</v>
      </c>
      <c r="V1" s="3" t="s">
        <v>123</v>
      </c>
      <c r="W1" s="3" t="s">
        <v>124</v>
      </c>
      <c r="X1" s="3" t="s">
        <v>125</v>
      </c>
      <c r="Y1" s="3" t="s">
        <v>126</v>
      </c>
      <c r="Z1" s="3" t="s">
        <v>127</v>
      </c>
    </row>
    <row r="2" spans="1:26" x14ac:dyDescent="0.2">
      <c r="A2" s="3" t="s">
        <v>128</v>
      </c>
      <c r="B2" s="3" t="s">
        <v>53</v>
      </c>
      <c r="C2" s="31">
        <v>1418</v>
      </c>
      <c r="D2" s="31">
        <v>74</v>
      </c>
      <c r="E2" s="32">
        <v>34776.160000000003</v>
      </c>
      <c r="F2" s="32">
        <v>29238.61</v>
      </c>
      <c r="G2" s="31">
        <v>1</v>
      </c>
      <c r="H2" s="32">
        <v>674.48</v>
      </c>
      <c r="I2" s="32">
        <v>684.59</v>
      </c>
      <c r="J2" s="31">
        <v>116</v>
      </c>
      <c r="K2" s="32">
        <v>59152.33</v>
      </c>
      <c r="L2" s="32">
        <v>30970.75</v>
      </c>
      <c r="M2" s="31">
        <v>0</v>
      </c>
      <c r="N2" s="32">
        <v>0</v>
      </c>
      <c r="O2" s="31">
        <f>Table4[[#This Row],[WEAF_COUNT]]+Table4[[#This Row],[LIHEAP_COUNT]]+Table4[[#This Row],[BIGHRT_COUNT]]+Table4[[#This Row],[OLIBA_COUNT]]</f>
        <v>191</v>
      </c>
      <c r="P2" s="32">
        <f>Table4[[#This Row],[WEAF_TOTAL_BILL]]+Table4[[#This Row],[LIHEAP_TOTAL_BILL]]+Table4[[#This Row],[BIGHRT_TOTAL_BILL]]</f>
        <v>94602.97</v>
      </c>
      <c r="Q2" s="32">
        <f>Table4[[#This Row],[WEAF_TOTAL_ASSIST]]+Table4[[#This Row],[LIHEAP_TOTAL_ASSIST]]+Table4[[#This Row],[BIGHRT_TOTAL_ASSIST]]+Table4[[#This Row],[OLIBA_TOTAL_ASSIST]]</f>
        <v>60893.95</v>
      </c>
      <c r="R2" s="19">
        <f>Table4[[#This Row],[Count]]/Table4[[#This Row],[CUSTOMER_COUNT]]</f>
        <v>0.13469675599435826</v>
      </c>
      <c r="S2" s="32">
        <f>Table4[[#This Row],[Bill]]/Table4[[#This Row],[Count]]</f>
        <v>495.30350785340318</v>
      </c>
      <c r="T2" s="32">
        <f>Table4[[#This Row],[Assistance]]/Table4[[#This Row],[Count]]</f>
        <v>318.81649214659683</v>
      </c>
      <c r="U2" s="17">
        <f>Table4[[#This Row],[Avg. Bill]]-Table4[[#This Row],[Avg. Assistance]]</f>
        <v>176.48701570680635</v>
      </c>
      <c r="V2" s="19">
        <f>Table4[[#This Row],[Avg. Assistance]]/Table4[[#This Row],[Avg. Bill]]</f>
        <v>0.64367905151392169</v>
      </c>
      <c r="W2" s="32">
        <f>Table4[[#This Row],[BIGHRT_TOTAL_BILL]]/Table4[[#This Row],[BIGHRT_COUNT]]</f>
        <v>509.93387931034482</v>
      </c>
      <c r="X2" s="32">
        <f>Table4[[#This Row],[BIGHRT_TOTAL_ASSIST]]/Table4[[#This Row],[BIGHRT_COUNT]]</f>
        <v>266.98922413793105</v>
      </c>
      <c r="Y2" s="54">
        <f>(Table4[[#This Row],[BHG Bill]]-Table4[[#This Row],[BHG Arrear Grant]])/Table4[[#This Row],[BHG Bill]]</f>
        <v>0.47642383655893178</v>
      </c>
      <c r="Z2" s="32">
        <f>IFERROR(Table4[[#This Row],[LIHEAP_TOTAL_ASSIST]]/Table4[[#This Row],[LIHEAP_COUNT]], 0)</f>
        <v>684.59</v>
      </c>
    </row>
    <row r="3" spans="1:26" x14ac:dyDescent="0.2">
      <c r="A3" s="3" t="s">
        <v>129</v>
      </c>
      <c r="B3" s="3" t="s">
        <v>2</v>
      </c>
      <c r="C3" s="31">
        <v>4092</v>
      </c>
      <c r="D3" s="31">
        <v>0</v>
      </c>
      <c r="E3" s="17">
        <v>0</v>
      </c>
      <c r="F3" s="17">
        <v>0</v>
      </c>
      <c r="G3" s="31">
        <v>176</v>
      </c>
      <c r="H3" s="17">
        <v>96101</v>
      </c>
      <c r="I3" s="17">
        <v>78128.36</v>
      </c>
      <c r="J3" s="31">
        <v>135</v>
      </c>
      <c r="K3" s="17">
        <v>83307.61</v>
      </c>
      <c r="L3" s="17">
        <v>50090.16</v>
      </c>
      <c r="M3" s="31">
        <v>0</v>
      </c>
      <c r="N3" s="17">
        <v>0</v>
      </c>
      <c r="O3" s="31">
        <f>Table4[[#This Row],[WEAF_COUNT]]+Table4[[#This Row],[LIHEAP_COUNT]]+Table4[[#This Row],[BIGHRT_COUNT]]+Table4[[#This Row],[OLIBA_COUNT]]</f>
        <v>311</v>
      </c>
      <c r="P3" s="17">
        <f>Table4[[#This Row],[WEAF_TOTAL_BILL]]+Table4[[#This Row],[LIHEAP_TOTAL_BILL]]+Table4[[#This Row],[BIGHRT_TOTAL_BILL]]</f>
        <v>179408.61</v>
      </c>
      <c r="Q3" s="17">
        <f>Table4[[#This Row],[WEAF_TOTAL_ASSIST]]+Table4[[#This Row],[LIHEAP_TOTAL_ASSIST]]+Table4[[#This Row],[BIGHRT_TOTAL_ASSIST]]+Table4[[#This Row],[OLIBA_TOTAL_ASSIST]]</f>
        <v>128218.52</v>
      </c>
      <c r="R3" s="19">
        <f>Table4[[#This Row],[Count]]/Table4[[#This Row],[CUSTOMER_COUNT]]</f>
        <v>7.6001955034213101E-2</v>
      </c>
      <c r="S3" s="32">
        <f>Table4[[#This Row],[Bill]]/Table4[[#This Row],[Count]]</f>
        <v>576.87655948553049</v>
      </c>
      <c r="T3" s="32">
        <f>Table4[[#This Row],[Assistance]]/Table4[[#This Row],[Count]]</f>
        <v>412.27819935691321</v>
      </c>
      <c r="U3" s="17">
        <f>Table4[[#This Row],[Avg. Bill]]-Table4[[#This Row],[Avg. Assistance]]</f>
        <v>164.59836012861729</v>
      </c>
      <c r="V3" s="19">
        <f>Table4[[#This Row],[Avg. Assistance]]/Table4[[#This Row],[Avg. Bill]]</f>
        <v>0.71467316981052365</v>
      </c>
      <c r="W3" s="32">
        <f>Table4[[#This Row],[BIGHRT_TOTAL_BILL]]/Table4[[#This Row],[BIGHRT_COUNT]]</f>
        <v>617.09340740740743</v>
      </c>
      <c r="X3" s="32">
        <f>Table4[[#This Row],[BIGHRT_TOTAL_ASSIST]]/Table4[[#This Row],[BIGHRT_COUNT]]</f>
        <v>371.03822222222226</v>
      </c>
      <c r="Y3" s="54">
        <f>(Table4[[#This Row],[BHG Bill]]-Table4[[#This Row],[BHG Arrear Grant]])/Table4[[#This Row],[BHG Bill]]</f>
        <v>0.39873248074215545</v>
      </c>
      <c r="Z3" s="32">
        <f>IFERROR(Table4[[#This Row],[LIHEAP_TOTAL_ASSIST]]/Table4[[#This Row],[LIHEAP_COUNT]], 0)</f>
        <v>443.91113636363639</v>
      </c>
    </row>
    <row r="4" spans="1:26" x14ac:dyDescent="0.2">
      <c r="A4" s="3" t="s">
        <v>130</v>
      </c>
      <c r="B4" s="3" t="s">
        <v>53</v>
      </c>
      <c r="C4" s="31">
        <v>21668</v>
      </c>
      <c r="D4" s="31">
        <v>81</v>
      </c>
      <c r="E4" s="32">
        <v>46682.06</v>
      </c>
      <c r="F4" s="32">
        <v>22889.46</v>
      </c>
      <c r="G4" s="31">
        <v>3</v>
      </c>
      <c r="H4" s="32">
        <v>1569.69</v>
      </c>
      <c r="I4" s="32">
        <v>2168</v>
      </c>
      <c r="J4" s="31">
        <v>309</v>
      </c>
      <c r="K4" s="32">
        <v>180683.51999999999</v>
      </c>
      <c r="L4" s="32">
        <v>118801.88</v>
      </c>
      <c r="M4" s="31">
        <v>0</v>
      </c>
      <c r="N4" s="32">
        <v>0</v>
      </c>
      <c r="O4" s="31">
        <f>Table4[[#This Row],[WEAF_COUNT]]+Table4[[#This Row],[LIHEAP_COUNT]]+Table4[[#This Row],[BIGHRT_COUNT]]+Table4[[#This Row],[OLIBA_COUNT]]</f>
        <v>393</v>
      </c>
      <c r="P4" s="32">
        <f>Table4[[#This Row],[WEAF_TOTAL_BILL]]+Table4[[#This Row],[LIHEAP_TOTAL_BILL]]+Table4[[#This Row],[BIGHRT_TOTAL_BILL]]</f>
        <v>228935.27</v>
      </c>
      <c r="Q4" s="32">
        <f>Table4[[#This Row],[WEAF_TOTAL_ASSIST]]+Table4[[#This Row],[LIHEAP_TOTAL_ASSIST]]+Table4[[#This Row],[BIGHRT_TOTAL_ASSIST]]+Table4[[#This Row],[OLIBA_TOTAL_ASSIST]]</f>
        <v>143859.34</v>
      </c>
      <c r="R4" s="19">
        <f>Table4[[#This Row],[Count]]/Table4[[#This Row],[CUSTOMER_COUNT]]</f>
        <v>1.8137345394129593E-2</v>
      </c>
      <c r="S4" s="32">
        <f>Table4[[#This Row],[Bill]]/Table4[[#This Row],[Count]]</f>
        <v>582.53249363867678</v>
      </c>
      <c r="T4" s="32">
        <f>Table4[[#This Row],[Assistance]]/Table4[[#This Row],[Count]]</f>
        <v>366.05430025445293</v>
      </c>
      <c r="U4" s="17">
        <f>Table4[[#This Row],[Avg. Bill]]-Table4[[#This Row],[Avg. Assistance]]</f>
        <v>216.47819338422386</v>
      </c>
      <c r="V4" s="19">
        <f>Table4[[#This Row],[Avg. Assistance]]/Table4[[#This Row],[Avg. Bill]]</f>
        <v>0.62838434637004603</v>
      </c>
      <c r="W4" s="32">
        <f>Table4[[#This Row],[BIGHRT_TOTAL_BILL]]/Table4[[#This Row],[BIGHRT_COUNT]]</f>
        <v>584.73631067961162</v>
      </c>
      <c r="X4" s="32">
        <f>Table4[[#This Row],[BIGHRT_TOTAL_ASSIST]]/Table4[[#This Row],[BIGHRT_COUNT]]</f>
        <v>384.47210355987056</v>
      </c>
      <c r="Y4" s="54">
        <f>(Table4[[#This Row],[BHG Bill]]-Table4[[#This Row],[BHG Arrear Grant]])/Table4[[#This Row],[BHG Bill]]</f>
        <v>0.34248635404047911</v>
      </c>
      <c r="Z4" s="32">
        <f>IFERROR(Table4[[#This Row],[LIHEAP_TOTAL_ASSIST]]/Table4[[#This Row],[LIHEAP_COUNT]], 0)</f>
        <v>722.66666666666663</v>
      </c>
    </row>
    <row r="5" spans="1:26" x14ac:dyDescent="0.2">
      <c r="A5" s="3" t="s">
        <v>131</v>
      </c>
      <c r="B5" s="3" t="s">
        <v>53</v>
      </c>
      <c r="C5" s="31">
        <v>1601</v>
      </c>
      <c r="D5" s="31">
        <v>5</v>
      </c>
      <c r="E5" s="32">
        <v>2035.87</v>
      </c>
      <c r="F5" s="32">
        <v>1457</v>
      </c>
      <c r="G5" s="31">
        <v>6</v>
      </c>
      <c r="H5" s="32">
        <v>1809.28</v>
      </c>
      <c r="I5" s="32">
        <v>2603</v>
      </c>
      <c r="J5" s="31">
        <v>19</v>
      </c>
      <c r="K5" s="32">
        <v>8752.7900000000009</v>
      </c>
      <c r="L5" s="32">
        <v>4521.33</v>
      </c>
      <c r="M5" s="31">
        <v>0</v>
      </c>
      <c r="N5" s="32">
        <v>0</v>
      </c>
      <c r="O5" s="31">
        <f>Table4[[#This Row],[WEAF_COUNT]]+Table4[[#This Row],[LIHEAP_COUNT]]+Table4[[#This Row],[BIGHRT_COUNT]]+Table4[[#This Row],[OLIBA_COUNT]]</f>
        <v>30</v>
      </c>
      <c r="P5" s="32">
        <f>Table4[[#This Row],[WEAF_TOTAL_BILL]]+Table4[[#This Row],[LIHEAP_TOTAL_BILL]]+Table4[[#This Row],[BIGHRT_TOTAL_BILL]]</f>
        <v>12597.94</v>
      </c>
      <c r="Q5" s="32">
        <f>Table4[[#This Row],[WEAF_TOTAL_ASSIST]]+Table4[[#This Row],[LIHEAP_TOTAL_ASSIST]]+Table4[[#This Row],[BIGHRT_TOTAL_ASSIST]]+Table4[[#This Row],[OLIBA_TOTAL_ASSIST]]</f>
        <v>8581.33</v>
      </c>
      <c r="R5" s="19">
        <f>Table4[[#This Row],[Count]]/Table4[[#This Row],[CUSTOMER_COUNT]]</f>
        <v>1.8738288569643973E-2</v>
      </c>
      <c r="S5" s="32">
        <f>Table4[[#This Row],[Bill]]/Table4[[#This Row],[Count]]</f>
        <v>419.93133333333333</v>
      </c>
      <c r="T5" s="32">
        <f>Table4[[#This Row],[Assistance]]/Table4[[#This Row],[Count]]</f>
        <v>286.04433333333333</v>
      </c>
      <c r="U5" s="17">
        <f>Table4[[#This Row],[Avg. Bill]]-Table4[[#This Row],[Avg. Assistance]]</f>
        <v>133.887</v>
      </c>
      <c r="V5" s="19">
        <f>Table4[[#This Row],[Avg. Assistance]]/Table4[[#This Row],[Avg. Bill]]</f>
        <v>0.68116930228275419</v>
      </c>
      <c r="W5" s="32">
        <f>Table4[[#This Row],[BIGHRT_TOTAL_BILL]]/Table4[[#This Row],[BIGHRT_COUNT]]</f>
        <v>460.6731578947369</v>
      </c>
      <c r="X5" s="32">
        <f>Table4[[#This Row],[BIGHRT_TOTAL_ASSIST]]/Table4[[#This Row],[BIGHRT_COUNT]]</f>
        <v>237.96473684210525</v>
      </c>
      <c r="Y5" s="54">
        <f>(Table4[[#This Row],[BHG Bill]]-Table4[[#This Row],[BHG Arrear Grant]])/Table4[[#This Row],[BHG Bill]]</f>
        <v>0.48344127986619134</v>
      </c>
      <c r="Z5" s="32">
        <f>IFERROR(Table4[[#This Row],[LIHEAP_TOTAL_ASSIST]]/Table4[[#This Row],[LIHEAP_COUNT]], 0)</f>
        <v>433.83333333333331</v>
      </c>
    </row>
    <row r="6" spans="1:26" x14ac:dyDescent="0.2">
      <c r="A6" s="3" t="s">
        <v>132</v>
      </c>
      <c r="B6" s="3" t="s">
        <v>53</v>
      </c>
      <c r="C6" s="31">
        <v>4414</v>
      </c>
      <c r="D6" s="31">
        <v>5</v>
      </c>
      <c r="E6" s="32">
        <v>2898.61</v>
      </c>
      <c r="F6" s="32">
        <v>957.7</v>
      </c>
      <c r="G6" s="31">
        <v>4</v>
      </c>
      <c r="H6" s="32">
        <v>3159.41</v>
      </c>
      <c r="I6" s="32">
        <v>2397</v>
      </c>
      <c r="J6" s="31">
        <v>54</v>
      </c>
      <c r="K6" s="32">
        <v>29981.21</v>
      </c>
      <c r="L6" s="32">
        <v>19702.03</v>
      </c>
      <c r="M6" s="31">
        <v>0</v>
      </c>
      <c r="N6" s="32">
        <v>0</v>
      </c>
      <c r="O6" s="31">
        <f>Table4[[#This Row],[WEAF_COUNT]]+Table4[[#This Row],[LIHEAP_COUNT]]+Table4[[#This Row],[BIGHRT_COUNT]]+Table4[[#This Row],[OLIBA_COUNT]]</f>
        <v>63</v>
      </c>
      <c r="P6" s="32">
        <f>Table4[[#This Row],[WEAF_TOTAL_BILL]]+Table4[[#This Row],[LIHEAP_TOTAL_BILL]]+Table4[[#This Row],[BIGHRT_TOTAL_BILL]]</f>
        <v>36039.229999999996</v>
      </c>
      <c r="Q6" s="32">
        <f>Table4[[#This Row],[WEAF_TOTAL_ASSIST]]+Table4[[#This Row],[LIHEAP_TOTAL_ASSIST]]+Table4[[#This Row],[BIGHRT_TOTAL_ASSIST]]+Table4[[#This Row],[OLIBA_TOTAL_ASSIST]]</f>
        <v>23056.73</v>
      </c>
      <c r="R6" s="19">
        <f>Table4[[#This Row],[Count]]/Table4[[#This Row],[CUSTOMER_COUNT]]</f>
        <v>1.4272768463978252E-2</v>
      </c>
      <c r="S6" s="32">
        <f>Table4[[#This Row],[Bill]]/Table4[[#This Row],[Count]]</f>
        <v>572.0512698412698</v>
      </c>
      <c r="T6" s="32">
        <f>Table4[[#This Row],[Assistance]]/Table4[[#This Row],[Count]]</f>
        <v>365.97984126984124</v>
      </c>
      <c r="U6" s="17">
        <f>Table4[[#This Row],[Avg. Bill]]-Table4[[#This Row],[Avg. Assistance]]</f>
        <v>206.07142857142856</v>
      </c>
      <c r="V6" s="19">
        <f>Table4[[#This Row],[Avg. Assistance]]/Table4[[#This Row],[Avg. Bill]]</f>
        <v>0.63976755330233193</v>
      </c>
      <c r="W6" s="32">
        <f>Table4[[#This Row],[BIGHRT_TOTAL_BILL]]/Table4[[#This Row],[BIGHRT_COUNT]]</f>
        <v>555.20759259259262</v>
      </c>
      <c r="X6" s="32">
        <f>Table4[[#This Row],[BIGHRT_TOTAL_ASSIST]]/Table4[[#This Row],[BIGHRT_COUNT]]</f>
        <v>364.85240740740738</v>
      </c>
      <c r="Y6" s="54">
        <f>(Table4[[#This Row],[BHG Bill]]-Table4[[#This Row],[BHG Arrear Grant]])/Table4[[#This Row],[BHG Bill]]</f>
        <v>0.34285407426851694</v>
      </c>
      <c r="Z6" s="32">
        <f>IFERROR(Table4[[#This Row],[LIHEAP_TOTAL_ASSIST]]/Table4[[#This Row],[LIHEAP_COUNT]], 0)</f>
        <v>599.25</v>
      </c>
    </row>
    <row r="7" spans="1:26" x14ac:dyDescent="0.2">
      <c r="A7" s="3" t="s">
        <v>133</v>
      </c>
      <c r="B7" s="3" t="s">
        <v>2</v>
      </c>
      <c r="C7" s="31">
        <v>3716</v>
      </c>
      <c r="D7" s="31">
        <v>0</v>
      </c>
      <c r="E7" s="17">
        <v>0</v>
      </c>
      <c r="F7" s="17">
        <v>0</v>
      </c>
      <c r="G7" s="31">
        <v>9</v>
      </c>
      <c r="H7" s="17">
        <v>3568.08</v>
      </c>
      <c r="I7" s="17">
        <v>2647.21</v>
      </c>
      <c r="J7" s="31">
        <v>117</v>
      </c>
      <c r="K7" s="17">
        <v>59436.45</v>
      </c>
      <c r="L7" s="17">
        <v>31545.37</v>
      </c>
      <c r="M7" s="31">
        <v>0</v>
      </c>
      <c r="N7" s="17">
        <v>0</v>
      </c>
      <c r="O7" s="31">
        <f>Table4[[#This Row],[WEAF_COUNT]]+Table4[[#This Row],[LIHEAP_COUNT]]+Table4[[#This Row],[BIGHRT_COUNT]]+Table4[[#This Row],[OLIBA_COUNT]]</f>
        <v>126</v>
      </c>
      <c r="P7" s="17">
        <f>Table4[[#This Row],[WEAF_TOTAL_BILL]]+Table4[[#This Row],[LIHEAP_TOTAL_BILL]]+Table4[[#This Row],[BIGHRT_TOTAL_BILL]]</f>
        <v>63004.53</v>
      </c>
      <c r="Q7" s="17">
        <f>Table4[[#This Row],[WEAF_TOTAL_ASSIST]]+Table4[[#This Row],[LIHEAP_TOTAL_ASSIST]]+Table4[[#This Row],[BIGHRT_TOTAL_ASSIST]]+Table4[[#This Row],[OLIBA_TOTAL_ASSIST]]</f>
        <v>34192.58</v>
      </c>
      <c r="R7" s="19">
        <f>Table4[[#This Row],[Count]]/Table4[[#This Row],[CUSTOMER_COUNT]]</f>
        <v>3.3907427341227127E-2</v>
      </c>
      <c r="S7" s="32">
        <f>Table4[[#This Row],[Bill]]/Table4[[#This Row],[Count]]</f>
        <v>500.03595238095238</v>
      </c>
      <c r="T7" s="32">
        <f>Table4[[#This Row],[Assistance]]/Table4[[#This Row],[Count]]</f>
        <v>271.36968253968257</v>
      </c>
      <c r="U7" s="17">
        <f>Table4[[#This Row],[Avg. Bill]]-Table4[[#This Row],[Avg. Assistance]]</f>
        <v>228.66626984126981</v>
      </c>
      <c r="V7" s="19">
        <f>Table4[[#This Row],[Avg. Assistance]]/Table4[[#This Row],[Avg. Bill]]</f>
        <v>0.54270034234046349</v>
      </c>
      <c r="W7" s="32">
        <f>Table4[[#This Row],[BIGHRT_TOTAL_BILL]]/Table4[[#This Row],[BIGHRT_COUNT]]</f>
        <v>508.00384615384615</v>
      </c>
      <c r="X7" s="32">
        <f>Table4[[#This Row],[BIGHRT_TOTAL_ASSIST]]/Table4[[#This Row],[BIGHRT_COUNT]]</f>
        <v>269.61854700854701</v>
      </c>
      <c r="Y7" s="54">
        <f>(Table4[[#This Row],[BHG Bill]]-Table4[[#This Row],[BHG Arrear Grant]])/Table4[[#This Row],[BHG Bill]]</f>
        <v>0.46925884705429077</v>
      </c>
      <c r="Z7" s="32">
        <f>IFERROR(Table4[[#This Row],[LIHEAP_TOTAL_ASSIST]]/Table4[[#This Row],[LIHEAP_COUNT]], 0)</f>
        <v>294.13444444444445</v>
      </c>
    </row>
    <row r="8" spans="1:26" x14ac:dyDescent="0.2">
      <c r="A8" s="3" t="s">
        <v>134</v>
      </c>
      <c r="B8" s="3" t="s">
        <v>2</v>
      </c>
      <c r="C8" s="31">
        <v>52283</v>
      </c>
      <c r="D8" s="31">
        <v>0</v>
      </c>
      <c r="E8" s="17">
        <v>0</v>
      </c>
      <c r="F8" s="17">
        <v>0</v>
      </c>
      <c r="G8" s="31">
        <v>38</v>
      </c>
      <c r="H8" s="17">
        <v>21940.66</v>
      </c>
      <c r="I8" s="17">
        <v>11051.18</v>
      </c>
      <c r="J8" s="31">
        <v>902</v>
      </c>
      <c r="K8" s="17">
        <v>543902.54</v>
      </c>
      <c r="L8" s="17">
        <v>265351</v>
      </c>
      <c r="M8" s="31">
        <v>220</v>
      </c>
      <c r="N8" s="17">
        <v>89652.64</v>
      </c>
      <c r="O8" s="31">
        <f>Table4[[#This Row],[WEAF_COUNT]]+Table4[[#This Row],[LIHEAP_COUNT]]+Table4[[#This Row],[BIGHRT_COUNT]]+Table4[[#This Row],[OLIBA_COUNT]]</f>
        <v>1160</v>
      </c>
      <c r="P8" s="17">
        <f>Table4[[#This Row],[WEAF_TOTAL_BILL]]+Table4[[#This Row],[LIHEAP_TOTAL_BILL]]+Table4[[#This Row],[BIGHRT_TOTAL_BILL]]</f>
        <v>565843.20000000007</v>
      </c>
      <c r="Q8" s="17">
        <f>Table4[[#This Row],[WEAF_TOTAL_ASSIST]]+Table4[[#This Row],[LIHEAP_TOTAL_ASSIST]]+Table4[[#This Row],[BIGHRT_TOTAL_ASSIST]]+Table4[[#This Row],[OLIBA_TOTAL_ASSIST]]</f>
        <v>366054.82</v>
      </c>
      <c r="R8" s="19">
        <f>Table4[[#This Row],[Count]]/Table4[[#This Row],[CUSTOMER_COUNT]]</f>
        <v>2.2186944130979477E-2</v>
      </c>
      <c r="S8" s="32">
        <f>Table4[[#This Row],[Bill]]/Table4[[#This Row],[Count]]</f>
        <v>487.79586206896556</v>
      </c>
      <c r="T8" s="32">
        <f>Table4[[#This Row],[Assistance]]/Table4[[#This Row],[Count]]</f>
        <v>315.56450000000001</v>
      </c>
      <c r="U8" s="17">
        <f>Table4[[#This Row],[Avg. Bill]]-Table4[[#This Row],[Avg. Assistance]]</f>
        <v>172.23136206896555</v>
      </c>
      <c r="V8" s="19">
        <f>Table4[[#This Row],[Avg. Assistance]]/Table4[[#This Row],[Avg. Bill]]</f>
        <v>0.64691918185108521</v>
      </c>
      <c r="W8" s="32">
        <f>Table4[[#This Row],[BIGHRT_TOTAL_BILL]]/Table4[[#This Row],[BIGHRT_COUNT]]</f>
        <v>602.99616407982262</v>
      </c>
      <c r="X8" s="32">
        <f>Table4[[#This Row],[BIGHRT_TOTAL_ASSIST]]/Table4[[#This Row],[BIGHRT_COUNT]]</f>
        <v>294.18070953436808</v>
      </c>
      <c r="Y8" s="54">
        <f>(Table4[[#This Row],[BHG Bill]]-Table4[[#This Row],[BHG Arrear Grant]])/Table4[[#This Row],[BHG Bill]]</f>
        <v>0.51213502330766836</v>
      </c>
      <c r="Z8" s="32">
        <f>IFERROR(Table4[[#This Row],[LIHEAP_TOTAL_ASSIST]]/Table4[[#This Row],[LIHEAP_COUNT]], 0)</f>
        <v>290.82052631578949</v>
      </c>
    </row>
    <row r="9" spans="1:26" x14ac:dyDescent="0.2">
      <c r="A9" s="3" t="s">
        <v>135</v>
      </c>
      <c r="B9" s="3" t="s">
        <v>53</v>
      </c>
      <c r="C9" s="31">
        <v>464</v>
      </c>
      <c r="D9" s="31">
        <v>2</v>
      </c>
      <c r="E9" s="32">
        <v>764.15</v>
      </c>
      <c r="F9" s="32">
        <v>842</v>
      </c>
      <c r="G9" s="31">
        <v>2</v>
      </c>
      <c r="H9" s="32">
        <v>764.15</v>
      </c>
      <c r="I9" s="32">
        <v>591</v>
      </c>
      <c r="J9" s="31">
        <v>6</v>
      </c>
      <c r="K9" s="32">
        <v>3073.61</v>
      </c>
      <c r="L9" s="32">
        <v>1360.92</v>
      </c>
      <c r="M9" s="31">
        <v>0</v>
      </c>
      <c r="N9" s="32">
        <v>0</v>
      </c>
      <c r="O9" s="31">
        <f>Table4[[#This Row],[WEAF_COUNT]]+Table4[[#This Row],[LIHEAP_COUNT]]+Table4[[#This Row],[BIGHRT_COUNT]]+Table4[[#This Row],[OLIBA_COUNT]]</f>
        <v>10</v>
      </c>
      <c r="P9" s="32">
        <f>Table4[[#This Row],[WEAF_TOTAL_BILL]]+Table4[[#This Row],[LIHEAP_TOTAL_BILL]]+Table4[[#This Row],[BIGHRT_TOTAL_BILL]]</f>
        <v>4601.91</v>
      </c>
      <c r="Q9" s="32">
        <f>Table4[[#This Row],[WEAF_TOTAL_ASSIST]]+Table4[[#This Row],[LIHEAP_TOTAL_ASSIST]]+Table4[[#This Row],[BIGHRT_TOTAL_ASSIST]]+Table4[[#This Row],[OLIBA_TOTAL_ASSIST]]</f>
        <v>2793.92</v>
      </c>
      <c r="R9" s="19">
        <f>Table4[[#This Row],[Count]]/Table4[[#This Row],[CUSTOMER_COUNT]]</f>
        <v>2.1551724137931036E-2</v>
      </c>
      <c r="S9" s="32">
        <f>Table4[[#This Row],[Bill]]/Table4[[#This Row],[Count]]</f>
        <v>460.19099999999997</v>
      </c>
      <c r="T9" s="32">
        <f>Table4[[#This Row],[Assistance]]/Table4[[#This Row],[Count]]</f>
        <v>279.392</v>
      </c>
      <c r="U9" s="17">
        <f>Table4[[#This Row],[Avg. Bill]]-Table4[[#This Row],[Avg. Assistance]]</f>
        <v>180.79899999999998</v>
      </c>
      <c r="V9" s="19">
        <f>Table4[[#This Row],[Avg. Assistance]]/Table4[[#This Row],[Avg. Bill]]</f>
        <v>0.60712182550288907</v>
      </c>
      <c r="W9" s="32">
        <f>Table4[[#This Row],[BIGHRT_TOTAL_BILL]]/Table4[[#This Row],[BIGHRT_COUNT]]</f>
        <v>512.26833333333332</v>
      </c>
      <c r="X9" s="32">
        <f>Table4[[#This Row],[BIGHRT_TOTAL_ASSIST]]/Table4[[#This Row],[BIGHRT_COUNT]]</f>
        <v>226.82000000000002</v>
      </c>
      <c r="Y9" s="54">
        <f>(Table4[[#This Row],[BHG Bill]]-Table4[[#This Row],[BHG Arrear Grant]])/Table4[[#This Row],[BHG Bill]]</f>
        <v>0.55722424120171388</v>
      </c>
      <c r="Z9" s="32">
        <f>IFERROR(Table4[[#This Row],[LIHEAP_TOTAL_ASSIST]]/Table4[[#This Row],[LIHEAP_COUNT]], 0)</f>
        <v>295.5</v>
      </c>
    </row>
    <row r="10" spans="1:26" x14ac:dyDescent="0.2">
      <c r="A10" s="3" t="s">
        <v>136</v>
      </c>
      <c r="B10" s="3" t="s">
        <v>53</v>
      </c>
      <c r="C10" s="31">
        <v>13504</v>
      </c>
      <c r="D10" s="31">
        <v>128</v>
      </c>
      <c r="E10" s="32">
        <v>78014.2</v>
      </c>
      <c r="F10" s="32">
        <v>40989.480000000003</v>
      </c>
      <c r="G10" s="31">
        <v>3</v>
      </c>
      <c r="H10" s="32">
        <v>1853.08</v>
      </c>
      <c r="I10" s="32">
        <v>1371.44</v>
      </c>
      <c r="J10" s="31">
        <v>521</v>
      </c>
      <c r="K10" s="32">
        <v>304997.21999999997</v>
      </c>
      <c r="L10" s="32">
        <v>188270.64</v>
      </c>
      <c r="M10" s="31">
        <v>0</v>
      </c>
      <c r="N10" s="32">
        <v>0</v>
      </c>
      <c r="O10" s="31">
        <f>Table4[[#This Row],[WEAF_COUNT]]+Table4[[#This Row],[LIHEAP_COUNT]]+Table4[[#This Row],[BIGHRT_COUNT]]+Table4[[#This Row],[OLIBA_COUNT]]</f>
        <v>652</v>
      </c>
      <c r="P10" s="32">
        <f>Table4[[#This Row],[WEAF_TOTAL_BILL]]+Table4[[#This Row],[LIHEAP_TOTAL_BILL]]+Table4[[#This Row],[BIGHRT_TOTAL_BILL]]</f>
        <v>384864.5</v>
      </c>
      <c r="Q10" s="32">
        <f>Table4[[#This Row],[WEAF_TOTAL_ASSIST]]+Table4[[#This Row],[LIHEAP_TOTAL_ASSIST]]+Table4[[#This Row],[BIGHRT_TOTAL_ASSIST]]+Table4[[#This Row],[OLIBA_TOTAL_ASSIST]]</f>
        <v>230631.56000000003</v>
      </c>
      <c r="R10" s="19">
        <f>Table4[[#This Row],[Count]]/Table4[[#This Row],[CUSTOMER_COUNT]]</f>
        <v>4.8281990521327013E-2</v>
      </c>
      <c r="S10" s="32">
        <f>Table4[[#This Row],[Bill]]/Table4[[#This Row],[Count]]</f>
        <v>590.28297546012266</v>
      </c>
      <c r="T10" s="32">
        <f>Table4[[#This Row],[Assistance]]/Table4[[#This Row],[Count]]</f>
        <v>353.72938650306753</v>
      </c>
      <c r="U10" s="17">
        <f>Table4[[#This Row],[Avg. Bill]]-Table4[[#This Row],[Avg. Assistance]]</f>
        <v>236.55358895705513</v>
      </c>
      <c r="V10" s="19">
        <f>Table4[[#This Row],[Avg. Assistance]]/Table4[[#This Row],[Avg. Bill]]</f>
        <v>0.59925391923651061</v>
      </c>
      <c r="W10" s="32">
        <f>Table4[[#This Row],[BIGHRT_TOTAL_BILL]]/Table4[[#This Row],[BIGHRT_COUNT]]</f>
        <v>585.40733205374272</v>
      </c>
      <c r="X10" s="32">
        <f>Table4[[#This Row],[BIGHRT_TOTAL_ASSIST]]/Table4[[#This Row],[BIGHRT_COUNT]]</f>
        <v>361.36399232245685</v>
      </c>
      <c r="Y10" s="54">
        <f>(Table4[[#This Row],[BHG Bill]]-Table4[[#This Row],[BHG Arrear Grant]])/Table4[[#This Row],[BHG Bill]]</f>
        <v>0.38271358670088845</v>
      </c>
      <c r="Z10" s="32">
        <f>IFERROR(Table4[[#This Row],[LIHEAP_TOTAL_ASSIST]]/Table4[[#This Row],[LIHEAP_COUNT]], 0)</f>
        <v>457.1466666666667</v>
      </c>
    </row>
    <row r="11" spans="1:26" x14ac:dyDescent="0.2">
      <c r="A11" s="3" t="s">
        <v>137</v>
      </c>
      <c r="B11" s="3" t="s">
        <v>53</v>
      </c>
      <c r="C11" s="31">
        <v>1255</v>
      </c>
      <c r="D11" s="31">
        <v>8</v>
      </c>
      <c r="E11" s="32">
        <v>4739.2</v>
      </c>
      <c r="F11" s="32">
        <v>2672.99</v>
      </c>
      <c r="G11" s="31">
        <v>0</v>
      </c>
      <c r="H11" s="17">
        <v>0</v>
      </c>
      <c r="I11" s="17">
        <v>0</v>
      </c>
      <c r="J11" s="31">
        <v>27</v>
      </c>
      <c r="K11" s="32">
        <v>15324.27</v>
      </c>
      <c r="L11" s="32">
        <v>8471.27</v>
      </c>
      <c r="M11" s="31">
        <v>0</v>
      </c>
      <c r="N11" s="32">
        <v>0</v>
      </c>
      <c r="O11" s="31">
        <f>Table4[[#This Row],[WEAF_COUNT]]+Table4[[#This Row],[LIHEAP_COUNT]]+Table4[[#This Row],[BIGHRT_COUNT]]+Table4[[#This Row],[OLIBA_COUNT]]</f>
        <v>35</v>
      </c>
      <c r="P11" s="32">
        <f>Table4[[#This Row],[WEAF_TOTAL_BILL]]+Table4[[#This Row],[LIHEAP_TOTAL_BILL]]+Table4[[#This Row],[BIGHRT_TOTAL_BILL]]</f>
        <v>20063.47</v>
      </c>
      <c r="Q11" s="32">
        <f>Table4[[#This Row],[WEAF_TOTAL_ASSIST]]+Table4[[#This Row],[LIHEAP_TOTAL_ASSIST]]+Table4[[#This Row],[BIGHRT_TOTAL_ASSIST]]+Table4[[#This Row],[OLIBA_TOTAL_ASSIST]]</f>
        <v>11144.26</v>
      </c>
      <c r="R11" s="19">
        <f>Table4[[#This Row],[Count]]/Table4[[#This Row],[CUSTOMER_COUNT]]</f>
        <v>2.7888446215139442E-2</v>
      </c>
      <c r="S11" s="32">
        <f>Table4[[#This Row],[Bill]]/Table4[[#This Row],[Count]]</f>
        <v>573.24200000000008</v>
      </c>
      <c r="T11" s="32">
        <f>Table4[[#This Row],[Assistance]]/Table4[[#This Row],[Count]]</f>
        <v>318.40742857142857</v>
      </c>
      <c r="U11" s="17">
        <f>Table4[[#This Row],[Avg. Bill]]-Table4[[#This Row],[Avg. Assistance]]</f>
        <v>254.83457142857151</v>
      </c>
      <c r="V11" s="19">
        <f>Table4[[#This Row],[Avg. Assistance]]/Table4[[#This Row],[Avg. Bill]]</f>
        <v>0.55545027854104989</v>
      </c>
      <c r="W11" s="32">
        <f>Table4[[#This Row],[BIGHRT_TOTAL_BILL]]/Table4[[#This Row],[BIGHRT_COUNT]]</f>
        <v>567.56555555555553</v>
      </c>
      <c r="X11" s="32">
        <f>Table4[[#This Row],[BIGHRT_TOTAL_ASSIST]]/Table4[[#This Row],[BIGHRT_COUNT]]</f>
        <v>313.75074074074075</v>
      </c>
      <c r="Y11" s="54">
        <f>(Table4[[#This Row],[BHG Bill]]-Table4[[#This Row],[BHG Arrear Grant]])/Table4[[#This Row],[BHG Bill]]</f>
        <v>0.44719911617323366</v>
      </c>
      <c r="Z11" s="32">
        <f>IFERROR(Table4[[#This Row],[LIHEAP_TOTAL_ASSIST]]/Table4[[#This Row],[LIHEAP_COUNT]], 0)</f>
        <v>0</v>
      </c>
    </row>
    <row r="12" spans="1:26" x14ac:dyDescent="0.2">
      <c r="A12" s="3" t="s">
        <v>138</v>
      </c>
      <c r="B12" s="3" t="s">
        <v>53</v>
      </c>
      <c r="C12" s="31">
        <v>4380</v>
      </c>
      <c r="D12" s="31">
        <v>48</v>
      </c>
      <c r="E12" s="32">
        <v>40701.06</v>
      </c>
      <c r="F12" s="32">
        <v>15237.74</v>
      </c>
      <c r="G12" s="31">
        <v>49</v>
      </c>
      <c r="H12" s="32">
        <v>38657.18</v>
      </c>
      <c r="I12" s="32">
        <v>17378.46</v>
      </c>
      <c r="J12" s="31">
        <v>181</v>
      </c>
      <c r="K12" s="32">
        <v>138393.93</v>
      </c>
      <c r="L12" s="32">
        <v>83946.13</v>
      </c>
      <c r="M12" s="31">
        <v>0</v>
      </c>
      <c r="N12" s="32">
        <v>0</v>
      </c>
      <c r="O12" s="31">
        <f>Table4[[#This Row],[WEAF_COUNT]]+Table4[[#This Row],[LIHEAP_COUNT]]+Table4[[#This Row],[BIGHRT_COUNT]]+Table4[[#This Row],[OLIBA_COUNT]]</f>
        <v>278</v>
      </c>
      <c r="P12" s="32">
        <f>Table4[[#This Row],[WEAF_TOTAL_BILL]]+Table4[[#This Row],[LIHEAP_TOTAL_BILL]]+Table4[[#This Row],[BIGHRT_TOTAL_BILL]]</f>
        <v>217752.16999999998</v>
      </c>
      <c r="Q12" s="32">
        <f>Table4[[#This Row],[WEAF_TOTAL_ASSIST]]+Table4[[#This Row],[LIHEAP_TOTAL_ASSIST]]+Table4[[#This Row],[BIGHRT_TOTAL_ASSIST]]+Table4[[#This Row],[OLIBA_TOTAL_ASSIST]]</f>
        <v>116562.33</v>
      </c>
      <c r="R12" s="19">
        <f>Table4[[#This Row],[Count]]/Table4[[#This Row],[CUSTOMER_COUNT]]</f>
        <v>6.347031963470319E-2</v>
      </c>
      <c r="S12" s="32">
        <f>Table4[[#This Row],[Bill]]/Table4[[#This Row],[Count]]</f>
        <v>783.28118705035968</v>
      </c>
      <c r="T12" s="32">
        <f>Table4[[#This Row],[Assistance]]/Table4[[#This Row],[Count]]</f>
        <v>419.28895683453237</v>
      </c>
      <c r="U12" s="17">
        <f>Table4[[#This Row],[Avg. Bill]]-Table4[[#This Row],[Avg. Assistance]]</f>
        <v>363.99223021582731</v>
      </c>
      <c r="V12" s="19">
        <f>Table4[[#This Row],[Avg. Assistance]]/Table4[[#This Row],[Avg. Bill]]</f>
        <v>0.53529813273502624</v>
      </c>
      <c r="W12" s="32">
        <f>Table4[[#This Row],[BIGHRT_TOTAL_BILL]]/Table4[[#This Row],[BIGHRT_COUNT]]</f>
        <v>764.6073480662983</v>
      </c>
      <c r="X12" s="32">
        <f>Table4[[#This Row],[BIGHRT_TOTAL_ASSIST]]/Table4[[#This Row],[BIGHRT_COUNT]]</f>
        <v>463.79077348066301</v>
      </c>
      <c r="Y12" s="54">
        <f>(Table4[[#This Row],[BHG Bill]]-Table4[[#This Row],[BHG Arrear Grant]])/Table4[[#This Row],[BHG Bill]]</f>
        <v>0.39342621457458427</v>
      </c>
      <c r="Z12" s="32">
        <f>IFERROR(Table4[[#This Row],[LIHEAP_TOTAL_ASSIST]]/Table4[[#This Row],[LIHEAP_COUNT]], 0)</f>
        <v>354.66244897959183</v>
      </c>
    </row>
    <row r="13" spans="1:26" x14ac:dyDescent="0.2">
      <c r="A13" s="3" t="s">
        <v>139</v>
      </c>
      <c r="B13" s="3" t="s">
        <v>53</v>
      </c>
      <c r="C13" s="31">
        <v>7520</v>
      </c>
      <c r="D13" s="31">
        <v>41</v>
      </c>
      <c r="E13" s="32">
        <v>34687.56</v>
      </c>
      <c r="F13" s="32">
        <v>15857</v>
      </c>
      <c r="G13" s="31">
        <v>50</v>
      </c>
      <c r="H13" s="32">
        <v>38122.21</v>
      </c>
      <c r="I13" s="32">
        <v>19681.61</v>
      </c>
      <c r="J13" s="31">
        <v>105</v>
      </c>
      <c r="K13" s="32">
        <v>81174.009999999995</v>
      </c>
      <c r="L13" s="32">
        <v>45073.29</v>
      </c>
      <c r="M13" s="31">
        <v>0</v>
      </c>
      <c r="N13" s="32">
        <v>0</v>
      </c>
      <c r="O13" s="31">
        <f>Table4[[#This Row],[WEAF_COUNT]]+Table4[[#This Row],[LIHEAP_COUNT]]+Table4[[#This Row],[BIGHRT_COUNT]]+Table4[[#This Row],[OLIBA_COUNT]]</f>
        <v>196</v>
      </c>
      <c r="P13" s="32">
        <f>Table4[[#This Row],[WEAF_TOTAL_BILL]]+Table4[[#This Row],[LIHEAP_TOTAL_BILL]]+Table4[[#This Row],[BIGHRT_TOTAL_BILL]]</f>
        <v>153983.77999999997</v>
      </c>
      <c r="Q13" s="32">
        <f>Table4[[#This Row],[WEAF_TOTAL_ASSIST]]+Table4[[#This Row],[LIHEAP_TOTAL_ASSIST]]+Table4[[#This Row],[BIGHRT_TOTAL_ASSIST]]+Table4[[#This Row],[OLIBA_TOTAL_ASSIST]]</f>
        <v>80611.899999999994</v>
      </c>
      <c r="R13" s="19">
        <f>Table4[[#This Row],[Count]]/Table4[[#This Row],[CUSTOMER_COUNT]]</f>
        <v>2.6063829787234042E-2</v>
      </c>
      <c r="S13" s="32">
        <f>Table4[[#This Row],[Bill]]/Table4[[#This Row],[Count]]</f>
        <v>785.63153061224477</v>
      </c>
      <c r="T13" s="32">
        <f>Table4[[#This Row],[Assistance]]/Table4[[#This Row],[Count]]</f>
        <v>411.28520408163263</v>
      </c>
      <c r="U13" s="17">
        <f>Table4[[#This Row],[Avg. Bill]]-Table4[[#This Row],[Avg. Assistance]]</f>
        <v>374.34632653061215</v>
      </c>
      <c r="V13" s="19">
        <f>Table4[[#This Row],[Avg. Assistance]]/Table4[[#This Row],[Avg. Bill]]</f>
        <v>0.5235090345229868</v>
      </c>
      <c r="W13" s="32">
        <f>Table4[[#This Row],[BIGHRT_TOTAL_BILL]]/Table4[[#This Row],[BIGHRT_COUNT]]</f>
        <v>773.08580952380953</v>
      </c>
      <c r="X13" s="32">
        <f>Table4[[#This Row],[BIGHRT_TOTAL_ASSIST]]/Table4[[#This Row],[BIGHRT_COUNT]]</f>
        <v>429.26942857142859</v>
      </c>
      <c r="Y13" s="54">
        <f>(Table4[[#This Row],[BHG Bill]]-Table4[[#This Row],[BHG Arrear Grant]])/Table4[[#This Row],[BHG Bill]]</f>
        <v>0.44473249504367218</v>
      </c>
      <c r="Z13" s="32">
        <f>IFERROR(Table4[[#This Row],[LIHEAP_TOTAL_ASSIST]]/Table4[[#This Row],[LIHEAP_COUNT]], 0)</f>
        <v>393.63220000000001</v>
      </c>
    </row>
    <row r="14" spans="1:26" x14ac:dyDescent="0.2">
      <c r="A14" s="3" t="s">
        <v>140</v>
      </c>
      <c r="B14" s="3" t="s">
        <v>2</v>
      </c>
      <c r="C14" s="31">
        <v>1807</v>
      </c>
      <c r="D14" s="31">
        <v>0</v>
      </c>
      <c r="E14" s="17">
        <v>0</v>
      </c>
      <c r="F14" s="17">
        <v>0</v>
      </c>
      <c r="G14" s="31">
        <v>1</v>
      </c>
      <c r="H14" s="17">
        <v>367.75</v>
      </c>
      <c r="I14" s="17">
        <v>130.71</v>
      </c>
      <c r="J14" s="31">
        <v>92</v>
      </c>
      <c r="K14" s="17">
        <v>45972.71</v>
      </c>
      <c r="L14" s="17">
        <v>18832.650000000001</v>
      </c>
      <c r="M14" s="31">
        <v>0</v>
      </c>
      <c r="N14" s="17">
        <v>0</v>
      </c>
      <c r="O14" s="31">
        <f>Table4[[#This Row],[WEAF_COUNT]]+Table4[[#This Row],[LIHEAP_COUNT]]+Table4[[#This Row],[BIGHRT_COUNT]]+Table4[[#This Row],[OLIBA_COUNT]]</f>
        <v>93</v>
      </c>
      <c r="P14" s="17">
        <f>Table4[[#This Row],[WEAF_TOTAL_BILL]]+Table4[[#This Row],[LIHEAP_TOTAL_BILL]]+Table4[[#This Row],[BIGHRT_TOTAL_BILL]]</f>
        <v>46340.46</v>
      </c>
      <c r="Q14" s="17">
        <f>Table4[[#This Row],[WEAF_TOTAL_ASSIST]]+Table4[[#This Row],[LIHEAP_TOTAL_ASSIST]]+Table4[[#This Row],[BIGHRT_TOTAL_ASSIST]]+Table4[[#This Row],[OLIBA_TOTAL_ASSIST]]</f>
        <v>18963.36</v>
      </c>
      <c r="R14" s="19">
        <f>Table4[[#This Row],[Count]]/Table4[[#This Row],[CUSTOMER_COUNT]]</f>
        <v>5.1466519092418374E-2</v>
      </c>
      <c r="S14" s="32">
        <f>Table4[[#This Row],[Bill]]/Table4[[#This Row],[Count]]</f>
        <v>498.28451612903223</v>
      </c>
      <c r="T14" s="32">
        <f>Table4[[#This Row],[Assistance]]/Table4[[#This Row],[Count]]</f>
        <v>203.90709677419355</v>
      </c>
      <c r="U14" s="17">
        <f>Table4[[#This Row],[Avg. Bill]]-Table4[[#This Row],[Avg. Assistance]]</f>
        <v>294.37741935483871</v>
      </c>
      <c r="V14" s="19">
        <f>Table4[[#This Row],[Avg. Assistance]]/Table4[[#This Row],[Avg. Bill]]</f>
        <v>0.4092182080195147</v>
      </c>
      <c r="W14" s="32">
        <f>Table4[[#This Row],[BIGHRT_TOTAL_BILL]]/Table4[[#This Row],[BIGHRT_COUNT]]</f>
        <v>499.70336956521737</v>
      </c>
      <c r="X14" s="32">
        <f>Table4[[#This Row],[BIGHRT_TOTAL_ASSIST]]/Table4[[#This Row],[BIGHRT_COUNT]]</f>
        <v>204.70271739130436</v>
      </c>
      <c r="Y14" s="54">
        <f>(Table4[[#This Row],[BHG Bill]]-Table4[[#This Row],[BHG Arrear Grant]])/Table4[[#This Row],[BHG Bill]]</f>
        <v>0.5903515368139054</v>
      </c>
      <c r="Z14" s="32">
        <f>IFERROR(Table4[[#This Row],[LIHEAP_TOTAL_ASSIST]]/Table4[[#This Row],[LIHEAP_COUNT]], 0)</f>
        <v>130.71</v>
      </c>
    </row>
    <row r="15" spans="1:26" x14ac:dyDescent="0.2">
      <c r="A15" s="3" t="s">
        <v>141</v>
      </c>
      <c r="B15" s="3" t="s">
        <v>53</v>
      </c>
      <c r="C15" s="31">
        <v>35507</v>
      </c>
      <c r="D15" s="31">
        <v>148</v>
      </c>
      <c r="E15" s="32">
        <v>92321.67</v>
      </c>
      <c r="F15" s="32">
        <v>34211.56</v>
      </c>
      <c r="G15" s="31">
        <v>144</v>
      </c>
      <c r="H15" s="32">
        <v>77771.09</v>
      </c>
      <c r="I15" s="32">
        <v>41429.67</v>
      </c>
      <c r="J15" s="31">
        <v>854</v>
      </c>
      <c r="K15" s="32">
        <v>552593.55000000005</v>
      </c>
      <c r="L15" s="32">
        <v>399247.3</v>
      </c>
      <c r="M15" s="31">
        <v>0</v>
      </c>
      <c r="N15" s="32">
        <v>0</v>
      </c>
      <c r="O15" s="31">
        <f>Table4[[#This Row],[WEAF_COUNT]]+Table4[[#This Row],[LIHEAP_COUNT]]+Table4[[#This Row],[BIGHRT_COUNT]]+Table4[[#This Row],[OLIBA_COUNT]]</f>
        <v>1146</v>
      </c>
      <c r="P15" s="32">
        <f>Table4[[#This Row],[WEAF_TOTAL_BILL]]+Table4[[#This Row],[LIHEAP_TOTAL_BILL]]+Table4[[#This Row],[BIGHRT_TOTAL_BILL]]</f>
        <v>722686.31</v>
      </c>
      <c r="Q15" s="32">
        <f>Table4[[#This Row],[WEAF_TOTAL_ASSIST]]+Table4[[#This Row],[LIHEAP_TOTAL_ASSIST]]+Table4[[#This Row],[BIGHRT_TOTAL_ASSIST]]+Table4[[#This Row],[OLIBA_TOTAL_ASSIST]]</f>
        <v>474888.52999999997</v>
      </c>
      <c r="R15" s="19">
        <f>Table4[[#This Row],[Count]]/Table4[[#This Row],[CUSTOMER_COUNT]]</f>
        <v>3.2275325992057902E-2</v>
      </c>
      <c r="S15" s="32">
        <f>Table4[[#This Row],[Bill]]/Table4[[#This Row],[Count]]</f>
        <v>630.61632635253056</v>
      </c>
      <c r="T15" s="32">
        <f>Table4[[#This Row],[Assistance]]/Table4[[#This Row],[Count]]</f>
        <v>414.38789703315877</v>
      </c>
      <c r="U15" s="17">
        <f>Table4[[#This Row],[Avg. Bill]]-Table4[[#This Row],[Avg. Assistance]]</f>
        <v>216.2284293193718</v>
      </c>
      <c r="V15" s="19">
        <f>Table4[[#This Row],[Avg. Assistance]]/Table4[[#This Row],[Avg. Bill]]</f>
        <v>0.6571157131785158</v>
      </c>
      <c r="W15" s="32">
        <f>Table4[[#This Row],[BIGHRT_TOTAL_BILL]]/Table4[[#This Row],[BIGHRT_COUNT]]</f>
        <v>647.06504683840751</v>
      </c>
      <c r="X15" s="32">
        <f>Table4[[#This Row],[BIGHRT_TOTAL_ASSIST]]/Table4[[#This Row],[BIGHRT_COUNT]]</f>
        <v>467.50269320843091</v>
      </c>
      <c r="Y15" s="54">
        <f>(Table4[[#This Row],[BHG Bill]]-Table4[[#This Row],[BHG Arrear Grant]])/Table4[[#This Row],[BHG Bill]]</f>
        <v>0.27750278663223632</v>
      </c>
      <c r="Z15" s="32">
        <f>IFERROR(Table4[[#This Row],[LIHEAP_TOTAL_ASSIST]]/Table4[[#This Row],[LIHEAP_COUNT]], 0)</f>
        <v>287.70604166666664</v>
      </c>
    </row>
    <row r="16" spans="1:26" x14ac:dyDescent="0.2">
      <c r="A16" s="3" t="s">
        <v>142</v>
      </c>
      <c r="B16" s="3" t="s">
        <v>2</v>
      </c>
      <c r="C16" s="31">
        <v>284</v>
      </c>
      <c r="D16" s="31">
        <v>0</v>
      </c>
      <c r="E16" s="17">
        <v>0</v>
      </c>
      <c r="F16" s="17">
        <v>0</v>
      </c>
      <c r="G16" s="31">
        <v>0</v>
      </c>
      <c r="H16" s="17">
        <v>0</v>
      </c>
      <c r="I16" s="17">
        <v>0</v>
      </c>
      <c r="J16" s="31">
        <v>10</v>
      </c>
      <c r="K16" s="17">
        <v>7286.24</v>
      </c>
      <c r="L16" s="17">
        <v>2111.27</v>
      </c>
      <c r="M16" s="31">
        <v>0</v>
      </c>
      <c r="N16" s="17">
        <v>0</v>
      </c>
      <c r="O16" s="31">
        <f>Table4[[#This Row],[WEAF_COUNT]]+Table4[[#This Row],[LIHEAP_COUNT]]+Table4[[#This Row],[BIGHRT_COUNT]]+Table4[[#This Row],[OLIBA_COUNT]]</f>
        <v>10</v>
      </c>
      <c r="P16" s="17">
        <f>Table4[[#This Row],[WEAF_TOTAL_BILL]]+Table4[[#This Row],[LIHEAP_TOTAL_BILL]]+Table4[[#This Row],[BIGHRT_TOTAL_BILL]]</f>
        <v>7286.24</v>
      </c>
      <c r="Q16" s="17">
        <f>Table4[[#This Row],[WEAF_TOTAL_ASSIST]]+Table4[[#This Row],[LIHEAP_TOTAL_ASSIST]]+Table4[[#This Row],[BIGHRT_TOTAL_ASSIST]]+Table4[[#This Row],[OLIBA_TOTAL_ASSIST]]</f>
        <v>2111.27</v>
      </c>
      <c r="R16" s="19">
        <f>Table4[[#This Row],[Count]]/Table4[[#This Row],[CUSTOMER_COUNT]]</f>
        <v>3.5211267605633804E-2</v>
      </c>
      <c r="S16" s="32">
        <f>Table4[[#This Row],[Bill]]/Table4[[#This Row],[Count]]</f>
        <v>728.62400000000002</v>
      </c>
      <c r="T16" s="32">
        <f>Table4[[#This Row],[Assistance]]/Table4[[#This Row],[Count]]</f>
        <v>211.12700000000001</v>
      </c>
      <c r="U16" s="17">
        <f>Table4[[#This Row],[Avg. Bill]]-Table4[[#This Row],[Avg. Assistance]]</f>
        <v>517.49700000000007</v>
      </c>
      <c r="V16" s="19">
        <f>Table4[[#This Row],[Avg. Assistance]]/Table4[[#This Row],[Avg. Bill]]</f>
        <v>0.289761248600101</v>
      </c>
      <c r="W16" s="32">
        <f>Table4[[#This Row],[BIGHRT_TOTAL_BILL]]/Table4[[#This Row],[BIGHRT_COUNT]]</f>
        <v>728.62400000000002</v>
      </c>
      <c r="X16" s="32">
        <f>Table4[[#This Row],[BIGHRT_TOTAL_ASSIST]]/Table4[[#This Row],[BIGHRT_COUNT]]</f>
        <v>211.12700000000001</v>
      </c>
      <c r="Y16" s="54">
        <f>(Table4[[#This Row],[BHG Bill]]-Table4[[#This Row],[BHG Arrear Grant]])/Table4[[#This Row],[BHG Bill]]</f>
        <v>0.71023875139989912</v>
      </c>
      <c r="Z16" s="32">
        <f>IFERROR(Table4[[#This Row],[LIHEAP_TOTAL_ASSIST]]/Table4[[#This Row],[LIHEAP_COUNT]], 0)</f>
        <v>0</v>
      </c>
    </row>
    <row r="17" spans="1:26" x14ac:dyDescent="0.2">
      <c r="A17" s="3" t="s">
        <v>143</v>
      </c>
      <c r="B17" s="3" t="s">
        <v>2</v>
      </c>
      <c r="C17" s="31">
        <v>4848</v>
      </c>
      <c r="D17" s="31">
        <v>0</v>
      </c>
      <c r="E17" s="17">
        <v>0</v>
      </c>
      <c r="F17" s="17">
        <v>0</v>
      </c>
      <c r="G17" s="31">
        <v>248</v>
      </c>
      <c r="H17" s="17">
        <v>111668.35</v>
      </c>
      <c r="I17" s="17">
        <v>78223.02</v>
      </c>
      <c r="J17" s="31">
        <v>277</v>
      </c>
      <c r="K17" s="17">
        <v>135702.43</v>
      </c>
      <c r="L17" s="17">
        <v>68500.41</v>
      </c>
      <c r="M17" s="31">
        <v>39</v>
      </c>
      <c r="N17" s="17">
        <v>18420.78</v>
      </c>
      <c r="O17" s="31">
        <f>Table4[[#This Row],[WEAF_COUNT]]+Table4[[#This Row],[LIHEAP_COUNT]]+Table4[[#This Row],[BIGHRT_COUNT]]+Table4[[#This Row],[OLIBA_COUNT]]</f>
        <v>564</v>
      </c>
      <c r="P17" s="17">
        <f>Table4[[#This Row],[WEAF_TOTAL_BILL]]+Table4[[#This Row],[LIHEAP_TOTAL_BILL]]+Table4[[#This Row],[BIGHRT_TOTAL_BILL]]</f>
        <v>247370.78</v>
      </c>
      <c r="Q17" s="17">
        <f>Table4[[#This Row],[WEAF_TOTAL_ASSIST]]+Table4[[#This Row],[LIHEAP_TOTAL_ASSIST]]+Table4[[#This Row],[BIGHRT_TOTAL_ASSIST]]+Table4[[#This Row],[OLIBA_TOTAL_ASSIST]]</f>
        <v>165144.21</v>
      </c>
      <c r="R17" s="19">
        <f>Table4[[#This Row],[Count]]/Table4[[#This Row],[CUSTOMER_COUNT]]</f>
        <v>0.11633663366336634</v>
      </c>
      <c r="S17" s="32">
        <f>Table4[[#This Row],[Bill]]/Table4[[#This Row],[Count]]</f>
        <v>438.60067375886524</v>
      </c>
      <c r="T17" s="32">
        <f>Table4[[#This Row],[Assistance]]/Table4[[#This Row],[Count]]</f>
        <v>292.80888297872337</v>
      </c>
      <c r="U17" s="17">
        <f>Table4[[#This Row],[Avg. Bill]]-Table4[[#This Row],[Avg. Assistance]]</f>
        <v>145.79179078014187</v>
      </c>
      <c r="V17" s="19">
        <f>Table4[[#This Row],[Avg. Assistance]]/Table4[[#This Row],[Avg. Bill]]</f>
        <v>0.66759788686440646</v>
      </c>
      <c r="W17" s="32">
        <f>Table4[[#This Row],[BIGHRT_TOTAL_BILL]]/Table4[[#This Row],[BIGHRT_COUNT]]</f>
        <v>489.90046931407937</v>
      </c>
      <c r="X17" s="32">
        <f>Table4[[#This Row],[BIGHRT_TOTAL_ASSIST]]/Table4[[#This Row],[BIGHRT_COUNT]]</f>
        <v>247.29389891696752</v>
      </c>
      <c r="Y17" s="54">
        <f>(Table4[[#This Row],[BHG Bill]]-Table4[[#This Row],[BHG Arrear Grant]])/Table4[[#This Row],[BHG Bill]]</f>
        <v>0.49521603997806074</v>
      </c>
      <c r="Z17" s="32">
        <f>IFERROR(Table4[[#This Row],[LIHEAP_TOTAL_ASSIST]]/Table4[[#This Row],[LIHEAP_COUNT]], 0)</f>
        <v>315.41540322580647</v>
      </c>
    </row>
    <row r="18" spans="1:26" x14ac:dyDescent="0.2">
      <c r="A18" s="3" t="s">
        <v>144</v>
      </c>
      <c r="B18" s="3" t="s">
        <v>53</v>
      </c>
      <c r="C18" s="31">
        <v>2419</v>
      </c>
      <c r="D18" s="31">
        <v>16</v>
      </c>
      <c r="E18" s="32">
        <v>11113.85</v>
      </c>
      <c r="F18" s="32">
        <v>5525.01</v>
      </c>
      <c r="G18" s="31">
        <v>33</v>
      </c>
      <c r="H18" s="32">
        <v>22974.7</v>
      </c>
      <c r="I18" s="32">
        <v>24655.42</v>
      </c>
      <c r="J18" s="31">
        <v>87</v>
      </c>
      <c r="K18" s="32">
        <v>51473.16</v>
      </c>
      <c r="L18" s="32">
        <v>30300</v>
      </c>
      <c r="M18" s="31">
        <v>0</v>
      </c>
      <c r="N18" s="32">
        <v>0</v>
      </c>
      <c r="O18" s="31">
        <f>Table4[[#This Row],[WEAF_COUNT]]+Table4[[#This Row],[LIHEAP_COUNT]]+Table4[[#This Row],[BIGHRT_COUNT]]+Table4[[#This Row],[OLIBA_COUNT]]</f>
        <v>136</v>
      </c>
      <c r="P18" s="32">
        <f>Table4[[#This Row],[WEAF_TOTAL_BILL]]+Table4[[#This Row],[LIHEAP_TOTAL_BILL]]+Table4[[#This Row],[BIGHRT_TOTAL_BILL]]</f>
        <v>85561.71</v>
      </c>
      <c r="Q18" s="32">
        <f>Table4[[#This Row],[WEAF_TOTAL_ASSIST]]+Table4[[#This Row],[LIHEAP_TOTAL_ASSIST]]+Table4[[#This Row],[BIGHRT_TOTAL_ASSIST]]+Table4[[#This Row],[OLIBA_TOTAL_ASSIST]]</f>
        <v>60480.43</v>
      </c>
      <c r="R18" s="19">
        <f>Table4[[#This Row],[Count]]/Table4[[#This Row],[CUSTOMER_COUNT]]</f>
        <v>5.6221579164944191E-2</v>
      </c>
      <c r="S18" s="32">
        <f>Table4[[#This Row],[Bill]]/Table4[[#This Row],[Count]]</f>
        <v>629.13022058823537</v>
      </c>
      <c r="T18" s="32">
        <f>Table4[[#This Row],[Assistance]]/Table4[[#This Row],[Count]]</f>
        <v>444.70904411764707</v>
      </c>
      <c r="U18" s="17">
        <f>Table4[[#This Row],[Avg. Bill]]-Table4[[#This Row],[Avg. Assistance]]</f>
        <v>184.42117647058831</v>
      </c>
      <c r="V18" s="19">
        <f>Table4[[#This Row],[Avg. Assistance]]/Table4[[#This Row],[Avg. Bill]]</f>
        <v>0.70686326862798787</v>
      </c>
      <c r="W18" s="32">
        <f>Table4[[#This Row],[BIGHRT_TOTAL_BILL]]/Table4[[#This Row],[BIGHRT_COUNT]]</f>
        <v>591.64551724137937</v>
      </c>
      <c r="X18" s="32">
        <f>Table4[[#This Row],[BIGHRT_TOTAL_ASSIST]]/Table4[[#This Row],[BIGHRT_COUNT]]</f>
        <v>348.27586206896552</v>
      </c>
      <c r="Y18" s="54">
        <f>(Table4[[#This Row],[BHG Bill]]-Table4[[#This Row],[BHG Arrear Grant]])/Table4[[#This Row],[BHG Bill]]</f>
        <v>0.41134369834686663</v>
      </c>
      <c r="Z18" s="32">
        <f>IFERROR(Table4[[#This Row],[LIHEAP_TOTAL_ASSIST]]/Table4[[#This Row],[LIHEAP_COUNT]], 0)</f>
        <v>747.13393939393939</v>
      </c>
    </row>
    <row r="19" spans="1:26" x14ac:dyDescent="0.2">
      <c r="A19" s="3" t="s">
        <v>145</v>
      </c>
      <c r="B19" s="3" t="s">
        <v>2</v>
      </c>
      <c r="C19" s="31">
        <v>552</v>
      </c>
      <c r="D19" s="31">
        <v>0</v>
      </c>
      <c r="E19" s="17">
        <v>0</v>
      </c>
      <c r="F19" s="17">
        <v>0</v>
      </c>
      <c r="G19" s="31">
        <v>22</v>
      </c>
      <c r="H19" s="17">
        <v>6411.94</v>
      </c>
      <c r="I19" s="17">
        <v>10480</v>
      </c>
      <c r="J19" s="31">
        <v>20</v>
      </c>
      <c r="K19" s="17">
        <v>6925.97</v>
      </c>
      <c r="L19" s="17">
        <v>2292.4299999999998</v>
      </c>
      <c r="M19" s="31">
        <v>0</v>
      </c>
      <c r="N19" s="17">
        <v>0</v>
      </c>
      <c r="O19" s="31">
        <f>Table4[[#This Row],[WEAF_COUNT]]+Table4[[#This Row],[LIHEAP_COUNT]]+Table4[[#This Row],[BIGHRT_COUNT]]+Table4[[#This Row],[OLIBA_COUNT]]</f>
        <v>42</v>
      </c>
      <c r="P19" s="17">
        <f>Table4[[#This Row],[WEAF_TOTAL_BILL]]+Table4[[#This Row],[LIHEAP_TOTAL_BILL]]+Table4[[#This Row],[BIGHRT_TOTAL_BILL]]</f>
        <v>13337.91</v>
      </c>
      <c r="Q19" s="17">
        <f>Table4[[#This Row],[WEAF_TOTAL_ASSIST]]+Table4[[#This Row],[LIHEAP_TOTAL_ASSIST]]+Table4[[#This Row],[BIGHRT_TOTAL_ASSIST]]+Table4[[#This Row],[OLIBA_TOTAL_ASSIST]]</f>
        <v>12772.43</v>
      </c>
      <c r="R19" s="19">
        <f>Table4[[#This Row],[Count]]/Table4[[#This Row],[CUSTOMER_COUNT]]</f>
        <v>7.6086956521739135E-2</v>
      </c>
      <c r="S19" s="32">
        <f>Table4[[#This Row],[Bill]]/Table4[[#This Row],[Count]]</f>
        <v>317.56928571428568</v>
      </c>
      <c r="T19" s="32">
        <f>Table4[[#This Row],[Assistance]]/Table4[[#This Row],[Count]]</f>
        <v>304.10547619047622</v>
      </c>
      <c r="U19" s="17">
        <f>Table4[[#This Row],[Avg. Bill]]-Table4[[#This Row],[Avg. Assistance]]</f>
        <v>13.463809523809459</v>
      </c>
      <c r="V19" s="19">
        <f>Table4[[#This Row],[Avg. Assistance]]/Table4[[#This Row],[Avg. Bill]]</f>
        <v>0.95760355258057694</v>
      </c>
      <c r="W19" s="32">
        <f>Table4[[#This Row],[BIGHRT_TOTAL_BILL]]/Table4[[#This Row],[BIGHRT_COUNT]]</f>
        <v>346.29849999999999</v>
      </c>
      <c r="X19" s="32">
        <f>Table4[[#This Row],[BIGHRT_TOTAL_ASSIST]]/Table4[[#This Row],[BIGHRT_COUNT]]</f>
        <v>114.6215</v>
      </c>
      <c r="Y19" s="54">
        <f>(Table4[[#This Row],[BHG Bill]]-Table4[[#This Row],[BHG Arrear Grant]])/Table4[[#This Row],[BHG Bill]]</f>
        <v>0.66900953945801089</v>
      </c>
      <c r="Z19" s="32">
        <f>IFERROR(Table4[[#This Row],[LIHEAP_TOTAL_ASSIST]]/Table4[[#This Row],[LIHEAP_COUNT]], 0)</f>
        <v>476.36363636363637</v>
      </c>
    </row>
    <row r="20" spans="1:26" x14ac:dyDescent="0.2">
      <c r="A20" s="3" t="s">
        <v>146</v>
      </c>
      <c r="B20" s="3" t="s">
        <v>53</v>
      </c>
      <c r="C20" s="31">
        <v>30097</v>
      </c>
      <c r="D20" s="31">
        <v>298</v>
      </c>
      <c r="E20" s="32">
        <v>190991.19</v>
      </c>
      <c r="F20" s="32">
        <v>88677.89</v>
      </c>
      <c r="G20" s="31">
        <v>264</v>
      </c>
      <c r="H20" s="32">
        <v>172648.43</v>
      </c>
      <c r="I20" s="32">
        <v>110475.27</v>
      </c>
      <c r="J20" s="31">
        <v>745</v>
      </c>
      <c r="K20" s="32">
        <v>515078.63</v>
      </c>
      <c r="L20" s="32">
        <v>314808.37</v>
      </c>
      <c r="M20" s="31">
        <v>0</v>
      </c>
      <c r="N20" s="32">
        <v>0</v>
      </c>
      <c r="O20" s="31">
        <f>Table4[[#This Row],[WEAF_COUNT]]+Table4[[#This Row],[LIHEAP_COUNT]]+Table4[[#This Row],[BIGHRT_COUNT]]+Table4[[#This Row],[OLIBA_COUNT]]</f>
        <v>1307</v>
      </c>
      <c r="P20" s="32">
        <f>Table4[[#This Row],[WEAF_TOTAL_BILL]]+Table4[[#This Row],[LIHEAP_TOTAL_BILL]]+Table4[[#This Row],[BIGHRT_TOTAL_BILL]]</f>
        <v>878718.25</v>
      </c>
      <c r="Q20" s="32">
        <f>Table4[[#This Row],[WEAF_TOTAL_ASSIST]]+Table4[[#This Row],[LIHEAP_TOTAL_ASSIST]]+Table4[[#This Row],[BIGHRT_TOTAL_ASSIST]]+Table4[[#This Row],[OLIBA_TOTAL_ASSIST]]</f>
        <v>513961.53</v>
      </c>
      <c r="R20" s="19">
        <f>Table4[[#This Row],[Count]]/Table4[[#This Row],[CUSTOMER_COUNT]]</f>
        <v>4.3426255108482574E-2</v>
      </c>
      <c r="S20" s="32">
        <f>Table4[[#This Row],[Bill]]/Table4[[#This Row],[Count]]</f>
        <v>672.31694720734504</v>
      </c>
      <c r="T20" s="32">
        <f>Table4[[#This Row],[Assistance]]/Table4[[#This Row],[Count]]</f>
        <v>393.23758990053562</v>
      </c>
      <c r="U20" s="17">
        <f>Table4[[#This Row],[Avg. Bill]]-Table4[[#This Row],[Avg. Assistance]]</f>
        <v>279.07935730680941</v>
      </c>
      <c r="V20" s="19">
        <f>Table4[[#This Row],[Avg. Assistance]]/Table4[[#This Row],[Avg. Bill]]</f>
        <v>0.58489911868792988</v>
      </c>
      <c r="W20" s="32">
        <f>Table4[[#This Row],[BIGHRT_TOTAL_BILL]]/Table4[[#This Row],[BIGHRT_COUNT]]</f>
        <v>691.38071140939599</v>
      </c>
      <c r="X20" s="32">
        <f>Table4[[#This Row],[BIGHRT_TOTAL_ASSIST]]/Table4[[#This Row],[BIGHRT_COUNT]]</f>
        <v>422.56157046979865</v>
      </c>
      <c r="Y20" s="54">
        <f>(Table4[[#This Row],[BHG Bill]]-Table4[[#This Row],[BHG Arrear Grant]])/Table4[[#This Row],[BHG Bill]]</f>
        <v>0.38881492715005478</v>
      </c>
      <c r="Z20" s="32">
        <f>IFERROR(Table4[[#This Row],[LIHEAP_TOTAL_ASSIST]]/Table4[[#This Row],[LIHEAP_COUNT]], 0)</f>
        <v>418.46693181818182</v>
      </c>
    </row>
    <row r="21" spans="1:26" x14ac:dyDescent="0.2">
      <c r="A21" s="3" t="s">
        <v>147</v>
      </c>
      <c r="B21" s="3" t="s">
        <v>53</v>
      </c>
      <c r="C21" s="31">
        <v>7754</v>
      </c>
      <c r="D21" s="31">
        <v>51</v>
      </c>
      <c r="E21" s="32">
        <v>34369.72</v>
      </c>
      <c r="F21" s="32">
        <v>16182.71</v>
      </c>
      <c r="G21" s="31">
        <v>44</v>
      </c>
      <c r="H21" s="32">
        <v>35143.74</v>
      </c>
      <c r="I21" s="32">
        <v>19647.32</v>
      </c>
      <c r="J21" s="31">
        <v>239</v>
      </c>
      <c r="K21" s="32">
        <v>162768.01</v>
      </c>
      <c r="L21" s="32">
        <v>99244.34</v>
      </c>
      <c r="M21" s="31">
        <v>0</v>
      </c>
      <c r="N21" s="32">
        <v>0</v>
      </c>
      <c r="O21" s="31">
        <f>Table4[[#This Row],[WEAF_COUNT]]+Table4[[#This Row],[LIHEAP_COUNT]]+Table4[[#This Row],[BIGHRT_COUNT]]+Table4[[#This Row],[OLIBA_COUNT]]</f>
        <v>334</v>
      </c>
      <c r="P21" s="32">
        <f>Table4[[#This Row],[WEAF_TOTAL_BILL]]+Table4[[#This Row],[LIHEAP_TOTAL_BILL]]+Table4[[#This Row],[BIGHRT_TOTAL_BILL]]</f>
        <v>232281.47</v>
      </c>
      <c r="Q21" s="32">
        <f>Table4[[#This Row],[WEAF_TOTAL_ASSIST]]+Table4[[#This Row],[LIHEAP_TOTAL_ASSIST]]+Table4[[#This Row],[BIGHRT_TOTAL_ASSIST]]+Table4[[#This Row],[OLIBA_TOTAL_ASSIST]]</f>
        <v>135074.37</v>
      </c>
      <c r="R21" s="19">
        <f>Table4[[#This Row],[Count]]/Table4[[#This Row],[CUSTOMER_COUNT]]</f>
        <v>4.3074542171782304E-2</v>
      </c>
      <c r="S21" s="32">
        <f>Table4[[#This Row],[Bill]]/Table4[[#This Row],[Count]]</f>
        <v>695.45350299401196</v>
      </c>
      <c r="T21" s="32">
        <f>Table4[[#This Row],[Assistance]]/Table4[[#This Row],[Count]]</f>
        <v>404.41428143712574</v>
      </c>
      <c r="U21" s="17">
        <f>Table4[[#This Row],[Avg. Bill]]-Table4[[#This Row],[Avg. Assistance]]</f>
        <v>291.03922155688622</v>
      </c>
      <c r="V21" s="19">
        <f>Table4[[#This Row],[Avg. Assistance]]/Table4[[#This Row],[Avg. Bill]]</f>
        <v>0.58151160314251493</v>
      </c>
      <c r="W21" s="32">
        <f>Table4[[#This Row],[BIGHRT_TOTAL_BILL]]/Table4[[#This Row],[BIGHRT_COUNT]]</f>
        <v>681.03769874476995</v>
      </c>
      <c r="X21" s="32">
        <f>Table4[[#This Row],[BIGHRT_TOTAL_ASSIST]]/Table4[[#This Row],[BIGHRT_COUNT]]</f>
        <v>415.24828451882843</v>
      </c>
      <c r="Y21" s="54">
        <f>(Table4[[#This Row],[BHG Bill]]-Table4[[#This Row],[BHG Arrear Grant]])/Table4[[#This Row],[BHG Bill]]</f>
        <v>0.39027122098500816</v>
      </c>
      <c r="Z21" s="32">
        <f>IFERROR(Table4[[#This Row],[LIHEAP_TOTAL_ASSIST]]/Table4[[#This Row],[LIHEAP_COUNT]], 0)</f>
        <v>446.53</v>
      </c>
    </row>
    <row r="22" spans="1:26" x14ac:dyDescent="0.2">
      <c r="A22" s="3" t="s">
        <v>148</v>
      </c>
      <c r="B22" s="3" t="s">
        <v>2</v>
      </c>
      <c r="C22" s="31">
        <v>13378</v>
      </c>
      <c r="D22" s="31">
        <v>0</v>
      </c>
      <c r="E22" s="17">
        <v>0</v>
      </c>
      <c r="F22" s="17">
        <v>0</v>
      </c>
      <c r="G22" s="31">
        <v>360</v>
      </c>
      <c r="H22" s="17">
        <v>150994.72</v>
      </c>
      <c r="I22" s="17">
        <v>167418.09</v>
      </c>
      <c r="J22" s="31">
        <v>577</v>
      </c>
      <c r="K22" s="17">
        <v>275678.59999999998</v>
      </c>
      <c r="L22" s="17">
        <v>142907.92000000001</v>
      </c>
      <c r="M22" s="31">
        <v>1</v>
      </c>
      <c r="N22" s="17">
        <v>462.7</v>
      </c>
      <c r="O22" s="31">
        <f>Table4[[#This Row],[WEAF_COUNT]]+Table4[[#This Row],[LIHEAP_COUNT]]+Table4[[#This Row],[BIGHRT_COUNT]]+Table4[[#This Row],[OLIBA_COUNT]]</f>
        <v>938</v>
      </c>
      <c r="P22" s="17">
        <f>Table4[[#This Row],[WEAF_TOTAL_BILL]]+Table4[[#This Row],[LIHEAP_TOTAL_BILL]]+Table4[[#This Row],[BIGHRT_TOTAL_BILL]]</f>
        <v>426673.31999999995</v>
      </c>
      <c r="Q22" s="17">
        <f>Table4[[#This Row],[WEAF_TOTAL_ASSIST]]+Table4[[#This Row],[LIHEAP_TOTAL_ASSIST]]+Table4[[#This Row],[BIGHRT_TOTAL_ASSIST]]+Table4[[#This Row],[OLIBA_TOTAL_ASSIST]]</f>
        <v>310788.71000000002</v>
      </c>
      <c r="R22" s="19">
        <f>Table4[[#This Row],[Count]]/Table4[[#This Row],[CUSTOMER_COUNT]]</f>
        <v>7.0115114366870984E-2</v>
      </c>
      <c r="S22" s="32">
        <f>Table4[[#This Row],[Bill]]/Table4[[#This Row],[Count]]</f>
        <v>454.87560767590611</v>
      </c>
      <c r="T22" s="32">
        <f>Table4[[#This Row],[Assistance]]/Table4[[#This Row],[Count]]</f>
        <v>331.33124733475483</v>
      </c>
      <c r="U22" s="17">
        <f>Table4[[#This Row],[Avg. Bill]]-Table4[[#This Row],[Avg. Assistance]]</f>
        <v>123.54436034115128</v>
      </c>
      <c r="V22" s="19">
        <f>Table4[[#This Row],[Avg. Assistance]]/Table4[[#This Row],[Avg. Bill]]</f>
        <v>0.72839968057998117</v>
      </c>
      <c r="W22" s="32">
        <f>Table4[[#This Row],[BIGHRT_TOTAL_BILL]]/Table4[[#This Row],[BIGHRT_COUNT]]</f>
        <v>477.77920277296357</v>
      </c>
      <c r="X22" s="32">
        <f>Table4[[#This Row],[BIGHRT_TOTAL_ASSIST]]/Table4[[#This Row],[BIGHRT_COUNT]]</f>
        <v>247.67403812824958</v>
      </c>
      <c r="Y22" s="54">
        <f>(Table4[[#This Row],[BHG Bill]]-Table4[[#This Row],[BHG Arrear Grant]])/Table4[[#This Row],[BHG Bill]]</f>
        <v>0.48161402444730922</v>
      </c>
      <c r="Z22" s="32">
        <f>IFERROR(Table4[[#This Row],[LIHEAP_TOTAL_ASSIST]]/Table4[[#This Row],[LIHEAP_COUNT]], 0)</f>
        <v>465.05025000000001</v>
      </c>
    </row>
    <row r="23" spans="1:26" x14ac:dyDescent="0.2">
      <c r="A23" s="3" t="s">
        <v>149</v>
      </c>
      <c r="B23" s="3" t="s">
        <v>53</v>
      </c>
      <c r="C23" s="31">
        <v>13324</v>
      </c>
      <c r="D23" s="31">
        <v>146</v>
      </c>
      <c r="E23" s="32">
        <v>79262.58</v>
      </c>
      <c r="F23" s="32">
        <v>49246.07</v>
      </c>
      <c r="G23" s="31">
        <v>138</v>
      </c>
      <c r="H23" s="32">
        <v>77050.149999999994</v>
      </c>
      <c r="I23" s="32">
        <v>59262.87</v>
      </c>
      <c r="J23" s="31">
        <v>404</v>
      </c>
      <c r="K23" s="32">
        <v>228994.64</v>
      </c>
      <c r="L23" s="32">
        <v>152498.65</v>
      </c>
      <c r="M23" s="31">
        <v>0</v>
      </c>
      <c r="N23" s="32">
        <v>0</v>
      </c>
      <c r="O23" s="31">
        <f>Table4[[#This Row],[WEAF_COUNT]]+Table4[[#This Row],[LIHEAP_COUNT]]+Table4[[#This Row],[BIGHRT_COUNT]]+Table4[[#This Row],[OLIBA_COUNT]]</f>
        <v>688</v>
      </c>
      <c r="P23" s="32">
        <f>Table4[[#This Row],[WEAF_TOTAL_BILL]]+Table4[[#This Row],[LIHEAP_TOTAL_BILL]]+Table4[[#This Row],[BIGHRT_TOTAL_BILL]]</f>
        <v>385307.37</v>
      </c>
      <c r="Q23" s="32">
        <f>Table4[[#This Row],[WEAF_TOTAL_ASSIST]]+Table4[[#This Row],[LIHEAP_TOTAL_ASSIST]]+Table4[[#This Row],[BIGHRT_TOTAL_ASSIST]]+Table4[[#This Row],[OLIBA_TOTAL_ASSIST]]</f>
        <v>261007.59</v>
      </c>
      <c r="R23" s="19">
        <f>Table4[[#This Row],[Count]]/Table4[[#This Row],[CUSTOMER_COUNT]]</f>
        <v>5.1636145301711199E-2</v>
      </c>
      <c r="S23" s="32">
        <f>Table4[[#This Row],[Bill]]/Table4[[#This Row],[Count]]</f>
        <v>560.03978197674417</v>
      </c>
      <c r="T23" s="32">
        <f>Table4[[#This Row],[Assistance]]/Table4[[#This Row],[Count]]</f>
        <v>379.37149709302327</v>
      </c>
      <c r="U23" s="17">
        <f>Table4[[#This Row],[Avg. Bill]]-Table4[[#This Row],[Avg. Assistance]]</f>
        <v>180.6682848837209</v>
      </c>
      <c r="V23" s="19">
        <f>Table4[[#This Row],[Avg. Assistance]]/Table4[[#This Row],[Avg. Bill]]</f>
        <v>0.67740097989820447</v>
      </c>
      <c r="W23" s="32">
        <f>Table4[[#This Row],[BIGHRT_TOTAL_BILL]]/Table4[[#This Row],[BIGHRT_COUNT]]</f>
        <v>566.81841584158417</v>
      </c>
      <c r="X23" s="32">
        <f>Table4[[#This Row],[BIGHRT_TOTAL_ASSIST]]/Table4[[#This Row],[BIGHRT_COUNT]]</f>
        <v>377.47190594059407</v>
      </c>
      <c r="Y23" s="54">
        <f>(Table4[[#This Row],[BHG Bill]]-Table4[[#This Row],[BHG Arrear Grant]])/Table4[[#This Row],[BHG Bill]]</f>
        <v>0.33405144330015757</v>
      </c>
      <c r="Z23" s="32">
        <f>IFERROR(Table4[[#This Row],[LIHEAP_TOTAL_ASSIST]]/Table4[[#This Row],[LIHEAP_COUNT]], 0)</f>
        <v>429.44108695652176</v>
      </c>
    </row>
    <row r="24" spans="1:26" x14ac:dyDescent="0.2">
      <c r="A24" s="3" t="s">
        <v>150</v>
      </c>
      <c r="B24" s="3" t="s">
        <v>53</v>
      </c>
      <c r="C24" s="31">
        <v>51957</v>
      </c>
      <c r="D24" s="31">
        <v>515</v>
      </c>
      <c r="E24" s="32">
        <v>323796.27</v>
      </c>
      <c r="F24" s="32">
        <v>190451.86</v>
      </c>
      <c r="G24" s="31">
        <v>510</v>
      </c>
      <c r="H24" s="32">
        <v>319270.84000000003</v>
      </c>
      <c r="I24" s="32">
        <v>208307.94</v>
      </c>
      <c r="J24" s="31">
        <v>1005</v>
      </c>
      <c r="K24" s="32">
        <v>718001.71</v>
      </c>
      <c r="L24" s="32">
        <v>446360.23</v>
      </c>
      <c r="M24" s="31">
        <v>0</v>
      </c>
      <c r="N24" s="32">
        <v>0</v>
      </c>
      <c r="O24" s="31">
        <f>Table4[[#This Row],[WEAF_COUNT]]+Table4[[#This Row],[LIHEAP_COUNT]]+Table4[[#This Row],[BIGHRT_COUNT]]+Table4[[#This Row],[OLIBA_COUNT]]</f>
        <v>2030</v>
      </c>
      <c r="P24" s="32">
        <f>Table4[[#This Row],[WEAF_TOTAL_BILL]]+Table4[[#This Row],[LIHEAP_TOTAL_BILL]]+Table4[[#This Row],[BIGHRT_TOTAL_BILL]]</f>
        <v>1361068.82</v>
      </c>
      <c r="Q24" s="32">
        <f>Table4[[#This Row],[WEAF_TOTAL_ASSIST]]+Table4[[#This Row],[LIHEAP_TOTAL_ASSIST]]+Table4[[#This Row],[BIGHRT_TOTAL_ASSIST]]+Table4[[#This Row],[OLIBA_TOTAL_ASSIST]]</f>
        <v>845120.03</v>
      </c>
      <c r="R24" s="19">
        <f>Table4[[#This Row],[Count]]/Table4[[#This Row],[CUSTOMER_COUNT]]</f>
        <v>3.9070770059857186E-2</v>
      </c>
      <c r="S24" s="32">
        <f>Table4[[#This Row],[Bill]]/Table4[[#This Row],[Count]]</f>
        <v>670.47725123152713</v>
      </c>
      <c r="T24" s="32">
        <f>Table4[[#This Row],[Assistance]]/Table4[[#This Row],[Count]]</f>
        <v>416.31528571428572</v>
      </c>
      <c r="U24" s="17">
        <f>Table4[[#This Row],[Avg. Bill]]-Table4[[#This Row],[Avg. Assistance]]</f>
        <v>254.16196551724141</v>
      </c>
      <c r="V24" s="19">
        <f>Table4[[#This Row],[Avg. Assistance]]/Table4[[#This Row],[Avg. Bill]]</f>
        <v>0.6209238045729385</v>
      </c>
      <c r="W24" s="32">
        <f>Table4[[#This Row],[BIGHRT_TOTAL_BILL]]/Table4[[#This Row],[BIGHRT_COUNT]]</f>
        <v>714.42956218905465</v>
      </c>
      <c r="X24" s="32">
        <f>Table4[[#This Row],[BIGHRT_TOTAL_ASSIST]]/Table4[[#This Row],[BIGHRT_COUNT]]</f>
        <v>444.13953233830841</v>
      </c>
      <c r="Y24" s="54">
        <f>(Table4[[#This Row],[BHG Bill]]-Table4[[#This Row],[BHG Arrear Grant]])/Table4[[#This Row],[BHG Bill]]</f>
        <v>0.37832985105286171</v>
      </c>
      <c r="Z24" s="32">
        <f>IFERROR(Table4[[#This Row],[LIHEAP_TOTAL_ASSIST]]/Table4[[#This Row],[LIHEAP_COUNT]], 0)</f>
        <v>408.4469411764706</v>
      </c>
    </row>
    <row r="25" spans="1:26" x14ac:dyDescent="0.2">
      <c r="A25" s="3" t="s">
        <v>151</v>
      </c>
      <c r="B25" s="3" t="s">
        <v>53</v>
      </c>
      <c r="C25" s="31">
        <v>31147</v>
      </c>
      <c r="D25" s="31">
        <v>642</v>
      </c>
      <c r="E25" s="32">
        <v>358907.68</v>
      </c>
      <c r="F25" s="32">
        <v>243265.56</v>
      </c>
      <c r="G25" s="31">
        <v>226</v>
      </c>
      <c r="H25" s="32">
        <v>124770.34</v>
      </c>
      <c r="I25" s="32">
        <v>153579.85</v>
      </c>
      <c r="J25" s="31">
        <v>1549</v>
      </c>
      <c r="K25" s="32">
        <v>953185.62</v>
      </c>
      <c r="L25" s="32">
        <v>600954.57999999996</v>
      </c>
      <c r="M25" s="31">
        <v>0</v>
      </c>
      <c r="N25" s="32">
        <v>0</v>
      </c>
      <c r="O25" s="31">
        <f>Table4[[#This Row],[WEAF_COUNT]]+Table4[[#This Row],[LIHEAP_COUNT]]+Table4[[#This Row],[BIGHRT_COUNT]]+Table4[[#This Row],[OLIBA_COUNT]]</f>
        <v>2417</v>
      </c>
      <c r="P25" s="32">
        <f>Table4[[#This Row],[WEAF_TOTAL_BILL]]+Table4[[#This Row],[LIHEAP_TOTAL_BILL]]+Table4[[#This Row],[BIGHRT_TOTAL_BILL]]</f>
        <v>1436863.6400000001</v>
      </c>
      <c r="Q25" s="32">
        <f>Table4[[#This Row],[WEAF_TOTAL_ASSIST]]+Table4[[#This Row],[LIHEAP_TOTAL_ASSIST]]+Table4[[#This Row],[BIGHRT_TOTAL_ASSIST]]+Table4[[#This Row],[OLIBA_TOTAL_ASSIST]]</f>
        <v>997799.99</v>
      </c>
      <c r="R25" s="19">
        <f>Table4[[#This Row],[Count]]/Table4[[#This Row],[CUSTOMER_COUNT]]</f>
        <v>7.7599768838090347E-2</v>
      </c>
      <c r="S25" s="32">
        <f>Table4[[#This Row],[Bill]]/Table4[[#This Row],[Count]]</f>
        <v>594.48226727347958</v>
      </c>
      <c r="T25" s="32">
        <f>Table4[[#This Row],[Assistance]]/Table4[[#This Row],[Count]]</f>
        <v>412.82581299131152</v>
      </c>
      <c r="U25" s="17">
        <f>Table4[[#This Row],[Avg. Bill]]-Table4[[#This Row],[Avg. Assistance]]</f>
        <v>181.65645428216806</v>
      </c>
      <c r="V25" s="19">
        <f>Table4[[#This Row],[Avg. Assistance]]/Table4[[#This Row],[Avg. Bill]]</f>
        <v>0.69442914569123615</v>
      </c>
      <c r="W25" s="32">
        <f>Table4[[#This Row],[BIGHRT_TOTAL_BILL]]/Table4[[#This Row],[BIGHRT_COUNT]]</f>
        <v>615.35546804389924</v>
      </c>
      <c r="X25" s="32">
        <f>Table4[[#This Row],[BIGHRT_TOTAL_ASSIST]]/Table4[[#This Row],[BIGHRT_COUNT]]</f>
        <v>387.9629309231762</v>
      </c>
      <c r="Y25" s="54">
        <f>(Table4[[#This Row],[BHG Bill]]-Table4[[#This Row],[BHG Arrear Grant]])/Table4[[#This Row],[BHG Bill]]</f>
        <v>0.36953037541628042</v>
      </c>
      <c r="Z25" s="32">
        <f>IFERROR(Table4[[#This Row],[LIHEAP_TOTAL_ASSIST]]/Table4[[#This Row],[LIHEAP_COUNT]], 0)</f>
        <v>679.55685840707963</v>
      </c>
    </row>
    <row r="26" spans="1:26" x14ac:dyDescent="0.2">
      <c r="A26" s="58"/>
      <c r="B26" s="58"/>
      <c r="C26" s="59">
        <f>SUBTOTAL(109,Table4[CUSTOMER_COUNT])</f>
        <v>309389</v>
      </c>
      <c r="D26" s="59">
        <f>SUBTOTAL(109,Table4[WEAF_COUNT])</f>
        <v>2208</v>
      </c>
      <c r="E26" s="60">
        <f>SUBTOTAL(109,Table4[WEAF_TOTAL_BILL])</f>
        <v>1336061.8299999998</v>
      </c>
      <c r="F26" s="60">
        <f>SUBTOTAL(109,Table4[WEAF_TOTAL_ASSIST])</f>
        <v>757702.64</v>
      </c>
      <c r="G26" s="59">
        <f>SUBTOTAL(109,Table4[LIHEAP_COUNT])</f>
        <v>2331</v>
      </c>
      <c r="H26" s="60">
        <f>SUBTOTAL(109,Table4[LIHEAP_TOTAL_BILL])</f>
        <v>1307291.27</v>
      </c>
      <c r="I26" s="60">
        <f>SUBTOTAL(109,Table4[LIHEAP_TOTAL_ASSIST])</f>
        <v>1012312.0099999999</v>
      </c>
      <c r="J26" s="59">
        <f>SUBTOTAL(109,Table4[BIGHRT_COUNT])</f>
        <v>8351</v>
      </c>
      <c r="K26" s="60">
        <f>SUBTOTAL(109,Table4[BIGHRT_TOTAL_BILL])</f>
        <v>5161840.7600000007</v>
      </c>
      <c r="L26" s="60">
        <f>SUBTOTAL(109,Table4[BIGHRT_TOTAL_ASSIST])</f>
        <v>3126162.92</v>
      </c>
      <c r="M26" s="59">
        <f>SUBTOTAL(109,Table4[OLIBA_COUNT])</f>
        <v>260</v>
      </c>
      <c r="N26" s="60">
        <f>SUBTOTAL(109,Table4[OLIBA_TOTAL_ASSIST])</f>
        <v>108536.12</v>
      </c>
      <c r="O26" s="59"/>
      <c r="P26" s="60"/>
      <c r="Q26" s="60"/>
      <c r="R26" s="61">
        <f>SUBTOTAL(1, Table4[%])</f>
        <v>4.9904944712992443E-2</v>
      </c>
      <c r="S26" s="60">
        <f>SUBTOTAL(101,Table4[Avg. Bill])</f>
        <v>571.56775219278427</v>
      </c>
      <c r="T26" s="60">
        <f>SUBTOTAL(101,Table4[Avg. Assistance])</f>
        <v>346.94797651902991</v>
      </c>
      <c r="U26" s="62">
        <f>SUBTOTAL(101,Table4[Avg. Remaining])</f>
        <v>224.61977567375439</v>
      </c>
      <c r="V26" s="61">
        <f>SUBTOTAL(101,Table4[% Reduced])</f>
        <v>0.62056876451889587</v>
      </c>
      <c r="W26"/>
      <c r="X26"/>
      <c r="Y26" s="57">
        <f>SUBTOTAL(101,Table4[Arrear Level Forgiven])</f>
        <v>0.4477875726880407</v>
      </c>
      <c r="Z26" s="63">
        <f>SUBTOTAL(101,Table4[LIHEAP Avg. Assistance])</f>
        <v>407.29035465743459</v>
      </c>
    </row>
    <row r="28" spans="1:26" x14ac:dyDescent="0.2">
      <c r="M28" s="33" t="s">
        <v>53</v>
      </c>
      <c r="S28" s="34">
        <f>AVERAGEIF(Table4[STATE], $M$28, Table4[Avg. Bill])</f>
        <v>607.18522471333029</v>
      </c>
      <c r="T28" s="34">
        <f>AVERAGEIF(Table4[STATE], $M$28, Table4[Avg. Assistance])</f>
        <v>374.01620945512332</v>
      </c>
      <c r="Y28" s="55">
        <f>AVERAGEIF(Table4[STATE], $M$28,Table4[Arrear Level Forgiven])</f>
        <v>0.4012715938319798</v>
      </c>
      <c r="Z28" s="34">
        <f>AVERAGEIF(Table4[STATE], $M$28, Table4[LIHEAP Avg. Assistance])</f>
        <v>459.91019469156987</v>
      </c>
    </row>
    <row r="29" spans="1:26" x14ac:dyDescent="0.2">
      <c r="M29" s="35" t="s">
        <v>2</v>
      </c>
      <c r="N29" s="36">
        <f>Table4[[#Totals],[OLIBA_TOTAL_ASSIST]]/Table4[[#Totals],[OLIBA_COUNT]]</f>
        <v>417.44661538461537</v>
      </c>
      <c r="S29" s="36">
        <f>AVERAGEIF(Table4[STATE], $M$29, Table4[Avg. Bill])</f>
        <v>500.33280715169218</v>
      </c>
      <c r="T29" s="36">
        <f>AVERAGEIF(Table4[STATE], $M$29, Table4[Avg. Assistance])</f>
        <v>292.81151064684298</v>
      </c>
      <c r="Y29" s="56">
        <f>AVERAGEIF(Table4[STATE], $M$29,Table4[Arrear Level Forgiven])</f>
        <v>0.54081953040016251</v>
      </c>
      <c r="Z29" s="36">
        <f>AVERAGEIF(Table4[STATE], $M$29, Table4[LIHEAP Avg. Assistance])</f>
        <v>302.05067458916415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2021-09-30T07:00:00+00:00</OpenedDate>
    <SignificantOrder xmlns="dc463f71-b30c-4ab2-9473-d307f9d35888">false</SignificantOrder>
    <Date1 xmlns="dc463f71-b30c-4ab2-9473-d307f9d35888">2022-06-15T07:00:00+00:00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210755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��< ? x m l   v e r s i o n = " 1 . 0 "   e n c o d i n g = " u t f - 1 6 " ? > < D a t a M a s h u p   s q m i d = " e a f 7 c f 2 8 - 0 e 4 a - 4 b 6 b - 8 2 a 2 - c 3 5 4 a 3 c 1 f c b c "   x m l n s = " h t t p : / / s c h e m a s . m i c r o s o f t . c o m / D a t a M a s h u p " > A A A A A B Q D A A B Q S w M E F A A C A A g A 5 o b H V I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5 o b H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a G x 1 Q o i k e 4 D g A A A B E A A A A T A B w A R m 9 y b X V s Y X M v U 2 V j d G l v b j E u b S C i G A A o o B Q A A A A A A A A A A A A A A A A A A A A A A A A A A A A r T k 0 u y c z P U w i G 0 I b W A F B L A Q I t A B Q A A g A I A O a G x 1 S H I L 8 k p A A A A P U A A A A S A A A A A A A A A A A A A A A A A A A A A A B D b 2 5 m a W c v U G F j a 2 F n Z S 5 4 b W x Q S w E C L Q A U A A I A C A D m h s d U D 8 r p q 6 Q A A A D p A A A A E w A A A A A A A A A A A A A A A A D w A A A A W 0 N v b n R l b n R f V H l w Z X N d L n h t b F B L A Q I t A B Q A A g A I A O a G x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H w H s j f k 2 M R 6 7 E T / 3 F D W C L A A A A A A I A A A A A A A N m A A D A A A A A E A A A A C + N 6 i I u O h 4 h e h 3 y D V Z T 4 H g A A A A A B I A A A K A A A A A Q A A A A o i L h m R V E Z q x B 0 S 2 e i U T q m l A A A A C w I 8 b E w 9 A t r X 3 n h a f j e m 3 V N n o g B w n 4 c m 5 i S h G 4 D Z a 1 U P A / u y M E d 0 a d z S s a L 6 Z s D e b s 6 N 5 0 7 r y i g / x m g T F 2 X c 1 y l G 3 s p Q a z q 7 0 + X c q U e R G i / h Q A A A A X D C D L O P J i 7 D v 8 h m Y 5 5 L T a R o 2 o 8 A = =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4F6BCA26D4124898A947854461FAE8" ma:contentTypeVersion="44" ma:contentTypeDescription="" ma:contentTypeScope="" ma:versionID="04d8f703f5bd88e2dedb0ceddeacae8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8F8DB3-6621-44FE-A556-CF8B394DDE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CA7B95D-8B8E-42D7-AEDF-0731BC0244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06AC7E-038A-4525-B40C-BE3F61B0CCDE}"/>
</file>

<file path=customXml/itemProps4.xml><?xml version="1.0" encoding="utf-8"?>
<ds:datastoreItem xmlns:ds="http://schemas.openxmlformats.org/officeDocument/2006/customXml" ds:itemID="{9A8E1BC4-3F2D-4FB6-9519-CC9C7E897C9D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2FEED55D-C59F-436B-8234-CDBA438161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Assistance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EAP Constants Spreadsheet for Benefits July 2017 for Program Year 2018</dc:title>
  <dc:subject/>
  <dc:creator>Multi Service Center</dc:creator>
  <cp:keywords/>
  <dc:description/>
  <cp:lastModifiedBy>Mickelson, Christopher</cp:lastModifiedBy>
  <cp:revision/>
  <dcterms:created xsi:type="dcterms:W3CDTF">1998-06-26T22:33:08Z</dcterms:created>
  <dcterms:modified xsi:type="dcterms:W3CDTF">2022-06-07T23:57:15Z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0x0101006E56B4D1795A2E4DB2F0B01679ED314A003E4F6BCA26D4124898A947854461FAE8</vt:lpwstr>
  </property>
  <property fmtid="{D5CDD505-2E9C-101B-9397-08002B2CF9AE}" pid="3" name="Workbook id">
    <vt:lpwstr>6d8e3442-f139-4f6f-8caf-6fa01d4ac4aa</vt:lpwstr>
  </property>
  <property fmtid="{D5CDD505-2E9C-101B-9397-08002B2CF9AE}" pid="4" name="Workbook type">
    <vt:lpwstr>Custom</vt:lpwstr>
  </property>
  <property fmtid="{D5CDD505-2E9C-101B-9397-08002B2CF9AE}" pid="5" name="Workbook version">
    <vt:lpwstr>Custom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