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6"/>
  </bookViews>
  <sheets>
    <sheet name="KJB-7" sheetId="1" r:id="rId1"/>
    <sheet name="KJB-7.01" sheetId="2" r:id="rId2"/>
  </sheets>
  <externalReferences>
    <externalReference r:id="rId3"/>
  </externalReferences>
  <definedNames>
    <definedName name="keep_TESTYEAR">'[1]KJB-6 Cmn Adj'!$B$7</definedName>
  </definedNames>
  <calcPr calcId="145621" calcMode="autoNoTable"/>
</workbook>
</file>

<file path=xl/calcChain.xml><?xml version="1.0" encoding="utf-8"?>
<calcChain xmlns="http://schemas.openxmlformats.org/spreadsheetml/2006/main">
  <c r="F30" i="2" l="1"/>
  <c r="E30" i="2"/>
  <c r="M29" i="2"/>
  <c r="I29" i="2"/>
  <c r="M28" i="2"/>
  <c r="I28" i="2"/>
  <c r="M27" i="2"/>
  <c r="K27" i="2"/>
  <c r="I27" i="2"/>
  <c r="M26" i="2"/>
  <c r="L26" i="2"/>
  <c r="I26" i="2"/>
  <c r="L24" i="2"/>
  <c r="L30" i="2" s="1"/>
  <c r="H24" i="2"/>
  <c r="H30" i="2" s="1"/>
  <c r="G24" i="2"/>
  <c r="G30" i="2" s="1"/>
  <c r="F24" i="2"/>
  <c r="E24" i="2"/>
  <c r="M23" i="2"/>
  <c r="I23" i="2"/>
  <c r="M22" i="2"/>
  <c r="I22" i="2"/>
  <c r="M21" i="2"/>
  <c r="I21" i="2"/>
  <c r="I20" i="2"/>
  <c r="K20" i="2" s="1"/>
  <c r="L19" i="2"/>
  <c r="M19" i="2" s="1"/>
  <c r="I19" i="2"/>
  <c r="M18" i="2"/>
  <c r="I18" i="2"/>
  <c r="M17" i="2"/>
  <c r="I17" i="2"/>
  <c r="M16" i="2"/>
  <c r="I16" i="2"/>
  <c r="I24" i="2" s="1"/>
  <c r="I30" i="2" s="1"/>
  <c r="M12" i="2"/>
  <c r="N12" i="2" s="1"/>
  <c r="M10" i="2"/>
  <c r="N10" i="2" s="1"/>
  <c r="N26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8" i="2"/>
  <c r="BM92" i="1"/>
  <c r="BK92" i="1"/>
  <c r="BL92" i="1" s="1"/>
  <c r="BM91" i="1"/>
  <c r="BK91" i="1"/>
  <c r="BL91" i="1" s="1"/>
  <c r="BK90" i="1"/>
  <c r="BL90" i="1" s="1"/>
  <c r="BM90" i="1" s="1"/>
  <c r="BK89" i="1"/>
  <c r="BL89" i="1" s="1"/>
  <c r="BM89" i="1" s="1"/>
  <c r="BM88" i="1"/>
  <c r="BK88" i="1"/>
  <c r="BL88" i="1" s="1"/>
  <c r="BM87" i="1"/>
  <c r="BK87" i="1"/>
  <c r="BL87" i="1" s="1"/>
  <c r="BK86" i="1"/>
  <c r="BL86" i="1" s="1"/>
  <c r="BM86" i="1" s="1"/>
  <c r="BK85" i="1"/>
  <c r="BL85" i="1" s="1"/>
  <c r="BM85" i="1" s="1"/>
  <c r="BM84" i="1"/>
  <c r="BK84" i="1"/>
  <c r="BL84" i="1" s="1"/>
  <c r="BM83" i="1"/>
  <c r="BK83" i="1"/>
  <c r="BL83" i="1" s="1"/>
  <c r="BK82" i="1"/>
  <c r="BL82" i="1" s="1"/>
  <c r="BM82" i="1" s="1"/>
  <c r="BK81" i="1"/>
  <c r="BL81" i="1" s="1"/>
  <c r="BM81" i="1" s="1"/>
  <c r="BM80" i="1"/>
  <c r="BK80" i="1"/>
  <c r="BL80" i="1" s="1"/>
  <c r="BM79" i="1"/>
  <c r="BK79" i="1"/>
  <c r="BL79" i="1" s="1"/>
  <c r="BM77" i="1"/>
  <c r="BK77" i="1"/>
  <c r="BL77" i="1" s="1"/>
  <c r="BM76" i="1"/>
  <c r="BK76" i="1"/>
  <c r="BL76" i="1" s="1"/>
  <c r="BK75" i="1"/>
  <c r="BL75" i="1" s="1"/>
  <c r="BK72" i="1"/>
  <c r="BK70" i="1"/>
  <c r="BM69" i="1"/>
  <c r="BL69" i="1"/>
  <c r="BL68" i="1"/>
  <c r="BM68" i="1" s="1"/>
  <c r="BL67" i="1"/>
  <c r="BM67" i="1" s="1"/>
  <c r="BM66" i="1"/>
  <c r="BL66" i="1"/>
  <c r="BK62" i="1"/>
  <c r="BL61" i="1"/>
  <c r="BM61" i="1" s="1"/>
  <c r="BM60" i="1"/>
  <c r="BL60" i="1"/>
  <c r="BL59" i="1"/>
  <c r="BM59" i="1" s="1"/>
  <c r="BL58" i="1"/>
  <c r="BM58" i="1" s="1"/>
  <c r="BL57" i="1"/>
  <c r="BM57" i="1" s="1"/>
  <c r="BL56" i="1"/>
  <c r="BM56" i="1" s="1"/>
  <c r="BM62" i="1" s="1"/>
  <c r="BL55" i="1"/>
  <c r="BM55" i="1" s="1"/>
  <c r="BL54" i="1"/>
  <c r="BM54" i="1" s="1"/>
  <c r="AC52" i="1"/>
  <c r="AB52" i="1"/>
  <c r="AD51" i="1"/>
  <c r="X51" i="1"/>
  <c r="AD50" i="1"/>
  <c r="AD49" i="1"/>
  <c r="AD48" i="1"/>
  <c r="AD47" i="1"/>
  <c r="X47" i="1"/>
  <c r="AD46" i="1"/>
  <c r="AD52" i="1" s="1"/>
  <c r="BK45" i="1"/>
  <c r="BL45" i="1" s="1"/>
  <c r="BM45" i="1" s="1"/>
  <c r="AD45" i="1"/>
  <c r="BK44" i="1"/>
  <c r="BL44" i="1" s="1"/>
  <c r="BM44" i="1" s="1"/>
  <c r="AD44" i="1"/>
  <c r="BK43" i="1"/>
  <c r="BL43" i="1" s="1"/>
  <c r="BM43" i="1" s="1"/>
  <c r="BK42" i="1"/>
  <c r="BL42" i="1" s="1"/>
  <c r="BM42" i="1" s="1"/>
  <c r="AD42" i="1"/>
  <c r="BK41" i="1"/>
  <c r="BL41" i="1" s="1"/>
  <c r="BM41" i="1" s="1"/>
  <c r="BL40" i="1"/>
  <c r="BM40" i="1" s="1"/>
  <c r="BK40" i="1"/>
  <c r="BK39" i="1"/>
  <c r="BL39" i="1" s="1"/>
  <c r="BM39" i="1" s="1"/>
  <c r="AD39" i="1"/>
  <c r="BK38" i="1"/>
  <c r="BL38" i="1" s="1"/>
  <c r="BM38" i="1" s="1"/>
  <c r="W38" i="1"/>
  <c r="X40" i="1" s="1"/>
  <c r="X53" i="1" s="1"/>
  <c r="Y57" i="1" s="1"/>
  <c r="BL37" i="1"/>
  <c r="BM37" i="1" s="1"/>
  <c r="BK37" i="1"/>
  <c r="BL36" i="1"/>
  <c r="BM36" i="1" s="1"/>
  <c r="BK36" i="1"/>
  <c r="BK35" i="1"/>
  <c r="AR33" i="1"/>
  <c r="AQ33" i="1"/>
  <c r="AS32" i="1"/>
  <c r="AC32" i="1"/>
  <c r="AB32" i="1"/>
  <c r="BM31" i="1"/>
  <c r="BL31" i="1"/>
  <c r="AS31" i="1"/>
  <c r="AS30" i="1"/>
  <c r="AS29" i="1"/>
  <c r="AS33" i="1" s="1"/>
  <c r="AD29" i="1"/>
  <c r="AD28" i="1"/>
  <c r="BL27" i="1"/>
  <c r="AD27" i="1"/>
  <c r="BL26" i="1"/>
  <c r="AR26" i="1"/>
  <c r="AQ26" i="1"/>
  <c r="AD26" i="1"/>
  <c r="BL25" i="1"/>
  <c r="BM25" i="1" s="1"/>
  <c r="BM27" i="1" s="1"/>
  <c r="BK25" i="1"/>
  <c r="BK27" i="1" s="1"/>
  <c r="AS25" i="1"/>
  <c r="AM25" i="1"/>
  <c r="AL25" i="1"/>
  <c r="AD25" i="1"/>
  <c r="X25" i="1"/>
  <c r="W25" i="1"/>
  <c r="BL24" i="1"/>
  <c r="AS24" i="1"/>
  <c r="AD24" i="1"/>
  <c r="O24" i="1"/>
  <c r="N24" i="1"/>
  <c r="M24" i="1"/>
  <c r="D24" i="1"/>
  <c r="E24" i="1" s="1"/>
  <c r="BC23" i="1"/>
  <c r="BC25" i="1" s="1"/>
  <c r="BB23" i="1"/>
  <c r="BA23" i="1"/>
  <c r="AS23" i="1"/>
  <c r="AH23" i="1"/>
  <c r="AG23" i="1"/>
  <c r="AD23" i="1"/>
  <c r="O23" i="1"/>
  <c r="E23" i="1"/>
  <c r="E29" i="1" s="1"/>
  <c r="D23" i="1"/>
  <c r="C23" i="1"/>
  <c r="BC22" i="1"/>
  <c r="AS22" i="1"/>
  <c r="AI22" i="1"/>
  <c r="AD22" i="1"/>
  <c r="O22" i="1"/>
  <c r="E22" i="1"/>
  <c r="D22" i="1"/>
  <c r="C22" i="1"/>
  <c r="BK21" i="1"/>
  <c r="AS21" i="1"/>
  <c r="AM21" i="1"/>
  <c r="AL21" i="1"/>
  <c r="AI21" i="1"/>
  <c r="AD21" i="1"/>
  <c r="D21" i="1"/>
  <c r="E21" i="1" s="1"/>
  <c r="C21" i="1"/>
  <c r="BM20" i="1"/>
  <c r="BL20" i="1"/>
  <c r="BG20" i="1"/>
  <c r="BF20" i="1"/>
  <c r="AN20" i="1"/>
  <c r="AN21" i="1" s="1"/>
  <c r="AN25" i="1" s="1"/>
  <c r="AD20" i="1"/>
  <c r="X20" i="1"/>
  <c r="X22" i="1" s="1"/>
  <c r="W20" i="1"/>
  <c r="W22" i="1" s="1"/>
  <c r="W27" i="1" s="1"/>
  <c r="E20" i="1"/>
  <c r="BM19" i="1"/>
  <c r="BL19" i="1"/>
  <c r="BH19" i="1"/>
  <c r="BH20" i="1" s="1"/>
  <c r="BA19" i="1"/>
  <c r="AD19" i="1"/>
  <c r="Y19" i="1"/>
  <c r="N19" i="1"/>
  <c r="M19" i="1"/>
  <c r="D19" i="1"/>
  <c r="E19" i="1" s="1"/>
  <c r="C19" i="1"/>
  <c r="BL18" i="1"/>
  <c r="BM18" i="1" s="1"/>
  <c r="BC18" i="1"/>
  <c r="AR18" i="1"/>
  <c r="AQ18" i="1"/>
  <c r="AH18" i="1"/>
  <c r="AG18" i="1"/>
  <c r="AD18" i="1"/>
  <c r="Y18" i="1"/>
  <c r="O18" i="1"/>
  <c r="I18" i="1"/>
  <c r="D18" i="1"/>
  <c r="E18" i="1" s="1"/>
  <c r="C18" i="1"/>
  <c r="BL17" i="1"/>
  <c r="BM17" i="1" s="1"/>
  <c r="BC17" i="1"/>
  <c r="AW17" i="1"/>
  <c r="AV17" i="1"/>
  <c r="AS17" i="1"/>
  <c r="AM17" i="1"/>
  <c r="AL17" i="1"/>
  <c r="AI17" i="1"/>
  <c r="AD17" i="1"/>
  <c r="Y17" i="1"/>
  <c r="O17" i="1"/>
  <c r="D17" i="1"/>
  <c r="C17" i="1"/>
  <c r="BL16" i="1"/>
  <c r="BB16" i="1"/>
  <c r="BB19" i="1" s="1"/>
  <c r="BK78" i="1" s="1"/>
  <c r="BA16" i="1"/>
  <c r="AX16" i="1"/>
  <c r="AS16" i="1"/>
  <c r="AN16" i="1"/>
  <c r="AI16" i="1"/>
  <c r="AD16" i="1"/>
  <c r="Y16" i="1"/>
  <c r="O16" i="1"/>
  <c r="D16" i="1"/>
  <c r="E16" i="1" s="1"/>
  <c r="C16" i="1"/>
  <c r="C25" i="1" s="1"/>
  <c r="C27" i="1" s="1"/>
  <c r="BG15" i="1"/>
  <c r="BF15" i="1"/>
  <c r="BC15" i="1"/>
  <c r="AX15" i="1"/>
  <c r="AS15" i="1"/>
  <c r="AS18" i="1" s="1"/>
  <c r="AO15" i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N15" i="1"/>
  <c r="AI15" i="1"/>
  <c r="AE15" i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D15" i="1"/>
  <c r="Y15" i="1"/>
  <c r="O15" i="1"/>
  <c r="I15" i="1"/>
  <c r="J20" i="1" s="1"/>
  <c r="D15" i="1"/>
  <c r="E15" i="1" s="1"/>
  <c r="C15" i="1"/>
  <c r="BH14" i="1"/>
  <c r="BD14" i="1"/>
  <c r="BD15" i="1" s="1"/>
  <c r="BD16" i="1" s="1"/>
  <c r="BD17" i="1" s="1"/>
  <c r="BD18" i="1" s="1"/>
  <c r="BD19" i="1" s="1"/>
  <c r="BD20" i="1" s="1"/>
  <c r="BD21" i="1" s="1"/>
  <c r="BD22" i="1" s="1"/>
  <c r="BD23" i="1" s="1"/>
  <c r="BC14" i="1"/>
  <c r="AX14" i="1"/>
  <c r="AX17" i="1" s="1"/>
  <c r="AX1" i="1" s="1"/>
  <c r="AS14" i="1"/>
  <c r="AO14" i="1"/>
  <c r="AN14" i="1"/>
  <c r="AN17" i="1" s="1"/>
  <c r="AI14" i="1"/>
  <c r="AE14" i="1"/>
  <c r="AD14" i="1"/>
  <c r="Y14" i="1"/>
  <c r="S14" i="1"/>
  <c r="O14" i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E14" i="1"/>
  <c r="D14" i="1"/>
  <c r="C14" i="1"/>
  <c r="BI13" i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8" i="1" s="1"/>
  <c r="BI39" i="1" s="1"/>
  <c r="BI40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I72" i="1" s="1"/>
  <c r="BI73" i="1" s="1"/>
  <c r="BI74" i="1" s="1"/>
  <c r="BI75" i="1" s="1"/>
  <c r="BI76" i="1" s="1"/>
  <c r="BI77" i="1" s="1"/>
  <c r="BI78" i="1" s="1"/>
  <c r="BI79" i="1" s="1"/>
  <c r="BI80" i="1" s="1"/>
  <c r="BI81" i="1" s="1"/>
  <c r="BI82" i="1" s="1"/>
  <c r="BI83" i="1" s="1"/>
  <c r="BI84" i="1" s="1"/>
  <c r="BI85" i="1" s="1"/>
  <c r="BI86" i="1" s="1"/>
  <c r="BI87" i="1" s="1"/>
  <c r="BI88" i="1" s="1"/>
  <c r="BI89" i="1" s="1"/>
  <c r="BI90" i="1" s="1"/>
  <c r="BI91" i="1" s="1"/>
  <c r="BI92" i="1" s="1"/>
  <c r="BI93" i="1" s="1"/>
  <c r="BI94" i="1" s="1"/>
  <c r="BI95" i="1" s="1"/>
  <c r="BH13" i="1"/>
  <c r="BH15" i="1" s="1"/>
  <c r="BD13" i="1"/>
  <c r="BC13" i="1"/>
  <c r="BC16" i="1" s="1"/>
  <c r="AY13" i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T13" i="1"/>
  <c r="AT14" i="1" s="1"/>
  <c r="AT15" i="1" s="1"/>
  <c r="AT16" i="1" s="1"/>
  <c r="AT17" i="1" s="1"/>
  <c r="AS13" i="1"/>
  <c r="AO13" i="1"/>
  <c r="AJ13" i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I13" i="1"/>
  <c r="AI18" i="1" s="1"/>
  <c r="AE13" i="1"/>
  <c r="AD13" i="1"/>
  <c r="Z13" i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U13" i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P13" i="1"/>
  <c r="P14" i="1" s="1"/>
  <c r="P15" i="1" s="1"/>
  <c r="P16" i="1" s="1"/>
  <c r="P17" i="1" s="1"/>
  <c r="P18" i="1" s="1"/>
  <c r="P19" i="1" s="1"/>
  <c r="P20" i="1" s="1"/>
  <c r="K13" i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E13" i="1"/>
  <c r="D13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T12" i="1"/>
  <c r="T14" i="1" s="1"/>
  <c r="T16" i="1" s="1"/>
  <c r="R12" i="1"/>
  <c r="R14" i="1" s="1"/>
  <c r="F12" i="1"/>
  <c r="BI6" i="1"/>
  <c r="BD6" i="1"/>
  <c r="AY6" i="1"/>
  <c r="AT6" i="1"/>
  <c r="AO6" i="1"/>
  <c r="AE6" i="1"/>
  <c r="Z6" i="1"/>
  <c r="U6" i="1"/>
  <c r="P6" i="1"/>
  <c r="K6" i="1"/>
  <c r="F6" i="1"/>
  <c r="A6" i="1"/>
  <c r="O3" i="1"/>
  <c r="T3" i="1" s="1"/>
  <c r="Y3" i="1" s="1"/>
  <c r="AD3" i="1" s="1"/>
  <c r="AI3" i="1" s="1"/>
  <c r="AN3" i="1" s="1"/>
  <c r="AS3" i="1" s="1"/>
  <c r="AX3" i="1" s="1"/>
  <c r="BC3" i="1" s="1"/>
  <c r="BH3" i="1" s="1"/>
  <c r="BM3" i="1" s="1"/>
  <c r="AH1" i="1"/>
  <c r="E1" i="1"/>
  <c r="N23" i="2" l="1"/>
  <c r="N21" i="2"/>
  <c r="N22" i="2"/>
  <c r="N28" i="2"/>
  <c r="N17" i="2"/>
  <c r="N19" i="2"/>
  <c r="N27" i="2"/>
  <c r="N29" i="2"/>
  <c r="N16" i="2"/>
  <c r="N18" i="2"/>
  <c r="K24" i="2"/>
  <c r="K30" i="2" s="1"/>
  <c r="M20" i="2"/>
  <c r="N20" i="2" s="1"/>
  <c r="N24" i="2"/>
  <c r="N30" i="2" s="1"/>
  <c r="M24" i="2"/>
  <c r="M30" i="2" s="1"/>
  <c r="BL78" i="1"/>
  <c r="BM78" i="1"/>
  <c r="BK30" i="1"/>
  <c r="J22" i="1"/>
  <c r="AN27" i="1"/>
  <c r="AN28" i="1"/>
  <c r="AN1" i="1" s="1"/>
  <c r="BM72" i="1"/>
  <c r="T20" i="1"/>
  <c r="T1" i="1" s="1"/>
  <c r="T18" i="1"/>
  <c r="BC27" i="1"/>
  <c r="BC28" i="1"/>
  <c r="BC1" i="1" s="1"/>
  <c r="O27" i="1"/>
  <c r="O1" i="1" s="1"/>
  <c r="O26" i="1"/>
  <c r="BL93" i="1"/>
  <c r="BM75" i="1"/>
  <c r="BM93" i="1" s="1"/>
  <c r="BC19" i="1"/>
  <c r="O19" i="1"/>
  <c r="E17" i="1"/>
  <c r="D25" i="1"/>
  <c r="D27" i="1" s="1"/>
  <c r="Y20" i="1"/>
  <c r="Y22" i="1" s="1"/>
  <c r="Y27" i="1" s="1"/>
  <c r="Y59" i="1" s="1"/>
  <c r="BL21" i="1"/>
  <c r="BM16" i="1"/>
  <c r="BM21" i="1" s="1"/>
  <c r="X27" i="1"/>
  <c r="AI23" i="1"/>
  <c r="AI25" i="1" s="1"/>
  <c r="Y25" i="1"/>
  <c r="BK46" i="1"/>
  <c r="BK47" i="1" s="1"/>
  <c r="BL35" i="1"/>
  <c r="AD58" i="1"/>
  <c r="AD56" i="1"/>
  <c r="BM70" i="1"/>
  <c r="E25" i="1"/>
  <c r="E27" i="1" s="1"/>
  <c r="E30" i="1" s="1"/>
  <c r="BH23" i="1"/>
  <c r="BH1" i="1" s="1"/>
  <c r="BH22" i="1"/>
  <c r="AS26" i="1"/>
  <c r="AD32" i="1"/>
  <c r="BL70" i="1"/>
  <c r="AS37" i="1"/>
  <c r="AS38" i="1" s="1"/>
  <c r="AS1" i="1" s="1"/>
  <c r="BK94" i="1"/>
  <c r="BL62" i="1"/>
  <c r="BL72" i="1" s="1"/>
  <c r="BL95" i="1" s="1"/>
  <c r="BK93" i="1"/>
  <c r="AI27" i="1" l="1"/>
  <c r="AI28" i="1" s="1"/>
  <c r="AI1" i="1" s="1"/>
  <c r="Y61" i="1"/>
  <c r="Y63" i="1" s="1"/>
  <c r="Y1" i="1" s="1"/>
  <c r="J24" i="1"/>
  <c r="J25" i="1" s="1"/>
  <c r="J1" i="1" s="1"/>
  <c r="E31" i="1"/>
  <c r="E32" i="1" s="1"/>
  <c r="BM35" i="1"/>
  <c r="BM46" i="1" s="1"/>
  <c r="BL46" i="1"/>
  <c r="BK32" i="1"/>
  <c r="BL30" i="1"/>
  <c r="AD60" i="1"/>
  <c r="AD1" i="1" s="1"/>
  <c r="BM30" i="1" l="1"/>
  <c r="BM32" i="1" s="1"/>
  <c r="BM48" i="1" s="1"/>
  <c r="BL32" i="1"/>
  <c r="BL48" i="1" s="1"/>
  <c r="BM49" i="1" l="1"/>
  <c r="BM1" i="1" s="1"/>
  <c r="A1" i="1" s="1"/>
</calcChain>
</file>

<file path=xl/sharedStrings.xml><?xml version="1.0" encoding="utf-8"?>
<sst xmlns="http://schemas.openxmlformats.org/spreadsheetml/2006/main" count="531" uniqueCount="334">
  <si>
    <t>Page 1 of 15</t>
  </si>
  <si>
    <t>Page 3 of 15</t>
  </si>
  <si>
    <t>Page 4 of 15</t>
  </si>
  <si>
    <t>Page 5 of 15</t>
  </si>
  <si>
    <t>Page 6 of 15</t>
  </si>
  <si>
    <t>Page 7 of 15</t>
  </si>
  <si>
    <t>Page 8 of 15</t>
  </si>
  <si>
    <t>Page 9 of 15</t>
  </si>
  <si>
    <t>Page 10 of 15</t>
  </si>
  <si>
    <t>Page 11 of 15</t>
  </si>
  <si>
    <t>Page 12 of 15</t>
  </si>
  <si>
    <t>Page 13 of 15</t>
  </si>
  <si>
    <t>Page 14 of 15</t>
  </si>
  <si>
    <t>Adj. 7.01 Pg. 1 of 2</t>
  </si>
  <si>
    <t>PUGET SOUND ENERGY-ELECTRIC</t>
  </si>
  <si>
    <t>POWER COSTS</t>
  </si>
  <si>
    <t>MONTANA ELECTRIC ENERGY TAX</t>
  </si>
  <si>
    <t xml:space="preserve">WILD HORSE SOLAR </t>
  </si>
  <si>
    <t>ACCOUNTING STANDARDS CODIFICATION 815 (FORMERLY SFAS 133)</t>
  </si>
  <si>
    <t>STORM DAMAGE</t>
  </si>
  <si>
    <t>REGULATORY ASSETS AND LIABILITIES</t>
  </si>
  <si>
    <t>GLACIER BATTERY STORAGE</t>
  </si>
  <si>
    <t>ENERGY IMBALANCE MARKET</t>
  </si>
  <si>
    <t>GOLDENDALE CAPACITY UPGRADE</t>
  </si>
  <si>
    <t>MINT FARM CAPACITY UPGRADE</t>
  </si>
  <si>
    <t>WHITE RIVER</t>
  </si>
  <si>
    <t>TRANSFER OF HYDRO TREASURY GRANTS IN RATEBASE</t>
  </si>
  <si>
    <t>PRODUCTION ADJUSTMENT</t>
  </si>
  <si>
    <t>FOR THE TWELVE MONTHS ENDED SEPTEMBER 30, 2016</t>
  </si>
  <si>
    <t>GENERAL RATE CASE</t>
  </si>
  <si>
    <t xml:space="preserve"> GENERAL RATE CASE</t>
  </si>
  <si>
    <t>LINE</t>
  </si>
  <si>
    <t>INCREASE</t>
  </si>
  <si>
    <t>TEST</t>
  </si>
  <si>
    <t>RATE</t>
  </si>
  <si>
    <t>ADJUSTED</t>
  </si>
  <si>
    <t>NEW</t>
  </si>
  <si>
    <t>PROFORMA</t>
  </si>
  <si>
    <t>PRODUCTION</t>
  </si>
  <si>
    <t>FIT</t>
  </si>
  <si>
    <t>NO.</t>
  </si>
  <si>
    <t>DESCRIPTION</t>
  </si>
  <si>
    <t>ACTUAL</t>
  </si>
  <si>
    <t>(DECREASE)</t>
  </si>
  <si>
    <t>AMOUNT</t>
  </si>
  <si>
    <t>ADJUSTMENT</t>
  </si>
  <si>
    <t>RESTATED</t>
  </si>
  <si>
    <t>TRANSMISSION</t>
  </si>
  <si>
    <t>DISTRIBUTION</t>
  </si>
  <si>
    <t>YEAR</t>
  </si>
  <si>
    <t xml:space="preserve"> YEAR</t>
  </si>
  <si>
    <t>TEST YEAR</t>
  </si>
  <si>
    <t>RATE YEAR</t>
  </si>
  <si>
    <t>AND RESTATED</t>
  </si>
  <si>
    <t>FACTOR</t>
  </si>
  <si>
    <t>PRODUCTION EXPENSES:</t>
  </si>
  <si>
    <t>RATE YEAR KWh</t>
  </si>
  <si>
    <t>ASC 815 OPERATING EXPENSE</t>
  </si>
  <si>
    <t>NORMAL STORMS</t>
  </si>
  <si>
    <t>AMA OF REGULATORY ASSET/LIABILITY NET OF ACCUM AMORT AND DFIT</t>
  </si>
  <si>
    <t>RATEBASE (AMA) UTILITY PLANT RATEBASE</t>
  </si>
  <si>
    <t>EIM RATEBASE (AMA)</t>
  </si>
  <si>
    <r>
      <t>UTILITY PLANT RATEBASE -</t>
    </r>
    <r>
      <rPr>
        <i/>
        <u/>
        <sz val="10"/>
        <rFont val="Times New Roman"/>
        <family val="1"/>
      </rPr>
      <t xml:space="preserve"> </t>
    </r>
    <r>
      <rPr>
        <b/>
        <i/>
        <u/>
        <sz val="10"/>
        <rFont val="Times New Roman"/>
        <family val="1"/>
      </rPr>
      <t>RETIRED ASSET</t>
    </r>
  </si>
  <si>
    <t>MINT FARM CAPACITY UPGRADE RATEBASE (AMA)</t>
  </si>
  <si>
    <t xml:space="preserve">     WHITE RIVER AMA</t>
  </si>
  <si>
    <t>HYDRO TREASURY GRANTS RATEBASE</t>
  </si>
  <si>
    <t>APPLIED TO ALL BUT LINE 19</t>
  </si>
  <si>
    <t>FIXED</t>
  </si>
  <si>
    <t>501-STEAM FUEL</t>
  </si>
  <si>
    <t>TRANSMISSION LINE LOSS % FOR WECC</t>
  </si>
  <si>
    <t>ACTUAL O&amp;M:</t>
  </si>
  <si>
    <t>BEP</t>
  </si>
  <si>
    <t>PLANT BALANCE</t>
  </si>
  <si>
    <t>UTILITY PLANT RATEBASE</t>
  </si>
  <si>
    <t xml:space="preserve">WHITE RIVER PLANT REGULATORY ASSET </t>
  </si>
  <si>
    <t>NET HYDRO TREASURY GRANTS BALANCE IN DEFFERED DEBITS &amp; CREDITS</t>
  </si>
  <si>
    <t>APPLIED ONLY TO LINE 19</t>
  </si>
  <si>
    <t>VARIABLE</t>
  </si>
  <si>
    <t>547-FUEL</t>
  </si>
  <si>
    <t>WETT TAX RATE</t>
  </si>
  <si>
    <t>INCREASE (DECREASE) IN EXPENSE</t>
  </si>
  <si>
    <t xml:space="preserve">  TWELVE MONTHS ENDED 09/30/11</t>
  </si>
  <si>
    <t>WESTCOAST PIPELINE CAPACITY - UE-082013 (FB ENERGY)</t>
  </si>
  <si>
    <t xml:space="preserve">ACCUM DEPRECIATION </t>
  </si>
  <si>
    <t>WHITE RIVER PLANT IN SERVICE FERC 101</t>
  </si>
  <si>
    <t>COLSTRIP 1/2 RETIREMENT ACCOUNT</t>
  </si>
  <si>
    <t>OPERATING EXPENSE:</t>
  </si>
  <si>
    <t>555-PURCHASED POWER</t>
  </si>
  <si>
    <t xml:space="preserve">     WETT TAX</t>
  </si>
  <si>
    <t xml:space="preserve">  TWELVE MONTHS ENDED 09/30/12</t>
  </si>
  <si>
    <t>WESTCOAST PIPELINE CAPACITY - UE-100503 (BNP PARIBUS)</t>
  </si>
  <si>
    <t>ACCUM DEPR-PORTION NEW DEPR STUDY</t>
  </si>
  <si>
    <t>A/D PORTION INCLUDED IN DEPRECIATION STUDY</t>
  </si>
  <si>
    <t>WHITE RIVER FUTURE USE PLANT FERC 105</t>
  </si>
  <si>
    <t>TOTAL TREASURY GRANTS RATEBASE</t>
  </si>
  <si>
    <t>O&amp;M / A&amp;G  PRODUCTION RELATED</t>
  </si>
  <si>
    <t>557-OTHER POWER EXPENSE</t>
  </si>
  <si>
    <t xml:space="preserve">   A/D PORTION INCLUDED IN DEPRECIATION STUDY ADJ</t>
  </si>
  <si>
    <t>INCREASE(DECREASE) OPERATING INCOME</t>
  </si>
  <si>
    <t xml:space="preserve">  TWELVE MONTHS ENDED 09/30/13</t>
  </si>
  <si>
    <t>MINT FARM DEFFRED - UE-090704 (FERC 407.3)</t>
  </si>
  <si>
    <t xml:space="preserve">   DEFERRED INCOME TAX LIABILITY</t>
  </si>
  <si>
    <t xml:space="preserve">DEFERRED FIT </t>
  </si>
  <si>
    <t xml:space="preserve">ACCUM DEFERRED FIT </t>
  </si>
  <si>
    <t>TOTAL WHITE RIVER</t>
  </si>
  <si>
    <t>WAGES &amp; INCENTIVE - OTHER PWR 557</t>
  </si>
  <si>
    <t xml:space="preserve">    565-WHEELING</t>
  </si>
  <si>
    <t>EEELT TAX RATE</t>
  </si>
  <si>
    <t>DEFERRED INCOME TAX LIABILITY</t>
  </si>
  <si>
    <t xml:space="preserve">  TWELVE MONTHS ENDED 09/30/14</t>
  </si>
  <si>
    <t>CHELAN PUD</t>
  </si>
  <si>
    <t xml:space="preserve">   DEF IN TAX LIAB-PORT NEW DEPR STUDY</t>
  </si>
  <si>
    <t>TOTAL  RATEBASE</t>
  </si>
  <si>
    <t>DFIT PORTION INCLUDED IN DEPRECIATION STUDY</t>
  </si>
  <si>
    <t xml:space="preserve">ACCUMULATED AMORTIZATION </t>
  </si>
  <si>
    <t>WAGES &amp; INCENTIVE - PROD O&amp;M</t>
  </si>
  <si>
    <t xml:space="preserve">    447-SALES FOR RESALE</t>
  </si>
  <si>
    <t xml:space="preserve">     EEELT TAX</t>
  </si>
  <si>
    <t>ADFIT PORTION INCLUDED IN DEPRECIATION STUDY ADJ</t>
  </si>
  <si>
    <t xml:space="preserve">INCREASE (DECREASE) DEFERRED FIT @ </t>
  </si>
  <si>
    <t xml:space="preserve">  TWELVE MONTHS ENDED 09/30/15</t>
  </si>
  <si>
    <t xml:space="preserve">CHELAN - ROCK ISLAND SECURITY DEPOSIT </t>
  </si>
  <si>
    <t>GLACIER BATTERY STORAGE RATEBASE</t>
  </si>
  <si>
    <t>HYDRO TREASURY GRANTS OPERATING EXPENSE</t>
  </si>
  <si>
    <t>BENEFITS - A&amp;G 926</t>
  </si>
  <si>
    <t xml:space="preserve">    456-PURCHASES/SALES OF NON-CORE GAS</t>
  </si>
  <si>
    <t>NET WILD HORSE SOLAR PLANT RATEBASE</t>
  </si>
  <si>
    <t xml:space="preserve">  TWELVE MONTHS ENDED 09/30/16</t>
  </si>
  <si>
    <t>COLSTRIP 1&amp;2 (WECo) PREPAYMENT</t>
  </si>
  <si>
    <t>EIM OPERATING EXPENSE</t>
  </si>
  <si>
    <t xml:space="preserve">    TOTAL WHITE RIVER NET</t>
  </si>
  <si>
    <t>AMORTIZATION EXPENSE</t>
  </si>
  <si>
    <t>WORKER'S COMP - A&amp;G 926</t>
  </si>
  <si>
    <t>RESTATED ENERGY TAX (LINE 1 X LINE 2)</t>
  </si>
  <si>
    <t>INCREASE (DECREASE) NOI</t>
  </si>
  <si>
    <t>TOTAL NORMAL STORMS</t>
  </si>
  <si>
    <t>FERC PART 12 STUDY NON-CONSTRUCTION COSTS UE-070074 (FERC 407)</t>
  </si>
  <si>
    <t>OPERATING EXPENSE</t>
  </si>
  <si>
    <t>DEPRECIATION EXPENSE</t>
  </si>
  <si>
    <r>
      <t xml:space="preserve">UTILITY PLANT RATEBASE - </t>
    </r>
    <r>
      <rPr>
        <b/>
        <i/>
        <u/>
        <sz val="10"/>
        <rFont val="Times New Roman"/>
        <family val="1"/>
      </rPr>
      <t>NEW ADDITION</t>
    </r>
  </si>
  <si>
    <t>TOTAL TREASURY GRANTS EXPENSE</t>
  </si>
  <si>
    <t>PROPERTY INSURANCE - A&amp;G 926</t>
  </si>
  <si>
    <t>PRODUCTION O&amp;M</t>
  </si>
  <si>
    <t>CHARGED TO EXPENSE</t>
  </si>
  <si>
    <t>LOWER SNAKE RIVER PP TRANSM PRINCIPAL $99.8M</t>
  </si>
  <si>
    <t xml:space="preserve">   DEPRECIATION EXPENSE</t>
  </si>
  <si>
    <t>INCREASE (DECREASE) EXPENSE</t>
  </si>
  <si>
    <t xml:space="preserve">     WHITE RIVER AMORTIZATION</t>
  </si>
  <si>
    <t>TOTAL PRODUCTION O&amp;M / A&amp;G</t>
  </si>
  <si>
    <t xml:space="preserve">TRANS. EXP. INCL. 500KV O&amp;M </t>
  </si>
  <si>
    <t>INCREASE (DECREASE) INCOME</t>
  </si>
  <si>
    <t>SIX-YEAR AVERAGE STORM EXPENSE FOR RATE YEAR</t>
  </si>
  <si>
    <t>CARRYING CHARGES ON LSR PP TRANSM $99.8M (FERC 407.3)</t>
  </si>
  <si>
    <t>DEPR EXP-PORTION FOR NEW DEPR STUDY</t>
  </si>
  <si>
    <t>WHITE RIVER AMORTIZATION</t>
  </si>
  <si>
    <t>INCREASE (DECREASE) FIT @</t>
  </si>
  <si>
    <t>456-1 VARIABLE TRANSM. INCOME - COLSTRIP, 3RD AC &amp; NI</t>
  </si>
  <si>
    <t xml:space="preserve"> </t>
  </si>
  <si>
    <t>PORTION INCLUDED IN DEPRECIATION STUDY ADJ</t>
  </si>
  <si>
    <t>LOWER SNAKE RIVER PLANT DEFERRAL $18.3M  (FERC 407.3)</t>
  </si>
  <si>
    <t>TOTAL OPERATING EXPENSES</t>
  </si>
  <si>
    <t xml:space="preserve">    TOTAL WHITE RIVER EXPENSES</t>
  </si>
  <si>
    <t>DEPRECIATION / AMORTIZATION:</t>
  </si>
  <si>
    <t>EQUITY RETURN ON CENTRALIA TRANSITION COAL PPA</t>
  </si>
  <si>
    <t xml:space="preserve">INCREASE (DECREASE) FIT @ </t>
  </si>
  <si>
    <t>INCREASE (DECREASE ) EXPENSE</t>
  </si>
  <si>
    <t>CHARGED TO EXPENSE  12 MONTHS ENDED 9/30/2016</t>
  </si>
  <si>
    <t>BAKER LICENSE UPGRADE DEFERRAL (2013 PCORC) (FERC 407.3)</t>
  </si>
  <si>
    <t>DEPRECIATION</t>
  </si>
  <si>
    <t>STORM DAMAGE EXPENSE (LINE 8)</t>
  </si>
  <si>
    <t>SNOQUALMIE LICENSE UPGRADE DEFERRAL (2013 PCORC) (FERC 407.3)</t>
  </si>
  <si>
    <t xml:space="preserve">    INCREASE (DECREASE ) EXPENSE</t>
  </si>
  <si>
    <t>AMORTIZATION OF TREASURY GRANTS (407.4)</t>
  </si>
  <si>
    <t>FERNDALE DEFERRAL (2013 PCORC) (FERC 407.3)</t>
  </si>
  <si>
    <t>AMORTIZATION (OTHER THAN REGULATORY ASSETS/LIAB)</t>
  </si>
  <si>
    <t xml:space="preserve">INCREASE (DECREASE) OPERATING INCOME </t>
  </si>
  <si>
    <t>INCREASE (DECREASE) OPERATING EXPENSE</t>
  </si>
  <si>
    <t>BAKER TREASURY GRANT DEFERRAL (2014 PCORC) (FERC 407.4)</t>
  </si>
  <si>
    <t xml:space="preserve">     INCREASE (DECREASE) FIT</t>
  </si>
  <si>
    <t>TOTAL DEPRECIATION / AMORTIZATION</t>
  </si>
  <si>
    <t>SNOQUALMIE TREASURY GRANT DEFERRAL (2014 PCORC) (FERC 407.4)</t>
  </si>
  <si>
    <t>GOLDENDALE CAPACITY UPGRADE OPERATING EXPENSE</t>
  </si>
  <si>
    <t xml:space="preserve">     INCREASE (DECREASE) NOI</t>
  </si>
  <si>
    <t>STATE UTILITY TAX SAVINGS FOR LINE 12</t>
  </si>
  <si>
    <t>ELECTRON UNRECOVERED COST (2014 PCORC) (FERC 407.3)</t>
  </si>
  <si>
    <t>RETIRED ASSET DERPRECATION EXPENSE</t>
  </si>
  <si>
    <t>OTHER TAXES:</t>
  </si>
  <si>
    <t>CATASTROPHIC STORMS</t>
  </si>
  <si>
    <t>DEP EXP PORTION INCLUDED IN DEPRECIATION STUDY</t>
  </si>
  <si>
    <t>MONTANA ENERGY TAX</t>
  </si>
  <si>
    <t xml:space="preserve">DEFERRED BALANCES FOR UE-090704 4 YEAR AMORTIZATION </t>
  </si>
  <si>
    <t>NEW ASSET DEPRECIATION EXPENSE</t>
  </si>
  <si>
    <t>PAYROLL TAXES</t>
  </si>
  <si>
    <t>AT START OF RATE YEAR (01/01/2018):</t>
  </si>
  <si>
    <t xml:space="preserve">TOTAL REGULATORY ASSETS AND LIABILITIES RATEBASE </t>
  </si>
  <si>
    <t>TOTAL OTHER TAXES</t>
  </si>
  <si>
    <t>2010 STORM DAMAGE</t>
  </si>
  <si>
    <t>TOTAL DEPRECIATION</t>
  </si>
  <si>
    <t>2010 STORM DAMAGE PENDING APPROVAL</t>
  </si>
  <si>
    <t>AMORTIZATION ON REGULATORY ASSETS (EXXLUDES POWER REG AMORT)</t>
  </si>
  <si>
    <t>2014 STORM DAMAGE-PENDING APPROVAL</t>
  </si>
  <si>
    <t>AMORTIZATION OF REGULATORY ASSET/LIABILITY</t>
  </si>
  <si>
    <t xml:space="preserve">     WHITE RIVER REGULATORY ASSET</t>
  </si>
  <si>
    <t>2015 STORM DAMAGE-PENDING APPROVAL</t>
  </si>
  <si>
    <t>|------------------------ (NOTE 1) -------------------------|</t>
  </si>
  <si>
    <t xml:space="preserve">     TREASURY GRANTS DEFERRAL - SNOQUALMIE</t>
  </si>
  <si>
    <t>2016 STORM DAMAGE-PENDING APPROVAL</t>
  </si>
  <si>
    <t xml:space="preserve">     TREASURY GRANTS DEFERRAL - BAKER</t>
  </si>
  <si>
    <t/>
  </si>
  <si>
    <t>TOTAL (LINE 21 THROUGH LINE 26)</t>
  </si>
  <si>
    <t xml:space="preserve">     ELECTRON UNRECOVERED COSTS</t>
  </si>
  <si>
    <t xml:space="preserve">     MINT FARM DEFFRAL - UE-090704</t>
  </si>
  <si>
    <t>ANNUAL AMORTIZATION (LINE 27 ÷ 48) x 12</t>
  </si>
  <si>
    <t xml:space="preserve">     LSR PLANT DEFERRAL - UE-111048</t>
  </si>
  <si>
    <t xml:space="preserve">     FERNDALE PLANT DEFERRAL - UE-130617</t>
  </si>
  <si>
    <t xml:space="preserve">     BAKER UPGRADE PLANT DEFERRAL UE-130617</t>
  </si>
  <si>
    <t>DEFERRED BALANCES FOR 10 YEAR AMORTIZATION AT</t>
  </si>
  <si>
    <t xml:space="preserve">      SNOQUALMIE UPGRADE PLANT DEFERRAL UE-130617</t>
  </si>
  <si>
    <t>START OF RATE YEAR (01/01/18):</t>
  </si>
  <si>
    <t xml:space="preserve">     FERC PART 12 STUDY NON-CONSTRUCTION COSTS UE-070074</t>
  </si>
  <si>
    <t>12/13/06 WIND STORM</t>
  </si>
  <si>
    <t xml:space="preserve">     CARRYING CHARGES ON LSR PREPAID TRANSM</t>
  </si>
  <si>
    <t>ORIGINAL PERIOD WAS 10 YEARS, NOV 2008 - OCT 2018</t>
  </si>
  <si>
    <t>TOTAL REGULATORY ASSET ADJUSTMENT TO DECOUPLING RATE</t>
  </si>
  <si>
    <r>
      <t xml:space="preserve">ANNUAL AMORTIZATION (LINE 34 </t>
    </r>
    <r>
      <rPr>
        <sz val="9"/>
        <color rgb="FF000000"/>
        <rFont val="Symbol"/>
        <family val="1"/>
        <charset val="2"/>
      </rPr>
      <t>¸</t>
    </r>
    <r>
      <rPr>
        <sz val="10"/>
        <color rgb="FF000000"/>
        <rFont val="Times New Roman"/>
        <family val="1"/>
      </rPr>
      <t xml:space="preserve"> 10 (01/2018 - 10/2018) x 10)</t>
    </r>
  </si>
  <si>
    <t>check =&gt;</t>
  </si>
  <si>
    <t>DEFERRED BALANCES FOR 6 YEAR AMORTIZATION AT</t>
  </si>
  <si>
    <t>INCREASE(DECREASE) NOI</t>
  </si>
  <si>
    <t>01/18/12 SNOW STORM - PENDING APPROVAL</t>
  </si>
  <si>
    <t>ANNUAL AMORTIZATION (LINE 39 ÷ 72 (6 YEARS) X 12)</t>
  </si>
  <si>
    <t>TOTAL AMORTIZATION OF REG ASSETS/LIABS</t>
  </si>
  <si>
    <t>RATEBASE:</t>
  </si>
  <si>
    <t>TOTAL RATE YEAR AMORTIZATION (LINE 29 + LINE 36 + LINE 40)</t>
  </si>
  <si>
    <t>PRODUCTION RATE BASE:</t>
  </si>
  <si>
    <t>DEPRECIABLE PRODUCTION PROPERTY (INCLUDES HYDRO GRANTS)</t>
  </si>
  <si>
    <t>LESS TOTAL RATE YEAR AMORTIZATION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</si>
  <si>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</si>
  <si>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</si>
  <si>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</si>
  <si>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INCREASE (DECREASE) FIT</t>
  </si>
  <si>
    <t>COLSTRIP COMMON FERC ADJUSTMENT</t>
  </si>
  <si>
    <t>TOTAL INCREASE (DECREASE) OPERATING EXPENSE (LINE 16 + LINE 46)</t>
  </si>
  <si>
    <t>COLSTRIP DEFERRED DEPRECIATION FERC ADJ.</t>
  </si>
  <si>
    <t>ACQUISITION ADJUSTMENT</t>
  </si>
  <si>
    <t>INCREASE (DECREASE) FIT @ 35% (LINE 489 X 35%)</t>
  </si>
  <si>
    <t xml:space="preserve">    ACCUMULATED AMORTIZATION ON ACQUISTION ADJ</t>
  </si>
  <si>
    <t>NET PRODUCTION PROPERTY</t>
  </si>
  <si>
    <t xml:space="preserve">(NOTE 1) THE ADJUSTMENTS FOR AMORTIZATION OF POWER COST RELATED REGULATORY ASSETS AND </t>
  </si>
  <si>
    <t xml:space="preserve">LIABILITIES ARE PERFORMED IN THE POWER COST ADJUSTMENT (ADJUSTMENT NO. 9.01) </t>
  </si>
  <si>
    <t>AND THEREFORE ARE NOT ADJUSTED HERE.</t>
  </si>
  <si>
    <t>DEDUCT:</t>
  </si>
  <si>
    <t>LIBR. DEPREC. POST 1980 (AMA)</t>
  </si>
  <si>
    <t xml:space="preserve">    NOL DEFERRED TAX ASSET ATTRIBUTABLE TO PRODUCTION</t>
  </si>
  <si>
    <t xml:space="preserve">    TREASURY GRANTS FOR SNOQUALMIE AND BAKER</t>
  </si>
  <si>
    <t xml:space="preserve">    ACCUM AMORT OF TREASURY GRANTS FOR SNOQUALMIE AND BAKER</t>
  </si>
  <si>
    <t>ADJUSTMENT TO RATE BASE</t>
  </si>
  <si>
    <t>TOTAL ADJUSTMENT TO PRODUCTION RATE BASE</t>
  </si>
  <si>
    <t>REGULATORY ASSETS RATE BASE (INCLUDES POWER COST REG ASSETS/LIAB):</t>
  </si>
  <si>
    <t>TREASURY GRANTS DEFERRAL - SNOQUALMIE</t>
  </si>
  <si>
    <t>TREASURY GRANTS DEFERRAL - BAKER</t>
  </si>
  <si>
    <t>WHITE RIVER REGULATORY ASSET</t>
  </si>
  <si>
    <t>CHELAN PUD CONTRACT INITITATION</t>
  </si>
  <si>
    <t>FERC PART 12 STUDY NON-CONSTRUCTION COSTS UE-070074</t>
  </si>
  <si>
    <t>LOWER SNAKE RIVER PREPAID TRANSM PRINCIPAL</t>
  </si>
  <si>
    <t>CARRYING CHARGES ON LSR PREPAID TRANSM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</si>
  <si>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</si>
  <si>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</si>
  <si>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</si>
  <si>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2018)</t>
  </si>
  <si>
    <t>BAKER UPGRADE PLANT DEFERRAL (ENDS OCT 2018)</t>
  </si>
  <si>
    <t>ELECTRON UNRECOVERED PLANT COSTS</t>
  </si>
  <si>
    <t>TOTAL ADJUSTMENT TO REGULATORY ASSETS RATE BASE</t>
  </si>
  <si>
    <t>check=&gt;</t>
  </si>
  <si>
    <t>TOTAL RATE BASE</t>
  </si>
  <si>
    <t>Puget Sound Energy</t>
  </si>
  <si>
    <t>Determination of Net Power Costs in Adjustment KJB 7.01</t>
  </si>
  <si>
    <t xml:space="preserve">Test Year:  12MOE Sept 2016  </t>
  </si>
  <si>
    <t>Rate Year:  Jan - Dec 2018</t>
  </si>
  <si>
    <t>Factor</t>
  </si>
  <si>
    <t>Complement</t>
  </si>
  <si>
    <t>Fixed PF</t>
  </si>
  <si>
    <t>Variable PF</t>
  </si>
  <si>
    <t>12MOE SAP</t>
  </si>
  <si>
    <t>ETIF</t>
  </si>
  <si>
    <t>Remove</t>
  </si>
  <si>
    <t>Net</t>
  </si>
  <si>
    <t>Check</t>
  </si>
  <si>
    <t>12MOE</t>
  </si>
  <si>
    <t>Reclass</t>
  </si>
  <si>
    <t>Net Before</t>
  </si>
  <si>
    <t>Production</t>
  </si>
  <si>
    <t>FERC</t>
  </si>
  <si>
    <t>F/V</t>
  </si>
  <si>
    <t>Reported in FERC</t>
  </si>
  <si>
    <t>Benefits</t>
  </si>
  <si>
    <t>Payroll Tax</t>
  </si>
  <si>
    <t>Test Year</t>
  </si>
  <si>
    <t>to I/S</t>
  </si>
  <si>
    <t>Ben &amp; Tax</t>
  </si>
  <si>
    <t>Prod Factor</t>
  </si>
  <si>
    <t xml:space="preserve">Factored </t>
  </si>
  <si>
    <t>a</t>
  </si>
  <si>
    <t>b</t>
  </si>
  <si>
    <t xml:space="preserve">c  </t>
  </si>
  <si>
    <t>d</t>
  </si>
  <si>
    <t xml:space="preserve">e  </t>
  </si>
  <si>
    <t>f</t>
  </si>
  <si>
    <t>g</t>
  </si>
  <si>
    <t>h</t>
  </si>
  <si>
    <t>i</t>
  </si>
  <si>
    <t>j</t>
  </si>
  <si>
    <t>k</t>
  </si>
  <si>
    <t>l</t>
  </si>
  <si>
    <t>V</t>
  </si>
  <si>
    <t>Steam Fuel</t>
  </si>
  <si>
    <t>GFG Fuel</t>
  </si>
  <si>
    <t>Purchased Power</t>
  </si>
  <si>
    <t>F</t>
  </si>
  <si>
    <t>Other Power Expense</t>
  </si>
  <si>
    <t>Brokerage Fees</t>
  </si>
  <si>
    <t>Wheeling</t>
  </si>
  <si>
    <t>Sales for Resale</t>
  </si>
  <si>
    <t>Purchses/(Sales) of Non-Core Gase</t>
  </si>
  <si>
    <t>Net power costs from  TY Margin or RY DEM Exh</t>
  </si>
  <si>
    <t>various</t>
  </si>
  <si>
    <t>Production O&amp;M</t>
  </si>
  <si>
    <t>500KV Trans Exp/O&amp;M</t>
  </si>
  <si>
    <t>456-17</t>
  </si>
  <si>
    <t>OATT Transmission Revenue</t>
  </si>
  <si>
    <t>n/a</t>
  </si>
  <si>
    <t>Equity Return on Centralia Coal Transition PPA</t>
  </si>
  <si>
    <t>Total Power Cost Adjustment</t>
  </si>
  <si>
    <t>Page 2 of 15
Adj. 7.01 pg 2 of 2</t>
  </si>
  <si>
    <t>Page 2 of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</si>
</sst>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&quot;Adj.&quot;\ 0.00"/>
    <numFmt numFmtId="167" formatCode="&quot;PAGE&quot;\ 0.00"/>
    <numFmt numFmtId="168" formatCode="0.000%"/>
    <numFmt numFmtId="169" formatCode="#,##0;\(#,##0\)"/>
    <numFmt numFmtId="170" formatCode="0.000000"/>
    <numFmt numFmtId="171" formatCode="0.0%"/>
    <numFmt numFmtId="172" formatCode="_(* #,##0_);_(* \(#,##0\);_(* &quot;-&quot;??_);_(@_)"/>
    <numFmt numFmtId="173" formatCode="_(* #,##0_);[Red]_(* \(#,##0\);_(* &quot;-&quot;_);_(@_)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Helv"/>
    </font>
    <font>
      <sz val="10"/>
      <color indexed="14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Symbol"/>
      <family val="1"/>
      <charset val="2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170" fontId="7" fillId="0" borderId="0">
      <alignment horizontal="left" wrapText="1"/>
    </xf>
    <xf numFmtId="43" fontId="7" fillId="0" borderId="0" applyFont="0" applyFill="0" applyBorder="0" applyAlignment="0" applyProtection="0"/>
    <xf numFmtId="0" fontId="15" fillId="0" borderId="0"/>
    <xf numFmtId="0" fontId="7" fillId="0" borderId="0"/>
    <xf numFmtId="0" fontId="7" fillId="0" borderId="0"/>
  </cellStyleXfs>
  <cellXfs count="299">
    <xf numFmtId="0" fontId="0" fillId="0" borderId="0" xfId="0"/>
    <xf numFmtId="164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42" fontId="2" fillId="2" borderId="2" xfId="0" applyNumberFormat="1" applyFont="1" applyFill="1" applyBorder="1" applyAlignment="1"/>
    <xf numFmtId="42" fontId="2" fillId="2" borderId="2" xfId="0" applyNumberFormat="1" applyFont="1" applyFill="1" applyBorder="1" applyAlignment="1" applyProtection="1">
      <protection locked="0"/>
    </xf>
    <xf numFmtId="165" fontId="2" fillId="2" borderId="2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NumberFormat="1" applyFont="1" applyFill="1" applyAlignment="1"/>
    <xf numFmtId="3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/>
    <xf numFmtId="0" fontId="3" fillId="0" borderId="0" xfId="0" applyNumberFormat="1" applyFont="1" applyFill="1" applyAlignment="1"/>
    <xf numFmtId="15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left"/>
      <protection locked="0"/>
    </xf>
    <xf numFmtId="166" fontId="3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/>
    <xf numFmtId="167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Alignment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Continuous"/>
    </xf>
    <xf numFmtId="168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169" fontId="3" fillId="0" borderId="0" xfId="0" applyNumberFormat="1" applyFont="1" applyFill="1" applyAlignment="1"/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0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protection locked="0"/>
    </xf>
    <xf numFmtId="169" fontId="3" fillId="0" borderId="4" xfId="0" applyNumberFormat="1" applyFont="1" applyFill="1" applyBorder="1" applyAlignment="1">
      <alignment horizontal="center"/>
    </xf>
    <xf numFmtId="0" fontId="3" fillId="0" borderId="4" xfId="0" quotePrefix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NumberFormat="1" applyFont="1" applyBorder="1" applyAlignment="1"/>
    <xf numFmtId="0" fontId="3" fillId="0" borderId="4" xfId="0" applyNumberFormat="1" applyFont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fill"/>
    </xf>
    <xf numFmtId="0" fontId="2" fillId="0" borderId="0" xfId="0" applyNumberFormat="1" applyFont="1" applyFill="1" applyAlignment="1" applyProtection="1">
      <alignment horizontal="fill"/>
      <protection locked="0"/>
    </xf>
    <xf numFmtId="42" fontId="2" fillId="0" borderId="0" xfId="0" applyNumberFormat="1" applyFont="1" applyFill="1" applyAlignment="1" applyProtection="1">
      <alignment horizontal="fill"/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41" fontId="2" fillId="0" borderId="0" xfId="0" applyNumberFormat="1" applyFont="1" applyFill="1" applyBorder="1" applyAlignment="1"/>
    <xf numFmtId="169" fontId="2" fillId="0" borderId="0" xfId="0" applyNumberFormat="1" applyFont="1" applyFill="1" applyAlignment="1" applyProtection="1">
      <alignment horizontal="left"/>
      <protection locked="0"/>
    </xf>
    <xf numFmtId="42" fontId="2" fillId="0" borderId="0" xfId="0" applyNumberFormat="1" applyFont="1" applyFill="1" applyAlignment="1" applyProtection="1">
      <protection locked="0"/>
    </xf>
    <xf numFmtId="0" fontId="2" fillId="0" borderId="4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left"/>
      <protection locked="0"/>
    </xf>
    <xf numFmtId="4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Alignment="1">
      <alignment horizontal="center"/>
    </xf>
    <xf numFmtId="170" fontId="6" fillId="0" borderId="0" xfId="4" applyFont="1" applyAlignment="1">
      <alignment horizontal="left"/>
    </xf>
    <xf numFmtId="0" fontId="2" fillId="0" borderId="0" xfId="3" applyFont="1" applyFill="1"/>
    <xf numFmtId="170" fontId="6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centerContinuous"/>
    </xf>
    <xf numFmtId="0" fontId="10" fillId="0" borderId="0" xfId="0" applyFont="1" applyAlignment="1">
      <alignment horizontal="left" wrapText="1"/>
    </xf>
    <xf numFmtId="1" fontId="2" fillId="0" borderId="0" xfId="0" applyNumberFormat="1" applyFont="1" applyFill="1" applyAlignment="1">
      <alignment horizontal="center"/>
    </xf>
    <xf numFmtId="170" fontId="11" fillId="0" borderId="0" xfId="0" applyNumberFormat="1" applyFont="1" applyAlignment="1">
      <alignment horizontal="left"/>
    </xf>
    <xf numFmtId="17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168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165" fontId="2" fillId="0" borderId="0" xfId="2" applyNumberFormat="1" applyFont="1" applyFill="1" applyBorder="1" applyAlignment="1"/>
    <xf numFmtId="171" fontId="2" fillId="0" borderId="0" xfId="0" applyNumberFormat="1" applyFont="1" applyAlignment="1"/>
    <xf numFmtId="0" fontId="2" fillId="0" borderId="0" xfId="0" applyNumberFormat="1" applyFont="1" applyFill="1" applyAlignment="1">
      <alignment horizontal="left"/>
    </xf>
    <xf numFmtId="169" fontId="2" fillId="0" borderId="5" xfId="0" applyNumberFormat="1" applyFont="1" applyFill="1" applyBorder="1" applyAlignment="1" applyProtection="1">
      <alignment horizontal="right"/>
      <protection locked="0"/>
    </xf>
    <xf numFmtId="41" fontId="2" fillId="0" borderId="5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protection locked="0"/>
    </xf>
    <xf numFmtId="172" fontId="2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>
      <alignment horizontal="left" indent="1"/>
    </xf>
    <xf numFmtId="42" fontId="12" fillId="0" borderId="0" xfId="0" applyNumberFormat="1" applyFont="1" applyFill="1" applyAlignment="1"/>
    <xf numFmtId="0" fontId="7" fillId="0" borderId="0" xfId="3" applyFont="1" applyFill="1"/>
    <xf numFmtId="170" fontId="2" fillId="0" borderId="0" xfId="0" applyNumberFormat="1" applyFont="1" applyFill="1" applyAlignment="1">
      <alignment horizontal="left"/>
    </xf>
    <xf numFmtId="165" fontId="13" fillId="0" borderId="0" xfId="2" applyNumberFormat="1" applyFont="1"/>
    <xf numFmtId="0" fontId="14" fillId="0" borderId="0" xfId="0" applyFont="1" applyAlignment="1">
      <alignment horizontal="left" indent="2"/>
    </xf>
    <xf numFmtId="42" fontId="2" fillId="0" borderId="0" xfId="0" applyNumberFormat="1" applyFont="1" applyAlignment="1">
      <alignment horizontal="left" wrapText="1"/>
    </xf>
    <xf numFmtId="170" fontId="2" fillId="0" borderId="0" xfId="0" applyNumberFormat="1" applyFont="1" applyFill="1" applyAlignment="1"/>
    <xf numFmtId="165" fontId="2" fillId="0" borderId="0" xfId="2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 indent="2"/>
    </xf>
    <xf numFmtId="42" fontId="2" fillId="0" borderId="0" xfId="0" applyNumberFormat="1" applyFont="1" applyFill="1" applyAlignment="1"/>
    <xf numFmtId="0" fontId="2" fillId="0" borderId="0" xfId="0" quotePrefix="1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left"/>
      <protection locked="0"/>
    </xf>
    <xf numFmtId="42" fontId="2" fillId="0" borderId="0" xfId="0" applyNumberFormat="1" applyFont="1" applyFill="1" applyBorder="1" applyAlignment="1" applyProtection="1">
      <alignment horizontal="right"/>
    </xf>
    <xf numFmtId="42" fontId="2" fillId="0" borderId="0" xfId="0" applyNumberFormat="1" applyFont="1" applyFill="1" applyAlignment="1" applyProtection="1">
      <alignment horizontal="right"/>
      <protection locked="0"/>
    </xf>
    <xf numFmtId="172" fontId="2" fillId="0" borderId="0" xfId="0" applyNumberFormat="1" applyFont="1" applyFill="1" applyBorder="1" applyAlignment="1">
      <alignment horizontal="center"/>
    </xf>
    <xf numFmtId="170" fontId="2" fillId="0" borderId="0" xfId="4" applyFont="1" applyFill="1" applyAlignment="1">
      <alignment horizontal="left" indent="2"/>
    </xf>
    <xf numFmtId="42" fontId="2" fillId="0" borderId="0" xfId="5" applyNumberFormat="1" applyFont="1" applyFill="1"/>
    <xf numFmtId="42" fontId="2" fillId="0" borderId="0" xfId="5" applyNumberFormat="1" applyFont="1" applyFill="1" applyBorder="1"/>
    <xf numFmtId="172" fontId="13" fillId="0" borderId="0" xfId="1" applyNumberFormat="1" applyFont="1"/>
    <xf numFmtId="41" fontId="2" fillId="0" borderId="0" xfId="0" applyNumberFormat="1" applyFont="1" applyAlignment="1">
      <alignment horizontal="left" wrapText="1"/>
    </xf>
    <xf numFmtId="41" fontId="2" fillId="0" borderId="0" xfId="0" applyNumberFormat="1" applyFont="1" applyFill="1" applyAlignment="1"/>
    <xf numFmtId="42" fontId="2" fillId="0" borderId="5" xfId="0" applyNumberFormat="1" applyFont="1" applyBorder="1" applyAlignment="1" applyProtection="1">
      <protection locked="0"/>
    </xf>
    <xf numFmtId="0" fontId="2" fillId="0" borderId="0" xfId="0" applyFont="1" applyAlignment="1">
      <alignment horizontal="left" indent="2"/>
    </xf>
    <xf numFmtId="0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0" xfId="5" applyNumberFormat="1" applyFont="1" applyFill="1"/>
    <xf numFmtId="41" fontId="2" fillId="0" borderId="0" xfId="5" applyNumberFormat="1" applyFont="1" applyFill="1" applyBorder="1"/>
    <xf numFmtId="41" fontId="2" fillId="0" borderId="4" xfId="0" applyNumberFormat="1" applyFont="1" applyBorder="1" applyAlignment="1">
      <alignment horizontal="left" wrapText="1"/>
    </xf>
    <xf numFmtId="170" fontId="3" fillId="0" borderId="0" xfId="0" applyNumberFormat="1" applyFont="1" applyFill="1" applyAlignment="1">
      <alignment horizontal="left"/>
    </xf>
    <xf numFmtId="42" fontId="2" fillId="0" borderId="6" xfId="0" applyNumberFormat="1" applyFont="1" applyFill="1" applyBorder="1" applyAlignment="1"/>
    <xf numFmtId="0" fontId="6" fillId="0" borderId="0" xfId="0" applyFont="1" applyFill="1" applyAlignment="1"/>
    <xf numFmtId="0" fontId="0" fillId="0" borderId="0" xfId="0" applyNumberFormat="1" applyFont="1" applyAlignment="1"/>
    <xf numFmtId="170" fontId="2" fillId="0" borderId="0" xfId="0" applyNumberFormat="1" applyFont="1" applyFill="1" applyAlignment="1">
      <alignment horizontal="left" indent="1"/>
    </xf>
    <xf numFmtId="0" fontId="2" fillId="0" borderId="0" xfId="6" applyNumberFormat="1" applyFont="1" applyFill="1" applyAlignment="1">
      <alignment horizontal="left" indent="2"/>
    </xf>
    <xf numFmtId="0" fontId="2" fillId="0" borderId="0" xfId="0" applyFont="1" applyFill="1" applyBorder="1" applyAlignment="1"/>
    <xf numFmtId="9" fontId="2" fillId="0" borderId="0" xfId="0" applyNumberFormat="1" applyFont="1" applyFill="1" applyAlignment="1">
      <alignment horizontal="right"/>
    </xf>
    <xf numFmtId="170" fontId="2" fillId="0" borderId="0" xfId="4" applyFont="1" applyFill="1" applyAlignment="1">
      <alignment horizontal="left"/>
    </xf>
    <xf numFmtId="165" fontId="2" fillId="0" borderId="6" xfId="2" applyNumberFormat="1" applyFont="1" applyFill="1" applyBorder="1" applyAlignment="1"/>
    <xf numFmtId="42" fontId="2" fillId="0" borderId="6" xfId="3" applyNumberFormat="1" applyFont="1" applyFill="1" applyBorder="1"/>
    <xf numFmtId="165" fontId="2" fillId="0" borderId="5" xfId="2" applyNumberFormat="1" applyFont="1" applyFill="1" applyBorder="1" applyAlignment="1"/>
    <xf numFmtId="42" fontId="2" fillId="0" borderId="0" xfId="3" applyNumberFormat="1" applyFont="1" applyFill="1"/>
    <xf numFmtId="9" fontId="2" fillId="0" borderId="0" xfId="0" applyNumberFormat="1" applyFont="1" applyFill="1" applyAlignment="1"/>
    <xf numFmtId="0" fontId="2" fillId="0" borderId="0" xfId="3" applyFont="1" applyFill="1" applyAlignment="1">
      <alignment horizontal="left" indent="2"/>
    </xf>
    <xf numFmtId="42" fontId="2" fillId="0" borderId="0" xfId="3" applyNumberFormat="1" applyFont="1" applyFill="1" applyBorder="1"/>
    <xf numFmtId="170" fontId="11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>
      <alignment horizontal="left" wrapText="1"/>
    </xf>
    <xf numFmtId="41" fontId="16" fillId="0" borderId="0" xfId="0" applyNumberFormat="1" applyFont="1" applyFill="1" applyBorder="1" applyAlignment="1">
      <alignment horizontal="left" wrapText="1"/>
    </xf>
    <xf numFmtId="41" fontId="5" fillId="0" borderId="0" xfId="0" applyNumberFormat="1" applyFont="1" applyFill="1" applyBorder="1" applyAlignment="1"/>
    <xf numFmtId="0" fontId="2" fillId="0" borderId="0" xfId="0" applyFont="1" applyAlignment="1">
      <alignment horizontal="left"/>
    </xf>
    <xf numFmtId="165" fontId="2" fillId="0" borderId="6" xfId="0" applyNumberFormat="1" applyFont="1" applyFill="1" applyBorder="1" applyAlignment="1"/>
    <xf numFmtId="170" fontId="6" fillId="0" borderId="0" xfId="4" applyFont="1" applyFill="1" applyAlignment="1">
      <alignment horizontal="left"/>
    </xf>
    <xf numFmtId="42" fontId="5" fillId="0" borderId="0" xfId="0" applyNumberFormat="1" applyFont="1" applyFill="1" applyBorder="1" applyAlignment="1"/>
    <xf numFmtId="0" fontId="14" fillId="0" borderId="0" xfId="0" applyFont="1" applyAlignment="1">
      <alignment horizontal="left" wrapText="1"/>
    </xf>
    <xf numFmtId="170" fontId="2" fillId="0" borderId="0" xfId="0" applyNumberFormat="1" applyFont="1" applyAlignment="1"/>
    <xf numFmtId="0" fontId="2" fillId="0" borderId="0" xfId="0" applyFont="1" applyFill="1" applyAlignment="1">
      <alignment horizontal="left"/>
    </xf>
    <xf numFmtId="169" fontId="2" fillId="0" borderId="0" xfId="0" applyNumberFormat="1" applyFont="1" applyBorder="1" applyAlignment="1" applyProtection="1">
      <protection locked="0"/>
    </xf>
    <xf numFmtId="169" fontId="2" fillId="0" borderId="0" xfId="0" applyNumberFormat="1" applyFont="1" applyAlignment="1" applyProtection="1">
      <alignment horizontal="center"/>
      <protection locked="0"/>
    </xf>
    <xf numFmtId="165" fontId="2" fillId="0" borderId="0" xfId="2" applyNumberFormat="1" applyFont="1" applyAlignment="1" applyProtection="1">
      <protection locked="0"/>
    </xf>
    <xf numFmtId="0" fontId="2" fillId="0" borderId="0" xfId="0" applyNumberFormat="1" applyFont="1" applyFill="1" applyAlignment="1">
      <alignment horizontal="left" indent="2"/>
    </xf>
    <xf numFmtId="37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left"/>
    </xf>
    <xf numFmtId="41" fontId="2" fillId="0" borderId="5" xfId="0" applyNumberFormat="1" applyFont="1" applyFill="1" applyBorder="1" applyAlignment="1">
      <alignment horizontal="right"/>
    </xf>
    <xf numFmtId="41" fontId="2" fillId="0" borderId="5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Alignment="1"/>
    <xf numFmtId="165" fontId="12" fillId="0" borderId="0" xfId="0" applyNumberFormat="1" applyFont="1" applyFill="1" applyBorder="1" applyAlignment="1"/>
    <xf numFmtId="170" fontId="2" fillId="0" borderId="0" xfId="4" applyFont="1" applyFill="1" applyAlignment="1">
      <alignment horizontal="left" indent="1"/>
    </xf>
    <xf numFmtId="172" fontId="2" fillId="0" borderId="5" xfId="1" applyNumberFormat="1" applyFont="1" applyFill="1" applyBorder="1" applyAlignment="1">
      <alignment horizontal="left" wrapText="1"/>
    </xf>
    <xf numFmtId="169" fontId="2" fillId="0" borderId="0" xfId="0" applyNumberFormat="1" applyFont="1" applyBorder="1" applyAlignment="1" applyProtection="1">
      <alignment horizontal="center"/>
      <protection locked="0"/>
    </xf>
    <xf numFmtId="41" fontId="2" fillId="0" borderId="4" xfId="0" applyNumberFormat="1" applyFont="1" applyFill="1" applyBorder="1" applyAlignment="1" applyProtection="1">
      <protection locked="0"/>
    </xf>
    <xf numFmtId="0" fontId="6" fillId="0" borderId="0" xfId="0" applyFont="1" applyAlignment="1">
      <alignment horizontal="left"/>
    </xf>
    <xf numFmtId="169" fontId="2" fillId="0" borderId="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left" indent="1"/>
    </xf>
    <xf numFmtId="170" fontId="2" fillId="0" borderId="0" xfId="4" quotePrefix="1" applyFont="1" applyFill="1" applyAlignment="1">
      <alignment horizontal="left"/>
    </xf>
    <xf numFmtId="41" fontId="2" fillId="0" borderId="5" xfId="3" applyNumberFormat="1" applyFont="1" applyFill="1" applyBorder="1"/>
    <xf numFmtId="170" fontId="2" fillId="0" borderId="0" xfId="0" applyNumberFormat="1" applyFont="1" applyAlignment="1">
      <alignment horizontal="left"/>
    </xf>
    <xf numFmtId="42" fontId="2" fillId="0" borderId="0" xfId="0" applyNumberFormat="1" applyFont="1" applyFill="1" applyBorder="1" applyAlignment="1">
      <alignment horizontal="left" wrapText="1"/>
    </xf>
    <xf numFmtId="172" fontId="2" fillId="0" borderId="5" xfId="0" applyNumberFormat="1" applyFont="1" applyFill="1" applyBorder="1" applyAlignment="1"/>
    <xf numFmtId="169" fontId="2" fillId="0" borderId="0" xfId="0" applyNumberFormat="1" applyFont="1" applyAlignment="1" applyProtection="1">
      <alignment horizontal="right"/>
      <protection locked="0"/>
    </xf>
    <xf numFmtId="3" fontId="2" fillId="0" borderId="5" xfId="0" applyNumberFormat="1" applyFont="1" applyFill="1" applyBorder="1" applyAlignment="1"/>
    <xf numFmtId="0" fontId="2" fillId="0" borderId="0" xfId="0" applyFont="1" applyAlignment="1">
      <alignment horizontal="left" indent="1"/>
    </xf>
    <xf numFmtId="0" fontId="12" fillId="0" borderId="0" xfId="0" applyNumberFormat="1" applyFont="1" applyFill="1" applyAlignment="1">
      <alignment horizontal="left" indent="2"/>
    </xf>
    <xf numFmtId="41" fontId="2" fillId="0" borderId="0" xfId="3" applyNumberFormat="1" applyFont="1" applyFill="1" applyBorder="1"/>
    <xf numFmtId="165" fontId="2" fillId="0" borderId="0" xfId="2" applyNumberFormat="1" applyFont="1" applyBorder="1" applyAlignment="1">
      <alignment horizontal="left" wrapText="1"/>
    </xf>
    <xf numFmtId="0" fontId="2" fillId="0" borderId="0" xfId="7" applyFont="1" applyFill="1" applyAlignment="1">
      <alignment horizontal="left"/>
    </xf>
    <xf numFmtId="9" fontId="2" fillId="0" borderId="0" xfId="7" applyNumberFormat="1" applyFont="1" applyFill="1" applyBorder="1" applyAlignment="1"/>
    <xf numFmtId="0" fontId="7" fillId="0" borderId="0" xfId="6" applyNumberFormat="1" applyFont="1" applyAlignment="1"/>
    <xf numFmtId="41" fontId="2" fillId="0" borderId="0" xfId="7" applyNumberFormat="1" applyFont="1" applyFill="1" applyBorder="1" applyAlignment="1" applyProtection="1">
      <protection locked="0"/>
    </xf>
    <xf numFmtId="169" fontId="2" fillId="0" borderId="0" xfId="0" applyNumberFormat="1" applyFont="1" applyAlignment="1" applyProtection="1">
      <protection locked="0"/>
    </xf>
    <xf numFmtId="41" fontId="2" fillId="0" borderId="5" xfId="0" applyNumberFormat="1" applyFont="1" applyFill="1" applyBorder="1" applyAlignment="1"/>
    <xf numFmtId="165" fontId="2" fillId="0" borderId="6" xfId="7" applyNumberFormat="1" applyFont="1" applyFill="1" applyBorder="1" applyAlignment="1"/>
    <xf numFmtId="0" fontId="6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/>
    <xf numFmtId="9" fontId="2" fillId="0" borderId="0" xfId="0" applyNumberFormat="1" applyFont="1" applyAlignment="1"/>
    <xf numFmtId="0" fontId="2" fillId="0" borderId="0" xfId="0" applyNumberFormat="1" applyFont="1" applyFill="1" applyBorder="1" applyAlignment="1">
      <alignment horizontal="left"/>
    </xf>
    <xf numFmtId="9" fontId="2" fillId="0" borderId="0" xfId="0" applyNumberFormat="1" applyFont="1" applyFill="1" applyBorder="1" applyAlignment="1" applyProtection="1">
      <protection locked="0"/>
    </xf>
    <xf numFmtId="0" fontId="7" fillId="0" borderId="0" xfId="0" applyFont="1" applyAlignment="1"/>
    <xf numFmtId="0" fontId="7" fillId="0" borderId="0" xfId="0" applyFont="1" applyFill="1" applyAlignment="1"/>
    <xf numFmtId="172" fontId="2" fillId="0" borderId="0" xfId="0" applyNumberFormat="1" applyFont="1" applyFill="1" applyAlignment="1"/>
    <xf numFmtId="37" fontId="2" fillId="0" borderId="0" xfId="0" applyNumberFormat="1" applyFont="1" applyAlignment="1"/>
    <xf numFmtId="0" fontId="2" fillId="0" borderId="0" xfId="0" quotePrefix="1" applyFont="1" applyFill="1" applyAlignment="1"/>
    <xf numFmtId="41" fontId="2" fillId="0" borderId="4" xfId="0" applyNumberFormat="1" applyFont="1" applyFill="1" applyBorder="1" applyAlignment="1"/>
    <xf numFmtId="0" fontId="14" fillId="0" borderId="0" xfId="8" applyFont="1" applyFill="1" applyBorder="1" applyAlignment="1">
      <alignment horizontal="left"/>
    </xf>
    <xf numFmtId="0" fontId="0" fillId="0" borderId="0" xfId="0" applyNumberFormat="1" applyAlignment="1"/>
    <xf numFmtId="9" fontId="2" fillId="0" borderId="0" xfId="0" applyNumberFormat="1" applyFont="1" applyFill="1" applyBorder="1" applyAlignment="1"/>
    <xf numFmtId="172" fontId="2" fillId="0" borderId="0" xfId="0" applyNumberFormat="1" applyFont="1" applyAlignment="1"/>
    <xf numFmtId="169" fontId="2" fillId="0" borderId="0" xfId="0" applyNumberFormat="1" applyFont="1" applyFill="1" applyAlignment="1"/>
    <xf numFmtId="1" fontId="2" fillId="0" borderId="0" xfId="0" quotePrefix="1" applyNumberFormat="1" applyFont="1" applyFill="1" applyAlignment="1">
      <alignment horizontal="left"/>
    </xf>
    <xf numFmtId="0" fontId="17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4" fillId="0" borderId="0" xfId="0" applyFont="1" applyFill="1" applyAlignment="1">
      <alignment horizontal="left"/>
    </xf>
    <xf numFmtId="172" fontId="2" fillId="0" borderId="2" xfId="0" applyNumberFormat="1" applyFont="1" applyFill="1" applyBorder="1" applyAlignment="1"/>
    <xf numFmtId="43" fontId="2" fillId="0" borderId="0" xfId="0" applyNumberFormat="1" applyFont="1" applyFill="1" applyAlignment="1"/>
    <xf numFmtId="172" fontId="12" fillId="0" borderId="0" xfId="0" applyNumberFormat="1" applyFont="1" applyFill="1" applyAlignment="1"/>
    <xf numFmtId="41" fontId="18" fillId="0" borderId="0" xfId="0" applyNumberFormat="1" applyFont="1" applyAlignment="1">
      <alignment horizontal="left" wrapText="1"/>
    </xf>
    <xf numFmtId="42" fontId="2" fillId="0" borderId="6" xfId="0" applyNumberFormat="1" applyFont="1" applyBorder="1" applyAlignment="1">
      <alignment horizontal="left" wrapText="1"/>
    </xf>
    <xf numFmtId="168" fontId="2" fillId="0" borderId="0" xfId="0" applyNumberFormat="1" applyFont="1" applyFill="1" applyAlignment="1"/>
    <xf numFmtId="169" fontId="2" fillId="0" borderId="0" xfId="0" applyNumberFormat="1" applyFont="1" applyFill="1" applyBorder="1" applyAlignment="1"/>
    <xf numFmtId="165" fontId="2" fillId="0" borderId="7" xfId="2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left" indent="1"/>
      <protection locked="0"/>
    </xf>
    <xf numFmtId="165" fontId="2" fillId="0" borderId="0" xfId="0" applyNumberFormat="1" applyFont="1" applyFill="1" applyAlignment="1"/>
    <xf numFmtId="172" fontId="12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3" fontId="2" fillId="0" borderId="0" xfId="0" applyNumberFormat="1" applyFont="1" applyFill="1" applyAlignment="1">
      <alignment wrapText="1"/>
    </xf>
    <xf numFmtId="0" fontId="7" fillId="0" borderId="0" xfId="0" applyNumberFormat="1" applyFont="1" applyAlignment="1"/>
    <xf numFmtId="4" fontId="2" fillId="0" borderId="0" xfId="0" applyNumberFormat="1" applyFont="1" applyFill="1" applyAlignment="1">
      <alignment horizontal="center"/>
    </xf>
    <xf numFmtId="172" fontId="2" fillId="0" borderId="0" xfId="0" quotePrefix="1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37" fontId="12" fillId="0" borderId="0" xfId="0" applyNumberFormat="1" applyFont="1" applyFill="1" applyBorder="1" applyAlignment="1" applyProtection="1">
      <alignment horizontal="left"/>
    </xf>
    <xf numFmtId="37" fontId="12" fillId="0" borderId="0" xfId="0" applyNumberFormat="1" applyFont="1" applyFill="1" applyBorder="1" applyAlignment="1" applyProtection="1">
      <alignment horizontal="center"/>
    </xf>
    <xf numFmtId="37" fontId="1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Alignment="1">
      <alignment horizontal="left" indent="5"/>
    </xf>
    <xf numFmtId="10" fontId="12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Alignment="1" applyProtection="1">
      <alignment horizontal="right"/>
      <protection locked="0"/>
    </xf>
    <xf numFmtId="165" fontId="12" fillId="0" borderId="0" xfId="0" applyNumberFormat="1" applyFont="1" applyFill="1" applyAlignment="1"/>
    <xf numFmtId="37" fontId="19" fillId="0" borderId="0" xfId="0" applyNumberFormat="1" applyFont="1" applyFill="1" applyBorder="1" applyAlignment="1" applyProtection="1">
      <alignment horizontal="left"/>
    </xf>
    <xf numFmtId="37" fontId="19" fillId="0" borderId="0" xfId="0" applyNumberFormat="1" applyFont="1" applyFill="1" applyAlignment="1" applyProtection="1">
      <alignment horizontal="left"/>
    </xf>
    <xf numFmtId="172" fontId="12" fillId="0" borderId="0" xfId="0" quotePrefix="1" applyNumberFormat="1" applyFont="1" applyFill="1" applyBorder="1" applyAlignment="1"/>
    <xf numFmtId="172" fontId="2" fillId="0" borderId="4" xfId="0" applyNumberFormat="1" applyFont="1" applyFill="1" applyBorder="1" applyAlignment="1"/>
    <xf numFmtId="0" fontId="20" fillId="0" borderId="0" xfId="0" applyNumberFormat="1" applyFont="1" applyAlignment="1"/>
    <xf numFmtId="0" fontId="22" fillId="0" borderId="0" xfId="0" applyFont="1" applyFill="1" applyAlignment="1">
      <alignment horizontal="right"/>
    </xf>
    <xf numFmtId="172" fontId="23" fillId="0" borderId="5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  <protection locked="0"/>
    </xf>
    <xf numFmtId="173" fontId="12" fillId="0" borderId="0" xfId="0" applyNumberFormat="1" applyFont="1" applyFill="1" applyAlignment="1" applyProtection="1"/>
    <xf numFmtId="43" fontId="2" fillId="0" borderId="0" xfId="0" applyNumberFormat="1" applyFont="1" applyFill="1" applyBorder="1" applyAlignment="1" applyProtection="1">
      <alignment horizontal="left"/>
      <protection locked="0"/>
    </xf>
    <xf numFmtId="41" fontId="2" fillId="0" borderId="5" xfId="0" applyNumberFormat="1" applyFont="1" applyFill="1" applyBorder="1" applyAlignment="1" applyProtection="1">
      <alignment horizontal="left"/>
      <protection locked="0"/>
    </xf>
    <xf numFmtId="165" fontId="2" fillId="0" borderId="5" xfId="0" applyNumberFormat="1" applyFont="1" applyFill="1" applyBorder="1" applyAlignment="1" applyProtection="1">
      <alignment horizontal="left"/>
      <protection locked="0"/>
    </xf>
    <xf numFmtId="170" fontId="2" fillId="0" borderId="0" xfId="0" quotePrefix="1" applyNumberFormat="1" applyFont="1" applyFill="1" applyAlignment="1">
      <alignment horizontal="left"/>
    </xf>
    <xf numFmtId="3" fontId="2" fillId="0" borderId="0" xfId="0" applyNumberFormat="1" applyFont="1" applyFill="1" applyBorder="1" applyAlignment="1"/>
    <xf numFmtId="42" fontId="2" fillId="0" borderId="0" xfId="0" applyNumberFormat="1" applyFont="1" applyFill="1" applyAlignment="1">
      <alignment horizontal="left"/>
    </xf>
    <xf numFmtId="37" fontId="2" fillId="0" borderId="4" xfId="0" applyNumberFormat="1" applyFont="1" applyFill="1" applyBorder="1" applyAlignment="1"/>
    <xf numFmtId="37" fontId="2" fillId="0" borderId="0" xfId="0" applyNumberFormat="1" applyFont="1" applyFill="1" applyAlignment="1">
      <alignment horizontal="left"/>
    </xf>
    <xf numFmtId="165" fontId="2" fillId="0" borderId="7" xfId="0" applyNumberFormat="1" applyFont="1" applyFill="1" applyBorder="1" applyAlignment="1"/>
    <xf numFmtId="9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7" xfId="0" applyNumberFormat="1" applyFont="1" applyFill="1" applyBorder="1" applyAlignment="1"/>
    <xf numFmtId="0" fontId="2" fillId="0" borderId="0" xfId="0" applyNumberFormat="1" applyFont="1" applyFill="1" applyAlignment="1">
      <alignment horizontal="left" indent="1"/>
    </xf>
    <xf numFmtId="42" fontId="2" fillId="0" borderId="0" xfId="0" applyNumberFormat="1" applyFont="1" applyFill="1" applyBorder="1" applyAlignment="1" applyProtection="1">
      <alignment horizontal="left"/>
      <protection locked="0"/>
    </xf>
    <xf numFmtId="43" fontId="2" fillId="0" borderId="0" xfId="0" applyNumberFormat="1" applyFont="1" applyFill="1" applyBorder="1" applyAlignment="1"/>
    <xf numFmtId="172" fontId="23" fillId="0" borderId="0" xfId="0" applyNumberFormat="1" applyFont="1" applyFill="1" applyBorder="1" applyAlignment="1"/>
    <xf numFmtId="0" fontId="24" fillId="0" borderId="0" xfId="0" applyNumberFormat="1" applyFont="1" applyAlignment="1">
      <alignment horizontal="centerContinuous"/>
    </xf>
    <xf numFmtId="0" fontId="25" fillId="0" borderId="0" xfId="0" applyNumberFormat="1" applyFont="1" applyAlignment="1">
      <alignment horizontal="centerContinuous"/>
    </xf>
    <xf numFmtId="0" fontId="25" fillId="0" borderId="0" xfId="0" applyNumberFormat="1" applyFont="1" applyAlignment="1"/>
    <xf numFmtId="0" fontId="24" fillId="0" borderId="0" xfId="0" applyNumberFormat="1" applyFont="1" applyAlignment="1"/>
    <xf numFmtId="0" fontId="25" fillId="0" borderId="0" xfId="0" applyNumberFormat="1" applyFont="1" applyAlignment="1">
      <alignment horizontal="center"/>
    </xf>
    <xf numFmtId="0" fontId="25" fillId="0" borderId="8" xfId="0" applyNumberFormat="1" applyFont="1" applyBorder="1" applyAlignment="1">
      <alignment horizontal="center"/>
    </xf>
    <xf numFmtId="168" fontId="25" fillId="0" borderId="9" xfId="0" applyNumberFormat="1" applyFont="1" applyBorder="1" applyAlignment="1">
      <alignment horizontal="center"/>
    </xf>
    <xf numFmtId="0" fontId="26" fillId="0" borderId="0" xfId="0" applyNumberFormat="1" applyFont="1" applyAlignment="1"/>
    <xf numFmtId="0" fontId="25" fillId="0" borderId="0" xfId="0" applyNumberFormat="1" applyFont="1" applyAlignment="1">
      <alignment horizontal="center" vertical="center"/>
    </xf>
    <xf numFmtId="14" fontId="25" fillId="0" borderId="0" xfId="0" applyNumberFormat="1" applyFont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25" fillId="0" borderId="5" xfId="0" applyNumberFormat="1" applyFont="1" applyBorder="1" applyAlignment="1"/>
    <xf numFmtId="165" fontId="25" fillId="0" borderId="5" xfId="2" applyNumberFormat="1" applyFont="1" applyBorder="1" applyAlignment="1"/>
    <xf numFmtId="172" fontId="25" fillId="0" borderId="0" xfId="0" applyNumberFormat="1" applyFont="1" applyAlignment="1"/>
    <xf numFmtId="172" fontId="25" fillId="0" borderId="0" xfId="0" applyNumberFormat="1" applyFont="1" applyFill="1" applyAlignment="1"/>
    <xf numFmtId="172" fontId="26" fillId="0" borderId="0" xfId="0" applyNumberFormat="1" applyFont="1" applyFill="1" applyBorder="1" applyAlignment="1"/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/>
    <xf numFmtId="172" fontId="26" fillId="0" borderId="0" xfId="0" applyNumberFormat="1" applyFont="1" applyAlignment="1"/>
    <xf numFmtId="0" fontId="25" fillId="0" borderId="0" xfId="0" applyNumberFormat="1" applyFont="1" applyFill="1" applyAlignment="1">
      <alignment horizontal="left"/>
    </xf>
    <xf numFmtId="172" fontId="25" fillId="0" borderId="2" xfId="0" applyNumberFormat="1" applyFont="1" applyFill="1" applyBorder="1" applyAlignment="1"/>
    <xf numFmtId="172" fontId="27" fillId="0" borderId="0" xfId="0" applyNumberFormat="1" applyFont="1" applyFill="1" applyBorder="1" applyAlignment="1"/>
    <xf numFmtId="172" fontId="25" fillId="0" borderId="2" xfId="0" applyNumberFormat="1" applyFont="1" applyBorder="1" applyAlignment="1"/>
    <xf numFmtId="0" fontId="26" fillId="0" borderId="0" xfId="0" applyNumberFormat="1" applyFont="1" applyAlignment="1">
      <alignment horizontal="right"/>
    </xf>
    <xf numFmtId="0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left"/>
    </xf>
    <xf numFmtId="165" fontId="25" fillId="0" borderId="6" xfId="2" applyNumberFormat="1" applyFont="1" applyBorder="1" applyAlignment="1"/>
    <xf numFmtId="0" fontId="28" fillId="0" borderId="0" xfId="0" applyNumberFormat="1" applyFont="1" applyAlignment="1">
      <alignment horizontal="right" vertical="top" textRotation="180" wrapText="1"/>
    </xf>
    <xf numFmtId="0" fontId="29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9">
    <cellStyle name="Comma" xfId="1" builtinId="3"/>
    <cellStyle name="Comma 15" xfId="5"/>
    <cellStyle name="Currency" xfId="2" builtinId="4"/>
    <cellStyle name="Normal" xfId="0" builtinId="0"/>
    <cellStyle name="Normal 16" xfId="6"/>
    <cellStyle name="Normal 2 8" xfId="7"/>
    <cellStyle name="Normal_Hopkins Ridge" xfId="3"/>
    <cellStyle name="Normal_Wild Horse 2006 GRC" xfId="8"/>
    <cellStyle name="Style 1 10" xfId="4"/>
  </cellStyles>
  <dxfs count="1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rc/Documents/Opened_From_Outlook/KJB%203%20-%2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3 Def"/>
      <sheetName val="KJB-4 Sum"/>
      <sheetName val="KJB-5.01 IS"/>
      <sheetName val="KJB 5.02 BS"/>
      <sheetName val="KJB 5.03 ERB"/>
      <sheetName val="KJB 5.04 WC"/>
      <sheetName val="KJB 5.05 AM"/>
      <sheetName val="KJB-6 Cmn Adj"/>
      <sheetName val="KJB-7 El Adj"/>
      <sheetName val="KJB-7 7.01 p 2"/>
      <sheetName val="KJB-8"/>
      <sheetName val="KJB-9"/>
    </sheetNames>
    <sheetDataSet>
      <sheetData sheetId="0"/>
      <sheetData sheetId="1">
        <row r="43">
          <cell r="C43">
            <v>-64111667.629999898</v>
          </cell>
        </row>
        <row r="49">
          <cell r="Z49">
            <v>-19501104.647951499</v>
          </cell>
          <cell r="AA49">
            <v>45318.08998702839</v>
          </cell>
          <cell r="AB49">
            <v>137890.37865459672</v>
          </cell>
          <cell r="AC49">
            <v>-41672583.95949994</v>
          </cell>
          <cell r="AD49">
            <v>-6712556.6684583332</v>
          </cell>
          <cell r="AE49">
            <v>1736211.9514499884</v>
          </cell>
          <cell r="AF49">
            <v>-145490.32262849354</v>
          </cell>
          <cell r="AG49">
            <v>-3492716.8900000006</v>
          </cell>
          <cell r="AH49">
            <v>2156.0948424596518</v>
          </cell>
          <cell r="AJ49">
            <v>-3376408.6380116781</v>
          </cell>
          <cell r="AK49">
            <v>-2131857</v>
          </cell>
          <cell r="AL49">
            <v>3130917.5606199605</v>
          </cell>
        </row>
        <row r="51">
          <cell r="AF51">
            <v>2842787.0613208562</v>
          </cell>
          <cell r="AI51">
            <v>19004590.008907948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B7" t="str">
            <v>FOR THE TWELVE MONTHS ENDED SEPTEMBER 30, 2016</v>
          </cell>
        </row>
      </sheetData>
      <sheetData sheetId="8">
        <row r="12">
          <cell r="BL12">
            <v>2.5347000000000001E-2</v>
          </cell>
        </row>
        <row r="13">
          <cell r="BL13">
            <v>3.8393999999999998E-2</v>
          </cell>
        </row>
        <row r="18">
          <cell r="AI18">
            <v>2842787.0613208562</v>
          </cell>
        </row>
        <row r="22">
          <cell r="BB22">
            <v>6689176.5497812955</v>
          </cell>
        </row>
        <row r="32">
          <cell r="E32">
            <v>-19501104.647951521</v>
          </cell>
        </row>
      </sheetData>
      <sheetData sheetId="9">
        <row r="15">
          <cell r="I15">
            <v>85246014.709999993</v>
          </cell>
          <cell r="N15">
            <v>79063626.165677711</v>
          </cell>
        </row>
        <row r="16">
          <cell r="I16">
            <v>149756871.78999999</v>
          </cell>
          <cell r="N16">
            <v>128580540.49475974</v>
          </cell>
        </row>
        <row r="17">
          <cell r="I17">
            <v>523037995.81000006</v>
          </cell>
          <cell r="N17">
            <v>433414852.98348427</v>
          </cell>
        </row>
        <row r="18">
          <cell r="I18">
            <v>8982621.0899999999</v>
          </cell>
          <cell r="N18">
            <v>9191550.0672554821</v>
          </cell>
        </row>
        <row r="19">
          <cell r="I19">
            <v>325842.46999999997</v>
          </cell>
          <cell r="N19">
            <v>313332.07420681993</v>
          </cell>
        </row>
        <row r="20">
          <cell r="I20">
            <v>113800193.22</v>
          </cell>
          <cell r="N20">
            <v>108574737.55890049</v>
          </cell>
        </row>
        <row r="21">
          <cell r="I21">
            <v>-201125741.74000001</v>
          </cell>
          <cell r="N21">
            <v>-28431646.31934049</v>
          </cell>
        </row>
        <row r="22">
          <cell r="I22">
            <v>18023677.969999999</v>
          </cell>
          <cell r="N22">
            <v>-15588634.390200933</v>
          </cell>
        </row>
        <row r="25">
          <cell r="I25">
            <v>125897437.02000001</v>
          </cell>
          <cell r="N25">
            <v>135482345.97367546</v>
          </cell>
        </row>
        <row r="26">
          <cell r="I26">
            <v>662134.87</v>
          </cell>
          <cell r="N26">
            <v>645351.73745011003</v>
          </cell>
        </row>
        <row r="27">
          <cell r="I27">
            <v>-8228548.5899999999</v>
          </cell>
          <cell r="N27">
            <v>-9692025.729682086</v>
          </cell>
        </row>
        <row r="28">
          <cell r="N28">
            <v>4769481.1386719989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9"/>
  <sheetViews>
    <sheetView tabSelected="1" view="pageBreakPreview" zoomScale="60" zoomScaleNormal="100" workbookViewId="0">
      <selection activeCell="B45" sqref="B45"/>
    </sheetView>
  </sheetViews>
  <sheetFormatPr defaultColWidth="15" defaultRowHeight="13.2"/>
  <cols>
    <col min="1" max="1" width="5.44140625" style="7" customWidth="1"/>
    <col min="2" max="2" width="51" style="7" customWidth="1"/>
    <col min="3" max="5" width="16.109375" style="7" customWidth="1"/>
    <col min="6" max="6" width="4.21875" style="7" customWidth="1"/>
    <col min="7" max="7" width="40.21875" style="7" customWidth="1"/>
    <col min="8" max="8" width="4.33203125" style="7" customWidth="1"/>
    <col min="9" max="9" width="12.44140625" style="7" bestFit="1" customWidth="1"/>
    <col min="10" max="10" width="11.77734375" style="7" customWidth="1"/>
    <col min="11" max="11" width="4.77734375" style="7" customWidth="1"/>
    <col min="12" max="12" width="51.44140625" style="7" customWidth="1"/>
    <col min="13" max="15" width="12.6640625" style="7" customWidth="1"/>
    <col min="16" max="16" width="5" style="7" bestFit="1" customWidth="1"/>
    <col min="17" max="17" width="29.88671875" style="7" customWidth="1"/>
    <col min="18" max="20" width="13.44140625" style="7" customWidth="1"/>
    <col min="21" max="21" width="5.33203125" style="7" customWidth="1"/>
    <col min="22" max="22" width="48.88671875" style="7" customWidth="1"/>
    <col min="23" max="23" width="13" style="7" customWidth="1"/>
    <col min="24" max="24" width="13.6640625" style="7" customWidth="1"/>
    <col min="25" max="25" width="12.5546875" style="7" customWidth="1"/>
    <col min="26" max="26" width="5" style="7" bestFit="1" customWidth="1"/>
    <col min="27" max="27" width="63.6640625" style="7" customWidth="1"/>
    <col min="28" max="28" width="12" style="7" customWidth="1"/>
    <col min="29" max="29" width="12.109375" style="7" customWidth="1"/>
    <col min="30" max="30" width="12.5546875" style="7" customWidth="1"/>
    <col min="31" max="31" width="4.5546875" style="7" customWidth="1"/>
    <col min="32" max="32" width="36.44140625" style="7" customWidth="1"/>
    <col min="33" max="33" width="13" style="7" customWidth="1"/>
    <col min="34" max="34" width="12.6640625" style="7" customWidth="1"/>
    <col min="35" max="35" width="12.33203125" style="7" customWidth="1"/>
    <col min="36" max="36" width="4.5546875" style="7" customWidth="1"/>
    <col min="37" max="37" width="30.88671875" style="7" customWidth="1"/>
    <col min="38" max="38" width="10.33203125" style="7" bestFit="1" customWidth="1"/>
    <col min="39" max="39" width="12.33203125" style="7" bestFit="1" customWidth="1"/>
    <col min="40" max="40" width="13.21875" style="7" customWidth="1"/>
    <col min="41" max="41" width="4" style="7" customWidth="1"/>
    <col min="42" max="42" width="47.21875" style="7" customWidth="1"/>
    <col min="43" max="43" width="10.88671875" style="7" customWidth="1"/>
    <col min="44" max="44" width="11.44140625" style="7" customWidth="1"/>
    <col min="45" max="45" width="11.88671875" style="7" customWidth="1"/>
    <col min="46" max="46" width="4" style="7" customWidth="1"/>
    <col min="47" max="47" width="35.33203125" style="7" customWidth="1"/>
    <col min="48" max="48" width="14.5546875" style="7" customWidth="1"/>
    <col min="49" max="49" width="14.109375" style="7" customWidth="1"/>
    <col min="50" max="50" width="13.109375" style="7" customWidth="1"/>
    <col min="51" max="51" width="4" style="7" customWidth="1"/>
    <col min="52" max="52" width="47" style="7" bestFit="1" customWidth="1"/>
    <col min="53" max="53" width="14.5546875" style="7" customWidth="1"/>
    <col min="54" max="54" width="14.109375" style="7" customWidth="1"/>
    <col min="55" max="55" width="13.109375" style="7" customWidth="1"/>
    <col min="56" max="56" width="5.77734375" style="7" bestFit="1" customWidth="1"/>
    <col min="57" max="57" width="64.44140625" style="7" customWidth="1"/>
    <col min="58" max="58" width="12.33203125" style="7" customWidth="1"/>
    <col min="59" max="59" width="11.33203125" style="7" customWidth="1"/>
    <col min="60" max="60" width="12.33203125" style="7" customWidth="1"/>
    <col min="61" max="61" width="5.44140625" style="7" customWidth="1"/>
    <col min="62" max="62" width="56.77734375" style="7" customWidth="1"/>
    <col min="63" max="63" width="13.88671875" style="7" customWidth="1"/>
    <col min="64" max="64" width="13.33203125" style="7" customWidth="1"/>
    <col min="65" max="65" width="14.5546875" style="7" customWidth="1"/>
    <col min="66" max="80" width="15" style="6"/>
    <col min="81" max="81" width="4.5546875" style="7" customWidth="1"/>
    <col min="82" max="82" width="42.88671875" style="8" customWidth="1"/>
    <col min="83" max="83" width="13.21875" style="8" customWidth="1"/>
    <col min="84" max="84" width="12.21875" style="8" customWidth="1"/>
    <col min="85" max="85" width="17.33203125" style="8" customWidth="1"/>
    <col min="86" max="16384" width="15" style="6"/>
  </cols>
  <sheetData>
    <row r="1" spans="1:85">
      <c r="A1" s="1">
        <f>ROUND(SUM(B1:BM1),0)</f>
        <v>0</v>
      </c>
      <c r="B1" s="2"/>
      <c r="C1" s="2"/>
      <c r="D1" s="2"/>
      <c r="E1" s="3">
        <f>ROUND('[1]KJB-4 Sum'!Z49-'[1]KJB-7 El Adj'!E32,0)</f>
        <v>0</v>
      </c>
      <c r="F1" s="2"/>
      <c r="G1" s="2"/>
      <c r="H1" s="2"/>
      <c r="I1" s="2"/>
      <c r="J1" s="3">
        <f>ROUND('[1]KJB-4 Sum'!AA49+-J25,0)</f>
        <v>0</v>
      </c>
      <c r="K1" s="3"/>
      <c r="L1" s="3"/>
      <c r="M1" s="3"/>
      <c r="N1" s="3"/>
      <c r="O1" s="3">
        <f>ROUND('[1]KJB-4 Sum'!AB49-O27,0)</f>
        <v>0</v>
      </c>
      <c r="P1" s="2"/>
      <c r="Q1" s="2"/>
      <c r="R1" s="2"/>
      <c r="S1" s="2"/>
      <c r="T1" s="4">
        <f>ROUND('[1]KJB-4 Sum'!AC49-T20,0)</f>
        <v>0</v>
      </c>
      <c r="U1" s="2"/>
      <c r="V1" s="2"/>
      <c r="W1" s="2"/>
      <c r="X1" s="2"/>
      <c r="Y1" s="3">
        <f>ROUND('[1]KJB-4 Sum'!AD49-Y63,0)</f>
        <v>0</v>
      </c>
      <c r="Z1" s="2"/>
      <c r="AA1" s="2"/>
      <c r="AB1" s="2"/>
      <c r="AC1" s="5"/>
      <c r="AD1" s="5">
        <f>ROUND('[1]KJB-4 Sum'!AE49-AD60,0)</f>
        <v>0</v>
      </c>
      <c r="AE1" s="3"/>
      <c r="AF1" s="3"/>
      <c r="AG1" s="3"/>
      <c r="AH1" s="3">
        <f>'[1]KJB-4 Sum'!AF51-'[1]KJB-7 El Adj'!AI18</f>
        <v>0</v>
      </c>
      <c r="AI1" s="5">
        <f>ROUND('[1]KJB-4 Sum'!AF49-AI28,0)</f>
        <v>0</v>
      </c>
      <c r="AJ1" s="2"/>
      <c r="AK1" s="5"/>
      <c r="AL1" s="5"/>
      <c r="AM1" s="5"/>
      <c r="AN1" s="5">
        <f>ROUND('[1]KJB-4 Sum'!AG49-AN28,0)</f>
        <v>0</v>
      </c>
      <c r="AO1" s="5"/>
      <c r="AP1" s="5"/>
      <c r="AQ1" s="5"/>
      <c r="AR1" s="5"/>
      <c r="AS1" s="5">
        <f>ROUND('[1]KJB-4 Sum'!AH49-AS38,0)</f>
        <v>0</v>
      </c>
      <c r="AT1" s="5"/>
      <c r="AU1" s="5"/>
      <c r="AV1" s="5"/>
      <c r="AW1" s="5"/>
      <c r="AX1" s="5">
        <f>ROUND('[1]KJB-4 Sum'!AI51-AX17,0)</f>
        <v>0</v>
      </c>
      <c r="AY1" s="5"/>
      <c r="AZ1" s="5"/>
      <c r="BA1" s="5"/>
      <c r="BB1" s="5"/>
      <c r="BC1" s="5">
        <f>ROUND('[1]KJB-4 Sum'!AJ49-BC28,0)</f>
        <v>0</v>
      </c>
      <c r="BD1" s="5"/>
      <c r="BE1" s="5"/>
      <c r="BF1" s="5"/>
      <c r="BG1" s="5"/>
      <c r="BH1" s="5">
        <f>ROUND('[1]KJB-4 Sum'!AK49-BH23,0)</f>
        <v>0</v>
      </c>
      <c r="BI1" s="3"/>
      <c r="BJ1" s="2"/>
      <c r="BK1" s="2"/>
      <c r="BL1" s="5"/>
      <c r="BM1" s="3">
        <f>ROUND('[1]KJB-4 Sum'!AL49-BM49,0)</f>
        <v>0</v>
      </c>
    </row>
    <row r="2" spans="1:85" s="9" customFormat="1" ht="13.8" thickBot="1">
      <c r="E2" s="9" t="s">
        <v>0</v>
      </c>
      <c r="J2" s="9" t="s">
        <v>1</v>
      </c>
      <c r="O2" s="9" t="s">
        <v>2</v>
      </c>
      <c r="T2" s="9" t="s">
        <v>3</v>
      </c>
      <c r="Y2" s="9" t="s">
        <v>4</v>
      </c>
      <c r="AD2" s="9" t="s">
        <v>5</v>
      </c>
      <c r="AI2" s="9" t="s">
        <v>6</v>
      </c>
      <c r="AN2" s="9" t="s">
        <v>7</v>
      </c>
      <c r="AS2" s="9" t="s">
        <v>8</v>
      </c>
      <c r="AX2" s="9" t="s">
        <v>9</v>
      </c>
      <c r="BC2" s="9" t="s">
        <v>10</v>
      </c>
      <c r="BH2" s="9" t="s">
        <v>11</v>
      </c>
      <c r="BK2" s="10"/>
      <c r="BM2" s="9" t="s">
        <v>12</v>
      </c>
    </row>
    <row r="3" spans="1:85" s="7" customFormat="1" ht="13.8" thickBot="1">
      <c r="A3" s="11"/>
      <c r="B3" s="12"/>
      <c r="C3" s="13"/>
      <c r="D3" s="13"/>
      <c r="E3" s="14" t="s">
        <v>13</v>
      </c>
      <c r="F3" s="11"/>
      <c r="G3" s="11"/>
      <c r="H3" s="11"/>
      <c r="I3" s="11"/>
      <c r="J3" s="15">
        <v>7.02</v>
      </c>
      <c r="K3" s="16"/>
      <c r="L3" s="16"/>
      <c r="M3" s="16"/>
      <c r="N3" s="16"/>
      <c r="O3" s="15">
        <f>+J3+0.01</f>
        <v>7.0299999999999994</v>
      </c>
      <c r="P3" s="17"/>
      <c r="Q3" s="9"/>
      <c r="R3" s="9"/>
      <c r="S3" s="9"/>
      <c r="T3" s="15">
        <f>+O3+0.01</f>
        <v>7.0399999999999991</v>
      </c>
      <c r="U3" s="18"/>
      <c r="V3" s="18"/>
      <c r="W3" s="18"/>
      <c r="X3" s="18"/>
      <c r="Y3" s="15">
        <f>+T3+0.01</f>
        <v>7.0499999999999989</v>
      </c>
      <c r="Z3" s="19"/>
      <c r="AA3" s="19"/>
      <c r="AB3" s="20"/>
      <c r="AC3" s="19"/>
      <c r="AD3" s="15">
        <f>+Y3+0.01</f>
        <v>7.0599999999999987</v>
      </c>
      <c r="AE3" s="6"/>
      <c r="AF3" s="6"/>
      <c r="AG3" s="6"/>
      <c r="AH3" s="6"/>
      <c r="AI3" s="15">
        <f>+AD3+0.01</f>
        <v>7.0699999999999985</v>
      </c>
      <c r="AN3" s="15">
        <f>+AI3+0.01</f>
        <v>7.0799999999999983</v>
      </c>
      <c r="AO3" s="21"/>
      <c r="AP3" s="22"/>
      <c r="AQ3" s="21"/>
      <c r="AR3" s="21"/>
      <c r="AS3" s="15">
        <f>+AN3+0.01</f>
        <v>7.0899999999999981</v>
      </c>
      <c r="AT3" s="21"/>
      <c r="AU3" s="22"/>
      <c r="AV3" s="21"/>
      <c r="AW3" s="21"/>
      <c r="AX3" s="15">
        <f>+AS3+0.01</f>
        <v>7.0999999999999979</v>
      </c>
      <c r="AY3" s="21"/>
      <c r="AZ3" s="22"/>
      <c r="BA3" s="21"/>
      <c r="BB3" s="21"/>
      <c r="BC3" s="15">
        <f>+AX3+0.01</f>
        <v>7.1099999999999977</v>
      </c>
      <c r="BD3" s="21"/>
      <c r="BE3" s="22"/>
      <c r="BF3" s="21"/>
      <c r="BG3" s="21"/>
      <c r="BH3" s="15">
        <f>+BC3+0.01</f>
        <v>7.1199999999999974</v>
      </c>
      <c r="BI3" s="11"/>
      <c r="BJ3" s="11"/>
      <c r="BK3" s="11"/>
      <c r="BL3" s="11"/>
      <c r="BM3" s="15">
        <f>+BH3+0.01</f>
        <v>7.1299999999999972</v>
      </c>
    </row>
    <row r="4" spans="1:85" s="7" customFormat="1">
      <c r="A4" s="23" t="s">
        <v>14</v>
      </c>
      <c r="B4" s="23"/>
      <c r="C4" s="24"/>
      <c r="D4" s="24"/>
      <c r="E4" s="25"/>
      <c r="F4" s="26" t="s">
        <v>14</v>
      </c>
      <c r="G4" s="27"/>
      <c r="H4" s="27"/>
      <c r="I4" s="27"/>
      <c r="J4" s="27"/>
      <c r="K4" s="26" t="s">
        <v>14</v>
      </c>
      <c r="L4" s="27"/>
      <c r="M4" s="27"/>
      <c r="N4" s="27"/>
      <c r="O4" s="27"/>
      <c r="P4" s="26" t="s">
        <v>14</v>
      </c>
      <c r="Q4" s="27"/>
      <c r="R4" s="27"/>
      <c r="S4" s="27"/>
      <c r="T4" s="27"/>
      <c r="U4" s="26" t="s">
        <v>14</v>
      </c>
      <c r="V4" s="27"/>
      <c r="W4" s="27"/>
      <c r="X4" s="27"/>
      <c r="Y4" s="27"/>
      <c r="Z4" s="23" t="s">
        <v>14</v>
      </c>
      <c r="AA4" s="23"/>
      <c r="AB4" s="24"/>
      <c r="AC4" s="24"/>
      <c r="AD4" s="24"/>
      <c r="AE4" s="26" t="s">
        <v>14</v>
      </c>
      <c r="AF4" s="27"/>
      <c r="AG4" s="27"/>
      <c r="AH4" s="27"/>
      <c r="AI4" s="27"/>
      <c r="AJ4" s="23" t="s">
        <v>14</v>
      </c>
      <c r="AK4" s="23"/>
      <c r="AL4" s="24"/>
      <c r="AM4" s="24"/>
      <c r="AN4" s="24"/>
      <c r="AO4" s="297" t="s">
        <v>14</v>
      </c>
      <c r="AP4" s="297"/>
      <c r="AQ4" s="297"/>
      <c r="AR4" s="297"/>
      <c r="AS4" s="297"/>
      <c r="AT4" s="297" t="s">
        <v>14</v>
      </c>
      <c r="AU4" s="297"/>
      <c r="AV4" s="297"/>
      <c r="AW4" s="297"/>
      <c r="AX4" s="297"/>
      <c r="AY4" s="297" t="s">
        <v>14</v>
      </c>
      <c r="AZ4" s="297"/>
      <c r="BA4" s="297"/>
      <c r="BB4" s="297"/>
      <c r="BC4" s="297"/>
      <c r="BD4" s="297" t="s">
        <v>14</v>
      </c>
      <c r="BE4" s="297"/>
      <c r="BF4" s="297"/>
      <c r="BG4" s="297"/>
      <c r="BH4" s="297"/>
      <c r="BI4" s="298" t="s">
        <v>14</v>
      </c>
      <c r="BJ4" s="298"/>
      <c r="BK4" s="298"/>
      <c r="BL4" s="298"/>
      <c r="BM4" s="298"/>
    </row>
    <row r="5" spans="1:85" s="7" customFormat="1">
      <c r="A5" s="28" t="s">
        <v>15</v>
      </c>
      <c r="B5" s="24"/>
      <c r="C5" s="24"/>
      <c r="D5" s="24"/>
      <c r="E5" s="25"/>
      <c r="F5" s="29" t="s">
        <v>16</v>
      </c>
      <c r="G5" s="27"/>
      <c r="H5" s="27"/>
      <c r="I5" s="27"/>
      <c r="J5" s="25"/>
      <c r="K5" s="29" t="s">
        <v>17</v>
      </c>
      <c r="L5" s="27"/>
      <c r="M5" s="27"/>
      <c r="N5" s="27"/>
      <c r="O5" s="27"/>
      <c r="P5" s="29" t="s">
        <v>18</v>
      </c>
      <c r="Q5" s="25"/>
      <c r="R5" s="25"/>
      <c r="S5" s="25"/>
      <c r="T5" s="25"/>
      <c r="U5" s="29" t="s">
        <v>19</v>
      </c>
      <c r="V5" s="27"/>
      <c r="W5" s="27"/>
      <c r="X5" s="27"/>
      <c r="Y5" s="27"/>
      <c r="Z5" s="28" t="s">
        <v>20</v>
      </c>
      <c r="AA5" s="24"/>
      <c r="AB5" s="24"/>
      <c r="AC5" s="24"/>
      <c r="AD5" s="25"/>
      <c r="AE5" s="29" t="s">
        <v>21</v>
      </c>
      <c r="AF5" s="27"/>
      <c r="AG5" s="27"/>
      <c r="AH5" s="27"/>
      <c r="AI5" s="27"/>
      <c r="AJ5" s="29" t="s">
        <v>22</v>
      </c>
      <c r="AK5" s="30"/>
      <c r="AL5" s="24"/>
      <c r="AM5" s="24"/>
      <c r="AN5" s="25"/>
      <c r="AO5" s="296" t="s">
        <v>23</v>
      </c>
      <c r="AP5" s="296"/>
      <c r="AQ5" s="296"/>
      <c r="AR5" s="296"/>
      <c r="AS5" s="296"/>
      <c r="AT5" s="296" t="s">
        <v>24</v>
      </c>
      <c r="AU5" s="296"/>
      <c r="AV5" s="296"/>
      <c r="AW5" s="296"/>
      <c r="AX5" s="296"/>
      <c r="AY5" s="296" t="s">
        <v>25</v>
      </c>
      <c r="AZ5" s="296"/>
      <c r="BA5" s="296"/>
      <c r="BB5" s="296"/>
      <c r="BC5" s="296"/>
      <c r="BD5" s="296" t="s">
        <v>26</v>
      </c>
      <c r="BE5" s="296"/>
      <c r="BF5" s="296"/>
      <c r="BG5" s="296"/>
      <c r="BH5" s="296"/>
      <c r="BI5" s="29" t="s">
        <v>27</v>
      </c>
      <c r="BJ5" s="27"/>
      <c r="BK5" s="27"/>
      <c r="BL5" s="27"/>
      <c r="BM5" s="25"/>
    </row>
    <row r="6" spans="1:85">
      <c r="A6" s="27" t="str">
        <f>keep_TESTYEAR</f>
        <v>FOR THE TWELVE MONTHS ENDED SEPTEMBER 30, 2016</v>
      </c>
      <c r="B6" s="27"/>
      <c r="C6" s="26"/>
      <c r="D6" s="27"/>
      <c r="E6" s="27"/>
      <c r="F6" s="27" t="str">
        <f>keep_TESTYEAR</f>
        <v>FOR THE TWELVE MONTHS ENDED SEPTEMBER 30, 2016</v>
      </c>
      <c r="G6" s="27"/>
      <c r="H6" s="27"/>
      <c r="I6" s="27"/>
      <c r="J6" s="31"/>
      <c r="K6" s="27" t="str">
        <f>keep_TESTYEAR</f>
        <v>FOR THE TWELVE MONTHS ENDED SEPTEMBER 30, 2016</v>
      </c>
      <c r="L6" s="27"/>
      <c r="M6" s="27"/>
      <c r="N6" s="27"/>
      <c r="O6" s="27"/>
      <c r="P6" s="27" t="str">
        <f>keep_TESTYEAR</f>
        <v>FOR THE TWELVE MONTHS ENDED SEPTEMBER 30, 2016</v>
      </c>
      <c r="Q6" s="31"/>
      <c r="R6" s="31"/>
      <c r="S6" s="31"/>
      <c r="T6" s="31"/>
      <c r="U6" s="27" t="str">
        <f>keep_TESTYEAR</f>
        <v>FOR THE TWELVE MONTHS ENDED SEPTEMBER 30, 2016</v>
      </c>
      <c r="V6" s="27"/>
      <c r="W6" s="27"/>
      <c r="X6" s="27"/>
      <c r="Y6" s="27"/>
      <c r="Z6" s="27" t="str">
        <f>keep_TESTYEAR</f>
        <v>FOR THE TWELVE MONTHS ENDED SEPTEMBER 30, 2016</v>
      </c>
      <c r="AA6" s="24"/>
      <c r="AB6" s="24"/>
      <c r="AC6" s="24"/>
      <c r="AD6" s="31"/>
      <c r="AE6" s="27" t="str">
        <f>keep_TESTYEAR</f>
        <v>FOR THE TWELVE MONTHS ENDED SEPTEMBER 30, 2016</v>
      </c>
      <c r="AF6" s="27"/>
      <c r="AG6" s="27"/>
      <c r="AH6" s="27"/>
      <c r="AI6" s="27"/>
      <c r="AJ6" s="24" t="s">
        <v>28</v>
      </c>
      <c r="AK6" s="24"/>
      <c r="AL6" s="24"/>
      <c r="AM6" s="24"/>
      <c r="AN6" s="31"/>
      <c r="AO6" s="297" t="str">
        <f>keep_TESTYEAR</f>
        <v>FOR THE TWELVE MONTHS ENDED SEPTEMBER 30, 2016</v>
      </c>
      <c r="AP6" s="297"/>
      <c r="AQ6" s="297"/>
      <c r="AR6" s="297"/>
      <c r="AS6" s="297"/>
      <c r="AT6" s="297" t="str">
        <f>keep_TESTYEAR</f>
        <v>FOR THE TWELVE MONTHS ENDED SEPTEMBER 30, 2016</v>
      </c>
      <c r="AU6" s="297"/>
      <c r="AV6" s="297"/>
      <c r="AW6" s="297"/>
      <c r="AX6" s="297"/>
      <c r="AY6" s="297" t="str">
        <f>keep_TESTYEAR</f>
        <v>FOR THE TWELVE MONTHS ENDED SEPTEMBER 30, 2016</v>
      </c>
      <c r="AZ6" s="297"/>
      <c r="BA6" s="297"/>
      <c r="BB6" s="297"/>
      <c r="BC6" s="297"/>
      <c r="BD6" s="297" t="str">
        <f>keep_TESTYEAR</f>
        <v>FOR THE TWELVE MONTHS ENDED SEPTEMBER 30, 2016</v>
      </c>
      <c r="BE6" s="297"/>
      <c r="BF6" s="297"/>
      <c r="BG6" s="297"/>
      <c r="BH6" s="297"/>
      <c r="BI6" s="27" t="str">
        <f>keep_TESTYEAR</f>
        <v>FOR THE TWELVE MONTHS ENDED SEPTEMBER 30, 2016</v>
      </c>
      <c r="BJ6" s="27"/>
      <c r="BK6" s="27"/>
      <c r="BL6" s="27"/>
      <c r="BM6" s="31"/>
    </row>
    <row r="7" spans="1:85" s="7" customFormat="1">
      <c r="A7" s="26" t="s">
        <v>29</v>
      </c>
      <c r="B7" s="27"/>
      <c r="C7" s="26"/>
      <c r="D7" s="26"/>
      <c r="E7" s="26"/>
      <c r="F7" s="32" t="s">
        <v>29</v>
      </c>
      <c r="G7" s="32"/>
      <c r="H7" s="26"/>
      <c r="I7" s="32"/>
      <c r="J7" s="32"/>
      <c r="K7" s="27" t="s">
        <v>29</v>
      </c>
      <c r="L7" s="27"/>
      <c r="M7" s="27"/>
      <c r="N7" s="27"/>
      <c r="O7" s="27"/>
      <c r="P7" s="26" t="s">
        <v>29</v>
      </c>
      <c r="Q7" s="27"/>
      <c r="R7" s="27"/>
      <c r="S7" s="27"/>
      <c r="T7" s="27"/>
      <c r="U7" s="26" t="s">
        <v>29</v>
      </c>
      <c r="V7" s="27"/>
      <c r="W7" s="27"/>
      <c r="X7" s="27"/>
      <c r="Y7" s="27"/>
      <c r="Z7" s="33" t="s">
        <v>30</v>
      </c>
      <c r="AA7" s="24"/>
      <c r="AB7" s="24"/>
      <c r="AC7" s="24"/>
      <c r="AD7" s="31"/>
      <c r="AE7" s="27" t="s">
        <v>29</v>
      </c>
      <c r="AF7" s="27"/>
      <c r="AG7" s="27"/>
      <c r="AH7" s="27"/>
      <c r="AI7" s="27"/>
      <c r="AJ7" s="24" t="s">
        <v>29</v>
      </c>
      <c r="AK7" s="24"/>
      <c r="AL7" s="24"/>
      <c r="AM7" s="24"/>
      <c r="AN7" s="31"/>
      <c r="AO7" s="298" t="s">
        <v>29</v>
      </c>
      <c r="AP7" s="298"/>
      <c r="AQ7" s="298"/>
      <c r="AR7" s="298"/>
      <c r="AS7" s="298"/>
      <c r="AT7" s="298" t="s">
        <v>29</v>
      </c>
      <c r="AU7" s="298"/>
      <c r="AV7" s="298"/>
      <c r="AW7" s="298"/>
      <c r="AX7" s="298"/>
      <c r="AY7" s="298" t="s">
        <v>29</v>
      </c>
      <c r="AZ7" s="298"/>
      <c r="BA7" s="298"/>
      <c r="BB7" s="298"/>
      <c r="BC7" s="298"/>
      <c r="BD7" s="298" t="s">
        <v>29</v>
      </c>
      <c r="BE7" s="298"/>
      <c r="BF7" s="298"/>
      <c r="BG7" s="298"/>
      <c r="BH7" s="298"/>
      <c r="BI7" s="27" t="s">
        <v>29</v>
      </c>
      <c r="BJ7" s="27"/>
      <c r="BK7" s="27"/>
      <c r="BL7" s="27"/>
      <c r="BM7" s="31"/>
      <c r="CD7" s="8"/>
      <c r="CE7" s="8"/>
      <c r="CF7" s="8"/>
      <c r="CG7" s="8"/>
    </row>
    <row r="8" spans="1:85" s="7" customFormat="1" ht="13.8">
      <c r="A8" s="11"/>
      <c r="B8" s="11"/>
      <c r="C8" s="11"/>
      <c r="D8" s="34"/>
      <c r="E8" s="34"/>
      <c r="F8" s="11"/>
      <c r="G8" s="35"/>
      <c r="H8" s="35"/>
      <c r="I8" s="34"/>
      <c r="J8" s="34"/>
      <c r="K8" s="30"/>
      <c r="L8" s="30"/>
      <c r="M8" s="30"/>
      <c r="N8" s="30"/>
      <c r="O8" s="30"/>
      <c r="P8" s="36"/>
      <c r="Q8" s="36"/>
      <c r="R8" s="36"/>
      <c r="S8" s="36"/>
      <c r="T8" s="36"/>
      <c r="U8" s="11"/>
      <c r="V8" s="35"/>
      <c r="W8" s="35"/>
      <c r="X8" s="35"/>
      <c r="Y8" s="11"/>
      <c r="Z8" s="37"/>
      <c r="AA8" s="19"/>
      <c r="AB8" s="37"/>
      <c r="AC8" s="34"/>
      <c r="AD8" s="34"/>
      <c r="AE8" s="38"/>
      <c r="AF8" s="27"/>
      <c r="AG8" s="27"/>
      <c r="AH8" s="27"/>
      <c r="AI8" s="27"/>
      <c r="AM8" s="34"/>
      <c r="AN8" s="34"/>
      <c r="AO8" s="11"/>
      <c r="AP8" s="11"/>
      <c r="AQ8" s="11"/>
      <c r="AR8" s="34"/>
      <c r="AS8" s="34"/>
      <c r="AT8" s="11"/>
      <c r="AU8" s="11"/>
      <c r="AV8" s="11"/>
      <c r="AW8" s="34"/>
      <c r="AX8" s="34"/>
      <c r="AY8" s="11"/>
      <c r="AZ8" s="11"/>
      <c r="BA8" s="11"/>
      <c r="BB8" s="34"/>
      <c r="BC8" s="34"/>
      <c r="BD8" s="11"/>
      <c r="BE8" s="11"/>
      <c r="BF8" s="11"/>
      <c r="BG8" s="34"/>
      <c r="BH8" s="34"/>
      <c r="BI8" s="11"/>
      <c r="BK8" s="34"/>
      <c r="BL8" s="39"/>
      <c r="BM8" s="34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CD8" s="8"/>
      <c r="CE8" s="8"/>
      <c r="CF8" s="8"/>
      <c r="CG8" s="8"/>
    </row>
    <row r="9" spans="1:85" ht="15.75" customHeight="1">
      <c r="A9" s="40" t="s">
        <v>31</v>
      </c>
      <c r="B9" s="35"/>
      <c r="C9" s="41"/>
      <c r="D9" s="42"/>
      <c r="E9" s="42" t="s">
        <v>32</v>
      </c>
      <c r="F9" s="42" t="s">
        <v>31</v>
      </c>
      <c r="G9" s="11"/>
      <c r="H9" s="11"/>
      <c r="K9" s="40" t="s">
        <v>31</v>
      </c>
      <c r="L9" s="35"/>
      <c r="M9" s="43"/>
      <c r="N9" s="42"/>
      <c r="O9" s="42"/>
      <c r="P9" s="42" t="s">
        <v>31</v>
      </c>
      <c r="Q9" s="44"/>
      <c r="R9" s="44"/>
      <c r="S9" s="44"/>
      <c r="T9" s="44"/>
      <c r="U9" s="42" t="s">
        <v>31</v>
      </c>
      <c r="V9" s="35"/>
      <c r="W9" s="35"/>
      <c r="X9" s="35"/>
      <c r="Y9" s="40"/>
      <c r="Z9" s="45" t="s">
        <v>31</v>
      </c>
      <c r="AA9" s="37"/>
      <c r="AB9" s="46" t="s">
        <v>33</v>
      </c>
      <c r="AC9" s="46" t="s">
        <v>34</v>
      </c>
      <c r="AD9" s="46"/>
      <c r="AE9" s="40" t="s">
        <v>31</v>
      </c>
      <c r="AF9" s="35"/>
      <c r="AG9" s="43"/>
      <c r="AH9" s="42" t="s">
        <v>35</v>
      </c>
      <c r="AI9" s="42"/>
      <c r="AJ9" s="21" t="s">
        <v>31</v>
      </c>
      <c r="AK9" s="21"/>
      <c r="AL9" s="21"/>
      <c r="AO9" s="21" t="s">
        <v>31</v>
      </c>
      <c r="AP9" s="21"/>
      <c r="AQ9" s="21"/>
      <c r="AR9" s="47" t="s">
        <v>36</v>
      </c>
      <c r="AS9" s="47" t="s">
        <v>36</v>
      </c>
      <c r="AT9" s="21" t="s">
        <v>31</v>
      </c>
      <c r="AU9" s="21"/>
      <c r="AV9" s="21"/>
      <c r="AW9" s="47" t="s">
        <v>36</v>
      </c>
      <c r="AX9" s="47" t="s">
        <v>36</v>
      </c>
      <c r="AY9" s="21" t="s">
        <v>31</v>
      </c>
      <c r="AZ9" s="21"/>
      <c r="BA9" s="21"/>
      <c r="BB9" s="47" t="s">
        <v>36</v>
      </c>
      <c r="BC9" s="47" t="s">
        <v>36</v>
      </c>
      <c r="BD9" s="21" t="s">
        <v>31</v>
      </c>
      <c r="BE9" s="21"/>
      <c r="BF9" s="21"/>
      <c r="BG9" s="47" t="s">
        <v>36</v>
      </c>
      <c r="BH9" s="47" t="s">
        <v>36</v>
      </c>
      <c r="BI9" s="42" t="s">
        <v>31</v>
      </c>
      <c r="BJ9" s="11"/>
      <c r="BK9" s="40" t="s">
        <v>37</v>
      </c>
      <c r="BL9" s="40" t="s">
        <v>38</v>
      </c>
      <c r="BM9" s="40" t="s">
        <v>39</v>
      </c>
    </row>
    <row r="10" spans="1:85" ht="16.5" customHeight="1">
      <c r="A10" s="48" t="s">
        <v>40</v>
      </c>
      <c r="B10" s="49" t="s">
        <v>41</v>
      </c>
      <c r="C10" s="50" t="s">
        <v>42</v>
      </c>
      <c r="D10" s="50" t="s">
        <v>37</v>
      </c>
      <c r="E10" s="50" t="s">
        <v>43</v>
      </c>
      <c r="F10" s="50" t="s">
        <v>40</v>
      </c>
      <c r="G10" s="51" t="s">
        <v>41</v>
      </c>
      <c r="H10" s="48"/>
      <c r="I10" s="48" t="s">
        <v>37</v>
      </c>
      <c r="J10" s="48" t="s">
        <v>44</v>
      </c>
      <c r="K10" s="48" t="s">
        <v>40</v>
      </c>
      <c r="L10" s="49" t="s">
        <v>41</v>
      </c>
      <c r="M10" s="52" t="s">
        <v>42</v>
      </c>
      <c r="N10" s="50" t="s">
        <v>37</v>
      </c>
      <c r="O10" s="50" t="s">
        <v>45</v>
      </c>
      <c r="P10" s="50" t="s">
        <v>40</v>
      </c>
      <c r="Q10" s="53"/>
      <c r="R10" s="48" t="s">
        <v>42</v>
      </c>
      <c r="S10" s="48" t="s">
        <v>46</v>
      </c>
      <c r="T10" s="50" t="s">
        <v>45</v>
      </c>
      <c r="U10" s="50" t="s">
        <v>40</v>
      </c>
      <c r="V10" s="49" t="s">
        <v>41</v>
      </c>
      <c r="W10" s="48" t="s">
        <v>47</v>
      </c>
      <c r="X10" s="48" t="s">
        <v>48</v>
      </c>
      <c r="Y10" s="48" t="s">
        <v>44</v>
      </c>
      <c r="Z10" s="54" t="s">
        <v>40</v>
      </c>
      <c r="AA10" s="55" t="s">
        <v>41</v>
      </c>
      <c r="AB10" s="54" t="s">
        <v>49</v>
      </c>
      <c r="AC10" s="54" t="s">
        <v>50</v>
      </c>
      <c r="AD10" s="54" t="s">
        <v>45</v>
      </c>
      <c r="AE10" s="48" t="s">
        <v>40</v>
      </c>
      <c r="AF10" s="49" t="s">
        <v>41</v>
      </c>
      <c r="AG10" s="50" t="s">
        <v>51</v>
      </c>
      <c r="AH10" s="50" t="s">
        <v>51</v>
      </c>
      <c r="AI10" s="50" t="s">
        <v>45</v>
      </c>
      <c r="AJ10" s="56" t="s">
        <v>40</v>
      </c>
      <c r="AK10" s="56" t="s">
        <v>41</v>
      </c>
      <c r="AL10" s="57" t="s">
        <v>51</v>
      </c>
      <c r="AM10" s="57" t="s">
        <v>37</v>
      </c>
      <c r="AN10" s="57" t="s">
        <v>45</v>
      </c>
      <c r="AO10" s="56" t="s">
        <v>40</v>
      </c>
      <c r="AP10" s="56" t="s">
        <v>41</v>
      </c>
      <c r="AQ10" s="57" t="s">
        <v>51</v>
      </c>
      <c r="AR10" s="57" t="s">
        <v>52</v>
      </c>
      <c r="AS10" s="57" t="s">
        <v>45</v>
      </c>
      <c r="AT10" s="56" t="s">
        <v>40</v>
      </c>
      <c r="AU10" s="56" t="s">
        <v>41</v>
      </c>
      <c r="AV10" s="57" t="s">
        <v>51</v>
      </c>
      <c r="AW10" s="57" t="s">
        <v>52</v>
      </c>
      <c r="AX10" s="57" t="s">
        <v>45</v>
      </c>
      <c r="AY10" s="56" t="s">
        <v>40</v>
      </c>
      <c r="AZ10" s="56" t="s">
        <v>41</v>
      </c>
      <c r="BA10" s="57" t="s">
        <v>51</v>
      </c>
      <c r="BB10" s="57" t="s">
        <v>52</v>
      </c>
      <c r="BC10" s="57" t="s">
        <v>45</v>
      </c>
      <c r="BD10" s="56" t="s">
        <v>40</v>
      </c>
      <c r="BE10" s="56" t="s">
        <v>41</v>
      </c>
      <c r="BF10" s="57" t="s">
        <v>51</v>
      </c>
      <c r="BG10" s="57" t="s">
        <v>52</v>
      </c>
      <c r="BH10" s="57" t="s">
        <v>45</v>
      </c>
      <c r="BI10" s="48" t="s">
        <v>40</v>
      </c>
      <c r="BJ10" s="49" t="s">
        <v>41</v>
      </c>
      <c r="BK10" s="48" t="s">
        <v>53</v>
      </c>
      <c r="BL10" s="48" t="s">
        <v>54</v>
      </c>
      <c r="BM10" s="58">
        <v>0.35</v>
      </c>
    </row>
    <row r="11" spans="1:85">
      <c r="A11" s="59"/>
      <c r="B11" s="60"/>
      <c r="C11" s="60"/>
      <c r="D11" s="61"/>
      <c r="E11" s="60"/>
      <c r="F11" s="62"/>
      <c r="G11" s="63"/>
      <c r="H11" s="64"/>
      <c r="I11" s="65"/>
      <c r="J11" s="65"/>
      <c r="K11" s="60"/>
      <c r="L11" s="60"/>
      <c r="M11" s="60"/>
      <c r="N11" s="60"/>
      <c r="O11" s="60"/>
      <c r="P11" s="62"/>
      <c r="Q11" s="66"/>
      <c r="R11" s="67"/>
      <c r="S11" s="67"/>
      <c r="T11" s="67"/>
      <c r="Z11" s="19"/>
      <c r="AA11" s="19"/>
      <c r="AB11" s="19"/>
      <c r="AC11" s="19"/>
      <c r="AD11" s="19"/>
      <c r="AE11" s="68"/>
      <c r="AF11" s="68"/>
      <c r="AG11" s="68"/>
      <c r="AH11" s="68"/>
      <c r="AI11" s="68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M11" s="25"/>
    </row>
    <row r="12" spans="1:85" s="7" customFormat="1" ht="14.4">
      <c r="A12" s="62">
        <v>1</v>
      </c>
      <c r="B12" s="69" t="s">
        <v>55</v>
      </c>
      <c r="F12" s="62">
        <f t="shared" ref="F12:F26" si="0">F11+1</f>
        <v>1</v>
      </c>
      <c r="G12" s="70" t="s">
        <v>56</v>
      </c>
      <c r="H12" s="70"/>
      <c r="I12" s="8">
        <v>4295103591.2787495</v>
      </c>
      <c r="K12" s="62">
        <v>1</v>
      </c>
      <c r="M12" s="71"/>
      <c r="N12" s="71"/>
      <c r="O12" s="71"/>
      <c r="P12" s="62">
        <v>1</v>
      </c>
      <c r="Q12" s="72" t="s">
        <v>57</v>
      </c>
      <c r="R12" s="73">
        <f>'[1]KJB-4 Sum'!C43</f>
        <v>-64111667.629999898</v>
      </c>
      <c r="S12" s="73">
        <v>0</v>
      </c>
      <c r="T12" s="73">
        <f>S12-R12</f>
        <v>64111667.629999898</v>
      </c>
      <c r="U12" s="62">
        <v>1</v>
      </c>
      <c r="V12" s="74" t="s">
        <v>58</v>
      </c>
      <c r="W12" s="65"/>
      <c r="X12" s="65"/>
      <c r="Y12" s="65"/>
      <c r="Z12" s="62">
        <v>1</v>
      </c>
      <c r="AA12" s="75" t="s">
        <v>59</v>
      </c>
      <c r="AB12" s="76"/>
      <c r="AC12" s="76"/>
      <c r="AD12" s="76"/>
      <c r="AE12" s="77">
        <v>1</v>
      </c>
      <c r="AF12" s="78" t="s">
        <v>60</v>
      </c>
      <c r="AG12" s="79"/>
      <c r="AH12" s="79"/>
      <c r="AI12" s="68"/>
      <c r="AJ12" s="80">
        <v>1</v>
      </c>
      <c r="AK12" s="81" t="s">
        <v>61</v>
      </c>
      <c r="AL12" s="82"/>
      <c r="AM12" s="82"/>
      <c r="AN12" s="82"/>
      <c r="AO12" s="80">
        <v>1</v>
      </c>
      <c r="AP12" s="83" t="s">
        <v>62</v>
      </c>
      <c r="AQ12" s="84"/>
      <c r="AR12" s="84"/>
      <c r="AS12" s="84"/>
      <c r="AT12" s="6">
        <v>1</v>
      </c>
      <c r="AU12" s="81" t="s">
        <v>63</v>
      </c>
      <c r="AV12" s="82"/>
      <c r="AW12" s="82"/>
      <c r="AX12" s="82"/>
      <c r="AY12" s="6">
        <v>1</v>
      </c>
      <c r="AZ12" s="85" t="s">
        <v>64</v>
      </c>
      <c r="BA12" s="82"/>
      <c r="BB12" s="82"/>
      <c r="BC12" s="82"/>
      <c r="BD12" s="86">
        <v>1</v>
      </c>
      <c r="BE12" s="87" t="s">
        <v>65</v>
      </c>
      <c r="BF12" s="88"/>
      <c r="BG12" s="88"/>
      <c r="BH12" s="88"/>
      <c r="BI12" s="86">
        <v>1</v>
      </c>
      <c r="BJ12" s="89" t="s">
        <v>66</v>
      </c>
      <c r="BK12" s="90" t="s">
        <v>67</v>
      </c>
      <c r="BL12" s="91">
        <v>2.5347000000000001E-2</v>
      </c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CD12" s="8"/>
      <c r="CE12" s="8"/>
      <c r="CF12" s="8"/>
      <c r="CG12" s="8"/>
    </row>
    <row r="13" spans="1:85" s="7" customFormat="1" ht="13.8">
      <c r="A13" s="62">
        <f t="shared" ref="A13:A32" si="1">A12+1</f>
        <v>2</v>
      </c>
      <c r="B13" s="92" t="s">
        <v>68</v>
      </c>
      <c r="C13" s="93">
        <f>+'[1]KJB-7 7.01 p 2'!I15</f>
        <v>85246014.709999993</v>
      </c>
      <c r="D13" s="93">
        <f>+'[1]KJB-7 7.01 p 2'!N15</f>
        <v>79063626.165677711</v>
      </c>
      <c r="E13" s="93">
        <f t="shared" ref="E13:E24" si="2">+D13-C13</f>
        <v>-6182388.5443222821</v>
      </c>
      <c r="F13" s="62">
        <f t="shared" si="0"/>
        <v>2</v>
      </c>
      <c r="G13" s="90" t="s">
        <v>69</v>
      </c>
      <c r="H13" s="70"/>
      <c r="I13" s="94">
        <v>0.05</v>
      </c>
      <c r="K13" s="62">
        <f t="shared" ref="K13:K27" si="3">K12+1</f>
        <v>2</v>
      </c>
      <c r="L13" s="75" t="s">
        <v>60</v>
      </c>
      <c r="M13" s="76"/>
      <c r="N13" s="76"/>
      <c r="O13" s="76"/>
      <c r="P13" s="62">
        <f t="shared" ref="P13:P20" si="4">P12+1</f>
        <v>2</v>
      </c>
      <c r="Q13" s="95"/>
      <c r="R13" s="96"/>
      <c r="S13" s="97"/>
      <c r="T13" s="97"/>
      <c r="U13" s="62">
        <f t="shared" ref="U13:U63" si="5">U12+1</f>
        <v>2</v>
      </c>
      <c r="V13" s="98" t="s">
        <v>70</v>
      </c>
      <c r="W13" s="78"/>
      <c r="X13" s="78"/>
      <c r="Y13" s="99"/>
      <c r="Z13" s="62">
        <f>Z12+1</f>
        <v>2</v>
      </c>
      <c r="AA13" s="100" t="s">
        <v>71</v>
      </c>
      <c r="AB13" s="101">
        <v>2930264.5350000057</v>
      </c>
      <c r="AC13" s="101">
        <v>0</v>
      </c>
      <c r="AD13" s="101">
        <f t="shared" ref="AD13:AD29" si="6">+AC13-AB13</f>
        <v>-2930264.5350000057</v>
      </c>
      <c r="AE13" s="77">
        <f t="shared" ref="AE13:AE28" si="7">AE12+1</f>
        <v>2</v>
      </c>
      <c r="AF13" s="102" t="s">
        <v>72</v>
      </c>
      <c r="AG13" s="103">
        <v>2532527.2133333334</v>
      </c>
      <c r="AH13" s="103">
        <v>7815669.9016000014</v>
      </c>
      <c r="AI13" s="103">
        <f>AH13-AG13</f>
        <v>5283142.6882666685</v>
      </c>
      <c r="AJ13" s="80">
        <f t="shared" ref="AJ13:AJ28" si="8">+AJ12+1</f>
        <v>2</v>
      </c>
      <c r="AK13" s="81" t="s">
        <v>73</v>
      </c>
      <c r="AL13" s="104"/>
      <c r="AM13" s="104"/>
      <c r="AN13" s="104"/>
      <c r="AO13" s="80">
        <f t="shared" ref="AO13:AO38" si="9">+AO12+1</f>
        <v>2</v>
      </c>
      <c r="AP13" s="105" t="s">
        <v>72</v>
      </c>
      <c r="AQ13" s="106">
        <v>21985164.197500002</v>
      </c>
      <c r="AR13" s="106">
        <v>0</v>
      </c>
      <c r="AS13" s="106">
        <f>AR13-AQ13</f>
        <v>-21985164.197500002</v>
      </c>
      <c r="AT13" s="6">
        <f>AT12+1</f>
        <v>2</v>
      </c>
      <c r="AU13" s="81" t="s">
        <v>73</v>
      </c>
      <c r="AV13" s="104"/>
      <c r="AW13" s="104"/>
      <c r="AX13" s="104"/>
      <c r="AY13" s="6">
        <f>+AY12+1</f>
        <v>2</v>
      </c>
      <c r="AZ13" s="107" t="s">
        <v>74</v>
      </c>
      <c r="BA13" s="108">
        <v>59841513.397916675</v>
      </c>
      <c r="BB13" s="108">
        <v>59749659.710000001</v>
      </c>
      <c r="BC13" s="108">
        <f>BB13-BA13</f>
        <v>-91853.68791667372</v>
      </c>
      <c r="BD13" s="86">
        <f t="shared" ref="BD13:BD23" si="10">BD12+1</f>
        <v>2</v>
      </c>
      <c r="BE13" s="109" t="s">
        <v>75</v>
      </c>
      <c r="BF13" s="110">
        <v>-101559498.97984974</v>
      </c>
      <c r="BG13" s="110">
        <v>0</v>
      </c>
      <c r="BH13" s="93">
        <f>BG13-BF13</f>
        <v>101559498.97984974</v>
      </c>
      <c r="BI13" s="86">
        <f t="shared" ref="BI13:BI76" si="11">+BI12+1</f>
        <v>2</v>
      </c>
      <c r="BJ13" s="89" t="s">
        <v>76</v>
      </c>
      <c r="BK13" s="90" t="s">
        <v>77</v>
      </c>
      <c r="BL13" s="91">
        <v>3.8393999999999998E-2</v>
      </c>
      <c r="BM13" s="111"/>
      <c r="BN13" s="6"/>
      <c r="BP13" s="6"/>
      <c r="BQ13" s="6"/>
      <c r="BR13" s="6"/>
      <c r="BS13" s="6"/>
      <c r="BT13" s="6"/>
      <c r="BU13" s="6"/>
      <c r="BV13" s="6"/>
      <c r="BW13" s="6"/>
      <c r="BX13" s="6"/>
      <c r="CD13" s="8"/>
      <c r="CE13" s="8"/>
      <c r="CF13" s="8"/>
      <c r="CG13" s="8"/>
    </row>
    <row r="14" spans="1:85" s="7" customFormat="1" ht="13.8">
      <c r="A14" s="62">
        <f t="shared" si="1"/>
        <v>3</v>
      </c>
      <c r="B14" s="92" t="s">
        <v>78</v>
      </c>
      <c r="C14" s="100">
        <f>+'[1]KJB-7 7.01 p 2'!I16</f>
        <v>149756871.78999999</v>
      </c>
      <c r="D14" s="100">
        <f>+'[1]KJB-7 7.01 p 2'!N16</f>
        <v>128580540.49475974</v>
      </c>
      <c r="E14" s="100">
        <f t="shared" si="2"/>
        <v>-21176331.295240253</v>
      </c>
      <c r="F14" s="62">
        <f t="shared" si="0"/>
        <v>3</v>
      </c>
      <c r="G14" s="111" t="s">
        <v>79</v>
      </c>
      <c r="H14" s="70"/>
      <c r="I14" s="70">
        <v>1.4999999999999999E-4</v>
      </c>
      <c r="K14" s="62">
        <f t="shared" si="3"/>
        <v>3</v>
      </c>
      <c r="L14" s="112" t="s">
        <v>72</v>
      </c>
      <c r="M14" s="113">
        <v>4539303</v>
      </c>
      <c r="N14" s="101">
        <v>0</v>
      </c>
      <c r="O14" s="101">
        <f>+N14-M14</f>
        <v>-4539303</v>
      </c>
      <c r="P14" s="62">
        <f t="shared" si="4"/>
        <v>3</v>
      </c>
      <c r="Q14" s="114" t="s">
        <v>80</v>
      </c>
      <c r="R14" s="115">
        <f>SUM(R12:R13)</f>
        <v>-64111667.629999898</v>
      </c>
      <c r="S14" s="71">
        <f>SUM(S12:S13)</f>
        <v>0</v>
      </c>
      <c r="T14" s="71">
        <f>SUM(T12:T13)</f>
        <v>64111667.629999898</v>
      </c>
      <c r="U14" s="62">
        <f t="shared" si="5"/>
        <v>3</v>
      </c>
      <c r="V14" s="116" t="s">
        <v>81</v>
      </c>
      <c r="W14" s="117">
        <v>146577.86000000002</v>
      </c>
      <c r="X14" s="117">
        <v>9324412.6900000013</v>
      </c>
      <c r="Y14" s="118">
        <f t="shared" ref="Y14:Y19" si="12">SUM(W14+X14)</f>
        <v>9470990.5500000007</v>
      </c>
      <c r="Z14" s="62">
        <f t="shared" ref="Z14:Z65" si="13">+Z13+1</f>
        <v>3</v>
      </c>
      <c r="AA14" s="100" t="s">
        <v>82</v>
      </c>
      <c r="AB14" s="100">
        <v>-658518.54083333327</v>
      </c>
      <c r="AC14" s="100">
        <v>-88510.49771296572</v>
      </c>
      <c r="AD14" s="119">
        <f t="shared" si="6"/>
        <v>570008.04312036757</v>
      </c>
      <c r="AE14" s="77">
        <f t="shared" si="7"/>
        <v>3</v>
      </c>
      <c r="AF14" s="102" t="s">
        <v>83</v>
      </c>
      <c r="AG14" s="71">
        <v>-23967.255261935759</v>
      </c>
      <c r="AH14" s="71">
        <v>-746090.14322181221</v>
      </c>
      <c r="AI14" s="71">
        <f>AH14-AG14</f>
        <v>-722122.88795987645</v>
      </c>
      <c r="AJ14" s="80">
        <f t="shared" si="8"/>
        <v>3</v>
      </c>
      <c r="AK14" s="120" t="s">
        <v>72</v>
      </c>
      <c r="AL14" s="121">
        <v>0</v>
      </c>
      <c r="AM14" s="122">
        <v>16120231.800000003</v>
      </c>
      <c r="AN14" s="122">
        <f>AM14-AL14</f>
        <v>16120231.800000003</v>
      </c>
      <c r="AO14" s="80">
        <f t="shared" si="9"/>
        <v>3</v>
      </c>
      <c r="AP14" s="105" t="s">
        <v>83</v>
      </c>
      <c r="AQ14" s="123">
        <v>-4782184.9428318273</v>
      </c>
      <c r="AR14" s="123">
        <v>17053554.294432983</v>
      </c>
      <c r="AS14" s="123">
        <f>AR14-AQ14</f>
        <v>21835739.237264812</v>
      </c>
      <c r="AT14" s="6">
        <f>AT13+1</f>
        <v>3</v>
      </c>
      <c r="AU14" s="120" t="s">
        <v>72</v>
      </c>
      <c r="AV14" s="121">
        <v>0</v>
      </c>
      <c r="AW14" s="121">
        <v>24765516.030000001</v>
      </c>
      <c r="AX14" s="122">
        <f>AW14-AV14</f>
        <v>24765516.030000001</v>
      </c>
      <c r="AY14" s="6">
        <f t="shared" ref="AY14:AY28" si="14">AY13+1</f>
        <v>3</v>
      </c>
      <c r="AZ14" s="107" t="s">
        <v>84</v>
      </c>
      <c r="BA14" s="124">
        <v>0</v>
      </c>
      <c r="BB14" s="124">
        <v>18825.34</v>
      </c>
      <c r="BC14" s="124">
        <f>BB14-BA14</f>
        <v>18825.34</v>
      </c>
      <c r="BD14" s="86">
        <f t="shared" si="10"/>
        <v>3</v>
      </c>
      <c r="BE14" s="109" t="s">
        <v>85</v>
      </c>
      <c r="BF14" s="125">
        <v>0</v>
      </c>
      <c r="BG14" s="125">
        <v>-95819883.979849756</v>
      </c>
      <c r="BH14" s="71">
        <f>BG14-BF14</f>
        <v>-95819883.979849756</v>
      </c>
      <c r="BI14" s="86">
        <f t="shared" si="11"/>
        <v>3</v>
      </c>
      <c r="BJ14" s="7" t="s">
        <v>86</v>
      </c>
      <c r="BP14" s="6"/>
      <c r="BQ14" s="6"/>
      <c r="BR14" s="6"/>
      <c r="BS14" s="6"/>
      <c r="BT14" s="6"/>
      <c r="BU14" s="6"/>
      <c r="BV14" s="6"/>
      <c r="BW14" s="6"/>
      <c r="BX14" s="6"/>
      <c r="CD14" s="8"/>
      <c r="CE14" s="8"/>
      <c r="CF14" s="8"/>
      <c r="CG14" s="8"/>
    </row>
    <row r="15" spans="1:85" s="7" customFormat="1" ht="14.4" thickBot="1">
      <c r="A15" s="62">
        <f t="shared" si="1"/>
        <v>4</v>
      </c>
      <c r="B15" s="92" t="s">
        <v>87</v>
      </c>
      <c r="C15" s="100">
        <f>+'[1]KJB-7 7.01 p 2'!I17</f>
        <v>523037995.81000006</v>
      </c>
      <c r="D15" s="100">
        <f>+'[1]KJB-7 7.01 p 2'!N17</f>
        <v>433414852.98348427</v>
      </c>
      <c r="E15" s="100">
        <f t="shared" si="2"/>
        <v>-89623142.826515794</v>
      </c>
      <c r="F15" s="62">
        <f t="shared" si="0"/>
        <v>4</v>
      </c>
      <c r="G15" s="90" t="s">
        <v>88</v>
      </c>
      <c r="H15" s="70"/>
      <c r="I15" s="126">
        <f>+I12*(1-I13)*I14</f>
        <v>612052.26175722177</v>
      </c>
      <c r="K15" s="62">
        <f t="shared" si="3"/>
        <v>4</v>
      </c>
      <c r="L15" s="127" t="s">
        <v>83</v>
      </c>
      <c r="M15" s="115">
        <v>-1578037</v>
      </c>
      <c r="N15" s="71"/>
      <c r="O15" s="71">
        <f>+N15-M15</f>
        <v>1578037</v>
      </c>
      <c r="P15" s="62">
        <f t="shared" si="4"/>
        <v>4</v>
      </c>
      <c r="Q15" s="95"/>
      <c r="R15" s="128"/>
      <c r="S15" s="128"/>
      <c r="T15" s="128"/>
      <c r="U15" s="62">
        <f t="shared" si="5"/>
        <v>4</v>
      </c>
      <c r="V15" s="116" t="s">
        <v>89</v>
      </c>
      <c r="W15" s="129">
        <v>330553.87999999983</v>
      </c>
      <c r="X15" s="129">
        <v>11614287.549999999</v>
      </c>
      <c r="Y15" s="129">
        <f t="shared" si="12"/>
        <v>11944841.429999998</v>
      </c>
      <c r="Z15" s="62">
        <f t="shared" si="13"/>
        <v>4</v>
      </c>
      <c r="AA15" s="100" t="s">
        <v>90</v>
      </c>
      <c r="AB15" s="100">
        <v>-902764.31833333336</v>
      </c>
      <c r="AC15" s="100">
        <v>-121339.24959547223</v>
      </c>
      <c r="AD15" s="119">
        <f t="shared" si="6"/>
        <v>781425.06873786112</v>
      </c>
      <c r="AE15" s="77">
        <f t="shared" si="7"/>
        <v>4</v>
      </c>
      <c r="AF15" s="102" t="s">
        <v>91</v>
      </c>
      <c r="AG15" s="71">
        <v>1602.450349846451</v>
      </c>
      <c r="AH15" s="71">
        <v>0</v>
      </c>
      <c r="AI15" s="71">
        <f>AH15-AG15</f>
        <v>-1602.450349846451</v>
      </c>
      <c r="AJ15" s="80">
        <f t="shared" si="8"/>
        <v>4</v>
      </c>
      <c r="AK15" s="120" t="s">
        <v>83</v>
      </c>
      <c r="AL15" s="71">
        <v>0</v>
      </c>
      <c r="AM15" s="71">
        <v>-9403468.5500000026</v>
      </c>
      <c r="AN15" s="71">
        <f>AM15-AL15</f>
        <v>-9403468.5500000026</v>
      </c>
      <c r="AO15" s="80">
        <f t="shared" si="9"/>
        <v>4</v>
      </c>
      <c r="AP15" s="105" t="s">
        <v>92</v>
      </c>
      <c r="AQ15" s="123">
        <v>-770444.58162956533</v>
      </c>
      <c r="AR15" s="123">
        <v>0</v>
      </c>
      <c r="AS15" s="123">
        <f>AR15-AQ15</f>
        <v>770444.58162956533</v>
      </c>
      <c r="AT15" s="6">
        <f>AT14+1</f>
        <v>4</v>
      </c>
      <c r="AU15" s="120" t="s">
        <v>83</v>
      </c>
      <c r="AV15" s="130">
        <v>0</v>
      </c>
      <c r="AW15" s="130">
        <v>-1572187.2608600797</v>
      </c>
      <c r="AX15" s="131">
        <f>AW15-AV15</f>
        <v>-1572187.2608600797</v>
      </c>
      <c r="AY15" s="6">
        <f t="shared" si="14"/>
        <v>4</v>
      </c>
      <c r="AZ15" s="107" t="s">
        <v>93</v>
      </c>
      <c r="BA15" s="132">
        <v>0</v>
      </c>
      <c r="BB15" s="132">
        <v>26606.68</v>
      </c>
      <c r="BC15" s="132">
        <f>BB15-BA15</f>
        <v>26606.68</v>
      </c>
      <c r="BD15" s="86">
        <f t="shared" si="10"/>
        <v>4</v>
      </c>
      <c r="BE15" s="133" t="s">
        <v>94</v>
      </c>
      <c r="BF15" s="134">
        <f>SUM(BF13:BF14)</f>
        <v>-101559498.97984974</v>
      </c>
      <c r="BG15" s="134">
        <f>SUM(BG13:BG14)</f>
        <v>-95819883.979849756</v>
      </c>
      <c r="BH15" s="134">
        <f>SUM(BH13:BH14)</f>
        <v>5739614.9999999851</v>
      </c>
      <c r="BI15" s="86">
        <f t="shared" si="11"/>
        <v>4</v>
      </c>
      <c r="BJ15" s="135" t="s">
        <v>95</v>
      </c>
      <c r="BN15" s="136"/>
      <c r="BO15" s="6"/>
      <c r="BP15" s="6"/>
      <c r="BQ15" s="6"/>
      <c r="BR15" s="6"/>
      <c r="BS15" s="6"/>
      <c r="BT15" s="6"/>
      <c r="BU15" s="6"/>
      <c r="BV15" s="6"/>
      <c r="BW15" s="6"/>
      <c r="BX15" s="6"/>
      <c r="CD15" s="8"/>
      <c r="CE15" s="8"/>
      <c r="CF15" s="8"/>
      <c r="CG15" s="8"/>
    </row>
    <row r="16" spans="1:85" ht="14.4" thickTop="1">
      <c r="A16" s="62">
        <f t="shared" si="1"/>
        <v>5</v>
      </c>
      <c r="B16" s="92" t="s">
        <v>96</v>
      </c>
      <c r="C16" s="100">
        <f>SUM('[1]KJB-7 7.01 p 2'!I18:I19)</f>
        <v>9308463.5600000005</v>
      </c>
      <c r="D16" s="100">
        <f>SUM('[1]KJB-7 7.01 p 2'!N18:N19)</f>
        <v>9504882.1414623018</v>
      </c>
      <c r="E16" s="100">
        <f t="shared" si="2"/>
        <v>196418.58146230131</v>
      </c>
      <c r="F16" s="62">
        <f t="shared" si="0"/>
        <v>5</v>
      </c>
      <c r="G16" s="111"/>
      <c r="H16" s="70"/>
      <c r="I16" s="70"/>
      <c r="K16" s="62">
        <f t="shared" si="3"/>
        <v>5</v>
      </c>
      <c r="L16" s="137" t="s">
        <v>97</v>
      </c>
      <c r="M16" s="115">
        <v>-11978.689327298343</v>
      </c>
      <c r="N16" s="71"/>
      <c r="O16" s="71">
        <f>+N16-M16</f>
        <v>11978.689327298343</v>
      </c>
      <c r="P16" s="62">
        <f t="shared" si="4"/>
        <v>5</v>
      </c>
      <c r="Q16" s="95" t="s">
        <v>98</v>
      </c>
      <c r="R16" s="128"/>
      <c r="S16" s="128"/>
      <c r="T16" s="115">
        <f>-T14</f>
        <v>-64111667.629999898</v>
      </c>
      <c r="U16" s="62">
        <f t="shared" si="5"/>
        <v>5</v>
      </c>
      <c r="V16" s="116" t="s">
        <v>99</v>
      </c>
      <c r="W16" s="129">
        <v>115489.18000000001</v>
      </c>
      <c r="X16" s="129">
        <v>5128914.879999999</v>
      </c>
      <c r="Y16" s="129">
        <f t="shared" si="12"/>
        <v>5244404.0599999987</v>
      </c>
      <c r="Z16" s="62">
        <f t="shared" si="13"/>
        <v>5</v>
      </c>
      <c r="AA16" s="100" t="s">
        <v>100</v>
      </c>
      <c r="AB16" s="100">
        <v>16769498.08</v>
      </c>
      <c r="AC16" s="100">
        <v>12550110.290861849</v>
      </c>
      <c r="AD16" s="100">
        <f t="shared" si="6"/>
        <v>-4219387.7891381513</v>
      </c>
      <c r="AE16" s="77">
        <f t="shared" si="7"/>
        <v>5</v>
      </c>
      <c r="AF16" s="77" t="s">
        <v>101</v>
      </c>
      <c r="AG16" s="71">
        <v>-205321.18453019747</v>
      </c>
      <c r="AH16" s="71">
        <v>-1922512.3307887327</v>
      </c>
      <c r="AI16" s="71">
        <f>AH16-AG16</f>
        <v>-1717191.1462585353</v>
      </c>
      <c r="AJ16" s="80">
        <f t="shared" si="8"/>
        <v>5</v>
      </c>
      <c r="AK16" s="138" t="s">
        <v>102</v>
      </c>
      <c r="AL16" s="71">
        <v>0</v>
      </c>
      <c r="AM16" s="71">
        <v>-1584894.1527864772</v>
      </c>
      <c r="AN16" s="71">
        <f>AM16-AL16</f>
        <v>-1584894.1527864772</v>
      </c>
      <c r="AO16" s="80">
        <f t="shared" si="9"/>
        <v>5</v>
      </c>
      <c r="AP16" s="95" t="s">
        <v>103</v>
      </c>
      <c r="AQ16" s="123">
        <v>-1771037.4357740821</v>
      </c>
      <c r="AR16" s="123">
        <v>0</v>
      </c>
      <c r="AS16" s="123">
        <f>AR16-AQ16</f>
        <v>1771037.4357740821</v>
      </c>
      <c r="AT16" s="6">
        <f>AT15+1</f>
        <v>5</v>
      </c>
      <c r="AU16" s="138" t="s">
        <v>102</v>
      </c>
      <c r="AV16" s="130">
        <v>0</v>
      </c>
      <c r="AW16" s="130">
        <v>-4188738.7602319769</v>
      </c>
      <c r="AX16" s="131">
        <f>AW16-AV16</f>
        <v>-4188738.7602319769</v>
      </c>
      <c r="AY16" s="6">
        <f t="shared" si="14"/>
        <v>5</v>
      </c>
      <c r="AZ16" s="107" t="s">
        <v>104</v>
      </c>
      <c r="BA16" s="124">
        <f>SUM(BA13:BA15)</f>
        <v>59841513.397916675</v>
      </c>
      <c r="BB16" s="124">
        <f>SUM(BB13:BB15)</f>
        <v>59795091.730000004</v>
      </c>
      <c r="BC16" s="124">
        <f>SUM(BC13:BC15)</f>
        <v>-46421.667916673723</v>
      </c>
      <c r="BD16" s="86">
        <f t="shared" si="10"/>
        <v>5</v>
      </c>
      <c r="BE16" s="105"/>
      <c r="BF16" s="101"/>
      <c r="BG16" s="101"/>
      <c r="BH16" s="101"/>
      <c r="BI16" s="86">
        <f t="shared" si="11"/>
        <v>5</v>
      </c>
      <c r="BJ16" s="95" t="s">
        <v>105</v>
      </c>
      <c r="BK16" s="113">
        <v>140088.57636075636</v>
      </c>
      <c r="BL16" s="113">
        <f>-BK16*$BL$12</f>
        <v>-3550.8251450160915</v>
      </c>
      <c r="BM16" s="113">
        <f>ROUND(+BL16*-$BM$10,0)</f>
        <v>1243</v>
      </c>
      <c r="BN16" s="136"/>
    </row>
    <row r="17" spans="1:85" ht="14.4" thickBot="1">
      <c r="A17" s="62">
        <f t="shared" si="1"/>
        <v>6</v>
      </c>
      <c r="B17" s="139" t="s">
        <v>106</v>
      </c>
      <c r="C17" s="100">
        <f>+'[1]KJB-7 7.01 p 2'!I20</f>
        <v>113800193.22</v>
      </c>
      <c r="D17" s="100">
        <f>+'[1]KJB-7 7.01 p 2'!N20</f>
        <v>108574737.55890049</v>
      </c>
      <c r="E17" s="100">
        <f t="shared" si="2"/>
        <v>-5225455.6610995084</v>
      </c>
      <c r="F17" s="62">
        <f t="shared" si="0"/>
        <v>6</v>
      </c>
      <c r="G17" s="111" t="s">
        <v>107</v>
      </c>
      <c r="H17" s="70"/>
      <c r="I17" s="70">
        <v>2.0000000000000001E-4</v>
      </c>
      <c r="K17" s="62">
        <f t="shared" si="3"/>
        <v>6</v>
      </c>
      <c r="L17" s="127" t="s">
        <v>108</v>
      </c>
      <c r="M17" s="115">
        <v>-984138.515625</v>
      </c>
      <c r="N17" s="71"/>
      <c r="O17" s="71">
        <f>+N17-M17</f>
        <v>984138.515625</v>
      </c>
      <c r="P17" s="62">
        <f t="shared" si="4"/>
        <v>6</v>
      </c>
      <c r="Q17" s="95"/>
      <c r="R17" s="128"/>
      <c r="S17" s="140"/>
      <c r="U17" s="62">
        <f t="shared" si="5"/>
        <v>6</v>
      </c>
      <c r="V17" s="116" t="s">
        <v>109</v>
      </c>
      <c r="W17" s="129">
        <v>427808.19999999995</v>
      </c>
      <c r="X17" s="129">
        <v>12676575.679999998</v>
      </c>
      <c r="Y17" s="129">
        <f t="shared" si="12"/>
        <v>13104383.879999997</v>
      </c>
      <c r="Z17" s="62">
        <f t="shared" si="13"/>
        <v>6</v>
      </c>
      <c r="AA17" s="100" t="s">
        <v>110</v>
      </c>
      <c r="AB17" s="100">
        <v>96067432.909166694</v>
      </c>
      <c r="AC17" s="100">
        <v>82196760.579333305</v>
      </c>
      <c r="AD17" s="100">
        <f t="shared" si="6"/>
        <v>-13870672.329833388</v>
      </c>
      <c r="AE17" s="77">
        <f t="shared" si="7"/>
        <v>6</v>
      </c>
      <c r="AF17" s="77" t="s">
        <v>111</v>
      </c>
      <c r="AG17" s="71">
        <v>-560.85762244625778</v>
      </c>
      <c r="AH17" s="71">
        <v>0</v>
      </c>
      <c r="AI17" s="71">
        <f>AH17-AG17</f>
        <v>560.85762244625778</v>
      </c>
      <c r="AJ17" s="80">
        <f t="shared" si="8"/>
        <v>6</v>
      </c>
      <c r="AK17" s="141" t="s">
        <v>112</v>
      </c>
      <c r="AL17" s="142">
        <f>SUM(AL14:AL16)</f>
        <v>0</v>
      </c>
      <c r="AM17" s="142">
        <f>SUM(AM14:AM16)</f>
        <v>5131869.0972135225</v>
      </c>
      <c r="AN17" s="142">
        <f>SUM(AN14:AN16)</f>
        <v>5131869.0972135225</v>
      </c>
      <c r="AO17" s="80">
        <f t="shared" si="9"/>
        <v>6</v>
      </c>
      <c r="AP17" s="105" t="s">
        <v>113</v>
      </c>
      <c r="AQ17" s="123">
        <v>269655.60357034783</v>
      </c>
      <c r="AR17" s="123">
        <v>0</v>
      </c>
      <c r="AS17" s="123">
        <f>AR17-AQ17</f>
        <v>-269655.60357034783</v>
      </c>
      <c r="AT17" s="6">
        <f>AT16+1</f>
        <v>6</v>
      </c>
      <c r="AU17" s="141" t="s">
        <v>112</v>
      </c>
      <c r="AV17" s="143">
        <f>SUM(AV14:AV16)</f>
        <v>0</v>
      </c>
      <c r="AW17" s="143">
        <f>SUM(AW14:AW16)</f>
        <v>19004590.008907948</v>
      </c>
      <c r="AX17" s="143">
        <f>SUM(AX14:AX16)</f>
        <v>19004590.008907948</v>
      </c>
      <c r="AY17" s="6">
        <f t="shared" si="14"/>
        <v>6</v>
      </c>
      <c r="AZ17" s="107" t="s">
        <v>114</v>
      </c>
      <c r="BA17" s="124">
        <v>-37066402.04703182</v>
      </c>
      <c r="BB17" s="124">
        <v>-43026718.335546739</v>
      </c>
      <c r="BC17" s="124">
        <f>BB17-BA17</f>
        <v>-5960316.2885149196</v>
      </c>
      <c r="BD17" s="86">
        <f t="shared" si="10"/>
        <v>6</v>
      </c>
      <c r="BE17" s="105"/>
      <c r="BF17" s="101"/>
      <c r="BG17" s="101"/>
      <c r="BH17" s="101"/>
      <c r="BI17" s="86">
        <f t="shared" si="11"/>
        <v>6</v>
      </c>
      <c r="BJ17" s="95" t="s">
        <v>115</v>
      </c>
      <c r="BK17" s="100">
        <v>283735.61315888772</v>
      </c>
      <c r="BL17" s="100">
        <f>-BK17*$BL$12</f>
        <v>-7191.8465867383275</v>
      </c>
      <c r="BM17" s="100">
        <f>ROUND(+BL17*-$BM$10,0)</f>
        <v>2517</v>
      </c>
      <c r="BN17" s="136"/>
    </row>
    <row r="18" spans="1:85" ht="15.6" thickTop="1" thickBot="1">
      <c r="A18" s="62">
        <f t="shared" si="1"/>
        <v>7</v>
      </c>
      <c r="B18" s="69" t="s">
        <v>116</v>
      </c>
      <c r="C18" s="100">
        <f>+'[1]KJB-7 7.01 p 2'!I21</f>
        <v>-201125741.74000001</v>
      </c>
      <c r="D18" s="100">
        <f>+'[1]KJB-7 7.01 p 2'!N21</f>
        <v>-28431646.31934049</v>
      </c>
      <c r="E18" s="100">
        <f t="shared" si="2"/>
        <v>172694095.42065951</v>
      </c>
      <c r="F18" s="62">
        <f t="shared" si="0"/>
        <v>7</v>
      </c>
      <c r="G18" s="90" t="s">
        <v>117</v>
      </c>
      <c r="H18" s="70"/>
      <c r="I18" s="144">
        <f>+I17*I12</f>
        <v>859020.7182557499</v>
      </c>
      <c r="K18" s="62">
        <f t="shared" si="3"/>
        <v>7</v>
      </c>
      <c r="L18" s="127" t="s">
        <v>118</v>
      </c>
      <c r="M18" s="115">
        <v>4192.5412645544202</v>
      </c>
      <c r="N18" s="145"/>
      <c r="O18" s="71">
        <f>+N18-M18</f>
        <v>-4192.5412645544202</v>
      </c>
      <c r="P18" s="62">
        <f t="shared" si="4"/>
        <v>7</v>
      </c>
      <c r="Q18" s="95" t="s">
        <v>119</v>
      </c>
      <c r="R18" s="146">
        <v>0.35</v>
      </c>
      <c r="T18" s="125">
        <f>T16*R18</f>
        <v>-22439083.670499962</v>
      </c>
      <c r="U18" s="62">
        <f t="shared" si="5"/>
        <v>7</v>
      </c>
      <c r="V18" s="116" t="s">
        <v>120</v>
      </c>
      <c r="W18" s="129">
        <v>718705.77</v>
      </c>
      <c r="X18" s="129">
        <v>12394591.869999999</v>
      </c>
      <c r="Y18" s="129">
        <f t="shared" si="12"/>
        <v>13113297.639999999</v>
      </c>
      <c r="Z18" s="62">
        <f t="shared" si="13"/>
        <v>7</v>
      </c>
      <c r="AA18" s="100" t="s">
        <v>121</v>
      </c>
      <c r="AB18" s="100">
        <v>18500000</v>
      </c>
      <c r="AC18" s="100">
        <v>18500000</v>
      </c>
      <c r="AD18" s="100">
        <f t="shared" si="6"/>
        <v>0</v>
      </c>
      <c r="AE18" s="77">
        <f t="shared" si="7"/>
        <v>7</v>
      </c>
      <c r="AF18" s="77" t="s">
        <v>122</v>
      </c>
      <c r="AG18" s="142">
        <f>SUM(AG13:AG17)</f>
        <v>2304280.3662686003</v>
      </c>
      <c r="AH18" s="142">
        <f>SUM(AH13:AH17)</f>
        <v>5147067.4275894566</v>
      </c>
      <c r="AI18" s="142">
        <f>SUM(AI13:AI17)</f>
        <v>2842787.0613208562</v>
      </c>
      <c r="AJ18" s="80">
        <f t="shared" si="8"/>
        <v>7</v>
      </c>
      <c r="AK18" s="147"/>
      <c r="AL18" s="148"/>
      <c r="AM18" s="148"/>
      <c r="AN18" s="148"/>
      <c r="AO18" s="80">
        <f t="shared" si="9"/>
        <v>7</v>
      </c>
      <c r="AP18" s="105" t="s">
        <v>112</v>
      </c>
      <c r="AQ18" s="142">
        <f>SUM(AQ13:AQ17)</f>
        <v>14931152.840834877</v>
      </c>
      <c r="AR18" s="142">
        <f>SUM(AR13:AR17)</f>
        <v>17053554.294432983</v>
      </c>
      <c r="AS18" s="142">
        <f>SUM(AS13:AS17)</f>
        <v>2122401.45359811</v>
      </c>
      <c r="AT18" s="136"/>
      <c r="AU18" s="136"/>
      <c r="AV18" s="136"/>
      <c r="AW18" s="136"/>
      <c r="AX18" s="136"/>
      <c r="AY18" s="6">
        <f t="shared" si="14"/>
        <v>7</v>
      </c>
      <c r="AZ18" s="107" t="s">
        <v>108</v>
      </c>
      <c r="BA18" s="132">
        <v>-7971288.6979166651</v>
      </c>
      <c r="BB18" s="132">
        <v>-5853029.717275939</v>
      </c>
      <c r="BC18" s="132">
        <f>BB18-BA18</f>
        <v>2118258.9806407262</v>
      </c>
      <c r="BD18" s="86">
        <f t="shared" si="10"/>
        <v>7</v>
      </c>
      <c r="BE18" s="149" t="s">
        <v>123</v>
      </c>
      <c r="BF18" s="150"/>
      <c r="BG18" s="151"/>
      <c r="BH18" s="152"/>
      <c r="BI18" s="86">
        <f t="shared" si="11"/>
        <v>7</v>
      </c>
      <c r="BJ18" s="95" t="s">
        <v>124</v>
      </c>
      <c r="BK18" s="100">
        <v>8209825.3455938548</v>
      </c>
      <c r="BL18" s="100">
        <f>-BK18*$BL$12</f>
        <v>-208094.44303476744</v>
      </c>
      <c r="BM18" s="100">
        <f>ROUND(+BL18*-$BM$10,0)</f>
        <v>72833</v>
      </c>
      <c r="BN18" s="136"/>
    </row>
    <row r="19" spans="1:85" ht="15.6" thickTop="1" thickBot="1">
      <c r="A19" s="62">
        <f t="shared" si="1"/>
        <v>8</v>
      </c>
      <c r="B19" s="69" t="s">
        <v>125</v>
      </c>
      <c r="C19" s="100">
        <f>+'[1]KJB-7 7.01 p 2'!I22</f>
        <v>18023677.969999999</v>
      </c>
      <c r="D19" s="100">
        <f>+'[1]KJB-7 7.01 p 2'!N22</f>
        <v>-15588634.390200933</v>
      </c>
      <c r="E19" s="100">
        <f t="shared" si="2"/>
        <v>-33612312.360200934</v>
      </c>
      <c r="F19" s="62">
        <f t="shared" si="0"/>
        <v>8</v>
      </c>
      <c r="G19" s="111"/>
      <c r="H19" s="70"/>
      <c r="I19" s="70"/>
      <c r="J19" s="70"/>
      <c r="K19" s="62">
        <f t="shared" si="3"/>
        <v>8</v>
      </c>
      <c r="L19" s="153" t="s">
        <v>126</v>
      </c>
      <c r="M19" s="154">
        <f>SUM(M14:M18)</f>
        <v>1969341.3363122563</v>
      </c>
      <c r="N19" s="154">
        <f>SUM(N14:N18)</f>
        <v>0</v>
      </c>
      <c r="O19" s="154">
        <f>SUM(O14:O18)</f>
        <v>-1969341.3363122563</v>
      </c>
      <c r="P19" s="62">
        <f t="shared" si="4"/>
        <v>8</v>
      </c>
      <c r="U19" s="62">
        <f t="shared" si="5"/>
        <v>8</v>
      </c>
      <c r="V19" s="116" t="s">
        <v>127</v>
      </c>
      <c r="W19" s="129">
        <v>506068.88000000006</v>
      </c>
      <c r="X19" s="129">
        <v>10553488.410000002</v>
      </c>
      <c r="Y19" s="129">
        <f t="shared" si="12"/>
        <v>11059557.290000003</v>
      </c>
      <c r="Z19" s="62">
        <f t="shared" si="13"/>
        <v>8</v>
      </c>
      <c r="AA19" s="100" t="s">
        <v>128</v>
      </c>
      <c r="AB19" s="100">
        <v>1874999.78</v>
      </c>
      <c r="AC19" s="100">
        <v>750000.00000000524</v>
      </c>
      <c r="AD19" s="100">
        <f t="shared" si="6"/>
        <v>-1124999.7799999947</v>
      </c>
      <c r="AE19" s="77">
        <f t="shared" si="7"/>
        <v>8</v>
      </c>
      <c r="AF19" s="77"/>
      <c r="AG19" s="77"/>
      <c r="AH19" s="77"/>
      <c r="AI19" s="77"/>
      <c r="AJ19" s="80">
        <f t="shared" si="8"/>
        <v>8</v>
      </c>
      <c r="AK19" s="155" t="s">
        <v>129</v>
      </c>
      <c r="AL19" s="104"/>
      <c r="AM19" s="104"/>
      <c r="AN19" s="104"/>
      <c r="AO19" s="80">
        <f t="shared" si="9"/>
        <v>8</v>
      </c>
      <c r="AP19" s="83"/>
      <c r="AQ19" s="101"/>
      <c r="AR19" s="156"/>
      <c r="AS19" s="101"/>
      <c r="AT19" s="136"/>
      <c r="AU19" s="136"/>
      <c r="AV19" s="136"/>
      <c r="AW19" s="136"/>
      <c r="AX19" s="136"/>
      <c r="AY19" s="6">
        <f t="shared" si="14"/>
        <v>8</v>
      </c>
      <c r="AZ19" s="157" t="s">
        <v>130</v>
      </c>
      <c r="BA19" s="142">
        <f>SUM(BA16:BA18)</f>
        <v>14803822.652968191</v>
      </c>
      <c r="BB19" s="142">
        <f>SUM(BB16:BB18)</f>
        <v>10915343.677177325</v>
      </c>
      <c r="BC19" s="142">
        <f>SUM(BC16:BC18)</f>
        <v>-3888478.9757908676</v>
      </c>
      <c r="BD19" s="86">
        <f t="shared" si="10"/>
        <v>8</v>
      </c>
      <c r="BE19" s="158" t="s">
        <v>131</v>
      </c>
      <c r="BF19" s="110">
        <v>-3279780</v>
      </c>
      <c r="BG19" s="110">
        <v>0</v>
      </c>
      <c r="BH19" s="93">
        <f>BG19-BF19</f>
        <v>3279780</v>
      </c>
      <c r="BI19" s="86">
        <f t="shared" si="11"/>
        <v>8</v>
      </c>
      <c r="BJ19" s="95" t="s">
        <v>132</v>
      </c>
      <c r="BK19" s="100">
        <v>214071.82388560369</v>
      </c>
      <c r="BL19" s="100">
        <f>-BK19*$BL$12</f>
        <v>-5426.0785200283972</v>
      </c>
      <c r="BM19" s="100">
        <f>ROUND(+BL19*-$BM$10,0)</f>
        <v>1899</v>
      </c>
      <c r="BN19" s="136"/>
    </row>
    <row r="20" spans="1:85" ht="15.6" thickTop="1" thickBot="1">
      <c r="A20" s="62">
        <f t="shared" si="1"/>
        <v>9</v>
      </c>
      <c r="E20" s="100">
        <f t="shared" si="2"/>
        <v>0</v>
      </c>
      <c r="F20" s="62">
        <f t="shared" si="0"/>
        <v>9</v>
      </c>
      <c r="G20" s="159" t="s">
        <v>133</v>
      </c>
      <c r="H20" s="160"/>
      <c r="I20" s="161"/>
      <c r="J20" s="162">
        <f>+I18+I15</f>
        <v>1471072.9800129717</v>
      </c>
      <c r="K20" s="62">
        <f t="shared" si="3"/>
        <v>9</v>
      </c>
      <c r="L20" s="163"/>
      <c r="M20" s="101"/>
      <c r="N20" s="101"/>
      <c r="O20" s="101"/>
      <c r="P20" s="62">
        <f t="shared" si="4"/>
        <v>9</v>
      </c>
      <c r="Q20" s="95" t="s">
        <v>134</v>
      </c>
      <c r="R20" s="146"/>
      <c r="S20" s="164"/>
      <c r="T20" s="134">
        <f>+T16-T18</f>
        <v>-41672583.95949994</v>
      </c>
      <c r="U20" s="62">
        <f t="shared" si="5"/>
        <v>9</v>
      </c>
      <c r="V20" s="165" t="s">
        <v>135</v>
      </c>
      <c r="W20" s="166">
        <f>SUM(W14:W19)</f>
        <v>2245203.77</v>
      </c>
      <c r="X20" s="166">
        <f>SUM(X14:X19)</f>
        <v>61692271.079999998</v>
      </c>
      <c r="Y20" s="167">
        <f>SUM(Y14:Y19)</f>
        <v>63937474.849999994</v>
      </c>
      <c r="Z20" s="62">
        <f t="shared" si="13"/>
        <v>9</v>
      </c>
      <c r="AA20" s="100" t="s">
        <v>136</v>
      </c>
      <c r="AB20" s="100">
        <v>180950.83</v>
      </c>
      <c r="AC20" s="100">
        <v>0</v>
      </c>
      <c r="AD20" s="100">
        <f t="shared" si="6"/>
        <v>-180950.83</v>
      </c>
      <c r="AE20" s="77">
        <f t="shared" si="7"/>
        <v>9</v>
      </c>
      <c r="AF20" s="168" t="s">
        <v>137</v>
      </c>
      <c r="AG20" s="169"/>
      <c r="AH20" s="169"/>
      <c r="AI20" s="169"/>
      <c r="AJ20" s="80">
        <f t="shared" si="8"/>
        <v>9</v>
      </c>
      <c r="AK20" s="170" t="s">
        <v>138</v>
      </c>
      <c r="AL20" s="93">
        <v>0</v>
      </c>
      <c r="AM20" s="93">
        <v>5373410.6000000006</v>
      </c>
      <c r="AN20" s="93">
        <f>AM20-AL20</f>
        <v>5373410.6000000006</v>
      </c>
      <c r="AO20" s="80">
        <f t="shared" si="9"/>
        <v>9</v>
      </c>
      <c r="AP20" s="83" t="s">
        <v>139</v>
      </c>
      <c r="AQ20" s="84"/>
      <c r="AR20" s="84"/>
      <c r="AS20" s="84"/>
      <c r="AT20" s="136"/>
      <c r="AU20" s="136"/>
      <c r="AV20" s="136"/>
      <c r="AW20" s="136"/>
      <c r="AX20" s="136"/>
      <c r="AY20" s="6">
        <f t="shared" si="14"/>
        <v>9</v>
      </c>
      <c r="AZ20" s="157"/>
      <c r="BA20" s="124"/>
      <c r="BB20" s="124"/>
      <c r="BC20" s="124"/>
      <c r="BD20" s="86">
        <f t="shared" si="10"/>
        <v>9</v>
      </c>
      <c r="BE20" s="133" t="s">
        <v>140</v>
      </c>
      <c r="BF20" s="171">
        <f>SUM(BF19:BF19)</f>
        <v>-3279780</v>
      </c>
      <c r="BG20" s="171">
        <f>SUM(BG19:BG19)</f>
        <v>0</v>
      </c>
      <c r="BH20" s="171">
        <f>SUM(BH19:BH19)</f>
        <v>3279780</v>
      </c>
      <c r="BI20" s="86">
        <f t="shared" si="11"/>
        <v>9</v>
      </c>
      <c r="BJ20" s="95" t="s">
        <v>141</v>
      </c>
      <c r="BK20" s="100">
        <v>2763777.09</v>
      </c>
      <c r="BL20" s="100">
        <f>-BK20*$BL$12</f>
        <v>-70053.457900230002</v>
      </c>
      <c r="BM20" s="100">
        <f>ROUND(+BL20*-$BM$10,0)</f>
        <v>24519</v>
      </c>
      <c r="BN20" s="136"/>
    </row>
    <row r="21" spans="1:85" ht="14.4" thickTop="1">
      <c r="A21" s="62">
        <f t="shared" si="1"/>
        <v>10</v>
      </c>
      <c r="B21" s="139" t="s">
        <v>142</v>
      </c>
      <c r="C21" s="100">
        <f>+'[1]KJB-7 7.01 p 2'!I25</f>
        <v>125897437.02000001</v>
      </c>
      <c r="D21" s="100">
        <f>+'[1]KJB-7 7.01 p 2'!N25</f>
        <v>135482345.97367546</v>
      </c>
      <c r="E21" s="100">
        <f t="shared" si="2"/>
        <v>9584908.9536754489</v>
      </c>
      <c r="F21" s="62">
        <f t="shared" si="0"/>
        <v>10</v>
      </c>
      <c r="G21" s="159" t="s">
        <v>143</v>
      </c>
      <c r="H21" s="160"/>
      <c r="I21" s="172"/>
      <c r="J21" s="173">
        <v>1540793.07</v>
      </c>
      <c r="K21" s="62">
        <f t="shared" si="3"/>
        <v>10</v>
      </c>
      <c r="L21" s="174" t="s">
        <v>137</v>
      </c>
      <c r="P21" s="62"/>
      <c r="Q21" s="175"/>
      <c r="R21" s="136"/>
      <c r="S21" s="176"/>
      <c r="U21" s="62">
        <f t="shared" si="5"/>
        <v>10</v>
      </c>
      <c r="W21" s="125"/>
      <c r="X21" s="125"/>
      <c r="Y21" s="125"/>
      <c r="Z21" s="62">
        <f t="shared" si="13"/>
        <v>10</v>
      </c>
      <c r="AA21" s="100" t="s">
        <v>144</v>
      </c>
      <c r="AB21" s="100">
        <v>68955037.953333333</v>
      </c>
      <c r="AC21" s="100">
        <v>60863794.047865629</v>
      </c>
      <c r="AD21" s="100">
        <f t="shared" si="6"/>
        <v>-8091243.9054677039</v>
      </c>
      <c r="AE21" s="77">
        <f t="shared" si="7"/>
        <v>10</v>
      </c>
      <c r="AF21" s="177" t="s">
        <v>145</v>
      </c>
      <c r="AG21" s="103">
        <v>123836.50843962499</v>
      </c>
      <c r="AH21" s="103">
        <v>340033.97615332442</v>
      </c>
      <c r="AI21" s="103">
        <f>+AH21-AG21</f>
        <v>216197.46771369944</v>
      </c>
      <c r="AJ21" s="80">
        <f t="shared" si="8"/>
        <v>10</v>
      </c>
      <c r="AK21" s="178" t="s">
        <v>146</v>
      </c>
      <c r="AL21" s="179">
        <f>SUM(AL20:AL20)</f>
        <v>0</v>
      </c>
      <c r="AM21" s="179">
        <f>SUM(AM20:AM20)</f>
        <v>5373410.6000000006</v>
      </c>
      <c r="AN21" s="179">
        <f>SUM(AN20:AN20)</f>
        <v>5373410.6000000006</v>
      </c>
      <c r="AO21" s="80">
        <f t="shared" si="9"/>
        <v>10</v>
      </c>
      <c r="AP21" s="105" t="s">
        <v>72</v>
      </c>
      <c r="AQ21" s="106">
        <v>3134072.5099999993</v>
      </c>
      <c r="AR21" s="106">
        <v>25072580.079999987</v>
      </c>
      <c r="AS21" s="106">
        <f>AR21-AQ21</f>
        <v>21938507.569999989</v>
      </c>
      <c r="AT21" s="136"/>
      <c r="AU21" s="136"/>
      <c r="AV21" s="136"/>
      <c r="AW21" s="136"/>
      <c r="AX21" s="136"/>
      <c r="AY21" s="6">
        <f t="shared" si="14"/>
        <v>10</v>
      </c>
      <c r="AZ21" s="85" t="s">
        <v>147</v>
      </c>
      <c r="BA21" s="124"/>
      <c r="BB21" s="124"/>
      <c r="BC21" s="124"/>
      <c r="BD21" s="86">
        <f t="shared" si="10"/>
        <v>10</v>
      </c>
      <c r="BE21" s="180"/>
      <c r="BF21" s="181"/>
      <c r="BG21" s="181"/>
      <c r="BH21" s="181"/>
      <c r="BI21" s="86">
        <f t="shared" si="11"/>
        <v>10</v>
      </c>
      <c r="BJ21" s="159" t="s">
        <v>148</v>
      </c>
      <c r="BK21" s="182">
        <f>SUM(BK16:BK20)</f>
        <v>11611498.448999101</v>
      </c>
      <c r="BL21" s="182">
        <f>SUM(BL16:BL20)</f>
        <v>-294316.65118678025</v>
      </c>
      <c r="BM21" s="182">
        <f>SUM(BM16:BM20)</f>
        <v>103011</v>
      </c>
      <c r="CD21" s="95"/>
      <c r="CE21" s="128"/>
      <c r="CF21" s="128"/>
      <c r="CG21" s="128"/>
    </row>
    <row r="22" spans="1:85" ht="13.8">
      <c r="A22" s="62">
        <f t="shared" si="1"/>
        <v>11</v>
      </c>
      <c r="B22" s="69" t="s">
        <v>149</v>
      </c>
      <c r="C22" s="100">
        <f>+'[1]KJB-7 7.01 p 2'!I26</f>
        <v>662134.87</v>
      </c>
      <c r="D22" s="100">
        <f>+'[1]KJB-7 7.01 p 2'!N26</f>
        <v>645351.73745011003</v>
      </c>
      <c r="E22" s="100">
        <f t="shared" si="2"/>
        <v>-16783.132549889968</v>
      </c>
      <c r="F22" s="62">
        <f t="shared" si="0"/>
        <v>11</v>
      </c>
      <c r="G22" s="159" t="s">
        <v>150</v>
      </c>
      <c r="H22" s="183"/>
      <c r="I22" s="161"/>
      <c r="J22" s="184">
        <f>J21-J20</f>
        <v>69720.08998702839</v>
      </c>
      <c r="K22" s="62">
        <f t="shared" si="3"/>
        <v>11</v>
      </c>
      <c r="L22" s="185" t="s">
        <v>138</v>
      </c>
      <c r="M22" s="113">
        <v>188181.00000000003</v>
      </c>
      <c r="N22" s="101">
        <v>0</v>
      </c>
      <c r="O22" s="101">
        <f>N22-M22</f>
        <v>-188181.00000000003</v>
      </c>
      <c r="P22" s="159"/>
      <c r="Q22" s="175"/>
      <c r="R22" s="6"/>
      <c r="S22" s="176"/>
      <c r="T22" s="176"/>
      <c r="U22" s="62">
        <f t="shared" si="5"/>
        <v>11</v>
      </c>
      <c r="V22" s="7" t="s">
        <v>151</v>
      </c>
      <c r="W22" s="125">
        <f>W20/6</f>
        <v>374200.62833333336</v>
      </c>
      <c r="X22" s="125">
        <f>X20/6</f>
        <v>10282045.18</v>
      </c>
      <c r="Y22" s="71">
        <f>+Y20/6</f>
        <v>10656245.808333332</v>
      </c>
      <c r="Z22" s="62">
        <f t="shared" si="13"/>
        <v>11</v>
      </c>
      <c r="AA22" s="100" t="s">
        <v>152</v>
      </c>
      <c r="AB22" s="100">
        <v>9472052.8500000015</v>
      </c>
      <c r="AC22" s="100">
        <v>8466701.2744743638</v>
      </c>
      <c r="AD22" s="100">
        <f t="shared" si="6"/>
        <v>-1005351.5755256377</v>
      </c>
      <c r="AE22" s="77">
        <f t="shared" si="7"/>
        <v>11</v>
      </c>
      <c r="AF22" s="186" t="s">
        <v>153</v>
      </c>
      <c r="AG22" s="100">
        <v>-7633.7978685983253</v>
      </c>
      <c r="AH22" s="100">
        <v>0</v>
      </c>
      <c r="AI22" s="100">
        <f>AH22-AG22</f>
        <v>7633.7978685983253</v>
      </c>
      <c r="AJ22" s="80">
        <f t="shared" si="8"/>
        <v>11</v>
      </c>
      <c r="AK22" s="178"/>
      <c r="AL22" s="187"/>
      <c r="AM22" s="187"/>
      <c r="AN22" s="187"/>
      <c r="AO22" s="80">
        <f t="shared" si="9"/>
        <v>11</v>
      </c>
      <c r="AP22" s="105" t="s">
        <v>83</v>
      </c>
      <c r="AQ22" s="123">
        <v>-3364.9770921440963</v>
      </c>
      <c r="AR22" s="123">
        <v>-1607188.8953450497</v>
      </c>
      <c r="AS22" s="123">
        <f>AR22-AQ22</f>
        <v>-1603823.9182529056</v>
      </c>
      <c r="AT22" s="136"/>
      <c r="AU22" s="136"/>
      <c r="AV22" s="136"/>
      <c r="AW22" s="136"/>
      <c r="AX22" s="136"/>
      <c r="AY22" s="6">
        <f t="shared" si="14"/>
        <v>11</v>
      </c>
      <c r="AZ22" s="107" t="s">
        <v>154</v>
      </c>
      <c r="BA22" s="188">
        <v>1494701.7220710218</v>
      </c>
      <c r="BB22" s="188">
        <v>6689176.5497812955</v>
      </c>
      <c r="BC22" s="188">
        <f>BB22-BA22</f>
        <v>5194474.8277102737</v>
      </c>
      <c r="BD22" s="86">
        <f t="shared" si="10"/>
        <v>11</v>
      </c>
      <c r="BE22" s="189" t="s">
        <v>155</v>
      </c>
      <c r="BF22" s="190">
        <v>0.35</v>
      </c>
      <c r="BG22" s="191"/>
      <c r="BH22" s="192">
        <f>-BH20*BF22</f>
        <v>-1147923</v>
      </c>
      <c r="BI22" s="86">
        <f t="shared" si="11"/>
        <v>11</v>
      </c>
      <c r="BJ22" s="159"/>
      <c r="BK22" s="182"/>
      <c r="BL22" s="182"/>
      <c r="BM22" s="182"/>
      <c r="CD22" s="95"/>
      <c r="CE22" s="128"/>
      <c r="CF22" s="128"/>
      <c r="CG22" s="128"/>
    </row>
    <row r="23" spans="1:85" ht="14.4" thickBot="1">
      <c r="A23" s="62">
        <f t="shared" si="1"/>
        <v>12</v>
      </c>
      <c r="B23" s="69" t="s">
        <v>156</v>
      </c>
      <c r="C23" s="100">
        <f>+'[1]KJB-7 7.01 p 2'!I27</f>
        <v>-8228548.5899999999</v>
      </c>
      <c r="D23" s="100">
        <f>+'[1]KJB-7 7.01 p 2'!N27</f>
        <v>-9692025.729682086</v>
      </c>
      <c r="E23" s="100">
        <f t="shared" si="2"/>
        <v>-1463477.1396820862</v>
      </c>
      <c r="F23" s="62">
        <f t="shared" si="0"/>
        <v>12</v>
      </c>
      <c r="G23" s="111"/>
      <c r="H23" s="193"/>
      <c r="I23" s="193" t="s">
        <v>157</v>
      </c>
      <c r="J23" s="193" t="s">
        <v>157</v>
      </c>
      <c r="K23" s="62">
        <f t="shared" si="3"/>
        <v>12</v>
      </c>
      <c r="L23" s="137" t="s">
        <v>158</v>
      </c>
      <c r="M23" s="115">
        <v>23957.378654596687</v>
      </c>
      <c r="N23" s="115"/>
      <c r="O23" s="115">
        <f>N23-M23</f>
        <v>-23957.378654596687</v>
      </c>
      <c r="P23" s="62"/>
      <c r="Q23" s="175"/>
      <c r="R23" s="176"/>
      <c r="S23" s="176"/>
      <c r="T23" s="176"/>
      <c r="U23" s="62">
        <f t="shared" si="5"/>
        <v>12</v>
      </c>
      <c r="W23" s="125"/>
      <c r="X23" s="125"/>
      <c r="Y23" s="125"/>
      <c r="Z23" s="62">
        <f t="shared" si="13"/>
        <v>12</v>
      </c>
      <c r="AA23" s="100" t="s">
        <v>159</v>
      </c>
      <c r="AB23" s="100">
        <v>497611.72500000009</v>
      </c>
      <c r="AC23" s="100">
        <v>0.16838636322063394</v>
      </c>
      <c r="AD23" s="100">
        <f t="shared" si="6"/>
        <v>-497611.5566136369</v>
      </c>
      <c r="AE23" s="77">
        <f t="shared" si="7"/>
        <v>12</v>
      </c>
      <c r="AF23" s="177" t="s">
        <v>160</v>
      </c>
      <c r="AG23" s="194">
        <f>SUM(AG21:AG22)</f>
        <v>116202.71057102666</v>
      </c>
      <c r="AH23" s="194">
        <f>SUM(AH21:AH22)</f>
        <v>340033.97615332442</v>
      </c>
      <c r="AI23" s="194">
        <f>SUM(AI21:AI22)</f>
        <v>223831.26558229775</v>
      </c>
      <c r="AJ23" s="80">
        <f t="shared" si="8"/>
        <v>12</v>
      </c>
      <c r="AK23" s="155"/>
      <c r="AL23" s="187"/>
      <c r="AM23" s="187"/>
      <c r="AN23" s="187"/>
      <c r="AO23" s="80">
        <f t="shared" si="9"/>
        <v>12</v>
      </c>
      <c r="AP23" s="105" t="s">
        <v>92</v>
      </c>
      <c r="AQ23" s="123">
        <v>-109553.08143874648</v>
      </c>
      <c r="AR23" s="123">
        <v>0</v>
      </c>
      <c r="AS23" s="123">
        <f>AR23-AQ23</f>
        <v>109553.08143874648</v>
      </c>
      <c r="AT23" s="136"/>
      <c r="AU23" s="136"/>
      <c r="AV23" s="136"/>
      <c r="AW23" s="136"/>
      <c r="AX23" s="136"/>
      <c r="AY23" s="6">
        <f t="shared" si="14"/>
        <v>12</v>
      </c>
      <c r="AZ23" s="157" t="s">
        <v>161</v>
      </c>
      <c r="BA23" s="194">
        <f>SUM(BA22)</f>
        <v>1494701.7220710218</v>
      </c>
      <c r="BB23" s="194">
        <f>SUM(BB22)</f>
        <v>6689176.5497812955</v>
      </c>
      <c r="BC23" s="194">
        <f>SUM(BC22)</f>
        <v>5194474.8277102737</v>
      </c>
      <c r="BD23" s="86">
        <f t="shared" si="10"/>
        <v>12</v>
      </c>
      <c r="BE23" s="189" t="s">
        <v>134</v>
      </c>
      <c r="BF23" s="191"/>
      <c r="BG23" s="191"/>
      <c r="BH23" s="195">
        <f>-BH20-BH22</f>
        <v>-2131857</v>
      </c>
      <c r="BI23" s="86">
        <f t="shared" si="11"/>
        <v>12</v>
      </c>
      <c r="BJ23" s="196" t="s">
        <v>162</v>
      </c>
      <c r="BK23" s="111"/>
      <c r="BL23" s="111"/>
      <c r="BM23" s="111"/>
      <c r="BN23" s="197"/>
      <c r="CD23" s="95"/>
      <c r="CE23" s="128"/>
      <c r="CF23" s="128"/>
      <c r="CG23" s="128"/>
    </row>
    <row r="24" spans="1:85" ht="14.4" thickTop="1">
      <c r="A24" s="62">
        <f t="shared" si="1"/>
        <v>13</v>
      </c>
      <c r="B24" s="69" t="s">
        <v>163</v>
      </c>
      <c r="C24" s="100"/>
      <c r="D24" s="100">
        <f>+'[1]KJB-7 7.01 p 2'!N28</f>
        <v>4769481.1386719989</v>
      </c>
      <c r="E24" s="100">
        <f t="shared" si="2"/>
        <v>4769481.1386719989</v>
      </c>
      <c r="F24" s="62">
        <f t="shared" si="0"/>
        <v>13</v>
      </c>
      <c r="G24" s="159" t="s">
        <v>164</v>
      </c>
      <c r="H24" s="198">
        <v>0.35</v>
      </c>
      <c r="I24" s="70"/>
      <c r="J24" s="173">
        <f>ROUND(J22*$H$24,0)</f>
        <v>24402</v>
      </c>
      <c r="K24" s="62">
        <f t="shared" si="3"/>
        <v>13</v>
      </c>
      <c r="L24" s="199" t="s">
        <v>165</v>
      </c>
      <c r="M24" s="182">
        <f>SUM(M22:M23)</f>
        <v>212138.37865459672</v>
      </c>
      <c r="N24" s="182">
        <f>SUM(N22:N23)</f>
        <v>0</v>
      </c>
      <c r="O24" s="182">
        <f>SUM(O22:O23)</f>
        <v>-212138.37865459672</v>
      </c>
      <c r="P24" s="62"/>
      <c r="Q24" s="175"/>
      <c r="R24" s="176"/>
      <c r="S24" s="200"/>
      <c r="T24" s="176"/>
      <c r="U24" s="62">
        <f t="shared" si="5"/>
        <v>13</v>
      </c>
      <c r="V24" s="159" t="s">
        <v>166</v>
      </c>
      <c r="W24" s="125"/>
      <c r="X24" s="125"/>
      <c r="Y24" s="125"/>
      <c r="Z24" s="62">
        <f t="shared" si="13"/>
        <v>13</v>
      </c>
      <c r="AA24" s="100" t="s">
        <v>167</v>
      </c>
      <c r="AB24" s="100">
        <v>1130665.8299999996</v>
      </c>
      <c r="AC24" s="100">
        <v>151971.71732166281</v>
      </c>
      <c r="AD24" s="100">
        <f t="shared" si="6"/>
        <v>-978694.11267833679</v>
      </c>
      <c r="AE24" s="77">
        <f t="shared" si="7"/>
        <v>13</v>
      </c>
      <c r="AF24" s="177"/>
      <c r="AG24" s="100"/>
      <c r="AH24" s="100"/>
      <c r="AI24" s="100"/>
      <c r="AJ24" s="80">
        <f t="shared" si="8"/>
        <v>13</v>
      </c>
      <c r="AK24" s="141"/>
      <c r="AL24" s="187"/>
      <c r="AM24" s="187"/>
      <c r="AN24" s="187"/>
      <c r="AO24" s="80">
        <f t="shared" si="9"/>
        <v>13</v>
      </c>
      <c r="AP24" s="95" t="s">
        <v>103</v>
      </c>
      <c r="AQ24" s="123">
        <v>-150563.60204358294</v>
      </c>
      <c r="AR24" s="123">
        <v>-4537903.8039487666</v>
      </c>
      <c r="AS24" s="123">
        <f>AR24-AQ24</f>
        <v>-4387340.2019051835</v>
      </c>
      <c r="AT24" s="136"/>
      <c r="AU24" s="136"/>
      <c r="AV24" s="136"/>
      <c r="AW24" s="136"/>
      <c r="AX24" s="136"/>
      <c r="AY24" s="6">
        <f t="shared" si="14"/>
        <v>13</v>
      </c>
      <c r="AZ24" s="157"/>
      <c r="BA24" s="124"/>
      <c r="BB24" s="124"/>
      <c r="BC24" s="124"/>
      <c r="BD24" s="86"/>
      <c r="BE24" s="201"/>
      <c r="BF24" s="202"/>
      <c r="BG24" s="202"/>
      <c r="BH24" s="202"/>
      <c r="BI24" s="86">
        <f t="shared" si="11"/>
        <v>13</v>
      </c>
      <c r="BJ24" s="95" t="s">
        <v>168</v>
      </c>
      <c r="BK24" s="203">
        <v>149765347.19094247</v>
      </c>
      <c r="BL24" s="100">
        <f>-BK24*$BL$12</f>
        <v>-3796102.255248819</v>
      </c>
      <c r="BM24" s="100">
        <v>1447773.0108788868</v>
      </c>
      <c r="BN24" s="7"/>
      <c r="CD24" s="95"/>
      <c r="CE24" s="95"/>
      <c r="CF24" s="95"/>
      <c r="CG24" s="128"/>
    </row>
    <row r="25" spans="1:85" ht="14.4" thickBot="1">
      <c r="A25" s="62">
        <f t="shared" si="1"/>
        <v>14</v>
      </c>
      <c r="B25" s="69" t="s">
        <v>146</v>
      </c>
      <c r="C25" s="182">
        <f>SUM(C13:C24)</f>
        <v>816378498.62</v>
      </c>
      <c r="D25" s="182">
        <f>SUM(D13:D24)</f>
        <v>846323511.75485861</v>
      </c>
      <c r="E25" s="182">
        <f>SUM(E13:E24)</f>
        <v>29945013.134858508</v>
      </c>
      <c r="F25" s="62">
        <f t="shared" si="0"/>
        <v>14</v>
      </c>
      <c r="G25" s="159" t="s">
        <v>134</v>
      </c>
      <c r="H25" s="198"/>
      <c r="I25" s="204"/>
      <c r="J25" s="154">
        <f>J22-J24</f>
        <v>45318.08998702839</v>
      </c>
      <c r="K25" s="62">
        <f t="shared" si="3"/>
        <v>14</v>
      </c>
      <c r="L25" s="199"/>
      <c r="M25" s="71"/>
      <c r="N25" s="71"/>
      <c r="O25" s="71"/>
      <c r="P25" s="62"/>
      <c r="Q25" s="175"/>
      <c r="R25" s="176"/>
      <c r="S25" s="176"/>
      <c r="T25" s="176"/>
      <c r="U25" s="62">
        <f t="shared" si="5"/>
        <v>14</v>
      </c>
      <c r="V25" s="205" t="s">
        <v>169</v>
      </c>
      <c r="W25" s="206">
        <f>W19</f>
        <v>506068.88000000006</v>
      </c>
      <c r="X25" s="206">
        <f>X19</f>
        <v>10553488.410000002</v>
      </c>
      <c r="Y25" s="206">
        <f>W25+X25</f>
        <v>11059557.290000003</v>
      </c>
      <c r="Z25" s="62">
        <f t="shared" si="13"/>
        <v>14</v>
      </c>
      <c r="AA25" s="100" t="s">
        <v>170</v>
      </c>
      <c r="AB25" s="100">
        <v>4439919.72</v>
      </c>
      <c r="AC25" s="100">
        <v>596763.95810137875</v>
      </c>
      <c r="AD25" s="100">
        <f t="shared" si="6"/>
        <v>-3843155.761898621</v>
      </c>
      <c r="AE25" s="77">
        <f t="shared" si="7"/>
        <v>14</v>
      </c>
      <c r="AF25" s="177" t="s">
        <v>165</v>
      </c>
      <c r="AG25" s="100"/>
      <c r="AH25" s="100"/>
      <c r="AI25" s="71">
        <f>AI23</f>
        <v>223831.26558229775</v>
      </c>
      <c r="AJ25" s="80">
        <f t="shared" si="8"/>
        <v>14</v>
      </c>
      <c r="AK25" s="178" t="s">
        <v>146</v>
      </c>
      <c r="AL25" s="187">
        <f>+AL21</f>
        <v>0</v>
      </c>
      <c r="AM25" s="187">
        <f>+AM21</f>
        <v>5373410.6000000006</v>
      </c>
      <c r="AN25" s="187">
        <f>+AN21</f>
        <v>5373410.6000000006</v>
      </c>
      <c r="AO25" s="80">
        <f t="shared" si="9"/>
        <v>14</v>
      </c>
      <c r="AP25" s="105" t="s">
        <v>113</v>
      </c>
      <c r="AQ25" s="123">
        <v>38343.578503561264</v>
      </c>
      <c r="AR25" s="123">
        <v>0</v>
      </c>
      <c r="AS25" s="123">
        <f>AR25-AQ25</f>
        <v>-38343.578503561264</v>
      </c>
      <c r="AT25" s="136"/>
      <c r="AU25" s="136"/>
      <c r="AV25" s="136"/>
      <c r="AW25" s="136"/>
      <c r="AX25" s="136"/>
      <c r="AY25" s="6">
        <f t="shared" si="14"/>
        <v>14</v>
      </c>
      <c r="AZ25" s="207" t="s">
        <v>171</v>
      </c>
      <c r="BA25" s="124"/>
      <c r="BB25" s="124"/>
      <c r="BC25" s="124">
        <f>BC23</f>
        <v>5194474.8277102737</v>
      </c>
      <c r="BD25" s="208"/>
      <c r="BE25" s="208"/>
      <c r="BF25" s="208"/>
      <c r="BG25" s="208"/>
      <c r="BH25" s="208"/>
      <c r="BI25" s="86">
        <f t="shared" si="11"/>
        <v>14</v>
      </c>
      <c r="BJ25" s="95" t="s">
        <v>172</v>
      </c>
      <c r="BK25" s="203">
        <f>BG19</f>
        <v>0</v>
      </c>
      <c r="BL25" s="100">
        <f>-BK25*$BL$12</f>
        <v>0</v>
      </c>
      <c r="BM25" s="100">
        <f>ROUND(+BL25*-$BM$10,0)</f>
        <v>0</v>
      </c>
      <c r="BN25" s="7"/>
      <c r="CD25" s="95"/>
      <c r="CE25" s="95"/>
      <c r="CF25" s="95"/>
      <c r="CG25" s="128"/>
    </row>
    <row r="26" spans="1:85" ht="15" thickTop="1" thickBot="1">
      <c r="A26" s="62">
        <f t="shared" si="1"/>
        <v>15</v>
      </c>
      <c r="F26" s="62">
        <f t="shared" si="0"/>
        <v>15</v>
      </c>
      <c r="K26" s="62">
        <f t="shared" si="3"/>
        <v>15</v>
      </c>
      <c r="L26" s="159" t="s">
        <v>155</v>
      </c>
      <c r="M26" s="176"/>
      <c r="N26" s="209">
        <v>0.35</v>
      </c>
      <c r="O26" s="173">
        <f>ROUND(-O24*$N$26,0)</f>
        <v>74248</v>
      </c>
      <c r="P26" s="62"/>
      <c r="R26" s="176"/>
      <c r="S26" s="71"/>
      <c r="T26" s="71"/>
      <c r="U26" s="62">
        <f t="shared" si="5"/>
        <v>15</v>
      </c>
      <c r="W26" s="125"/>
      <c r="X26" s="125"/>
      <c r="Y26" s="125"/>
      <c r="Z26" s="62">
        <f t="shared" si="13"/>
        <v>15</v>
      </c>
      <c r="AA26" s="100" t="s">
        <v>173</v>
      </c>
      <c r="AB26" s="100">
        <v>10528816.84</v>
      </c>
      <c r="AC26" s="100">
        <v>3917699.507429909</v>
      </c>
      <c r="AD26" s="100">
        <f t="shared" si="6"/>
        <v>-6611117.3325700909</v>
      </c>
      <c r="AE26" s="77">
        <f t="shared" si="7"/>
        <v>15</v>
      </c>
      <c r="AF26" s="177"/>
      <c r="AG26" s="100"/>
      <c r="AH26" s="100"/>
      <c r="AI26" s="71"/>
      <c r="AJ26" s="80">
        <f t="shared" si="8"/>
        <v>15</v>
      </c>
      <c r="AK26" s="147"/>
      <c r="AL26" s="187"/>
      <c r="AM26" s="187"/>
      <c r="AN26" s="187"/>
      <c r="AO26" s="80">
        <f t="shared" si="9"/>
        <v>15</v>
      </c>
      <c r="AP26" s="105" t="s">
        <v>112</v>
      </c>
      <c r="AQ26" s="142">
        <f>SUM(AQ21:AQ25)</f>
        <v>2908934.4279290871</v>
      </c>
      <c r="AR26" s="142">
        <f>SUM(AR21:AR25)</f>
        <v>18927487.380706169</v>
      </c>
      <c r="AS26" s="142">
        <f>SUM(AS21:AS25)</f>
        <v>16018552.952777086</v>
      </c>
      <c r="AT26" s="136"/>
      <c r="AU26" s="136"/>
      <c r="AV26" s="136"/>
      <c r="AW26" s="136"/>
      <c r="AX26" s="136"/>
      <c r="AY26" s="6">
        <f t="shared" si="14"/>
        <v>15</v>
      </c>
      <c r="AZ26" s="157"/>
      <c r="BA26" s="124"/>
      <c r="BB26" s="124"/>
      <c r="BC26" s="124"/>
      <c r="BD26" s="208"/>
      <c r="BE26" s="208"/>
      <c r="BF26" s="208"/>
      <c r="BG26" s="208"/>
      <c r="BH26" s="208"/>
      <c r="BI26" s="86">
        <f t="shared" si="11"/>
        <v>15</v>
      </c>
      <c r="BJ26" s="95" t="s">
        <v>174</v>
      </c>
      <c r="BK26" s="100">
        <v>11818341.976000002</v>
      </c>
      <c r="BL26" s="100">
        <f>-BK26*$BL$12</f>
        <v>-299559.51406567206</v>
      </c>
      <c r="BM26" s="100">
        <v>101652.83664475386</v>
      </c>
      <c r="BN26" s="7"/>
      <c r="CD26" s="95"/>
      <c r="CE26" s="95"/>
      <c r="CF26" s="95"/>
      <c r="CG26" s="128"/>
    </row>
    <row r="27" spans="1:85" ht="15.6" thickTop="1" thickBot="1">
      <c r="A27" s="62">
        <f t="shared" si="1"/>
        <v>16</v>
      </c>
      <c r="B27" s="69" t="s">
        <v>175</v>
      </c>
      <c r="C27" s="210">
        <f>-C25</f>
        <v>-816378498.62</v>
      </c>
      <c r="D27" s="210">
        <f>-D25</f>
        <v>-846323511.75485861</v>
      </c>
      <c r="E27" s="210">
        <f>-E25</f>
        <v>-29945013.134858508</v>
      </c>
      <c r="F27" s="211"/>
      <c r="I27" s="125"/>
      <c r="K27" s="62">
        <f t="shared" si="3"/>
        <v>16</v>
      </c>
      <c r="L27" s="159" t="s">
        <v>134</v>
      </c>
      <c r="M27" s="76"/>
      <c r="N27" s="76"/>
      <c r="O27" s="154">
        <f>-O24-O26</f>
        <v>137890.37865459672</v>
      </c>
      <c r="P27" s="62"/>
      <c r="Q27" s="175"/>
      <c r="R27" s="176"/>
      <c r="S27" s="176"/>
      <c r="T27" s="176"/>
      <c r="U27" s="62">
        <f t="shared" si="5"/>
        <v>16</v>
      </c>
      <c r="V27" s="212" t="s">
        <v>176</v>
      </c>
      <c r="W27" s="125">
        <f>W22-W25</f>
        <v>-131868.25166666671</v>
      </c>
      <c r="X27" s="125">
        <f>X22-X25</f>
        <v>-271443.23000000231</v>
      </c>
      <c r="Y27" s="71">
        <f>Y22-Y25</f>
        <v>-403311.48166667111</v>
      </c>
      <c r="Z27" s="62">
        <f t="shared" si="13"/>
        <v>16</v>
      </c>
      <c r="AA27" s="100" t="s">
        <v>177</v>
      </c>
      <c r="AB27" s="100">
        <v>-806046.15000000014</v>
      </c>
      <c r="AC27" s="100">
        <v>-108339.16201768839</v>
      </c>
      <c r="AD27" s="100">
        <f t="shared" si="6"/>
        <v>697706.98798231175</v>
      </c>
      <c r="AE27" s="77">
        <f t="shared" si="7"/>
        <v>16</v>
      </c>
      <c r="AF27" s="177" t="s">
        <v>155</v>
      </c>
      <c r="AG27" s="100"/>
      <c r="AH27" s="146">
        <v>0.35</v>
      </c>
      <c r="AI27" s="206">
        <f>-AI25*AH27</f>
        <v>-78340.942953804202</v>
      </c>
      <c r="AJ27" s="80">
        <f t="shared" si="8"/>
        <v>16</v>
      </c>
      <c r="AK27" s="189" t="s">
        <v>155</v>
      </c>
      <c r="AL27" s="190">
        <v>0.35</v>
      </c>
      <c r="AM27" s="191"/>
      <c r="AN27" s="192">
        <f>-AN25*AL27</f>
        <v>-1880693.71</v>
      </c>
      <c r="AO27" s="80">
        <f t="shared" si="9"/>
        <v>16</v>
      </c>
      <c r="AP27" s="213"/>
      <c r="AQ27" s="214"/>
      <c r="AR27" s="215"/>
      <c r="AS27" s="214"/>
      <c r="AT27" s="136"/>
      <c r="AU27" s="136"/>
      <c r="AV27" s="136"/>
      <c r="AW27" s="136"/>
      <c r="AX27" s="136"/>
      <c r="AY27" s="6">
        <f t="shared" si="14"/>
        <v>16</v>
      </c>
      <c r="AZ27" s="216" t="s">
        <v>178</v>
      </c>
      <c r="BA27" s="124"/>
      <c r="BB27" s="209">
        <v>0.35</v>
      </c>
      <c r="BC27" s="124">
        <f>-BC25*BB27</f>
        <v>-1818066.1896985958</v>
      </c>
      <c r="BD27" s="208"/>
      <c r="BE27" s="208"/>
      <c r="BF27" s="208"/>
      <c r="BG27" s="208"/>
      <c r="BH27" s="208"/>
      <c r="BI27" s="86">
        <f t="shared" si="11"/>
        <v>16</v>
      </c>
      <c r="BJ27" s="159" t="s">
        <v>179</v>
      </c>
      <c r="BK27" s="217">
        <f>SUM(BK24:BK26)</f>
        <v>161583689.16694248</v>
      </c>
      <c r="BL27" s="217">
        <f>SUM(BL24:BL26)</f>
        <v>-4095661.7693144912</v>
      </c>
      <c r="BM27" s="217">
        <f>SUM(BM24:BM26)</f>
        <v>1549425.8475236406</v>
      </c>
      <c r="BN27" s="7"/>
      <c r="CD27" s="101"/>
      <c r="CE27" s="101"/>
      <c r="CF27" s="101"/>
      <c r="CG27" s="101"/>
    </row>
    <row r="28" spans="1:85" ht="15" thickTop="1" thickBot="1">
      <c r="A28" s="62">
        <f t="shared" si="1"/>
        <v>17</v>
      </c>
      <c r="F28" s="211"/>
      <c r="G28" s="62"/>
      <c r="H28" s="62"/>
      <c r="I28" s="218"/>
      <c r="L28" s="136"/>
      <c r="M28" s="136"/>
      <c r="N28" s="136"/>
      <c r="O28" s="136"/>
      <c r="P28" s="62"/>
      <c r="Q28" s="175"/>
      <c r="R28" s="176"/>
      <c r="S28" s="176"/>
      <c r="T28" s="176"/>
      <c r="U28" s="62">
        <f t="shared" si="5"/>
        <v>17</v>
      </c>
      <c r="V28" s="212"/>
      <c r="W28" s="125"/>
      <c r="X28" s="125"/>
      <c r="Y28" s="125"/>
      <c r="Z28" s="62">
        <f t="shared" si="13"/>
        <v>17</v>
      </c>
      <c r="AA28" s="100" t="s">
        <v>180</v>
      </c>
      <c r="AB28" s="100">
        <v>-2784431.6500000004</v>
      </c>
      <c r="AC28" s="100">
        <v>-374251.50670083519</v>
      </c>
      <c r="AD28" s="100">
        <f t="shared" si="6"/>
        <v>2410180.1432991652</v>
      </c>
      <c r="AE28" s="77">
        <f t="shared" si="7"/>
        <v>17</v>
      </c>
      <c r="AF28" s="219" t="s">
        <v>134</v>
      </c>
      <c r="AI28" s="134">
        <f>-AI25-AI27</f>
        <v>-145490.32262849354</v>
      </c>
      <c r="AJ28" s="80">
        <f t="shared" si="8"/>
        <v>17</v>
      </c>
      <c r="AK28" s="189" t="s">
        <v>134</v>
      </c>
      <c r="AL28" s="191"/>
      <c r="AM28" s="191"/>
      <c r="AN28" s="195">
        <f>-AN25-AN27</f>
        <v>-3492716.8900000006</v>
      </c>
      <c r="AO28" s="80">
        <f t="shared" si="9"/>
        <v>17</v>
      </c>
      <c r="AP28" s="83" t="s">
        <v>181</v>
      </c>
      <c r="AQ28" s="84"/>
      <c r="AR28" s="84"/>
      <c r="AS28" s="84"/>
      <c r="AT28" s="136"/>
      <c r="AU28" s="136"/>
      <c r="AV28" s="136"/>
      <c r="AW28" s="136"/>
      <c r="AX28" s="136"/>
      <c r="AY28" s="6">
        <f t="shared" si="14"/>
        <v>17</v>
      </c>
      <c r="AZ28" s="216" t="s">
        <v>182</v>
      </c>
      <c r="BA28" s="220"/>
      <c r="BB28" s="220"/>
      <c r="BC28" s="221">
        <f>-BC25-BC27</f>
        <v>-3376408.6380116781</v>
      </c>
      <c r="BD28" s="208"/>
      <c r="BE28" s="208"/>
      <c r="BF28" s="208"/>
      <c r="BG28" s="208"/>
      <c r="BH28" s="208"/>
      <c r="BI28" s="86">
        <f t="shared" si="11"/>
        <v>17</v>
      </c>
      <c r="BJ28" s="111"/>
      <c r="BK28" s="182"/>
      <c r="BL28" s="182"/>
      <c r="BM28" s="182"/>
      <c r="BN28" s="208"/>
      <c r="CD28" s="7"/>
      <c r="CE28" s="7"/>
      <c r="CF28" s="7"/>
      <c r="CG28" s="7"/>
    </row>
    <row r="29" spans="1:85" ht="13.8" thickTop="1">
      <c r="A29" s="62">
        <f t="shared" si="1"/>
        <v>18</v>
      </c>
      <c r="B29" s="69" t="s">
        <v>183</v>
      </c>
      <c r="C29" s="222">
        <v>3.8733999999999998E-2</v>
      </c>
      <c r="D29" s="6"/>
      <c r="E29" s="100">
        <f>E23*C29</f>
        <v>-56686.323528445922</v>
      </c>
      <c r="F29" s="211"/>
      <c r="G29" s="62"/>
      <c r="H29" s="62"/>
      <c r="L29" s="136"/>
      <c r="M29" s="136"/>
      <c r="N29" s="136"/>
      <c r="O29" s="136"/>
      <c r="R29" s="125"/>
      <c r="S29" s="125"/>
      <c r="T29" s="125"/>
      <c r="U29" s="62">
        <f t="shared" si="5"/>
        <v>18</v>
      </c>
      <c r="W29" s="125"/>
      <c r="X29" s="125"/>
      <c r="Y29" s="125"/>
      <c r="Z29" s="62">
        <f t="shared" si="13"/>
        <v>18</v>
      </c>
      <c r="AA29" s="100" t="s">
        <v>184</v>
      </c>
      <c r="AB29" s="100">
        <v>6319201.1350000016</v>
      </c>
      <c r="AC29" s="100">
        <v>1128003.9151666719</v>
      </c>
      <c r="AD29" s="100">
        <f t="shared" si="6"/>
        <v>-5191197.2198333293</v>
      </c>
      <c r="AE29" s="77"/>
      <c r="AF29" s="199"/>
      <c r="AH29" s="146"/>
      <c r="AI29" s="100"/>
      <c r="AJ29" s="80"/>
      <c r="AO29" s="80">
        <f t="shared" si="9"/>
        <v>18</v>
      </c>
      <c r="AP29" s="105" t="s">
        <v>185</v>
      </c>
      <c r="AQ29" s="106">
        <v>340770.04506125004</v>
      </c>
      <c r="AR29" s="106">
        <v>0</v>
      </c>
      <c r="AS29" s="106">
        <f>AR29-AQ29</f>
        <v>-340770.04506125004</v>
      </c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208"/>
      <c r="BE29" s="208"/>
      <c r="BF29" s="208"/>
      <c r="BG29" s="208"/>
      <c r="BH29" s="208"/>
      <c r="BI29" s="86">
        <f t="shared" si="11"/>
        <v>18</v>
      </c>
      <c r="BJ29" s="196" t="s">
        <v>186</v>
      </c>
      <c r="BN29" s="208"/>
      <c r="CD29" s="7"/>
      <c r="CE29" s="7"/>
      <c r="CF29" s="7"/>
      <c r="CG29" s="7"/>
    </row>
    <row r="30" spans="1:85">
      <c r="A30" s="62">
        <f t="shared" si="1"/>
        <v>19</v>
      </c>
      <c r="B30" s="69" t="s">
        <v>150</v>
      </c>
      <c r="D30" s="6"/>
      <c r="E30" s="100">
        <f>+E27+E29</f>
        <v>-30001699.458386954</v>
      </c>
      <c r="L30" s="136"/>
      <c r="M30" s="136"/>
      <c r="N30" s="136"/>
      <c r="O30" s="136"/>
      <c r="R30" s="125"/>
      <c r="S30" s="125"/>
      <c r="T30" s="125"/>
      <c r="U30" s="62">
        <f t="shared" si="5"/>
        <v>19</v>
      </c>
      <c r="V30" s="74" t="s">
        <v>187</v>
      </c>
      <c r="W30" s="65"/>
      <c r="X30" s="65"/>
      <c r="Y30" s="65"/>
      <c r="Z30" s="62">
        <f t="shared" si="13"/>
        <v>19</v>
      </c>
      <c r="AA30" s="69"/>
      <c r="AB30" s="100"/>
      <c r="AC30" s="100"/>
      <c r="AD30" s="100"/>
      <c r="AE30" s="77"/>
      <c r="AF30" s="159"/>
      <c r="AH30" s="146"/>
      <c r="AI30" s="100"/>
      <c r="AJ30" s="80"/>
      <c r="AO30" s="80">
        <f t="shared" si="9"/>
        <v>19</v>
      </c>
      <c r="AP30" s="105" t="s">
        <v>188</v>
      </c>
      <c r="AQ30" s="123">
        <v>1540889.1632591307</v>
      </c>
      <c r="AR30" s="123">
        <v>0</v>
      </c>
      <c r="AS30" s="123">
        <f>AR30-AQ30</f>
        <v>-1540889.1632591307</v>
      </c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208"/>
      <c r="BE30" s="208"/>
      <c r="BF30" s="208"/>
      <c r="BG30" s="208"/>
      <c r="BH30" s="208"/>
      <c r="BI30" s="86">
        <f t="shared" si="11"/>
        <v>19</v>
      </c>
      <c r="BJ30" s="111" t="s">
        <v>189</v>
      </c>
      <c r="BK30" s="125">
        <f>+J20</f>
        <v>1471072.9800129717</v>
      </c>
      <c r="BL30" s="100">
        <f>-BK30*$BL$13</f>
        <v>-56480.375994618029</v>
      </c>
      <c r="BM30" s="203">
        <f>ROUND(+BL30*-$BM$10,0)</f>
        <v>19768</v>
      </c>
      <c r="BN30" s="208"/>
      <c r="CD30" s="223"/>
      <c r="CE30" s="223"/>
      <c r="CF30" s="223"/>
      <c r="CG30" s="223"/>
    </row>
    <row r="31" spans="1:85" ht="13.8">
      <c r="A31" s="62">
        <f t="shared" si="1"/>
        <v>20</v>
      </c>
      <c r="B31" s="69" t="s">
        <v>155</v>
      </c>
      <c r="C31" s="146">
        <v>0.35</v>
      </c>
      <c r="D31" s="6"/>
      <c r="E31" s="100">
        <f>+C31*E30</f>
        <v>-10500594.810435433</v>
      </c>
      <c r="J31" s="63"/>
      <c r="L31" s="136"/>
      <c r="M31" s="136"/>
      <c r="N31" s="136"/>
      <c r="O31" s="136"/>
      <c r="R31" s="125"/>
      <c r="S31" s="125"/>
      <c r="T31" s="125"/>
      <c r="U31" s="62">
        <f t="shared" si="5"/>
        <v>20</v>
      </c>
      <c r="V31" s="78" t="s">
        <v>190</v>
      </c>
      <c r="W31" s="65"/>
      <c r="X31" s="65"/>
      <c r="Y31" s="65"/>
      <c r="Z31" s="62">
        <f t="shared" si="13"/>
        <v>20</v>
      </c>
      <c r="AA31" s="69"/>
      <c r="AB31" s="100"/>
      <c r="AC31" s="100"/>
      <c r="AD31" s="100"/>
      <c r="AE31" s="77"/>
      <c r="AF31" s="159"/>
      <c r="AH31" s="146"/>
      <c r="AI31" s="77"/>
      <c r="AJ31" s="213"/>
      <c r="AK31" s="111"/>
      <c r="AL31" s="191"/>
      <c r="AM31" s="191"/>
      <c r="AN31" s="191"/>
      <c r="AO31" s="80">
        <f t="shared" si="9"/>
        <v>20</v>
      </c>
      <c r="AP31" s="105" t="s">
        <v>191</v>
      </c>
      <c r="AQ31" s="123">
        <v>48455.670126874989</v>
      </c>
      <c r="AR31" s="123">
        <v>2145903.9723363491</v>
      </c>
      <c r="AS31" s="123">
        <f>AR31-AQ31</f>
        <v>2097448.3022094741</v>
      </c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208"/>
      <c r="BE31" s="208"/>
      <c r="BF31" s="208"/>
      <c r="BG31" s="208"/>
      <c r="BH31" s="208"/>
      <c r="BI31" s="86">
        <f t="shared" si="11"/>
        <v>20</v>
      </c>
      <c r="BJ31" s="95" t="s">
        <v>192</v>
      </c>
      <c r="BK31" s="203">
        <v>2097013.8763986793</v>
      </c>
      <c r="BL31" s="100">
        <f>-BK31*$BL$12</f>
        <v>-53153.010725077329</v>
      </c>
      <c r="BM31" s="203">
        <f>ROUND(+BL31*-$BM$10,0)</f>
        <v>18604</v>
      </c>
      <c r="BN31" s="208"/>
    </row>
    <row r="32" spans="1:85" ht="16.5" customHeight="1" thickBot="1">
      <c r="A32" s="62">
        <f t="shared" si="1"/>
        <v>21</v>
      </c>
      <c r="B32" s="69" t="s">
        <v>134</v>
      </c>
      <c r="C32" s="6"/>
      <c r="D32" s="6"/>
      <c r="E32" s="142">
        <f>+E30-E31</f>
        <v>-19501104.647951521</v>
      </c>
      <c r="J32" s="101"/>
      <c r="L32" s="136"/>
      <c r="M32" s="136"/>
      <c r="N32" s="136"/>
      <c r="O32" s="136"/>
      <c r="R32" s="125"/>
      <c r="S32" s="125"/>
      <c r="T32" s="125"/>
      <c r="U32" s="62">
        <f t="shared" si="5"/>
        <v>21</v>
      </c>
      <c r="V32" s="78" t="s">
        <v>193</v>
      </c>
      <c r="W32" s="78"/>
      <c r="X32" s="78"/>
      <c r="Y32" s="78"/>
      <c r="Z32" s="62">
        <f t="shared" si="13"/>
        <v>21</v>
      </c>
      <c r="AA32" s="69" t="s">
        <v>194</v>
      </c>
      <c r="AB32" s="224">
        <f>SUM(AB13:AB31)</f>
        <v>232514691.52833334</v>
      </c>
      <c r="AC32" s="224">
        <f>SUM(AC13:AC31)</f>
        <v>188429365.04291415</v>
      </c>
      <c r="AD32" s="224">
        <f>SUM(AD13:AD31)</f>
        <v>-44085326.485419191</v>
      </c>
      <c r="AE32" s="77"/>
      <c r="AF32" s="159"/>
      <c r="AI32" s="63"/>
      <c r="AJ32" s="213"/>
      <c r="AK32" s="191"/>
      <c r="AL32" s="191"/>
      <c r="AM32" s="191"/>
      <c r="AN32" s="191"/>
      <c r="AO32" s="80">
        <f t="shared" si="9"/>
        <v>21</v>
      </c>
      <c r="AP32" s="105" t="s">
        <v>188</v>
      </c>
      <c r="AQ32" s="123">
        <v>219106.16287749296</v>
      </c>
      <c r="AR32" s="123">
        <v>0</v>
      </c>
      <c r="AS32" s="123">
        <f>AR32-AQ32</f>
        <v>-219106.16287749296</v>
      </c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208"/>
      <c r="BE32" s="208"/>
      <c r="BF32" s="208"/>
      <c r="BG32" s="208"/>
      <c r="BH32" s="208"/>
      <c r="BI32" s="86">
        <f t="shared" si="11"/>
        <v>21</v>
      </c>
      <c r="BJ32" s="95" t="s">
        <v>195</v>
      </c>
      <c r="BK32" s="217">
        <f>SUM(BK30:BK31)</f>
        <v>3568086.8564116508</v>
      </c>
      <c r="BL32" s="217">
        <f>SUM(BL30:BL31)</f>
        <v>-109633.38671969535</v>
      </c>
      <c r="BM32" s="217">
        <f>SUM(BM30:BM31)</f>
        <v>38372</v>
      </c>
      <c r="BN32" s="208"/>
    </row>
    <row r="33" spans="1:85" ht="14.4" thickTop="1">
      <c r="A33" s="62"/>
      <c r="B33" s="136"/>
      <c r="C33" s="136"/>
      <c r="D33" s="136"/>
      <c r="E33" s="136"/>
      <c r="J33" s="101"/>
      <c r="L33" s="136"/>
      <c r="M33" s="136"/>
      <c r="N33" s="136"/>
      <c r="O33" s="136"/>
      <c r="R33" s="125"/>
      <c r="S33" s="125"/>
      <c r="T33" s="125"/>
      <c r="U33" s="62">
        <f t="shared" si="5"/>
        <v>22</v>
      </c>
      <c r="V33" s="225" t="s">
        <v>196</v>
      </c>
      <c r="W33" s="129">
        <v>-12560038.23</v>
      </c>
      <c r="X33" s="78"/>
      <c r="Y33" s="78"/>
      <c r="Z33" s="62">
        <f t="shared" si="13"/>
        <v>22</v>
      </c>
      <c r="AA33" s="69"/>
      <c r="AB33" s="226"/>
      <c r="AE33" s="77"/>
      <c r="AF33" s="227"/>
      <c r="AI33" s="76"/>
      <c r="AJ33" s="213"/>
      <c r="AK33" s="191"/>
      <c r="AL33" s="191"/>
      <c r="AM33" s="191"/>
      <c r="AN33" s="191"/>
      <c r="AO33" s="80">
        <f t="shared" si="9"/>
        <v>22</v>
      </c>
      <c r="AP33" s="105" t="s">
        <v>197</v>
      </c>
      <c r="AQ33" s="194">
        <f>SUM(AQ29:AQ32)</f>
        <v>2149221.0413247487</v>
      </c>
      <c r="AR33" s="194">
        <f>SUM(AR29:AR32)</f>
        <v>2145903.9723363491</v>
      </c>
      <c r="AS33" s="194">
        <f>SUM(AS29:AS32)</f>
        <v>-3317.0689883994637</v>
      </c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208"/>
      <c r="BE33" s="208"/>
      <c r="BF33" s="208"/>
      <c r="BG33" s="208"/>
      <c r="BH33" s="208"/>
      <c r="BI33" s="86">
        <f t="shared" si="11"/>
        <v>22</v>
      </c>
      <c r="BJ33" s="111"/>
      <c r="BK33" s="182"/>
      <c r="BL33" s="182"/>
      <c r="BM33" s="182"/>
      <c r="BN33" s="208"/>
    </row>
    <row r="34" spans="1:85" ht="13.8">
      <c r="A34" s="62"/>
      <c r="B34" s="136"/>
      <c r="C34" s="136"/>
      <c r="D34" s="136"/>
      <c r="E34" s="136"/>
      <c r="J34" s="63"/>
      <c r="L34" s="136"/>
      <c r="M34" s="136"/>
      <c r="N34" s="136"/>
      <c r="O34" s="136"/>
      <c r="R34" s="125"/>
      <c r="S34" s="125"/>
      <c r="T34" s="125"/>
      <c r="U34" s="62">
        <f t="shared" si="5"/>
        <v>23</v>
      </c>
      <c r="V34" s="225" t="s">
        <v>198</v>
      </c>
      <c r="W34" s="129">
        <v>50185.88</v>
      </c>
      <c r="X34" s="78"/>
      <c r="Y34" s="78"/>
      <c r="Z34" s="62">
        <f t="shared" si="13"/>
        <v>23</v>
      </c>
      <c r="AA34" s="228"/>
      <c r="AE34" s="77"/>
      <c r="AF34" s="168"/>
      <c r="AG34" s="168"/>
      <c r="AH34" s="168"/>
      <c r="AI34" s="168"/>
      <c r="AJ34" s="213"/>
      <c r="AK34" s="191"/>
      <c r="AL34" s="191"/>
      <c r="AM34" s="191"/>
      <c r="AN34" s="191"/>
      <c r="AO34" s="80">
        <f t="shared" si="9"/>
        <v>23</v>
      </c>
      <c r="AP34" s="213"/>
      <c r="AQ34" s="214"/>
      <c r="AR34" s="215"/>
      <c r="AS34" s="214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08"/>
      <c r="BE34" s="208"/>
      <c r="BF34" s="208"/>
      <c r="BG34" s="208"/>
      <c r="BH34" s="208"/>
      <c r="BI34" s="86">
        <f t="shared" si="11"/>
        <v>23</v>
      </c>
      <c r="BJ34" s="135" t="s">
        <v>199</v>
      </c>
      <c r="BK34" s="203"/>
      <c r="BL34" s="100"/>
      <c r="BM34" s="100"/>
      <c r="BN34" s="7"/>
      <c r="CD34" s="7"/>
      <c r="CE34" s="7"/>
      <c r="CF34" s="7"/>
      <c r="CG34" s="7"/>
    </row>
    <row r="35" spans="1:85" ht="13.8">
      <c r="A35" s="62"/>
      <c r="B35" s="136"/>
      <c r="C35" s="136"/>
      <c r="D35" s="136"/>
      <c r="E35" s="136"/>
      <c r="J35" s="63"/>
      <c r="L35" s="136"/>
      <c r="M35" s="136"/>
      <c r="N35" s="136"/>
      <c r="O35" s="136"/>
      <c r="R35" s="125"/>
      <c r="S35" s="125"/>
      <c r="T35" s="125"/>
      <c r="U35" s="62">
        <f t="shared" si="5"/>
        <v>24</v>
      </c>
      <c r="V35" s="225" t="s">
        <v>200</v>
      </c>
      <c r="W35" s="129">
        <v>18185672.66</v>
      </c>
      <c r="X35" s="78"/>
      <c r="Y35" s="78"/>
      <c r="Z35" s="62">
        <f t="shared" si="13"/>
        <v>24</v>
      </c>
      <c r="AA35" s="228" t="s">
        <v>201</v>
      </c>
      <c r="AB35" s="100"/>
      <c r="AC35" s="100"/>
      <c r="AD35" s="100"/>
      <c r="AE35" s="77"/>
      <c r="AF35" s="168"/>
      <c r="AG35" s="168"/>
      <c r="AH35" s="168"/>
      <c r="AI35" s="168"/>
      <c r="AJ35" s="213"/>
      <c r="AK35" s="213"/>
      <c r="AL35" s="213"/>
      <c r="AM35" s="213"/>
      <c r="AN35" s="213"/>
      <c r="AO35" s="80">
        <f t="shared" si="9"/>
        <v>24</v>
      </c>
      <c r="AP35" s="230"/>
      <c r="AQ35" s="214"/>
      <c r="AR35" s="215"/>
      <c r="AS35" s="214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08"/>
      <c r="BE35" s="208"/>
      <c r="BF35" s="208"/>
      <c r="BG35" s="208"/>
      <c r="BH35" s="208"/>
      <c r="BI35" s="86">
        <f t="shared" si="11"/>
        <v>24</v>
      </c>
      <c r="BJ35" s="111" t="s">
        <v>202</v>
      </c>
      <c r="BK35" s="125">
        <f>'[1]KJB-7 El Adj'!BB22</f>
        <v>6689176.5497812955</v>
      </c>
      <c r="BL35" s="100">
        <f t="shared" ref="BL35:BL45" si="15">-BK35*$BL$12</f>
        <v>-169550.55800730651</v>
      </c>
      <c r="BM35" s="125">
        <f t="shared" ref="BM35:BM45" si="16">-BL35*$BM$10</f>
        <v>59342.695302557273</v>
      </c>
      <c r="BN35" s="7"/>
      <c r="BO35" s="208"/>
      <c r="CC35" s="6"/>
      <c r="CD35" s="77"/>
      <c r="CE35" s="77"/>
      <c r="CF35" s="77"/>
      <c r="CG35" s="77"/>
    </row>
    <row r="36" spans="1:85" ht="13.8">
      <c r="A36" s="62"/>
      <c r="B36" s="136"/>
      <c r="C36" s="136"/>
      <c r="D36" s="136"/>
      <c r="E36" s="136"/>
      <c r="J36" s="63"/>
      <c r="L36" s="136"/>
      <c r="M36" s="136"/>
      <c r="N36" s="136"/>
      <c r="O36" s="136"/>
      <c r="R36" s="125"/>
      <c r="S36" s="125"/>
      <c r="T36" s="71"/>
      <c r="U36" s="62">
        <f t="shared" si="5"/>
        <v>25</v>
      </c>
      <c r="V36" s="225" t="s">
        <v>203</v>
      </c>
      <c r="W36" s="129">
        <v>24157767.119999997</v>
      </c>
      <c r="X36" s="78"/>
      <c r="Y36" s="78"/>
      <c r="Z36" s="62">
        <f t="shared" si="13"/>
        <v>25</v>
      </c>
      <c r="AA36" s="95" t="s">
        <v>71</v>
      </c>
      <c r="AB36" s="232" t="s">
        <v>204</v>
      </c>
      <c r="AC36" s="232"/>
      <c r="AD36" s="232"/>
      <c r="AE36" s="77"/>
      <c r="AF36" s="168"/>
      <c r="AG36" s="168"/>
      <c r="AH36" s="168"/>
      <c r="AI36" s="168"/>
      <c r="AJ36" s="213"/>
      <c r="AK36" s="213"/>
      <c r="AL36" s="213"/>
      <c r="AM36" s="213"/>
      <c r="AN36" s="213"/>
      <c r="AO36" s="80">
        <f t="shared" si="9"/>
        <v>25</v>
      </c>
      <c r="AP36" s="213"/>
      <c r="AQ36" s="214"/>
      <c r="AR36" s="215"/>
      <c r="AS36" s="214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08"/>
      <c r="BE36" s="208"/>
      <c r="BF36" s="208"/>
      <c r="BG36" s="208"/>
      <c r="BH36" s="208"/>
      <c r="BI36" s="86">
        <f t="shared" si="11"/>
        <v>25</v>
      </c>
      <c r="BJ36" s="111" t="s">
        <v>205</v>
      </c>
      <c r="BK36" s="125">
        <f>AC50</f>
        <v>-1381851.7170492394</v>
      </c>
      <c r="BL36" s="100">
        <f t="shared" si="15"/>
        <v>35025.795472047073</v>
      </c>
      <c r="BM36" s="125">
        <f t="shared" si="16"/>
        <v>-12259.028415216475</v>
      </c>
      <c r="BN36" s="208"/>
      <c r="BO36" s="208"/>
      <c r="CC36" s="6"/>
      <c r="CD36" s="113"/>
      <c r="CE36" s="113"/>
      <c r="CF36" s="113"/>
      <c r="CG36" s="113"/>
    </row>
    <row r="37" spans="1:85">
      <c r="A37" s="62"/>
      <c r="B37" s="136"/>
      <c r="C37" s="136"/>
      <c r="D37" s="136"/>
      <c r="E37" s="136"/>
      <c r="L37" s="136"/>
      <c r="M37" s="136"/>
      <c r="N37" s="136"/>
      <c r="O37" s="136"/>
      <c r="P37" s="234"/>
      <c r="Q37" s="234"/>
      <c r="R37" s="234"/>
      <c r="S37" s="125"/>
      <c r="T37" s="71"/>
      <c r="U37" s="62">
        <f t="shared" si="5"/>
        <v>26</v>
      </c>
      <c r="V37" s="225" t="s">
        <v>206</v>
      </c>
      <c r="W37" s="129">
        <v>8269006</v>
      </c>
      <c r="X37" s="78"/>
      <c r="Y37" s="78"/>
      <c r="Z37" s="62">
        <f t="shared" si="13"/>
        <v>26</v>
      </c>
      <c r="AA37" s="95" t="s">
        <v>82</v>
      </c>
      <c r="AB37" s="232" t="s">
        <v>204</v>
      </c>
      <c r="AC37" s="232"/>
      <c r="AD37" s="232"/>
      <c r="AE37" s="77"/>
      <c r="AF37" s="168"/>
      <c r="AG37" s="168"/>
      <c r="AH37" s="168"/>
      <c r="AI37" s="168"/>
      <c r="AO37" s="80">
        <f t="shared" si="9"/>
        <v>26</v>
      </c>
      <c r="AP37" s="189" t="s">
        <v>155</v>
      </c>
      <c r="AQ37" s="190">
        <v>0.35</v>
      </c>
      <c r="AR37" s="215"/>
      <c r="AS37" s="123">
        <f>-AS33*AQ37</f>
        <v>1160.9741459398122</v>
      </c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08"/>
      <c r="BE37" s="208"/>
      <c r="BF37" s="208"/>
      <c r="BG37" s="208"/>
      <c r="BH37" s="208"/>
      <c r="BI37" s="86">
        <f t="shared" si="11"/>
        <v>26</v>
      </c>
      <c r="BJ37" s="111" t="s">
        <v>207</v>
      </c>
      <c r="BK37" s="125">
        <f>AC49</f>
        <v>-400021.52129608387</v>
      </c>
      <c r="BL37" s="100">
        <f t="shared" si="15"/>
        <v>10139.345500291838</v>
      </c>
      <c r="BM37" s="125">
        <f t="shared" si="16"/>
        <v>-3548.7709251021433</v>
      </c>
      <c r="BN37" s="208"/>
      <c r="BO37" s="208"/>
      <c r="CC37" s="6"/>
      <c r="CD37" s="7"/>
      <c r="CE37" s="7"/>
      <c r="CF37" s="7"/>
      <c r="CG37" s="7"/>
    </row>
    <row r="38" spans="1:85" ht="13.8" thickBot="1">
      <c r="A38" s="62"/>
      <c r="B38" s="136"/>
      <c r="C38" s="136"/>
      <c r="D38" s="136"/>
      <c r="E38" s="136"/>
      <c r="L38" s="136"/>
      <c r="M38" s="136"/>
      <c r="N38" s="136"/>
      <c r="O38" s="136"/>
      <c r="P38" s="235"/>
      <c r="Q38" s="235"/>
      <c r="R38" s="235"/>
      <c r="S38" s="236" t="s">
        <v>208</v>
      </c>
      <c r="T38" s="71"/>
      <c r="U38" s="62">
        <f t="shared" si="5"/>
        <v>27</v>
      </c>
      <c r="V38" s="78" t="s">
        <v>209</v>
      </c>
      <c r="W38" s="167">
        <f>SUM(W33:W37)</f>
        <v>38102593.43</v>
      </c>
      <c r="X38" s="237"/>
      <c r="Y38" s="237"/>
      <c r="Z38" s="62">
        <f t="shared" si="13"/>
        <v>27</v>
      </c>
      <c r="AA38" s="95" t="s">
        <v>90</v>
      </c>
      <c r="AB38" s="232" t="s">
        <v>204</v>
      </c>
      <c r="AC38" s="232"/>
      <c r="AD38" s="232"/>
      <c r="AE38" s="77"/>
      <c r="AF38" s="238"/>
      <c r="AG38" s="168"/>
      <c r="AH38" s="168"/>
      <c r="AI38" s="168"/>
      <c r="AO38" s="80">
        <f t="shared" si="9"/>
        <v>27</v>
      </c>
      <c r="AP38" s="189" t="s">
        <v>134</v>
      </c>
      <c r="AQ38" s="214"/>
      <c r="AR38" s="215"/>
      <c r="AS38" s="134">
        <f>-AS33-AS37</f>
        <v>2156.0948424596518</v>
      </c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08"/>
      <c r="BE38" s="208"/>
      <c r="BF38" s="208"/>
      <c r="BG38" s="208"/>
      <c r="BH38" s="208"/>
      <c r="BI38" s="86">
        <f t="shared" si="11"/>
        <v>27</v>
      </c>
      <c r="BJ38" s="111" t="s">
        <v>210</v>
      </c>
      <c r="BK38" s="125">
        <f>AC51</f>
        <v>3786307.8400000003</v>
      </c>
      <c r="BL38" s="100">
        <f t="shared" si="15"/>
        <v>-95971.54482048002</v>
      </c>
      <c r="BM38" s="125">
        <f t="shared" si="16"/>
        <v>33590.040687168002</v>
      </c>
      <c r="BN38" s="208"/>
      <c r="BO38" s="208"/>
      <c r="CD38" s="7"/>
      <c r="CE38" s="7"/>
      <c r="CF38" s="7"/>
      <c r="CG38" s="7"/>
    </row>
    <row r="39" spans="1:85" ht="14.4" thickTop="1">
      <c r="A39" s="62"/>
      <c r="B39" s="136"/>
      <c r="C39" s="136"/>
      <c r="D39" s="136"/>
      <c r="E39" s="136"/>
      <c r="L39" s="136"/>
      <c r="M39" s="136"/>
      <c r="N39" s="136"/>
      <c r="O39" s="136"/>
      <c r="P39" s="234"/>
      <c r="Q39" s="235"/>
      <c r="R39" s="235"/>
      <c r="S39" s="236"/>
      <c r="T39" s="71"/>
      <c r="U39" s="62">
        <f t="shared" si="5"/>
        <v>28</v>
      </c>
      <c r="V39" s="78"/>
      <c r="W39" s="237"/>
      <c r="X39" s="237"/>
      <c r="Y39" s="237"/>
      <c r="Z39" s="62">
        <f t="shared" si="13"/>
        <v>28</v>
      </c>
      <c r="AA39" s="95" t="s">
        <v>100</v>
      </c>
      <c r="AB39" s="93">
        <v>2885052</v>
      </c>
      <c r="AC39" s="93">
        <v>2885052</v>
      </c>
      <c r="AD39" s="93">
        <f>+AC39-AB39</f>
        <v>0</v>
      </c>
      <c r="AE39" s="77"/>
      <c r="AF39" s="168"/>
      <c r="AG39" s="168"/>
      <c r="AH39" s="168"/>
      <c r="AI39" s="168"/>
      <c r="AO39" s="80"/>
      <c r="AP39" s="213"/>
      <c r="AQ39" s="214"/>
      <c r="AR39" s="215"/>
      <c r="AS39" s="214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08"/>
      <c r="BE39" s="208"/>
      <c r="BF39" s="208"/>
      <c r="BG39" s="208"/>
      <c r="BH39" s="208"/>
      <c r="BI39" s="86">
        <f t="shared" si="11"/>
        <v>28</v>
      </c>
      <c r="BJ39" s="111" t="s">
        <v>211</v>
      </c>
      <c r="BK39" s="203">
        <f>AC39</f>
        <v>2885052</v>
      </c>
      <c r="BL39" s="100">
        <f t="shared" si="15"/>
        <v>-73127.413044000001</v>
      </c>
      <c r="BM39" s="125">
        <f t="shared" si="16"/>
        <v>25594.594565399999</v>
      </c>
      <c r="BN39" s="208"/>
      <c r="BO39" s="208"/>
      <c r="CC39" s="62"/>
      <c r="CD39" s="164"/>
      <c r="CE39" s="164"/>
      <c r="CF39" s="164"/>
      <c r="CG39" s="164"/>
    </row>
    <row r="40" spans="1:85">
      <c r="A40" s="62"/>
      <c r="B40" s="136"/>
      <c r="C40" s="136"/>
      <c r="D40" s="136"/>
      <c r="E40" s="136"/>
      <c r="L40" s="136"/>
      <c r="M40" s="136"/>
      <c r="N40" s="136"/>
      <c r="O40" s="136"/>
      <c r="P40" s="234"/>
      <c r="Q40" s="239"/>
      <c r="R40" s="240"/>
      <c r="S40" s="236" t="s">
        <v>208</v>
      </c>
      <c r="T40" s="71"/>
      <c r="U40" s="62">
        <f t="shared" si="5"/>
        <v>29</v>
      </c>
      <c r="V40" s="78" t="s">
        <v>212</v>
      </c>
      <c r="W40" s="237"/>
      <c r="X40" s="241">
        <f>W38/48*12</f>
        <v>9525648.3574999999</v>
      </c>
      <c r="Y40" s="237"/>
      <c r="Z40" s="62">
        <f t="shared" si="13"/>
        <v>29</v>
      </c>
      <c r="AA40" s="95" t="s">
        <v>110</v>
      </c>
      <c r="AB40" s="232" t="s">
        <v>204</v>
      </c>
      <c r="AC40" s="232"/>
      <c r="AD40" s="232"/>
      <c r="AE40" s="77"/>
      <c r="AF40" s="168"/>
      <c r="AG40" s="242"/>
      <c r="AH40" s="242"/>
      <c r="AI40" s="242"/>
      <c r="AO40" s="233"/>
      <c r="AP40" s="214"/>
      <c r="AQ40" s="214"/>
      <c r="AR40" s="215"/>
      <c r="AS40" s="214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08"/>
      <c r="BE40" s="208"/>
      <c r="BF40" s="208"/>
      <c r="BG40" s="208"/>
      <c r="BH40" s="208"/>
      <c r="BI40" s="86">
        <f t="shared" si="11"/>
        <v>29</v>
      </c>
      <c r="BJ40" s="111" t="s">
        <v>213</v>
      </c>
      <c r="BK40" s="203">
        <f>AC45</f>
        <v>0</v>
      </c>
      <c r="BL40" s="100">
        <f t="shared" si="15"/>
        <v>0</v>
      </c>
      <c r="BM40" s="125">
        <f t="shared" si="16"/>
        <v>0</v>
      </c>
      <c r="BN40" s="208"/>
      <c r="BO40" s="208"/>
      <c r="CC40" s="62"/>
    </row>
    <row r="41" spans="1:85">
      <c r="A41" s="62"/>
      <c r="B41" s="136"/>
      <c r="C41" s="136"/>
      <c r="D41" s="136"/>
      <c r="E41" s="136"/>
      <c r="L41" s="136"/>
      <c r="M41" s="136"/>
      <c r="N41" s="136"/>
      <c r="O41" s="136"/>
      <c r="P41" s="234"/>
      <c r="Q41" s="234"/>
      <c r="R41" s="234"/>
      <c r="S41" s="236" t="s">
        <v>208</v>
      </c>
      <c r="T41" s="71"/>
      <c r="U41" s="62">
        <f t="shared" si="5"/>
        <v>30</v>
      </c>
      <c r="V41" s="78"/>
      <c r="W41" s="237"/>
      <c r="X41" s="237"/>
      <c r="Y41" s="237"/>
      <c r="Z41" s="62">
        <f t="shared" si="13"/>
        <v>30</v>
      </c>
      <c r="AA41" s="95" t="s">
        <v>128</v>
      </c>
      <c r="AB41" s="232" t="s">
        <v>204</v>
      </c>
      <c r="AC41" s="232"/>
      <c r="AD41" s="232"/>
      <c r="AE41" s="77"/>
      <c r="AF41" s="238"/>
      <c r="AG41" s="168"/>
      <c r="AH41" s="168"/>
      <c r="AI41" s="168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208"/>
      <c r="BE41" s="208"/>
      <c r="BF41" s="208"/>
      <c r="BG41" s="208"/>
      <c r="BH41" s="208"/>
      <c r="BI41" s="86">
        <f t="shared" si="11"/>
        <v>30</v>
      </c>
      <c r="BJ41" s="111" t="s">
        <v>214</v>
      </c>
      <c r="BK41" s="203">
        <f>AC48</f>
        <v>4520422.508572978</v>
      </c>
      <c r="BL41" s="100">
        <f t="shared" si="15"/>
        <v>-114579.14932479928</v>
      </c>
      <c r="BM41" s="125">
        <f t="shared" si="16"/>
        <v>40102.702263679741</v>
      </c>
      <c r="BN41" s="208"/>
      <c r="BO41" s="208"/>
    </row>
    <row r="42" spans="1:85">
      <c r="A42" s="62"/>
      <c r="B42" s="136"/>
      <c r="C42" s="136"/>
      <c r="D42" s="136"/>
      <c r="E42" s="136"/>
      <c r="L42" s="136"/>
      <c r="M42" s="136"/>
      <c r="N42" s="136"/>
      <c r="O42" s="136"/>
      <c r="P42" s="234"/>
      <c r="Q42" s="239"/>
      <c r="R42" s="240"/>
      <c r="S42" s="236" t="s">
        <v>208</v>
      </c>
      <c r="T42" s="125"/>
      <c r="U42" s="62">
        <f t="shared" si="5"/>
        <v>31</v>
      </c>
      <c r="V42" s="6"/>
      <c r="W42" s="237"/>
      <c r="X42" s="237"/>
      <c r="Y42" s="237"/>
      <c r="Z42" s="62">
        <f t="shared" si="13"/>
        <v>31</v>
      </c>
      <c r="AA42" s="95" t="s">
        <v>136</v>
      </c>
      <c r="AB42" s="100">
        <v>241268.10200000007</v>
      </c>
      <c r="AC42" s="100">
        <v>0</v>
      </c>
      <c r="AD42" s="100">
        <f>+AC42-AB42</f>
        <v>-241268.10200000007</v>
      </c>
      <c r="AE42" s="77"/>
      <c r="BD42" s="208"/>
      <c r="BE42" s="208"/>
      <c r="BF42" s="208"/>
      <c r="BG42" s="208"/>
      <c r="BH42" s="208"/>
      <c r="BI42" s="86">
        <f t="shared" si="11"/>
        <v>31</v>
      </c>
      <c r="BJ42" s="111" t="s">
        <v>215</v>
      </c>
      <c r="BK42" s="203">
        <f>AC46</f>
        <v>561126.34087998548</v>
      </c>
      <c r="BL42" s="100">
        <f t="shared" si="15"/>
        <v>-14222.869362284993</v>
      </c>
      <c r="BM42" s="125">
        <f t="shared" si="16"/>
        <v>4978.0042767997475</v>
      </c>
      <c r="BN42" s="208"/>
      <c r="BO42" s="208"/>
    </row>
    <row r="43" spans="1:85">
      <c r="A43" s="62"/>
      <c r="B43" s="136"/>
      <c r="C43" s="136"/>
      <c r="D43" s="136"/>
      <c r="E43" s="136"/>
      <c r="L43" s="136"/>
      <c r="M43" s="136"/>
      <c r="N43" s="136"/>
      <c r="O43" s="136"/>
      <c r="P43" s="243"/>
      <c r="Q43" s="239"/>
      <c r="R43" s="240"/>
      <c r="S43" s="244"/>
      <c r="T43" s="125"/>
      <c r="U43" s="62">
        <f t="shared" si="5"/>
        <v>32</v>
      </c>
      <c r="V43" s="78" t="s">
        <v>216</v>
      </c>
      <c r="W43" s="237"/>
      <c r="X43" s="237"/>
      <c r="Y43" s="237"/>
      <c r="Z43" s="62">
        <f t="shared" si="13"/>
        <v>32</v>
      </c>
      <c r="AA43" s="95" t="s">
        <v>144</v>
      </c>
      <c r="AB43" s="232" t="s">
        <v>204</v>
      </c>
      <c r="AC43" s="232"/>
      <c r="AD43" s="232"/>
      <c r="AE43" s="62"/>
      <c r="AF43" s="245"/>
      <c r="AG43" s="227"/>
      <c r="AH43" s="227"/>
      <c r="AI43" s="168"/>
      <c r="BD43" s="208"/>
      <c r="BE43" s="208"/>
      <c r="BF43" s="208"/>
      <c r="BG43" s="208"/>
      <c r="BH43" s="208"/>
      <c r="BI43" s="86">
        <f t="shared" si="11"/>
        <v>32</v>
      </c>
      <c r="BJ43" s="111" t="s">
        <v>217</v>
      </c>
      <c r="BK43" s="203">
        <f>AC47</f>
        <v>2203436.1529896799</v>
      </c>
      <c r="BL43" s="100">
        <f t="shared" si="15"/>
        <v>-55850.496169829421</v>
      </c>
      <c r="BM43" s="125">
        <f t="shared" si="16"/>
        <v>19547.673659440297</v>
      </c>
      <c r="BN43" s="208"/>
      <c r="BO43" s="208"/>
    </row>
    <row r="44" spans="1:85">
      <c r="A44" s="62"/>
      <c r="B44" s="136"/>
      <c r="C44" s="136"/>
      <c r="D44" s="136"/>
      <c r="E44" s="136"/>
      <c r="L44" s="136"/>
      <c r="M44" s="136"/>
      <c r="N44" s="136"/>
      <c r="O44" s="136"/>
      <c r="P44" s="234"/>
      <c r="Q44" s="234"/>
      <c r="R44" s="243"/>
      <c r="S44" s="236" t="s">
        <v>208</v>
      </c>
      <c r="T44" s="125"/>
      <c r="U44" s="62">
        <f t="shared" si="5"/>
        <v>33</v>
      </c>
      <c r="V44" s="78" t="s">
        <v>218</v>
      </c>
      <c r="W44" s="237"/>
      <c r="X44" s="237"/>
      <c r="Z44" s="62">
        <f t="shared" si="13"/>
        <v>33</v>
      </c>
      <c r="AA44" s="95" t="s">
        <v>152</v>
      </c>
      <c r="AB44" s="100">
        <v>687420</v>
      </c>
      <c r="AC44" s="100">
        <v>687420</v>
      </c>
      <c r="AD44" s="100">
        <f t="shared" ref="AD44:AD51" si="17">+AC44-AB44</f>
        <v>0</v>
      </c>
      <c r="AE44" s="30"/>
      <c r="BI44" s="86">
        <f t="shared" si="11"/>
        <v>33</v>
      </c>
      <c r="BJ44" s="111" t="s">
        <v>219</v>
      </c>
      <c r="BK44" s="203">
        <f>AC42</f>
        <v>0</v>
      </c>
      <c r="BL44" s="100">
        <f t="shared" si="15"/>
        <v>0</v>
      </c>
      <c r="BM44" s="125">
        <f t="shared" si="16"/>
        <v>0</v>
      </c>
      <c r="BN44" s="208"/>
      <c r="BO44" s="208"/>
      <c r="CC44" s="30"/>
    </row>
    <row r="45" spans="1:85">
      <c r="A45" s="62"/>
      <c r="B45" s="136"/>
      <c r="C45" s="136"/>
      <c r="D45" s="136"/>
      <c r="E45" s="136"/>
      <c r="L45" s="136"/>
      <c r="M45" s="136"/>
      <c r="N45" s="136"/>
      <c r="O45" s="136"/>
      <c r="P45" s="234"/>
      <c r="Q45" s="234"/>
      <c r="R45" s="243"/>
      <c r="S45" s="236"/>
      <c r="T45" s="125"/>
      <c r="U45" s="62">
        <f t="shared" si="5"/>
        <v>34</v>
      </c>
      <c r="V45" s="225" t="s">
        <v>220</v>
      </c>
      <c r="W45" s="129">
        <v>6632821</v>
      </c>
      <c r="X45" s="237"/>
      <c r="Z45" s="62">
        <f t="shared" si="13"/>
        <v>34</v>
      </c>
      <c r="AA45" s="95" t="s">
        <v>159</v>
      </c>
      <c r="AB45" s="100">
        <v>2624776.7668181919</v>
      </c>
      <c r="AC45" s="100">
        <v>0</v>
      </c>
      <c r="AD45" s="100">
        <f t="shared" si="17"/>
        <v>-2624776.7668181919</v>
      </c>
      <c r="BI45" s="86">
        <f t="shared" si="11"/>
        <v>34</v>
      </c>
      <c r="BJ45" s="111" t="s">
        <v>221</v>
      </c>
      <c r="BK45" s="246">
        <f>AC44</f>
        <v>687420</v>
      </c>
      <c r="BL45" s="100">
        <f t="shared" si="15"/>
        <v>-17424.034740000003</v>
      </c>
      <c r="BM45" s="125">
        <f t="shared" si="16"/>
        <v>6098.4121590000004</v>
      </c>
      <c r="BN45" s="208"/>
      <c r="BO45" s="208"/>
      <c r="CC45" s="30"/>
    </row>
    <row r="46" spans="1:85" ht="13.5" customHeight="1">
      <c r="A46" s="62"/>
      <c r="B46" s="136"/>
      <c r="C46" s="136"/>
      <c r="D46" s="136"/>
      <c r="E46" s="136"/>
      <c r="L46" s="136"/>
      <c r="M46" s="136"/>
      <c r="N46" s="136"/>
      <c r="O46" s="136"/>
      <c r="P46" s="244"/>
      <c r="Q46" s="236" t="s">
        <v>208</v>
      </c>
      <c r="R46" s="244"/>
      <c r="S46" s="236"/>
      <c r="T46" s="125"/>
      <c r="U46" s="62">
        <f t="shared" si="5"/>
        <v>35</v>
      </c>
      <c r="V46" s="225" t="s">
        <v>222</v>
      </c>
      <c r="W46" s="6"/>
      <c r="X46" s="6"/>
      <c r="Z46" s="62">
        <f t="shared" si="13"/>
        <v>35</v>
      </c>
      <c r="AA46" s="95" t="s">
        <v>167</v>
      </c>
      <c r="AB46" s="100">
        <v>673351.60905598255</v>
      </c>
      <c r="AC46" s="100">
        <v>561126.34087998548</v>
      </c>
      <c r="AD46" s="100">
        <f t="shared" si="17"/>
        <v>-112225.26817599707</v>
      </c>
      <c r="AV46" s="111"/>
      <c r="BA46" s="111"/>
      <c r="BI46" s="86">
        <f t="shared" si="11"/>
        <v>35</v>
      </c>
      <c r="BJ46" s="111" t="s">
        <v>223</v>
      </c>
      <c r="BK46" s="217">
        <f>SUM(BK34:BK45)</f>
        <v>19551068.153878618</v>
      </c>
      <c r="BL46" s="217">
        <f>SUM(BL34:BL45)</f>
        <v>-495560.92449636129</v>
      </c>
      <c r="BM46" s="217">
        <f>SUM(BM34:BM45)</f>
        <v>173446.32357372643</v>
      </c>
      <c r="BN46" s="208"/>
      <c r="BO46" s="208"/>
      <c r="CC46" s="30"/>
    </row>
    <row r="47" spans="1:85">
      <c r="A47" s="62"/>
      <c r="B47" s="136"/>
      <c r="C47" s="136"/>
      <c r="D47" s="136"/>
      <c r="E47" s="136"/>
      <c r="L47" s="136"/>
      <c r="M47" s="136"/>
      <c r="N47" s="136"/>
      <c r="O47" s="136"/>
      <c r="P47" s="244"/>
      <c r="Q47" s="236" t="s">
        <v>208</v>
      </c>
      <c r="R47" s="244"/>
      <c r="S47" s="236"/>
      <c r="T47" s="125"/>
      <c r="U47" s="62">
        <f t="shared" si="5"/>
        <v>36</v>
      </c>
      <c r="V47" s="247" t="s">
        <v>224</v>
      </c>
      <c r="W47" s="237"/>
      <c r="X47" s="129">
        <f>W45/10*10</f>
        <v>6632821</v>
      </c>
      <c r="Z47" s="62">
        <f t="shared" si="13"/>
        <v>36</v>
      </c>
      <c r="AA47" s="95" t="s">
        <v>170</v>
      </c>
      <c r="AB47" s="100">
        <v>2644123.3835876156</v>
      </c>
      <c r="AC47" s="100">
        <v>2203436.1529896799</v>
      </c>
      <c r="AD47" s="100">
        <f t="shared" si="17"/>
        <v>-440687.23059793562</v>
      </c>
      <c r="BI47" s="86">
        <f t="shared" si="11"/>
        <v>36</v>
      </c>
      <c r="BJ47" s="248" t="s">
        <v>225</v>
      </c>
      <c r="BK47" s="249">
        <f>AC52-BK46</f>
        <v>0</v>
      </c>
      <c r="BL47" s="76"/>
      <c r="BM47" s="76"/>
      <c r="BN47" s="208"/>
      <c r="BO47" s="208"/>
      <c r="CC47" s="30"/>
    </row>
    <row r="48" spans="1:85">
      <c r="A48" s="62"/>
      <c r="B48" s="136"/>
      <c r="C48" s="136"/>
      <c r="D48" s="136"/>
      <c r="E48" s="136"/>
      <c r="L48" s="136"/>
      <c r="M48" s="136"/>
      <c r="N48" s="136"/>
      <c r="O48" s="136"/>
      <c r="P48" s="236" t="s">
        <v>208</v>
      </c>
      <c r="Q48" s="236" t="s">
        <v>208</v>
      </c>
      <c r="R48" s="236" t="s">
        <v>208</v>
      </c>
      <c r="S48" s="236" t="s">
        <v>208</v>
      </c>
      <c r="T48" s="125"/>
      <c r="U48" s="62">
        <f t="shared" si="5"/>
        <v>37</v>
      </c>
      <c r="V48" s="6"/>
      <c r="W48" s="237"/>
      <c r="X48" s="237"/>
      <c r="Z48" s="62">
        <f t="shared" si="13"/>
        <v>37</v>
      </c>
      <c r="AA48" s="95" t="s">
        <v>173</v>
      </c>
      <c r="AB48" s="100">
        <v>4520422.508572978</v>
      </c>
      <c r="AC48" s="100">
        <v>4520422.508572978</v>
      </c>
      <c r="AD48" s="100">
        <f t="shared" si="17"/>
        <v>0</v>
      </c>
      <c r="AE48" s="64"/>
      <c r="BI48" s="86">
        <f t="shared" si="11"/>
        <v>37</v>
      </c>
      <c r="BJ48" s="111" t="s">
        <v>146</v>
      </c>
      <c r="BK48" s="76"/>
      <c r="BL48" s="100">
        <f>+BL21+BL27+BL32+BL46</f>
        <v>-4995172.7317173276</v>
      </c>
      <c r="BM48" s="125">
        <f>+BM21+BM27+BM32+BM46</f>
        <v>1864255.1710973671</v>
      </c>
      <c r="BN48" s="208"/>
      <c r="BO48" s="208"/>
    </row>
    <row r="49" spans="1:85" ht="13.8" thickBot="1">
      <c r="A49" s="62"/>
      <c r="B49" s="136"/>
      <c r="C49" s="136"/>
      <c r="D49" s="136"/>
      <c r="E49" s="136"/>
      <c r="L49" s="136"/>
      <c r="M49" s="136"/>
      <c r="N49" s="136"/>
      <c r="O49" s="136"/>
      <c r="P49" s="236" t="s">
        <v>208</v>
      </c>
      <c r="Q49" s="236" t="s">
        <v>208</v>
      </c>
      <c r="R49" s="236" t="s">
        <v>208</v>
      </c>
      <c r="S49" s="236" t="s">
        <v>208</v>
      </c>
      <c r="T49" s="125"/>
      <c r="U49" s="62">
        <f t="shared" si="5"/>
        <v>38</v>
      </c>
      <c r="V49" s="250" t="s">
        <v>226</v>
      </c>
      <c r="Z49" s="62">
        <f t="shared" si="13"/>
        <v>38</v>
      </c>
      <c r="AA49" s="95" t="s">
        <v>177</v>
      </c>
      <c r="AB49" s="100">
        <v>-480025.82555530063</v>
      </c>
      <c r="AC49" s="100">
        <v>-400021.52129608387</v>
      </c>
      <c r="AD49" s="100">
        <f t="shared" si="17"/>
        <v>80004.304259216762</v>
      </c>
      <c r="AE49" s="64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86">
        <f t="shared" si="11"/>
        <v>38</v>
      </c>
      <c r="BJ49" s="95" t="s">
        <v>227</v>
      </c>
      <c r="BK49" s="76"/>
      <c r="BL49" s="100"/>
      <c r="BM49" s="142">
        <f>-SUM(BL48:BM48)</f>
        <v>3130917.5606199605</v>
      </c>
      <c r="BN49" s="208"/>
      <c r="BO49" s="208"/>
    </row>
    <row r="50" spans="1:85" ht="13.8" thickTop="1">
      <c r="A50" s="62"/>
      <c r="B50" s="136"/>
      <c r="C50" s="136"/>
      <c r="D50" s="136"/>
      <c r="E50" s="136"/>
      <c r="L50" s="136"/>
      <c r="M50" s="136"/>
      <c r="N50" s="136"/>
      <c r="O50" s="136"/>
      <c r="P50" s="236" t="s">
        <v>208</v>
      </c>
      <c r="Q50" s="236" t="s">
        <v>208</v>
      </c>
      <c r="R50" s="236" t="s">
        <v>208</v>
      </c>
      <c r="S50" s="236" t="s">
        <v>208</v>
      </c>
      <c r="T50" s="125"/>
      <c r="U50" s="62">
        <f t="shared" si="5"/>
        <v>39</v>
      </c>
      <c r="V50" s="225" t="s">
        <v>228</v>
      </c>
      <c r="W50" s="129">
        <v>60295490.299999997</v>
      </c>
      <c r="X50" s="237"/>
      <c r="Y50" s="237"/>
      <c r="Z50" s="62">
        <f t="shared" si="13"/>
        <v>39</v>
      </c>
      <c r="AA50" s="95" t="s">
        <v>180</v>
      </c>
      <c r="AB50" s="100">
        <v>-1658222.0604590874</v>
      </c>
      <c r="AC50" s="100">
        <v>-1381851.7170492394</v>
      </c>
      <c r="AD50" s="100">
        <f t="shared" si="17"/>
        <v>276370.34340984793</v>
      </c>
      <c r="AE50" s="64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86">
        <f t="shared" si="11"/>
        <v>39</v>
      </c>
      <c r="BN50" s="208"/>
      <c r="BO50" s="208"/>
    </row>
    <row r="51" spans="1:85">
      <c r="A51" s="62"/>
      <c r="B51" s="136"/>
      <c r="C51" s="136"/>
      <c r="D51" s="136"/>
      <c r="E51" s="136"/>
      <c r="L51" s="136"/>
      <c r="M51" s="136"/>
      <c r="N51" s="136"/>
      <c r="O51" s="136"/>
      <c r="P51" s="236" t="s">
        <v>208</v>
      </c>
      <c r="Q51" s="251"/>
      <c r="R51" s="236"/>
      <c r="S51" s="236" t="s">
        <v>208</v>
      </c>
      <c r="T51" s="125"/>
      <c r="U51" s="62">
        <f t="shared" si="5"/>
        <v>40</v>
      </c>
      <c r="V51" s="225" t="s">
        <v>229</v>
      </c>
      <c r="W51" s="237"/>
      <c r="X51" s="252">
        <f>W50/72*12</f>
        <v>10049248.383333333</v>
      </c>
      <c r="Y51" s="237"/>
      <c r="Z51" s="62">
        <f t="shared" si="13"/>
        <v>40</v>
      </c>
      <c r="AA51" s="95" t="s">
        <v>184</v>
      </c>
      <c r="AB51" s="100">
        <v>3394820.4299999997</v>
      </c>
      <c r="AC51" s="100">
        <v>3786307.8400000003</v>
      </c>
      <c r="AD51" s="100">
        <f t="shared" si="17"/>
        <v>391487.41000000061</v>
      </c>
      <c r="AF51" s="63"/>
      <c r="AG51" s="63"/>
      <c r="AH51" s="63"/>
      <c r="AI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86">
        <f t="shared" si="11"/>
        <v>40</v>
      </c>
      <c r="BN51" s="208"/>
      <c r="BO51" s="208"/>
      <c r="CC51" s="64"/>
    </row>
    <row r="52" spans="1:85">
      <c r="A52" s="62"/>
      <c r="B52" s="136"/>
      <c r="C52" s="136"/>
      <c r="D52" s="136"/>
      <c r="E52" s="136"/>
      <c r="L52" s="136"/>
      <c r="M52" s="136"/>
      <c r="N52" s="136"/>
      <c r="O52" s="136"/>
      <c r="P52" s="236" t="s">
        <v>208</v>
      </c>
      <c r="Q52" s="251"/>
      <c r="R52" s="236"/>
      <c r="S52" s="236" t="s">
        <v>208</v>
      </c>
      <c r="T52" s="125"/>
      <c r="U52" s="62">
        <f t="shared" si="5"/>
        <v>41</v>
      </c>
      <c r="V52" s="6"/>
      <c r="W52" s="237"/>
      <c r="X52" s="253"/>
      <c r="Y52" s="237"/>
      <c r="Z52" s="62">
        <f t="shared" si="13"/>
        <v>41</v>
      </c>
      <c r="AA52" s="95" t="s">
        <v>230</v>
      </c>
      <c r="AB52" s="144">
        <f>SUM(AB36:AB51)</f>
        <v>15532986.914020382</v>
      </c>
      <c r="AC52" s="144">
        <f>SUM(AC36:AC51)+BB22</f>
        <v>19551068.153878614</v>
      </c>
      <c r="AD52" s="144">
        <f>SUM(AD36:AD51)</f>
        <v>-2671095.3099230588</v>
      </c>
      <c r="AF52" s="63"/>
      <c r="AG52" s="63"/>
      <c r="AH52" s="63"/>
      <c r="AI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86">
        <f t="shared" si="11"/>
        <v>41</v>
      </c>
      <c r="BJ52" s="7" t="s">
        <v>231</v>
      </c>
      <c r="BL52" s="197"/>
      <c r="BM52" s="25"/>
      <c r="BN52" s="208"/>
      <c r="BO52" s="208"/>
      <c r="CC52" s="64"/>
      <c r="CG52" s="115"/>
    </row>
    <row r="53" spans="1:85">
      <c r="A53" s="62"/>
      <c r="B53" s="136"/>
      <c r="C53" s="136"/>
      <c r="D53" s="136"/>
      <c r="E53" s="136"/>
      <c r="L53" s="136"/>
      <c r="M53" s="136"/>
      <c r="N53" s="136"/>
      <c r="O53" s="136"/>
      <c r="R53" s="125"/>
      <c r="S53" s="125"/>
      <c r="T53" s="125"/>
      <c r="U53" s="62">
        <f t="shared" si="5"/>
        <v>42</v>
      </c>
      <c r="V53" s="78" t="s">
        <v>232</v>
      </c>
      <c r="W53" s="237"/>
      <c r="X53" s="129">
        <f>SUM(X40:X51)</f>
        <v>26207717.740833335</v>
      </c>
      <c r="Y53" s="237"/>
      <c r="Z53" s="62">
        <f t="shared" si="13"/>
        <v>42</v>
      </c>
      <c r="AA53" s="6"/>
      <c r="AF53" s="63"/>
      <c r="AG53" s="63"/>
      <c r="AH53" s="63"/>
      <c r="AI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86">
        <f t="shared" si="11"/>
        <v>42</v>
      </c>
      <c r="BJ53" s="135" t="s">
        <v>233</v>
      </c>
      <c r="BK53" s="203"/>
      <c r="BL53" s="197"/>
      <c r="BM53" s="197"/>
      <c r="BN53" s="208"/>
      <c r="BO53" s="208"/>
      <c r="CC53" s="64"/>
    </row>
    <row r="54" spans="1:85">
      <c r="A54" s="62"/>
      <c r="B54" s="136"/>
      <c r="C54" s="136"/>
      <c r="D54" s="136"/>
      <c r="E54" s="136"/>
      <c r="L54" s="136"/>
      <c r="M54" s="136"/>
      <c r="N54" s="136"/>
      <c r="O54" s="136"/>
      <c r="R54" s="125"/>
      <c r="S54" s="125"/>
      <c r="T54" s="125"/>
      <c r="U54" s="62">
        <f t="shared" si="5"/>
        <v>43</v>
      </c>
      <c r="V54" s="78"/>
      <c r="W54" s="237"/>
      <c r="X54" s="237"/>
      <c r="Y54" s="237"/>
      <c r="Z54" s="62">
        <f t="shared" si="13"/>
        <v>43</v>
      </c>
      <c r="AF54" s="63"/>
      <c r="AG54" s="63"/>
      <c r="AH54" s="63"/>
      <c r="AI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86">
        <f t="shared" si="11"/>
        <v>43</v>
      </c>
      <c r="BJ54" s="90" t="s">
        <v>234</v>
      </c>
      <c r="BK54" s="113">
        <v>3894737850.5075002</v>
      </c>
      <c r="BL54" s="113">
        <f t="shared" ref="BL54:BL61" si="18">-ROUND(BK54*$BL$12,0)</f>
        <v>-98719920</v>
      </c>
      <c r="BM54" s="113">
        <f t="shared" ref="BM54:BM61" si="19">SUM(BK54:BL54)</f>
        <v>3796017930.5075002</v>
      </c>
      <c r="BN54" s="208"/>
      <c r="BO54" s="208"/>
    </row>
    <row r="55" spans="1:85">
      <c r="A55" s="62"/>
      <c r="B55" s="136"/>
      <c r="C55" s="136"/>
      <c r="D55" s="136"/>
      <c r="E55" s="136"/>
      <c r="L55" s="136"/>
      <c r="M55" s="136"/>
      <c r="N55" s="136"/>
      <c r="O55" s="136"/>
      <c r="R55" s="125"/>
      <c r="S55" s="125"/>
      <c r="T55" s="125"/>
      <c r="U55" s="62">
        <f t="shared" si="5"/>
        <v>44</v>
      </c>
      <c r="V55" s="78" t="s">
        <v>235</v>
      </c>
      <c r="W55" s="237"/>
      <c r="X55" s="129">
        <v>15477396</v>
      </c>
      <c r="Y55" s="237"/>
      <c r="Z55" s="62">
        <f t="shared" si="13"/>
        <v>44</v>
      </c>
      <c r="AA55" s="6"/>
      <c r="AF55" s="63"/>
      <c r="AG55" s="63"/>
      <c r="AH55" s="63"/>
      <c r="AI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86">
        <f t="shared" si="11"/>
        <v>44</v>
      </c>
      <c r="BJ55" s="95" t="s">
        <v>236</v>
      </c>
      <c r="BK55" s="164">
        <v>-1711022635.7524128</v>
      </c>
      <c r="BL55" s="164">
        <f t="shared" si="18"/>
        <v>43369291</v>
      </c>
      <c r="BM55" s="164">
        <f t="shared" si="19"/>
        <v>-1667653344.7524128</v>
      </c>
      <c r="BN55" s="208"/>
      <c r="BO55" s="208"/>
    </row>
    <row r="56" spans="1:85">
      <c r="A56" s="62"/>
      <c r="B56" s="136"/>
      <c r="C56" s="136"/>
      <c r="D56" s="136"/>
      <c r="E56" s="136"/>
      <c r="L56" s="136"/>
      <c r="M56" s="136"/>
      <c r="N56" s="136"/>
      <c r="O56" s="136"/>
      <c r="R56" s="125"/>
      <c r="S56" s="125"/>
      <c r="T56" s="125"/>
      <c r="U56" s="62">
        <f t="shared" si="5"/>
        <v>45</v>
      </c>
      <c r="V56" s="78"/>
      <c r="W56" s="237"/>
      <c r="X56" s="254"/>
      <c r="Y56" s="237"/>
      <c r="Z56" s="62">
        <f t="shared" si="13"/>
        <v>45</v>
      </c>
      <c r="AA56" s="255" t="s">
        <v>146</v>
      </c>
      <c r="AC56" s="146"/>
      <c r="AD56" s="77">
        <f>+AD52</f>
        <v>-2671095.3099230588</v>
      </c>
      <c r="AF56" s="63"/>
      <c r="AG56" s="63"/>
      <c r="AH56" s="63"/>
      <c r="AI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86">
        <f t="shared" si="11"/>
        <v>45</v>
      </c>
      <c r="BJ56" s="95" t="s">
        <v>237</v>
      </c>
      <c r="BK56" s="164">
        <v>80139253</v>
      </c>
      <c r="BL56" s="164">
        <f t="shared" si="18"/>
        <v>-2031290</v>
      </c>
      <c r="BM56" s="164">
        <f t="shared" si="19"/>
        <v>78107963</v>
      </c>
      <c r="BN56" s="208"/>
      <c r="BO56" s="208"/>
    </row>
    <row r="57" spans="1:85">
      <c r="A57" s="62"/>
      <c r="B57" s="136"/>
      <c r="C57" s="136"/>
      <c r="D57" s="136"/>
      <c r="E57" s="136"/>
      <c r="R57" s="125"/>
      <c r="S57" s="125"/>
      <c r="T57" s="125"/>
      <c r="U57" s="62">
        <f t="shared" si="5"/>
        <v>46</v>
      </c>
      <c r="V57" s="78" t="s">
        <v>176</v>
      </c>
      <c r="W57" s="237"/>
      <c r="X57" s="237"/>
      <c r="Y57" s="129">
        <f>X53-X55</f>
        <v>10730321.740833335</v>
      </c>
      <c r="Z57" s="62">
        <f t="shared" si="13"/>
        <v>46</v>
      </c>
      <c r="AA57" s="6"/>
      <c r="AC57" s="146"/>
      <c r="AD57" s="256"/>
      <c r="AF57" s="63"/>
      <c r="AG57" s="63"/>
      <c r="AH57" s="63"/>
      <c r="AI57" s="63"/>
      <c r="AO57" s="63"/>
      <c r="AP57" s="257"/>
      <c r="AQ57" s="63"/>
      <c r="AR57" s="63"/>
      <c r="AS57" s="63"/>
      <c r="AT57" s="63"/>
      <c r="AU57" s="257"/>
      <c r="AV57" s="63"/>
      <c r="AW57" s="63"/>
      <c r="AX57" s="63"/>
      <c r="AY57" s="63"/>
      <c r="AZ57" s="257"/>
      <c r="BA57" s="63"/>
      <c r="BB57" s="63"/>
      <c r="BC57" s="63"/>
      <c r="BD57" s="63"/>
      <c r="BE57" s="63"/>
      <c r="BF57" s="63"/>
      <c r="BG57" s="63"/>
      <c r="BH57" s="63"/>
      <c r="BI57" s="86">
        <f t="shared" si="11"/>
        <v>46</v>
      </c>
      <c r="BJ57" s="95" t="s">
        <v>238</v>
      </c>
      <c r="BK57" s="164">
        <v>-9933315</v>
      </c>
      <c r="BL57" s="164">
        <f t="shared" si="18"/>
        <v>251780</v>
      </c>
      <c r="BM57" s="164">
        <f t="shared" si="19"/>
        <v>-9681535</v>
      </c>
      <c r="BN57" s="208"/>
      <c r="BO57" s="208"/>
    </row>
    <row r="58" spans="1:85">
      <c r="A58" s="62"/>
      <c r="B58" s="136"/>
      <c r="C58" s="136"/>
      <c r="D58" s="136"/>
      <c r="E58" s="136"/>
      <c r="R58" s="125"/>
      <c r="S58" s="125"/>
      <c r="T58" s="125"/>
      <c r="U58" s="62">
        <f t="shared" si="5"/>
        <v>47</v>
      </c>
      <c r="V58" s="78"/>
      <c r="W58" s="237"/>
      <c r="X58" s="237"/>
      <c r="Y58" s="237"/>
      <c r="Z58" s="62">
        <f t="shared" si="13"/>
        <v>47</v>
      </c>
      <c r="AA58" s="6" t="s">
        <v>239</v>
      </c>
      <c r="AC58" s="146">
        <v>0.35</v>
      </c>
      <c r="AD58" s="258">
        <f>-AD52*AC58</f>
        <v>934883.35847307055</v>
      </c>
      <c r="AF58" s="63"/>
      <c r="AG58" s="63"/>
      <c r="AH58" s="63"/>
      <c r="AI58" s="63"/>
      <c r="AO58" s="63"/>
      <c r="AP58" s="259"/>
      <c r="AQ58" s="63"/>
      <c r="AR58" s="63"/>
      <c r="AS58" s="63"/>
      <c r="AT58" s="63"/>
      <c r="AU58" s="259"/>
      <c r="AV58" s="63"/>
      <c r="AW58" s="63"/>
      <c r="AX58" s="63"/>
      <c r="AY58" s="63"/>
      <c r="AZ58" s="259"/>
      <c r="BA58" s="63"/>
      <c r="BB58" s="63"/>
      <c r="BC58" s="63"/>
      <c r="BD58" s="63"/>
      <c r="BE58" s="63"/>
      <c r="BF58" s="63"/>
      <c r="BG58" s="63"/>
      <c r="BH58" s="63"/>
      <c r="BI58" s="86">
        <f t="shared" si="11"/>
        <v>47</v>
      </c>
      <c r="BJ58" s="90" t="s">
        <v>240</v>
      </c>
      <c r="BK58" s="164">
        <v>2908282.4799999148</v>
      </c>
      <c r="BL58" s="164">
        <f t="shared" si="18"/>
        <v>-73716</v>
      </c>
      <c r="BM58" s="164">
        <f t="shared" si="19"/>
        <v>2834566.4799999148</v>
      </c>
      <c r="BN58" s="208"/>
      <c r="BO58" s="208"/>
    </row>
    <row r="59" spans="1:85">
      <c r="A59" s="62"/>
      <c r="B59" s="136"/>
      <c r="C59" s="136"/>
      <c r="D59" s="136"/>
      <c r="E59" s="136"/>
      <c r="R59" s="125"/>
      <c r="S59" s="125"/>
      <c r="T59" s="125"/>
      <c r="U59" s="62">
        <f t="shared" si="5"/>
        <v>48</v>
      </c>
      <c r="V59" s="78" t="s">
        <v>241</v>
      </c>
      <c r="W59" s="237"/>
      <c r="X59" s="237"/>
      <c r="Y59" s="129">
        <f>Y27+Y57</f>
        <v>10327010.259166664</v>
      </c>
      <c r="Z59" s="62">
        <f t="shared" si="13"/>
        <v>48</v>
      </c>
      <c r="AA59" s="6"/>
      <c r="AF59" s="63"/>
      <c r="AG59" s="63"/>
      <c r="AH59" s="63"/>
      <c r="AI59" s="63"/>
      <c r="AO59" s="63"/>
      <c r="AP59" s="259"/>
      <c r="AQ59" s="63"/>
      <c r="AR59" s="63"/>
      <c r="AS59" s="63"/>
      <c r="AT59" s="63"/>
      <c r="AU59" s="259"/>
      <c r="AV59" s="63"/>
      <c r="AW59" s="63"/>
      <c r="AX59" s="63"/>
      <c r="AY59" s="63"/>
      <c r="AZ59" s="259"/>
      <c r="BA59" s="63"/>
      <c r="BB59" s="63"/>
      <c r="BC59" s="63"/>
      <c r="BD59" s="63"/>
      <c r="BE59" s="63"/>
      <c r="BF59" s="63"/>
      <c r="BG59" s="63"/>
      <c r="BH59" s="63"/>
      <c r="BI59" s="86">
        <f t="shared" si="11"/>
        <v>48</v>
      </c>
      <c r="BJ59" s="90" t="s">
        <v>242</v>
      </c>
      <c r="BK59" s="164">
        <v>858922.41599999997</v>
      </c>
      <c r="BL59" s="164">
        <f t="shared" si="18"/>
        <v>-21771</v>
      </c>
      <c r="BM59" s="164">
        <f t="shared" si="19"/>
        <v>837151.41599999997</v>
      </c>
      <c r="BN59" s="208"/>
      <c r="BO59" s="208"/>
    </row>
    <row r="60" spans="1:85" ht="13.8" thickBot="1">
      <c r="A60" s="62"/>
      <c r="B60" s="136"/>
      <c r="C60" s="136"/>
      <c r="D60" s="136"/>
      <c r="E60" s="136"/>
      <c r="R60" s="125"/>
      <c r="S60" s="125"/>
      <c r="T60" s="125"/>
      <c r="U60" s="62">
        <f t="shared" si="5"/>
        <v>49</v>
      </c>
      <c r="V60" s="78"/>
      <c r="W60" s="237"/>
      <c r="X60" s="237"/>
      <c r="Y60" s="237"/>
      <c r="Z60" s="62">
        <f t="shared" si="13"/>
        <v>49</v>
      </c>
      <c r="AA60" s="6" t="s">
        <v>134</v>
      </c>
      <c r="AD60" s="260">
        <f>-AD56-AD58</f>
        <v>1736211.9514499884</v>
      </c>
      <c r="AF60" s="63"/>
      <c r="AG60" s="63"/>
      <c r="AH60" s="63"/>
      <c r="AI60" s="63"/>
      <c r="AO60" s="63"/>
      <c r="AP60" s="259"/>
      <c r="AQ60" s="63"/>
      <c r="AR60" s="63"/>
      <c r="AS60" s="63"/>
      <c r="AT60" s="63"/>
      <c r="AU60" s="259"/>
      <c r="AV60" s="63"/>
      <c r="AW60" s="63"/>
      <c r="AX60" s="63"/>
      <c r="AY60" s="63"/>
      <c r="AZ60" s="259"/>
      <c r="BA60" s="63"/>
      <c r="BB60" s="63"/>
      <c r="BC60" s="63"/>
      <c r="BD60" s="63"/>
      <c r="BE60" s="63"/>
      <c r="BF60" s="63"/>
      <c r="BG60" s="63"/>
      <c r="BH60" s="63"/>
      <c r="BI60" s="86">
        <f t="shared" si="11"/>
        <v>49</v>
      </c>
      <c r="BJ60" s="90" t="s">
        <v>243</v>
      </c>
      <c r="BK60" s="164">
        <v>281543145</v>
      </c>
      <c r="BL60" s="164">
        <f t="shared" si="18"/>
        <v>-7136274</v>
      </c>
      <c r="BM60" s="164">
        <f t="shared" si="19"/>
        <v>274406871</v>
      </c>
      <c r="BN60" s="208"/>
      <c r="BO60" s="208"/>
    </row>
    <row r="61" spans="1:85" ht="13.8" thickTop="1">
      <c r="A61" s="62"/>
      <c r="B61" s="136"/>
      <c r="C61" s="136"/>
      <c r="D61" s="136"/>
      <c r="E61" s="136"/>
      <c r="R61" s="125"/>
      <c r="S61" s="125"/>
      <c r="T61" s="125"/>
      <c r="U61" s="62">
        <f t="shared" si="5"/>
        <v>50</v>
      </c>
      <c r="V61" s="78" t="s">
        <v>244</v>
      </c>
      <c r="W61" s="237"/>
      <c r="X61" s="261">
        <v>0.35</v>
      </c>
      <c r="Y61" s="206">
        <f>-Y59*X61</f>
        <v>-3614453.5907083321</v>
      </c>
      <c r="Z61" s="62">
        <f t="shared" si="13"/>
        <v>50</v>
      </c>
      <c r="AA61" s="136"/>
      <c r="AB61" s="197"/>
      <c r="AC61" s="197"/>
      <c r="AD61" s="197"/>
      <c r="AF61" s="63"/>
      <c r="AG61" s="63"/>
      <c r="AH61" s="63"/>
      <c r="AI61" s="63"/>
      <c r="AO61" s="63"/>
      <c r="AP61" s="259"/>
      <c r="AQ61" s="63"/>
      <c r="AR61" s="63"/>
      <c r="AS61" s="63"/>
      <c r="AT61" s="63"/>
      <c r="AU61" s="259"/>
      <c r="AV61" s="63"/>
      <c r="AW61" s="63"/>
      <c r="AX61" s="63"/>
      <c r="AY61" s="63"/>
      <c r="AZ61" s="259"/>
      <c r="BA61" s="63"/>
      <c r="BB61" s="63"/>
      <c r="BC61" s="63"/>
      <c r="BD61" s="63"/>
      <c r="BE61" s="63"/>
      <c r="BF61" s="63"/>
      <c r="BG61" s="63"/>
      <c r="BH61" s="63"/>
      <c r="BI61" s="86">
        <f t="shared" si="11"/>
        <v>50</v>
      </c>
      <c r="BJ61" s="95" t="s">
        <v>245</v>
      </c>
      <c r="BK61" s="164">
        <v>-113037112</v>
      </c>
      <c r="BL61" s="164">
        <f t="shared" si="18"/>
        <v>2865152</v>
      </c>
      <c r="BM61" s="164">
        <f t="shared" si="19"/>
        <v>-110171960</v>
      </c>
      <c r="BN61" s="208"/>
      <c r="BO61" s="208"/>
    </row>
    <row r="62" spans="1:85">
      <c r="A62" s="62"/>
      <c r="B62" s="136"/>
      <c r="C62" s="136"/>
      <c r="D62" s="136"/>
      <c r="E62" s="136"/>
      <c r="R62" s="125"/>
      <c r="S62" s="125"/>
      <c r="T62" s="125"/>
      <c r="U62" s="62">
        <f t="shared" si="5"/>
        <v>51</v>
      </c>
      <c r="V62" s="78"/>
      <c r="W62" s="237"/>
      <c r="X62" s="237"/>
      <c r="Y62" s="237"/>
      <c r="Z62" s="62">
        <f t="shared" si="13"/>
        <v>51</v>
      </c>
      <c r="AA62" s="136"/>
      <c r="AB62" s="197"/>
      <c r="AC62" s="197"/>
      <c r="AD62" s="197"/>
      <c r="AF62" s="63"/>
      <c r="AG62" s="63"/>
      <c r="AH62" s="63"/>
      <c r="AI62" s="63"/>
      <c r="AO62" s="63"/>
      <c r="AP62" s="259"/>
      <c r="AQ62" s="63"/>
      <c r="AR62" s="63"/>
      <c r="AS62" s="63"/>
      <c r="AT62" s="63"/>
      <c r="AU62" s="259"/>
      <c r="AV62" s="63"/>
      <c r="AW62" s="63"/>
      <c r="AX62" s="63"/>
      <c r="AY62" s="63"/>
      <c r="AZ62" s="259"/>
      <c r="BA62" s="63"/>
      <c r="BB62" s="63"/>
      <c r="BC62" s="63"/>
      <c r="BD62" s="63"/>
      <c r="BE62" s="63"/>
      <c r="BF62" s="63"/>
      <c r="BG62" s="63"/>
      <c r="BH62" s="63"/>
      <c r="BI62" s="86">
        <f t="shared" si="11"/>
        <v>51</v>
      </c>
      <c r="BJ62" s="111" t="s">
        <v>246</v>
      </c>
      <c r="BK62" s="182">
        <f>SUM(BK54:BK61)</f>
        <v>2426194390.6510873</v>
      </c>
      <c r="BL62" s="182">
        <f>SUM(BL54:BL61)</f>
        <v>-61496748</v>
      </c>
      <c r="BM62" s="182">
        <f>SUM(BM54:BM61)</f>
        <v>2364697642.6510873</v>
      </c>
      <c r="BN62" s="208"/>
      <c r="BO62" s="208"/>
    </row>
    <row r="63" spans="1:85" ht="13.8" thickBot="1">
      <c r="A63" s="62"/>
      <c r="B63" s="136"/>
      <c r="C63" s="136"/>
      <c r="D63" s="136"/>
      <c r="E63" s="136"/>
      <c r="R63" s="125"/>
      <c r="S63" s="125"/>
      <c r="T63" s="125"/>
      <c r="U63" s="62">
        <f t="shared" si="5"/>
        <v>52</v>
      </c>
      <c r="V63" s="78" t="s">
        <v>134</v>
      </c>
      <c r="W63" s="237"/>
      <c r="X63" s="237"/>
      <c r="Y63" s="262">
        <f>-Y59-Y61</f>
        <v>-6712556.6684583314</v>
      </c>
      <c r="Z63" s="62">
        <f t="shared" si="13"/>
        <v>52</v>
      </c>
      <c r="AA63" s="263" t="s">
        <v>247</v>
      </c>
      <c r="AB63" s="197"/>
      <c r="AC63" s="197"/>
      <c r="AD63" s="197"/>
      <c r="AF63" s="63"/>
      <c r="AG63" s="63"/>
      <c r="AH63" s="63"/>
      <c r="AI63" s="63"/>
      <c r="AO63" s="63"/>
      <c r="AP63" s="259"/>
      <c r="AQ63" s="63"/>
      <c r="AR63" s="63"/>
      <c r="AS63" s="63"/>
      <c r="AT63" s="63"/>
      <c r="AU63" s="259"/>
      <c r="AV63" s="63"/>
      <c r="AW63" s="63"/>
      <c r="AX63" s="63"/>
      <c r="AY63" s="63"/>
      <c r="AZ63" s="259"/>
      <c r="BA63" s="63"/>
      <c r="BB63" s="63"/>
      <c r="BC63" s="63"/>
      <c r="BD63" s="63"/>
      <c r="BE63" s="63"/>
      <c r="BF63" s="63"/>
      <c r="BG63" s="63"/>
      <c r="BH63" s="63"/>
      <c r="BI63" s="86">
        <f t="shared" si="11"/>
        <v>52</v>
      </c>
      <c r="BN63" s="208"/>
      <c r="BO63" s="208"/>
    </row>
    <row r="64" spans="1:85" ht="13.8" thickTop="1">
      <c r="A64" s="62"/>
      <c r="B64" s="136"/>
      <c r="C64" s="136"/>
      <c r="D64" s="136"/>
      <c r="E64" s="136"/>
      <c r="R64" s="125"/>
      <c r="S64" s="125"/>
      <c r="T64" s="125"/>
      <c r="U64" s="62"/>
      <c r="V64" s="78"/>
      <c r="W64" s="78"/>
      <c r="X64" s="78"/>
      <c r="Y64" s="78"/>
      <c r="Z64" s="62">
        <f t="shared" si="13"/>
        <v>53</v>
      </c>
      <c r="AA64" s="263" t="s">
        <v>248</v>
      </c>
      <c r="AB64" s="197"/>
      <c r="AC64" s="197"/>
      <c r="AD64" s="197"/>
      <c r="AF64" s="63"/>
      <c r="AG64" s="63"/>
      <c r="AH64" s="63"/>
      <c r="AI64" s="63"/>
      <c r="AO64" s="63"/>
      <c r="AP64" s="259"/>
      <c r="AQ64" s="63"/>
      <c r="AR64" s="63"/>
      <c r="AS64" s="63"/>
      <c r="AT64" s="63"/>
      <c r="AU64" s="259"/>
      <c r="AV64" s="63"/>
      <c r="AW64" s="63"/>
      <c r="AX64" s="63"/>
      <c r="AY64" s="63"/>
      <c r="AZ64" s="259"/>
      <c r="BA64" s="63"/>
      <c r="BB64" s="63"/>
      <c r="BC64" s="63"/>
      <c r="BD64" s="63"/>
      <c r="BE64" s="63"/>
      <c r="BF64" s="63"/>
      <c r="BG64" s="63"/>
      <c r="BH64" s="63"/>
      <c r="BI64" s="86">
        <f t="shared" si="11"/>
        <v>53</v>
      </c>
      <c r="BN64" s="208"/>
      <c r="BO64" s="208"/>
    </row>
    <row r="65" spans="1:67">
      <c r="A65" s="62"/>
      <c r="B65" s="136"/>
      <c r="C65" s="136"/>
      <c r="D65" s="136"/>
      <c r="E65" s="136"/>
      <c r="R65" s="125"/>
      <c r="S65" s="125"/>
      <c r="T65" s="125"/>
      <c r="U65" s="62"/>
      <c r="V65" s="78"/>
      <c r="W65" s="78"/>
      <c r="X65" s="78"/>
      <c r="Y65" s="237"/>
      <c r="Z65" s="62">
        <f t="shared" si="13"/>
        <v>54</v>
      </c>
      <c r="AA65" s="263" t="s">
        <v>249</v>
      </c>
      <c r="AB65" s="208"/>
      <c r="AC65" s="208"/>
      <c r="AD65" s="208"/>
      <c r="AF65" s="63"/>
      <c r="AG65" s="63"/>
      <c r="AH65" s="63"/>
      <c r="AI65" s="63"/>
      <c r="AO65" s="63"/>
      <c r="AP65" s="101"/>
      <c r="AQ65" s="63"/>
      <c r="AR65" s="63"/>
      <c r="AS65" s="63"/>
      <c r="AT65" s="63"/>
      <c r="AU65" s="101"/>
      <c r="AV65" s="63"/>
      <c r="AW65" s="63"/>
      <c r="AX65" s="63"/>
      <c r="AY65" s="63"/>
      <c r="AZ65" s="101"/>
      <c r="BA65" s="63"/>
      <c r="BB65" s="63"/>
      <c r="BC65" s="63"/>
      <c r="BD65" s="63"/>
      <c r="BE65" s="63"/>
      <c r="BF65" s="63"/>
      <c r="BG65" s="63"/>
      <c r="BH65" s="63"/>
      <c r="BI65" s="86">
        <f t="shared" si="11"/>
        <v>54</v>
      </c>
      <c r="BJ65" s="135" t="s">
        <v>250</v>
      </c>
      <c r="BK65" s="203"/>
      <c r="BL65" s="203"/>
      <c r="BM65" s="111"/>
      <c r="BN65" s="208"/>
      <c r="BO65" s="208"/>
    </row>
    <row r="66" spans="1:67">
      <c r="A66" s="208"/>
      <c r="B66" s="136"/>
      <c r="C66" s="136"/>
      <c r="D66" s="136"/>
      <c r="E66" s="136"/>
      <c r="R66" s="125"/>
      <c r="S66" s="125"/>
      <c r="T66" s="125"/>
      <c r="U66" s="62"/>
      <c r="V66" s="78"/>
      <c r="W66" s="78"/>
      <c r="X66" s="78"/>
      <c r="Y66" s="78"/>
      <c r="Z66" s="62"/>
      <c r="AA66" s="208"/>
      <c r="AB66" s="208"/>
      <c r="AC66" s="208"/>
      <c r="AD66" s="208"/>
      <c r="AF66" s="63"/>
      <c r="AG66" s="63"/>
      <c r="AH66" s="63"/>
      <c r="AI66" s="63"/>
      <c r="AO66" s="63"/>
      <c r="AP66" s="63"/>
      <c r="AQ66" s="63"/>
      <c r="AR66" s="63"/>
      <c r="AS66" s="63"/>
      <c r="AT66" s="63"/>
      <c r="AU66" s="63"/>
      <c r="AV66" s="63"/>
      <c r="AW66" s="136"/>
      <c r="AX66" s="136"/>
      <c r="AY66" s="63"/>
      <c r="AZ66" s="63"/>
      <c r="BA66" s="63"/>
      <c r="BB66" s="136"/>
      <c r="BC66" s="136"/>
      <c r="BD66" s="136"/>
      <c r="BE66" s="136"/>
      <c r="BF66" s="136"/>
      <c r="BG66" s="136"/>
      <c r="BH66" s="136"/>
      <c r="BI66" s="86">
        <f t="shared" si="11"/>
        <v>55</v>
      </c>
      <c r="BJ66" s="90" t="s">
        <v>251</v>
      </c>
      <c r="BK66" s="203">
        <v>-513042623.97680533</v>
      </c>
      <c r="BL66" s="164">
        <f>-ROUND(BK66*$BL$12,0)</f>
        <v>13004091</v>
      </c>
      <c r="BM66" s="203">
        <f>SUM(BK66:BL66)</f>
        <v>-500038532.97680533</v>
      </c>
      <c r="BN66" s="208"/>
      <c r="BO66" s="208"/>
    </row>
    <row r="67" spans="1:67">
      <c r="A67" s="208"/>
      <c r="B67" s="136"/>
      <c r="C67" s="136"/>
      <c r="D67" s="136"/>
      <c r="E67" s="136"/>
      <c r="U67" s="62"/>
      <c r="V67" s="78"/>
      <c r="W67" s="78"/>
      <c r="X67" s="78"/>
      <c r="Y67" s="264"/>
      <c r="Z67" s="62"/>
      <c r="AA67" s="208"/>
      <c r="AB67" s="208"/>
      <c r="AC67" s="208"/>
      <c r="AD67" s="208"/>
      <c r="AF67" s="63"/>
      <c r="AG67" s="63"/>
      <c r="AH67" s="63"/>
      <c r="AI67" s="63"/>
      <c r="AO67" s="63"/>
      <c r="AP67" s="63"/>
      <c r="AQ67" s="63"/>
      <c r="AR67" s="63"/>
      <c r="AS67" s="63"/>
      <c r="AT67" s="63"/>
      <c r="AU67" s="63"/>
      <c r="AV67" s="63"/>
      <c r="AW67" s="136"/>
      <c r="AX67" s="136"/>
      <c r="AY67" s="63"/>
      <c r="AZ67" s="63"/>
      <c r="BA67" s="63"/>
      <c r="BB67" s="136"/>
      <c r="BC67" s="136"/>
      <c r="BD67" s="136"/>
      <c r="BE67" s="136"/>
      <c r="BF67" s="136"/>
      <c r="BG67" s="136"/>
      <c r="BH67" s="136"/>
      <c r="BI67" s="86">
        <f t="shared" si="11"/>
        <v>56</v>
      </c>
      <c r="BJ67" s="95" t="s">
        <v>252</v>
      </c>
      <c r="BK67" s="203">
        <v>48295905.063545831</v>
      </c>
      <c r="BL67" s="164">
        <f>-ROUND(BK67*$BL$12,0)</f>
        <v>-1224156</v>
      </c>
      <c r="BM67" s="203">
        <f>SUM(BK67:BL67)</f>
        <v>47071749.063545831</v>
      </c>
      <c r="BN67" s="208"/>
      <c r="BO67" s="208"/>
    </row>
    <row r="68" spans="1:67">
      <c r="A68" s="208"/>
      <c r="B68" s="136"/>
      <c r="C68" s="136"/>
      <c r="D68" s="136"/>
      <c r="E68" s="136"/>
      <c r="U68" s="62"/>
      <c r="V68" s="78"/>
      <c r="W68" s="78"/>
      <c r="X68" s="78"/>
      <c r="Y68" s="78"/>
      <c r="Z68" s="62"/>
      <c r="AA68" s="208"/>
      <c r="AB68" s="208"/>
      <c r="AC68" s="208"/>
      <c r="AD68" s="208"/>
      <c r="AE68" s="101"/>
      <c r="AF68" s="101"/>
      <c r="AG68" s="63"/>
      <c r="AH68" s="63"/>
      <c r="AI68" s="63"/>
      <c r="AO68" s="63"/>
      <c r="AP68" s="63"/>
      <c r="AQ68" s="63"/>
      <c r="AR68" s="63"/>
      <c r="AS68" s="63"/>
      <c r="AT68" s="63"/>
      <c r="AU68" s="63"/>
      <c r="AV68" s="63"/>
      <c r="AW68" s="136"/>
      <c r="AX68" s="136"/>
      <c r="AY68" s="63"/>
      <c r="AZ68" s="63"/>
      <c r="BA68" s="63"/>
      <c r="BB68" s="136"/>
      <c r="BC68" s="136"/>
      <c r="BD68" s="136"/>
      <c r="BE68" s="136"/>
      <c r="BF68" s="136"/>
      <c r="BG68" s="136"/>
      <c r="BH68" s="136"/>
      <c r="BI68" s="86">
        <f t="shared" si="11"/>
        <v>57</v>
      </c>
      <c r="BJ68" s="95" t="s">
        <v>253</v>
      </c>
      <c r="BK68" s="203"/>
      <c r="BL68" s="164">
        <f>-ROUND(BK68*$BL$12,0)</f>
        <v>0</v>
      </c>
      <c r="BM68" s="203">
        <f>SUM(BK68:BL68)</f>
        <v>0</v>
      </c>
      <c r="BN68" s="208"/>
      <c r="BO68" s="208"/>
    </row>
    <row r="69" spans="1:67">
      <c r="A69" s="208"/>
      <c r="B69" s="136"/>
      <c r="C69" s="136"/>
      <c r="D69" s="136"/>
      <c r="E69" s="136"/>
      <c r="V69" s="78"/>
      <c r="W69" s="78"/>
      <c r="X69" s="78"/>
      <c r="Y69" s="78"/>
      <c r="Z69" s="62"/>
      <c r="AA69" s="208"/>
      <c r="AB69" s="208"/>
      <c r="AC69" s="208"/>
      <c r="AD69" s="208"/>
      <c r="AF69" s="63"/>
      <c r="AG69" s="63"/>
      <c r="AH69" s="63"/>
      <c r="AI69" s="63"/>
      <c r="AO69" s="63"/>
      <c r="AP69" s="63"/>
      <c r="AQ69" s="63"/>
      <c r="AR69" s="63"/>
      <c r="AS69" s="63"/>
      <c r="AT69" s="63"/>
      <c r="AU69" s="63"/>
      <c r="AV69" s="63"/>
      <c r="AW69" s="136"/>
      <c r="AX69" s="136"/>
      <c r="AY69" s="63"/>
      <c r="AZ69" s="63"/>
      <c r="BA69" s="63"/>
      <c r="BB69" s="136"/>
      <c r="BC69" s="136"/>
      <c r="BD69" s="136"/>
      <c r="BE69" s="136"/>
      <c r="BF69" s="136"/>
      <c r="BG69" s="136"/>
      <c r="BH69" s="136"/>
      <c r="BI69" s="86">
        <f t="shared" si="11"/>
        <v>58</v>
      </c>
      <c r="BJ69" s="95" t="s">
        <v>254</v>
      </c>
      <c r="BK69" s="203"/>
      <c r="BL69" s="164">
        <f>-ROUND(BK69*$BL$12,0)</f>
        <v>0</v>
      </c>
      <c r="BM69" s="203">
        <f>SUM(BK69:BL69)</f>
        <v>0</v>
      </c>
      <c r="BN69" s="208"/>
      <c r="BO69" s="208"/>
    </row>
    <row r="70" spans="1:67">
      <c r="A70" s="208"/>
      <c r="B70" s="136"/>
      <c r="C70" s="136"/>
      <c r="D70" s="136"/>
      <c r="E70" s="136"/>
      <c r="Z70" s="62"/>
      <c r="AA70" s="208"/>
      <c r="AB70" s="208"/>
      <c r="AC70" s="208"/>
      <c r="AD70" s="208"/>
      <c r="AF70" s="63"/>
      <c r="AG70" s="63"/>
      <c r="AH70" s="63"/>
      <c r="AI70" s="63"/>
      <c r="AO70" s="63"/>
      <c r="AP70" s="63"/>
      <c r="AQ70" s="63"/>
      <c r="AR70" s="63"/>
      <c r="AS70" s="63"/>
      <c r="AT70" s="63"/>
      <c r="AU70" s="63"/>
      <c r="AV70" s="63"/>
      <c r="AW70" s="136"/>
      <c r="AX70" s="136"/>
      <c r="AY70" s="63"/>
      <c r="AZ70" s="63"/>
      <c r="BA70" s="63"/>
      <c r="BB70" s="136"/>
      <c r="BC70" s="136"/>
      <c r="BD70" s="136"/>
      <c r="BE70" s="136"/>
      <c r="BF70" s="136"/>
      <c r="BG70" s="136"/>
      <c r="BH70" s="136"/>
      <c r="BI70" s="86">
        <f t="shared" si="11"/>
        <v>59</v>
      </c>
      <c r="BJ70" s="159" t="s">
        <v>255</v>
      </c>
      <c r="BK70" s="182">
        <f>SUM(BK66:BK69)</f>
        <v>-464746718.91325951</v>
      </c>
      <c r="BL70" s="182">
        <f>SUM(BL66:BL69)</f>
        <v>11779935</v>
      </c>
      <c r="BM70" s="182">
        <f>SUM(BM66:BM69)</f>
        <v>-452966783.91325951</v>
      </c>
      <c r="BN70" s="208"/>
      <c r="BO70" s="208"/>
    </row>
    <row r="71" spans="1:67">
      <c r="A71" s="208"/>
      <c r="B71" s="136"/>
      <c r="C71" s="136"/>
      <c r="D71" s="136"/>
      <c r="E71" s="136"/>
      <c r="G71" s="63"/>
      <c r="H71" s="63"/>
      <c r="I71" s="63"/>
      <c r="J71" s="63"/>
      <c r="Z71" s="136"/>
      <c r="AA71" s="208"/>
      <c r="AB71" s="208"/>
      <c r="AC71" s="208"/>
      <c r="AD71" s="208"/>
      <c r="AF71" s="63"/>
      <c r="AG71" s="63"/>
      <c r="AH71" s="63"/>
      <c r="AI71" s="63"/>
      <c r="AO71" s="63"/>
      <c r="AP71" s="63"/>
      <c r="AQ71" s="63"/>
      <c r="AR71" s="63"/>
      <c r="AS71" s="63"/>
      <c r="AT71" s="63"/>
      <c r="AU71" s="63"/>
      <c r="AV71" s="63"/>
      <c r="AW71" s="136"/>
      <c r="AX71" s="136"/>
      <c r="AY71" s="63"/>
      <c r="AZ71" s="63"/>
      <c r="BA71" s="63"/>
      <c r="BB71" s="136"/>
      <c r="BC71" s="136"/>
      <c r="BD71" s="136"/>
      <c r="BE71" s="136"/>
      <c r="BF71" s="136"/>
      <c r="BG71" s="136"/>
      <c r="BH71" s="136"/>
      <c r="BI71" s="86">
        <f t="shared" si="11"/>
        <v>60</v>
      </c>
      <c r="BJ71" s="90"/>
      <c r="BK71" s="182"/>
      <c r="BL71" s="182"/>
      <c r="BM71" s="182"/>
      <c r="BN71" s="208"/>
      <c r="BO71" s="208"/>
    </row>
    <row r="72" spans="1:67">
      <c r="A72" s="208"/>
      <c r="B72" s="136"/>
      <c r="C72" s="136"/>
      <c r="D72" s="136"/>
      <c r="E72" s="136"/>
      <c r="G72" s="63"/>
      <c r="H72" s="63"/>
      <c r="I72" s="63"/>
      <c r="J72" s="63"/>
      <c r="Z72" s="136"/>
      <c r="AA72" s="208"/>
      <c r="AB72" s="208"/>
      <c r="AC72" s="208"/>
      <c r="AD72" s="208"/>
      <c r="AF72" s="63"/>
      <c r="AG72" s="63"/>
      <c r="AH72" s="63"/>
      <c r="AI72" s="63"/>
      <c r="AO72" s="63"/>
      <c r="AP72" s="63"/>
      <c r="AQ72" s="63"/>
      <c r="AR72" s="63"/>
      <c r="AS72" s="63"/>
      <c r="AT72" s="63"/>
      <c r="AU72" s="63"/>
      <c r="AV72" s="63"/>
      <c r="AW72" s="136"/>
      <c r="AX72" s="136"/>
      <c r="AY72" s="63"/>
      <c r="AZ72" s="63"/>
      <c r="BA72" s="63"/>
      <c r="BB72" s="136"/>
      <c r="BC72" s="136"/>
      <c r="BD72" s="136"/>
      <c r="BE72" s="136"/>
      <c r="BF72" s="136"/>
      <c r="BG72" s="136"/>
      <c r="BH72" s="136"/>
      <c r="BI72" s="86">
        <f t="shared" si="11"/>
        <v>61</v>
      </c>
      <c r="BJ72" s="159" t="s">
        <v>256</v>
      </c>
      <c r="BK72" s="164">
        <f>BK62+BK70</f>
        <v>1961447671.7378278</v>
      </c>
      <c r="BL72" s="164">
        <f>BL62+BL70</f>
        <v>-49716813</v>
      </c>
      <c r="BM72" s="164">
        <f>BM62+BM70</f>
        <v>1911730858.7378278</v>
      </c>
      <c r="BN72" s="208"/>
      <c r="BO72" s="208"/>
    </row>
    <row r="73" spans="1:67">
      <c r="A73" s="208"/>
      <c r="B73" s="136"/>
      <c r="C73" s="136"/>
      <c r="D73" s="136"/>
      <c r="E73" s="136"/>
      <c r="G73" s="63"/>
      <c r="H73" s="63"/>
      <c r="I73" s="63"/>
      <c r="J73" s="63"/>
      <c r="Z73" s="136"/>
      <c r="AA73" s="208"/>
      <c r="AB73" s="208"/>
      <c r="AC73" s="208"/>
      <c r="AD73" s="208"/>
      <c r="AF73" s="63"/>
      <c r="AG73" s="63"/>
      <c r="AH73" s="63"/>
      <c r="AI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86">
        <f t="shared" si="11"/>
        <v>62</v>
      </c>
      <c r="BJ73" s="111"/>
      <c r="BK73" s="111"/>
      <c r="BL73" s="111"/>
      <c r="BM73" s="111"/>
      <c r="BN73" s="208"/>
      <c r="BO73" s="208"/>
    </row>
    <row r="74" spans="1:67">
      <c r="A74" s="208"/>
      <c r="B74" s="136"/>
      <c r="C74" s="136"/>
      <c r="D74" s="136"/>
      <c r="E74" s="136"/>
      <c r="G74" s="63"/>
      <c r="H74" s="63"/>
      <c r="I74" s="63"/>
      <c r="J74" s="63"/>
      <c r="Z74" s="136"/>
      <c r="AA74" s="208"/>
      <c r="AB74" s="208"/>
      <c r="AC74" s="208"/>
      <c r="AD74" s="208"/>
      <c r="AF74" s="63"/>
      <c r="AG74" s="63"/>
      <c r="AH74" s="63"/>
      <c r="AI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86">
        <f t="shared" si="11"/>
        <v>63</v>
      </c>
      <c r="BJ74" s="135" t="s">
        <v>257</v>
      </c>
      <c r="BK74" s="111"/>
      <c r="BL74" s="111"/>
      <c r="BM74" s="111"/>
      <c r="BN74" s="208"/>
      <c r="BO74" s="208"/>
    </row>
    <row r="75" spans="1:67">
      <c r="A75" s="208"/>
      <c r="B75" s="136"/>
      <c r="C75" s="136"/>
      <c r="D75" s="136"/>
      <c r="E75" s="136"/>
      <c r="G75" s="63"/>
      <c r="H75" s="63"/>
      <c r="I75" s="63"/>
      <c r="J75" s="63"/>
      <c r="Z75" s="136"/>
      <c r="AA75" s="208"/>
      <c r="AB75" s="208"/>
      <c r="AC75" s="208"/>
      <c r="AD75" s="208"/>
      <c r="AF75" s="63"/>
      <c r="AG75" s="63"/>
      <c r="AH75" s="63"/>
      <c r="AI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86">
        <f t="shared" si="11"/>
        <v>64</v>
      </c>
      <c r="BJ75" s="111" t="s">
        <v>258</v>
      </c>
      <c r="BK75" s="164">
        <f>AC28</f>
        <v>-374251.50670083519</v>
      </c>
      <c r="BL75" s="164">
        <f t="shared" ref="BL75:BL92" si="20">-BK75*$BL$12</f>
        <v>9486.15294034607</v>
      </c>
      <c r="BM75" s="164">
        <f t="shared" ref="BM75:BM92" si="21">SUM(BK75:BL75)</f>
        <v>-364765.35376048915</v>
      </c>
      <c r="BN75" s="208"/>
      <c r="BO75" s="208"/>
    </row>
    <row r="76" spans="1:67">
      <c r="A76" s="208"/>
      <c r="B76" s="136"/>
      <c r="C76" s="136"/>
      <c r="D76" s="136"/>
      <c r="E76" s="136"/>
      <c r="G76" s="63"/>
      <c r="H76" s="63"/>
      <c r="I76" s="63"/>
      <c r="J76" s="63"/>
      <c r="Z76" s="136"/>
      <c r="AA76" s="208"/>
      <c r="AB76" s="208"/>
      <c r="AC76" s="208"/>
      <c r="AD76" s="208"/>
      <c r="AF76" s="63"/>
      <c r="AG76" s="63"/>
      <c r="AH76" s="63"/>
      <c r="AI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86">
        <f t="shared" si="11"/>
        <v>65</v>
      </c>
      <c r="BJ76" s="111" t="s">
        <v>259</v>
      </c>
      <c r="BK76" s="125">
        <f>AC27</f>
        <v>-108339.16201768839</v>
      </c>
      <c r="BL76" s="100">
        <f t="shared" si="20"/>
        <v>2746.0727396623479</v>
      </c>
      <c r="BM76" s="164">
        <f t="shared" si="21"/>
        <v>-105593.08927802605</v>
      </c>
      <c r="BN76" s="208"/>
      <c r="BO76" s="208"/>
    </row>
    <row r="77" spans="1:67">
      <c r="A77" s="208"/>
      <c r="B77" s="136"/>
      <c r="C77" s="136"/>
      <c r="D77" s="136"/>
      <c r="E77" s="136"/>
      <c r="G77" s="63"/>
      <c r="H77" s="63"/>
      <c r="I77" s="63"/>
      <c r="J77" s="63"/>
      <c r="Z77" s="136"/>
      <c r="AA77" s="208"/>
      <c r="AB77" s="208"/>
      <c r="AC77" s="208"/>
      <c r="AD77" s="208"/>
      <c r="AF77" s="63"/>
      <c r="AG77" s="63"/>
      <c r="AH77" s="63"/>
      <c r="AI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86">
        <f t="shared" ref="BI77:BI95" si="22">+BI76+1</f>
        <v>66</v>
      </c>
      <c r="BJ77" s="105" t="s">
        <v>71</v>
      </c>
      <c r="BK77" s="164">
        <f>AC13</f>
        <v>0</v>
      </c>
      <c r="BL77" s="100">
        <f t="shared" si="20"/>
        <v>0</v>
      </c>
      <c r="BM77" s="164">
        <f t="shared" si="21"/>
        <v>0</v>
      </c>
      <c r="BN77" s="208"/>
      <c r="BO77" s="208"/>
    </row>
    <row r="78" spans="1:67">
      <c r="A78" s="136"/>
      <c r="B78" s="136"/>
      <c r="C78" s="136"/>
      <c r="D78" s="136"/>
      <c r="E78" s="136"/>
      <c r="G78" s="63"/>
      <c r="H78" s="63"/>
      <c r="I78" s="63"/>
      <c r="J78" s="63"/>
      <c r="Z78" s="136"/>
      <c r="AA78" s="208"/>
      <c r="AB78" s="208"/>
      <c r="AC78" s="208"/>
      <c r="AD78" s="208"/>
      <c r="AF78" s="63"/>
      <c r="AG78" s="63"/>
      <c r="AH78" s="63"/>
      <c r="AI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86">
        <f t="shared" si="22"/>
        <v>67</v>
      </c>
      <c r="BJ78" s="105" t="s">
        <v>260</v>
      </c>
      <c r="BK78" s="164">
        <f>BB19-BB14-BB15</f>
        <v>10869911.657177325</v>
      </c>
      <c r="BL78" s="100">
        <f t="shared" si="20"/>
        <v>-275519.65077447367</v>
      </c>
      <c r="BM78" s="164">
        <f t="shared" si="21"/>
        <v>10594392.006402852</v>
      </c>
      <c r="BN78" s="208"/>
      <c r="BO78" s="208"/>
    </row>
    <row r="79" spans="1:67">
      <c r="A79" s="136"/>
      <c r="B79" s="136"/>
      <c r="C79" s="136"/>
      <c r="D79" s="136"/>
      <c r="E79" s="136"/>
      <c r="G79" s="265"/>
      <c r="H79" s="63"/>
      <c r="I79" s="63"/>
      <c r="J79" s="63"/>
      <c r="Z79" s="136"/>
      <c r="AA79" s="208"/>
      <c r="AB79" s="208"/>
      <c r="AC79" s="208"/>
      <c r="AD79" s="208"/>
      <c r="AF79" s="63"/>
      <c r="AG79" s="63"/>
      <c r="AH79" s="63"/>
      <c r="AI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86">
        <f t="shared" si="22"/>
        <v>68</v>
      </c>
      <c r="BJ79" s="105" t="s">
        <v>82</v>
      </c>
      <c r="BK79" s="164">
        <f>AC14</f>
        <v>-88510.49771296572</v>
      </c>
      <c r="BL79" s="100">
        <f t="shared" si="20"/>
        <v>2243.475585530542</v>
      </c>
      <c r="BM79" s="164">
        <f t="shared" si="21"/>
        <v>-86267.022127435179</v>
      </c>
      <c r="BN79" s="208"/>
      <c r="BO79" s="208"/>
    </row>
    <row r="80" spans="1:67">
      <c r="A80" s="136"/>
      <c r="B80" s="136"/>
      <c r="C80" s="136"/>
      <c r="D80" s="136"/>
      <c r="E80" s="136"/>
      <c r="G80" s="63"/>
      <c r="H80" s="63"/>
      <c r="I80" s="63"/>
      <c r="J80" s="63"/>
      <c r="Z80" s="136"/>
      <c r="AA80" s="208"/>
      <c r="AB80" s="208"/>
      <c r="AC80" s="208"/>
      <c r="AD80" s="208"/>
      <c r="AF80" s="63"/>
      <c r="AG80" s="63"/>
      <c r="AH80" s="63"/>
      <c r="AI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86">
        <f t="shared" si="22"/>
        <v>69</v>
      </c>
      <c r="BJ80" s="105" t="s">
        <v>90</v>
      </c>
      <c r="BK80" s="164">
        <f>AC15</f>
        <v>-121339.24959547223</v>
      </c>
      <c r="BL80" s="100">
        <f t="shared" si="20"/>
        <v>3075.5859594964345</v>
      </c>
      <c r="BM80" s="164">
        <f t="shared" si="21"/>
        <v>-118263.6636359758</v>
      </c>
      <c r="BN80" s="208"/>
      <c r="BO80" s="208"/>
    </row>
    <row r="81" spans="1:85">
      <c r="A81" s="136"/>
      <c r="B81" s="136"/>
      <c r="C81" s="136"/>
      <c r="D81" s="136"/>
      <c r="E81" s="136"/>
      <c r="G81" s="63"/>
      <c r="H81" s="63"/>
      <c r="I81" s="63"/>
      <c r="J81" s="63"/>
      <c r="Z81" s="136"/>
      <c r="AA81" s="208"/>
      <c r="AB81" s="208"/>
      <c r="AC81" s="208"/>
      <c r="AD81" s="208"/>
      <c r="AF81" s="63"/>
      <c r="AG81" s="63"/>
      <c r="AH81" s="63"/>
      <c r="AI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86">
        <f t="shared" si="22"/>
        <v>70</v>
      </c>
      <c r="BJ81" s="105" t="s">
        <v>261</v>
      </c>
      <c r="BK81" s="164">
        <f t="shared" ref="BK81:BK86" si="23">AC17</f>
        <v>82196760.579333305</v>
      </c>
      <c r="BL81" s="100">
        <f t="shared" si="20"/>
        <v>-2083441.2904043614</v>
      </c>
      <c r="BM81" s="164">
        <f t="shared" si="21"/>
        <v>80113319.288928941</v>
      </c>
      <c r="BN81" s="208"/>
      <c r="BO81" s="208"/>
    </row>
    <row r="82" spans="1:85">
      <c r="A82" s="136"/>
      <c r="B82" s="136"/>
      <c r="C82" s="136"/>
      <c r="D82" s="136"/>
      <c r="E82" s="136"/>
      <c r="G82" s="63"/>
      <c r="H82" s="63"/>
      <c r="I82" s="63"/>
      <c r="J82" s="63"/>
      <c r="Z82" s="136"/>
      <c r="AA82" s="208"/>
      <c r="AB82" s="208"/>
      <c r="AC82" s="208"/>
      <c r="AD82" s="208"/>
      <c r="AF82" s="63"/>
      <c r="AG82" s="63"/>
      <c r="AH82" s="63"/>
      <c r="AI82" s="63"/>
      <c r="AO82" s="63"/>
      <c r="AQ82" s="63"/>
      <c r="AR82" s="63"/>
      <c r="AS82" s="63"/>
      <c r="AT82" s="63"/>
      <c r="AV82" s="63"/>
      <c r="AW82" s="63"/>
      <c r="AX82" s="63"/>
      <c r="AY82" s="63"/>
      <c r="BA82" s="63"/>
      <c r="BB82" s="63"/>
      <c r="BC82" s="63"/>
      <c r="BD82" s="63"/>
      <c r="BE82" s="63"/>
      <c r="BF82" s="63"/>
      <c r="BG82" s="63"/>
      <c r="BH82" s="63"/>
      <c r="BI82" s="86">
        <f t="shared" si="22"/>
        <v>71</v>
      </c>
      <c r="BJ82" s="105" t="s">
        <v>121</v>
      </c>
      <c r="BK82" s="164">
        <f t="shared" si="23"/>
        <v>18500000</v>
      </c>
      <c r="BL82" s="100">
        <f t="shared" si="20"/>
        <v>-468919.5</v>
      </c>
      <c r="BM82" s="164">
        <f t="shared" si="21"/>
        <v>18031080.5</v>
      </c>
      <c r="BN82" s="208"/>
      <c r="BO82" s="208"/>
    </row>
    <row r="83" spans="1:85">
      <c r="A83" s="136"/>
      <c r="B83" s="136"/>
      <c r="C83" s="136"/>
      <c r="D83" s="136"/>
      <c r="E83" s="136"/>
      <c r="G83" s="63"/>
      <c r="H83" s="63"/>
      <c r="I83" s="63"/>
      <c r="J83" s="63"/>
      <c r="Z83" s="136"/>
      <c r="AA83" s="208"/>
      <c r="AB83" s="208"/>
      <c r="AC83" s="208"/>
      <c r="AD83" s="208"/>
      <c r="AF83" s="63"/>
      <c r="AG83" s="63"/>
      <c r="AH83" s="63"/>
      <c r="AI83" s="63"/>
      <c r="AO83" s="63"/>
      <c r="AQ83" s="63"/>
      <c r="AR83" s="63"/>
      <c r="AS83" s="63"/>
      <c r="AT83" s="63"/>
      <c r="AV83" s="63"/>
      <c r="AW83" s="63"/>
      <c r="AX83" s="63"/>
      <c r="AY83" s="63"/>
      <c r="BA83" s="63"/>
      <c r="BB83" s="63"/>
      <c r="BC83" s="63"/>
      <c r="BD83" s="63"/>
      <c r="BE83" s="63"/>
      <c r="BF83" s="63"/>
      <c r="BG83" s="63"/>
      <c r="BH83" s="63"/>
      <c r="BI83" s="86">
        <f t="shared" si="22"/>
        <v>72</v>
      </c>
      <c r="BJ83" s="105" t="s">
        <v>128</v>
      </c>
      <c r="BK83" s="164">
        <f t="shared" si="23"/>
        <v>750000.00000000524</v>
      </c>
      <c r="BL83" s="100">
        <f t="shared" si="20"/>
        <v>-19010.250000000135</v>
      </c>
      <c r="BM83" s="164">
        <f t="shared" si="21"/>
        <v>730989.75000000512</v>
      </c>
      <c r="BN83" s="208"/>
      <c r="BO83" s="208"/>
    </row>
    <row r="84" spans="1:85">
      <c r="A84" s="136"/>
      <c r="B84" s="136"/>
      <c r="C84" s="136"/>
      <c r="D84" s="136"/>
      <c r="E84" s="136"/>
      <c r="G84" s="63"/>
      <c r="H84" s="63"/>
      <c r="I84" s="63"/>
      <c r="J84" s="63"/>
      <c r="Z84" s="136"/>
      <c r="AA84" s="208"/>
      <c r="AB84" s="208"/>
      <c r="AC84" s="208"/>
      <c r="AD84" s="208"/>
      <c r="AF84" s="63"/>
      <c r="AG84" s="63"/>
      <c r="AH84" s="63"/>
      <c r="AI84" s="63"/>
      <c r="AO84" s="63"/>
      <c r="AQ84" s="63"/>
      <c r="AR84" s="63"/>
      <c r="AS84" s="63"/>
      <c r="AT84" s="63"/>
      <c r="AV84" s="63"/>
      <c r="AW84" s="63"/>
      <c r="AX84" s="63"/>
      <c r="AY84" s="63"/>
      <c r="BA84" s="63"/>
      <c r="BB84" s="63"/>
      <c r="BC84" s="63"/>
      <c r="BD84" s="63"/>
      <c r="BE84" s="63"/>
      <c r="BF84" s="63"/>
      <c r="BG84" s="63"/>
      <c r="BH84" s="63"/>
      <c r="BI84" s="86">
        <f t="shared" si="22"/>
        <v>73</v>
      </c>
      <c r="BJ84" s="105" t="s">
        <v>262</v>
      </c>
      <c r="BK84" s="164">
        <f t="shared" si="23"/>
        <v>0</v>
      </c>
      <c r="BL84" s="100">
        <f t="shared" si="20"/>
        <v>0</v>
      </c>
      <c r="BM84" s="164">
        <f t="shared" si="21"/>
        <v>0</v>
      </c>
      <c r="BN84" s="208"/>
      <c r="BO84" s="208"/>
    </row>
    <row r="85" spans="1:85">
      <c r="A85" s="136"/>
      <c r="B85" s="136"/>
      <c r="C85" s="136"/>
      <c r="D85" s="136"/>
      <c r="E85" s="136"/>
      <c r="G85" s="63"/>
      <c r="H85" s="63"/>
      <c r="I85" s="63"/>
      <c r="J85" s="63"/>
      <c r="Z85" s="136"/>
      <c r="AA85" s="208"/>
      <c r="AB85" s="208"/>
      <c r="AC85" s="208"/>
      <c r="AD85" s="208"/>
      <c r="AF85" s="63"/>
      <c r="AG85" s="63"/>
      <c r="AH85" s="63"/>
      <c r="AI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86">
        <f t="shared" si="22"/>
        <v>74</v>
      </c>
      <c r="BJ85" s="105" t="s">
        <v>263</v>
      </c>
      <c r="BK85" s="164">
        <f t="shared" si="23"/>
        <v>60863794.047865629</v>
      </c>
      <c r="BL85" s="100">
        <f t="shared" si="20"/>
        <v>-1542714.5877312501</v>
      </c>
      <c r="BM85" s="164">
        <f t="shared" si="21"/>
        <v>59321079.46013438</v>
      </c>
      <c r="BN85" s="208"/>
      <c r="BO85" s="208"/>
    </row>
    <row r="86" spans="1:85">
      <c r="A86" s="136"/>
      <c r="B86" s="136"/>
      <c r="C86" s="136"/>
      <c r="D86" s="136"/>
      <c r="E86" s="136"/>
      <c r="G86" s="63"/>
      <c r="H86" s="63"/>
      <c r="I86" s="63"/>
      <c r="J86" s="63"/>
      <c r="Z86" s="136"/>
      <c r="AA86" s="208"/>
      <c r="AB86" s="208"/>
      <c r="AC86" s="208"/>
      <c r="AD86" s="208"/>
      <c r="AF86" s="63"/>
      <c r="AG86" s="63"/>
      <c r="AH86" s="63"/>
      <c r="AI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86">
        <f t="shared" si="22"/>
        <v>75</v>
      </c>
      <c r="BJ86" s="105" t="s">
        <v>264</v>
      </c>
      <c r="BK86" s="164">
        <f t="shared" si="23"/>
        <v>8466701.2744743638</v>
      </c>
      <c r="BL86" s="100">
        <f t="shared" si="20"/>
        <v>-214605.47720410171</v>
      </c>
      <c r="BM86" s="164">
        <f t="shared" si="21"/>
        <v>8252095.7972702617</v>
      </c>
      <c r="BN86" s="208"/>
      <c r="BO86" s="208"/>
    </row>
    <row r="87" spans="1:85">
      <c r="A87" s="136"/>
      <c r="B87" s="136"/>
      <c r="C87" s="136"/>
      <c r="D87" s="136"/>
      <c r="E87" s="136"/>
      <c r="G87" s="63"/>
      <c r="H87" s="63"/>
      <c r="I87" s="63"/>
      <c r="J87" s="63"/>
      <c r="Z87" s="136"/>
      <c r="AA87" s="208"/>
      <c r="AB87" s="208"/>
      <c r="AC87" s="208"/>
      <c r="AD87" s="208"/>
      <c r="AF87" s="63"/>
      <c r="AG87" s="63"/>
      <c r="AH87" s="63"/>
      <c r="AI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86">
        <f t="shared" si="22"/>
        <v>76</v>
      </c>
      <c r="BJ87" s="105" t="s">
        <v>265</v>
      </c>
      <c r="BK87" s="164">
        <f>AC16</f>
        <v>12550110.290861849</v>
      </c>
      <c r="BL87" s="100">
        <f t="shared" si="20"/>
        <v>-318107.64554247528</v>
      </c>
      <c r="BM87" s="164">
        <f t="shared" si="21"/>
        <v>12232002.645319374</v>
      </c>
      <c r="BN87" s="208"/>
      <c r="BO87" s="208"/>
    </row>
    <row r="88" spans="1:85">
      <c r="A88" s="136"/>
      <c r="B88" s="136"/>
      <c r="C88" s="136"/>
      <c r="D88" s="136"/>
      <c r="E88" s="136"/>
      <c r="G88" s="63"/>
      <c r="H88" s="63"/>
      <c r="I88" s="63"/>
      <c r="J88" s="63"/>
      <c r="Z88" s="136"/>
      <c r="AA88" s="208"/>
      <c r="AB88" s="208"/>
      <c r="AC88" s="208"/>
      <c r="AD88" s="208"/>
      <c r="AF88" s="63"/>
      <c r="AG88" s="63"/>
      <c r="AH88" s="63"/>
      <c r="AI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86">
        <f t="shared" si="22"/>
        <v>77</v>
      </c>
      <c r="BJ88" s="105" t="s">
        <v>266</v>
      </c>
      <c r="BK88" s="125">
        <f>AC23</f>
        <v>0.16838636322063394</v>
      </c>
      <c r="BL88" s="100">
        <f t="shared" si="20"/>
        <v>-4.2680891485534084E-3</v>
      </c>
      <c r="BM88" s="125">
        <f t="shared" si="21"/>
        <v>0.16411827407208052</v>
      </c>
      <c r="BN88" s="208"/>
      <c r="BO88" s="208"/>
    </row>
    <row r="89" spans="1:85">
      <c r="A89" s="136"/>
      <c r="B89" s="136"/>
      <c r="C89" s="136"/>
      <c r="D89" s="136"/>
      <c r="E89" s="136"/>
      <c r="G89" s="63"/>
      <c r="H89" s="63"/>
      <c r="I89" s="63"/>
      <c r="J89" s="63"/>
      <c r="Z89" s="136"/>
      <c r="AA89" s="208"/>
      <c r="AB89" s="208"/>
      <c r="AC89" s="208"/>
      <c r="AD89" s="208"/>
      <c r="AF89" s="63"/>
      <c r="AG89" s="63"/>
      <c r="AH89" s="63"/>
      <c r="AI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86">
        <f t="shared" si="22"/>
        <v>78</v>
      </c>
      <c r="BJ89" s="105" t="s">
        <v>267</v>
      </c>
      <c r="BK89" s="164">
        <f>AC26</f>
        <v>3917699.507429909</v>
      </c>
      <c r="BL89" s="100">
        <f t="shared" si="20"/>
        <v>-99301.929414825907</v>
      </c>
      <c r="BM89" s="164">
        <f t="shared" si="21"/>
        <v>3818397.578015083</v>
      </c>
      <c r="BN89" s="208"/>
      <c r="BO89" s="208"/>
    </row>
    <row r="90" spans="1:85">
      <c r="A90" s="136"/>
      <c r="B90" s="136"/>
      <c r="C90" s="136"/>
      <c r="D90" s="136"/>
      <c r="E90" s="136"/>
      <c r="G90" s="63"/>
      <c r="H90" s="63"/>
      <c r="I90" s="63"/>
      <c r="J90" s="63"/>
      <c r="Z90" s="136"/>
      <c r="AA90" s="208"/>
      <c r="AB90" s="208"/>
      <c r="AC90" s="208"/>
      <c r="AD90" s="208"/>
      <c r="AF90" s="63"/>
      <c r="AG90" s="63"/>
      <c r="AH90" s="63"/>
      <c r="AI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86">
        <f t="shared" si="22"/>
        <v>79</v>
      </c>
      <c r="BJ90" s="105" t="s">
        <v>268</v>
      </c>
      <c r="BK90" s="164">
        <f>AC25</f>
        <v>596763.95810137875</v>
      </c>
      <c r="BL90" s="100">
        <f t="shared" si="20"/>
        <v>-15126.176045995648</v>
      </c>
      <c r="BM90" s="164">
        <f t="shared" si="21"/>
        <v>581637.78205538308</v>
      </c>
      <c r="BN90" s="208"/>
      <c r="BO90" s="208"/>
    </row>
    <row r="91" spans="1:85">
      <c r="A91" s="136"/>
      <c r="B91" s="136"/>
      <c r="C91" s="136"/>
      <c r="D91" s="136"/>
      <c r="E91" s="136"/>
      <c r="G91" s="63"/>
      <c r="H91" s="63"/>
      <c r="I91" s="63"/>
      <c r="J91" s="63"/>
      <c r="Z91" s="136"/>
      <c r="AA91" s="208"/>
      <c r="AB91" s="208"/>
      <c r="AC91" s="208"/>
      <c r="AD91" s="208"/>
      <c r="AF91" s="63"/>
      <c r="AG91" s="63"/>
      <c r="AH91" s="63"/>
      <c r="AI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86">
        <f t="shared" si="22"/>
        <v>80</v>
      </c>
      <c r="BJ91" s="105" t="s">
        <v>269</v>
      </c>
      <c r="BK91" s="164">
        <f>AC24</f>
        <v>151971.71732166281</v>
      </c>
      <c r="BL91" s="100">
        <f t="shared" si="20"/>
        <v>-3852.0271189521877</v>
      </c>
      <c r="BM91" s="77">
        <f t="shared" si="21"/>
        <v>148119.69020271063</v>
      </c>
      <c r="BN91" s="208"/>
      <c r="BO91" s="208"/>
    </row>
    <row r="92" spans="1:85">
      <c r="A92" s="136"/>
      <c r="B92" s="136"/>
      <c r="C92" s="136"/>
      <c r="D92" s="136"/>
      <c r="E92" s="136"/>
      <c r="G92" s="63"/>
      <c r="H92" s="63"/>
      <c r="I92" s="63"/>
      <c r="J92" s="63"/>
      <c r="Z92" s="136"/>
      <c r="AA92" s="208"/>
      <c r="AB92" s="208"/>
      <c r="AC92" s="208"/>
      <c r="AD92" s="208"/>
      <c r="AF92" s="63"/>
      <c r="AG92" s="63"/>
      <c r="AH92" s="63"/>
      <c r="AI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86">
        <f t="shared" si="22"/>
        <v>81</v>
      </c>
      <c r="BJ92" s="105" t="s">
        <v>270</v>
      </c>
      <c r="BK92" s="77">
        <f>AC29</f>
        <v>1128003.9151666719</v>
      </c>
      <c r="BL92" s="100">
        <f t="shared" si="20"/>
        <v>-28591.515237729633</v>
      </c>
      <c r="BM92" s="77">
        <f t="shared" si="21"/>
        <v>1099412.3999289423</v>
      </c>
      <c r="BN92" s="208"/>
      <c r="BO92" s="208"/>
    </row>
    <row r="93" spans="1:85" ht="13.8" thickBot="1">
      <c r="A93" s="136"/>
      <c r="B93" s="136"/>
      <c r="C93" s="136"/>
      <c r="D93" s="136"/>
      <c r="E93" s="136"/>
      <c r="G93" s="63"/>
      <c r="H93" s="63"/>
      <c r="I93" s="63"/>
      <c r="J93" s="63"/>
      <c r="Z93" s="136"/>
      <c r="AA93" s="208"/>
      <c r="AB93" s="208"/>
      <c r="AC93" s="208"/>
      <c r="AD93" s="208"/>
      <c r="AF93" s="63"/>
      <c r="AG93" s="63"/>
      <c r="AH93" s="63"/>
      <c r="AI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86">
        <f t="shared" si="22"/>
        <v>82</v>
      </c>
      <c r="BJ93" s="111" t="s">
        <v>271</v>
      </c>
      <c r="BK93" s="142">
        <f>SUM(BK75:BK92)</f>
        <v>199299276.70009151</v>
      </c>
      <c r="BL93" s="142">
        <f>SUM(BL75:BL92)</f>
        <v>-5051638.7665172191</v>
      </c>
      <c r="BM93" s="142">
        <f>SUM(BM75:BM92)</f>
        <v>194247637.93357426</v>
      </c>
      <c r="BN93" s="208"/>
      <c r="BO93" s="208"/>
    </row>
    <row r="94" spans="1:85" ht="13.8" thickTop="1">
      <c r="A94" s="136"/>
      <c r="B94" s="136"/>
      <c r="C94" s="136"/>
      <c r="D94" s="136"/>
      <c r="E94" s="136"/>
      <c r="G94" s="63"/>
      <c r="H94" s="63"/>
      <c r="I94" s="63"/>
      <c r="J94" s="63"/>
      <c r="Z94" s="136"/>
      <c r="AA94" s="208"/>
      <c r="AB94" s="208"/>
      <c r="AC94" s="208"/>
      <c r="AD94" s="208"/>
      <c r="AF94" s="63"/>
      <c r="AG94" s="63"/>
      <c r="AH94" s="63"/>
      <c r="AI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86">
        <f t="shared" si="22"/>
        <v>83</v>
      </c>
      <c r="BJ94" s="248" t="s">
        <v>272</v>
      </c>
      <c r="BK94" s="266">
        <f>AC32+BB19-BB14-BB15-BK93</f>
        <v>0</v>
      </c>
      <c r="BL94" s="111"/>
      <c r="BM94" s="111"/>
      <c r="BN94" s="208"/>
      <c r="BO94" s="208"/>
    </row>
    <row r="95" spans="1:85" ht="13.8" thickBot="1">
      <c r="A95" s="136"/>
      <c r="B95" s="136"/>
      <c r="C95" s="136"/>
      <c r="D95" s="136"/>
      <c r="E95" s="136"/>
      <c r="G95" s="63"/>
      <c r="H95" s="63"/>
      <c r="I95" s="63"/>
      <c r="J95" s="63"/>
      <c r="Z95" s="136"/>
      <c r="AA95" s="208"/>
      <c r="AB95" s="208"/>
      <c r="AC95" s="208"/>
      <c r="AD95" s="208"/>
      <c r="AF95" s="63"/>
      <c r="AG95" s="63"/>
      <c r="AH95" s="63"/>
      <c r="AI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86">
        <f t="shared" si="22"/>
        <v>84</v>
      </c>
      <c r="BJ95" s="111" t="s">
        <v>273</v>
      </c>
      <c r="BK95" s="111"/>
      <c r="BL95" s="260">
        <f>BL72+BL93</f>
        <v>-54768451.766517222</v>
      </c>
      <c r="BM95" s="111"/>
      <c r="BN95" s="208"/>
      <c r="BO95" s="208"/>
    </row>
    <row r="96" spans="1:85" s="7" customFormat="1" ht="13.8" thickTop="1">
      <c r="A96" s="136"/>
      <c r="B96" s="136"/>
      <c r="C96" s="136"/>
      <c r="D96" s="136"/>
      <c r="E96" s="136"/>
      <c r="G96" s="63"/>
      <c r="H96" s="63"/>
      <c r="I96" s="63"/>
      <c r="J96" s="63"/>
      <c r="Z96" s="136"/>
      <c r="AA96" s="208"/>
      <c r="AB96" s="208"/>
      <c r="AC96" s="208"/>
      <c r="AD96" s="208"/>
      <c r="AF96" s="63"/>
      <c r="AG96" s="63"/>
      <c r="AH96" s="63"/>
      <c r="AI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86"/>
      <c r="BN96" s="208"/>
      <c r="BO96" s="208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D96" s="8"/>
      <c r="CE96" s="8"/>
      <c r="CF96" s="8"/>
      <c r="CG96" s="8"/>
    </row>
    <row r="99" spans="1:85" s="7" customFormat="1">
      <c r="A99" s="136"/>
      <c r="B99" s="136"/>
      <c r="C99" s="136"/>
      <c r="D99" s="136"/>
      <c r="E99" s="136"/>
      <c r="G99" s="63"/>
      <c r="H99" s="63"/>
      <c r="I99" s="63"/>
      <c r="J99" s="63"/>
      <c r="Z99" s="136"/>
      <c r="AA99" s="208"/>
      <c r="AB99" s="208"/>
      <c r="AC99" s="208"/>
      <c r="AD99" s="208"/>
      <c r="AF99" s="63"/>
      <c r="AG99" s="63"/>
      <c r="AH99" s="63"/>
      <c r="AI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208"/>
      <c r="BJ99" s="208"/>
      <c r="BK99" s="208"/>
      <c r="BL99" s="208"/>
      <c r="BM99" s="208"/>
      <c r="BN99" s="208"/>
      <c r="BO99" s="208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D99" s="8"/>
      <c r="CE99" s="8"/>
      <c r="CF99" s="8"/>
      <c r="CG99" s="8"/>
    </row>
    <row r="100" spans="1:85" s="7" customFormat="1">
      <c r="A100" s="136"/>
      <c r="B100" s="136"/>
      <c r="C100" s="136"/>
      <c r="D100" s="136"/>
      <c r="E100" s="136"/>
      <c r="G100" s="63"/>
      <c r="H100" s="63"/>
      <c r="I100" s="63"/>
      <c r="J100" s="63"/>
      <c r="Z100" s="136"/>
      <c r="AA100" s="208"/>
      <c r="AB100" s="208"/>
      <c r="AC100" s="208"/>
      <c r="AD100" s="208"/>
      <c r="AF100" s="63"/>
      <c r="AG100" s="63"/>
      <c r="AH100" s="63"/>
      <c r="AI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208"/>
      <c r="BJ100" s="208"/>
      <c r="BK100" s="208"/>
      <c r="BL100" s="208"/>
      <c r="BM100" s="208"/>
      <c r="BN100" s="208"/>
      <c r="BO100" s="208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D100" s="8"/>
      <c r="CE100" s="8"/>
      <c r="CF100" s="8"/>
      <c r="CG100" s="8"/>
    </row>
    <row r="101" spans="1:85" s="7" customFormat="1">
      <c r="A101" s="136"/>
      <c r="B101" s="136"/>
      <c r="C101" s="136"/>
      <c r="D101" s="136"/>
      <c r="E101" s="136"/>
      <c r="G101" s="63"/>
      <c r="H101" s="63"/>
      <c r="I101" s="63"/>
      <c r="J101" s="63"/>
      <c r="Z101" s="136"/>
      <c r="AA101" s="208"/>
      <c r="AB101" s="208"/>
      <c r="AC101" s="208"/>
      <c r="AD101" s="208"/>
      <c r="AF101" s="63"/>
      <c r="AG101" s="63"/>
      <c r="AH101" s="63"/>
      <c r="AI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208"/>
      <c r="BJ101" s="208"/>
      <c r="BK101" s="208"/>
      <c r="BL101" s="208"/>
      <c r="BM101" s="208"/>
      <c r="BN101" s="208"/>
      <c r="BO101" s="208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D101" s="8"/>
      <c r="CE101" s="8"/>
      <c r="CF101" s="8"/>
      <c r="CG101" s="8"/>
    </row>
    <row r="102" spans="1:85" s="7" customFormat="1">
      <c r="A102" s="136"/>
      <c r="B102" s="136"/>
      <c r="C102" s="136"/>
      <c r="D102" s="136"/>
      <c r="E102" s="136"/>
      <c r="G102" s="63"/>
      <c r="H102" s="63"/>
      <c r="I102" s="63"/>
      <c r="J102" s="63"/>
      <c r="Z102" s="136"/>
      <c r="AA102" s="208"/>
      <c r="AB102" s="208"/>
      <c r="AC102" s="208"/>
      <c r="AD102" s="208"/>
      <c r="AF102" s="63"/>
      <c r="AG102" s="63"/>
      <c r="AH102" s="63"/>
      <c r="AI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86"/>
      <c r="BJ102" s="208"/>
      <c r="BK102" s="208"/>
      <c r="BL102" s="208"/>
      <c r="BN102" s="208"/>
      <c r="BO102" s="208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D102" s="8"/>
      <c r="CE102" s="8"/>
      <c r="CF102" s="8"/>
      <c r="CG102" s="8"/>
    </row>
    <row r="103" spans="1:85" s="7" customFormat="1">
      <c r="A103" s="136"/>
      <c r="B103" s="136"/>
      <c r="C103" s="136"/>
      <c r="D103" s="136"/>
      <c r="E103" s="136"/>
      <c r="G103" s="63"/>
      <c r="H103" s="63"/>
      <c r="I103" s="63"/>
      <c r="J103" s="63"/>
      <c r="Z103" s="136"/>
      <c r="AA103" s="208"/>
      <c r="AB103" s="208"/>
      <c r="AC103" s="208"/>
      <c r="AD103" s="208"/>
      <c r="AF103" s="63"/>
      <c r="AG103" s="63"/>
      <c r="AH103" s="63"/>
      <c r="AI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N103" s="208"/>
      <c r="BO103" s="208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D103" s="8"/>
      <c r="CE103" s="8"/>
      <c r="CF103" s="8"/>
      <c r="CG103" s="8"/>
    </row>
    <row r="104" spans="1:85" s="7" customFormat="1">
      <c r="A104" s="136"/>
      <c r="B104" s="136"/>
      <c r="C104" s="136"/>
      <c r="D104" s="136"/>
      <c r="E104" s="136"/>
      <c r="G104" s="63"/>
      <c r="H104" s="63"/>
      <c r="I104" s="63"/>
      <c r="J104" s="63"/>
      <c r="Z104" s="136"/>
      <c r="AA104" s="208"/>
      <c r="AB104" s="208"/>
      <c r="AC104" s="208"/>
      <c r="AD104" s="208"/>
      <c r="AF104" s="63"/>
      <c r="AG104" s="63"/>
      <c r="AH104" s="63"/>
      <c r="AI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N104" s="208"/>
      <c r="BO104" s="208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D104" s="8"/>
      <c r="CE104" s="8"/>
      <c r="CF104" s="8"/>
      <c r="CG104" s="8"/>
    </row>
    <row r="105" spans="1:85" s="7" customFormat="1">
      <c r="A105" s="136"/>
      <c r="B105" s="136"/>
      <c r="C105" s="136"/>
      <c r="D105" s="136"/>
      <c r="E105" s="136"/>
      <c r="G105" s="63"/>
      <c r="H105" s="63"/>
      <c r="I105" s="63"/>
      <c r="J105" s="63"/>
      <c r="Z105" s="136"/>
      <c r="AA105" s="208"/>
      <c r="AB105" s="208"/>
      <c r="AC105" s="208"/>
      <c r="AD105" s="208"/>
      <c r="AF105" s="63"/>
      <c r="AG105" s="63"/>
      <c r="AH105" s="63"/>
      <c r="AI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N105" s="208"/>
      <c r="BO105" s="208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D105" s="8"/>
      <c r="CE105" s="8"/>
      <c r="CF105" s="8"/>
      <c r="CG105" s="8"/>
    </row>
    <row r="106" spans="1:85" s="7" customFormat="1">
      <c r="A106" s="136"/>
      <c r="B106" s="136"/>
      <c r="C106" s="136"/>
      <c r="D106" s="136"/>
      <c r="E106" s="136"/>
      <c r="G106" s="63"/>
      <c r="H106" s="63"/>
      <c r="I106" s="63"/>
      <c r="J106" s="63"/>
      <c r="Z106" s="136"/>
      <c r="AA106" s="208"/>
      <c r="AB106" s="208"/>
      <c r="AC106" s="208"/>
      <c r="AD106" s="208"/>
      <c r="AF106" s="63"/>
      <c r="AG106" s="63"/>
      <c r="AH106" s="63"/>
      <c r="AI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N106" s="208"/>
      <c r="BO106" s="208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D106" s="8"/>
      <c r="CE106" s="8"/>
      <c r="CF106" s="8"/>
      <c r="CG106" s="8"/>
    </row>
    <row r="107" spans="1:85" s="7" customFormat="1">
      <c r="A107" s="136"/>
      <c r="B107" s="136"/>
      <c r="C107" s="136"/>
      <c r="D107" s="136"/>
      <c r="E107" s="136"/>
      <c r="G107" s="63"/>
      <c r="H107" s="63"/>
      <c r="I107" s="63"/>
      <c r="J107" s="63"/>
      <c r="Z107" s="136"/>
      <c r="AA107" s="208"/>
      <c r="AB107" s="208"/>
      <c r="AC107" s="208"/>
      <c r="AD107" s="208"/>
      <c r="AF107" s="63"/>
      <c r="AG107" s="63"/>
      <c r="AH107" s="63"/>
      <c r="AI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N107" s="208"/>
      <c r="BO107" s="208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D107" s="8"/>
      <c r="CE107" s="8"/>
      <c r="CF107" s="8"/>
      <c r="CG107" s="8"/>
    </row>
    <row r="108" spans="1:85" s="7" customFormat="1">
      <c r="A108" s="136"/>
      <c r="B108" s="136"/>
      <c r="C108" s="136"/>
      <c r="D108" s="136"/>
      <c r="E108" s="136"/>
      <c r="G108" s="63"/>
      <c r="H108" s="63"/>
      <c r="I108" s="63"/>
      <c r="J108" s="63"/>
      <c r="Z108" s="136"/>
      <c r="AA108" s="208"/>
      <c r="AB108" s="208"/>
      <c r="AC108" s="208"/>
      <c r="AD108" s="208"/>
      <c r="AF108" s="63"/>
      <c r="AG108" s="63"/>
      <c r="AH108" s="63"/>
      <c r="AI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N108" s="208"/>
      <c r="BO108" s="208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D108" s="8"/>
      <c r="CE108" s="8"/>
      <c r="CF108" s="8"/>
      <c r="CG108" s="8"/>
    </row>
    <row r="109" spans="1:85" s="7" customFormat="1">
      <c r="A109" s="136"/>
      <c r="B109" s="136"/>
      <c r="C109" s="136"/>
      <c r="D109" s="136"/>
      <c r="E109" s="136"/>
      <c r="G109" s="63"/>
      <c r="H109" s="63"/>
      <c r="I109" s="63"/>
      <c r="J109" s="63"/>
      <c r="Z109" s="136"/>
      <c r="AA109" s="208"/>
      <c r="AB109" s="208"/>
      <c r="AC109" s="208"/>
      <c r="AD109" s="208"/>
      <c r="AF109" s="63"/>
      <c r="AG109" s="63"/>
      <c r="AH109" s="63"/>
      <c r="AI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N109" s="208"/>
      <c r="BO109" s="208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D109" s="8"/>
      <c r="CE109" s="8"/>
      <c r="CF109" s="8"/>
      <c r="CG109" s="8"/>
    </row>
    <row r="110" spans="1:85">
      <c r="A110" s="136"/>
      <c r="B110" s="136"/>
      <c r="C110" s="136"/>
      <c r="D110" s="136"/>
      <c r="E110" s="136"/>
      <c r="G110" s="63"/>
      <c r="H110" s="63"/>
      <c r="I110" s="63"/>
      <c r="J110" s="63"/>
      <c r="Z110" s="136"/>
      <c r="AA110" s="208"/>
      <c r="AB110" s="208"/>
      <c r="AC110" s="208"/>
      <c r="AD110" s="208"/>
      <c r="AF110" s="63"/>
      <c r="AG110" s="63"/>
      <c r="AH110" s="63"/>
      <c r="AI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N110" s="208"/>
      <c r="BO110" s="208"/>
    </row>
    <row r="111" spans="1:85">
      <c r="A111" s="136"/>
      <c r="B111" s="136"/>
      <c r="C111" s="136"/>
      <c r="D111" s="136"/>
      <c r="E111" s="136"/>
      <c r="G111" s="63"/>
      <c r="H111" s="63"/>
      <c r="I111" s="63"/>
      <c r="J111" s="63"/>
      <c r="Z111" s="136"/>
      <c r="AA111" s="208"/>
      <c r="AB111" s="208"/>
      <c r="AC111" s="208"/>
      <c r="AD111" s="208"/>
      <c r="AF111" s="63"/>
      <c r="AG111" s="63"/>
      <c r="AH111" s="63"/>
      <c r="AI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N111" s="208"/>
      <c r="BO111" s="208"/>
    </row>
    <row r="112" spans="1:85">
      <c r="A112" s="136"/>
      <c r="B112" s="136"/>
      <c r="C112" s="136"/>
      <c r="D112" s="136"/>
      <c r="E112" s="136"/>
      <c r="G112" s="63"/>
      <c r="H112" s="63"/>
      <c r="I112" s="63"/>
      <c r="J112" s="63"/>
      <c r="Z112" s="136"/>
      <c r="AA112" s="208"/>
      <c r="AB112" s="208"/>
      <c r="AC112" s="208"/>
      <c r="AD112" s="208"/>
      <c r="AF112" s="63"/>
      <c r="AG112" s="63"/>
      <c r="AH112" s="63"/>
      <c r="AI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N112" s="208"/>
      <c r="BO112" s="208"/>
    </row>
    <row r="113" spans="1:67">
      <c r="A113" s="136"/>
      <c r="B113" s="136"/>
      <c r="C113" s="136"/>
      <c r="D113" s="136"/>
      <c r="E113" s="136"/>
      <c r="G113" s="63"/>
      <c r="H113" s="63"/>
      <c r="I113" s="63"/>
      <c r="J113" s="63"/>
      <c r="Z113" s="136"/>
      <c r="AA113" s="208"/>
      <c r="AB113" s="208"/>
      <c r="AC113" s="208"/>
      <c r="AD113" s="208"/>
      <c r="AF113" s="63"/>
      <c r="AG113" s="63"/>
      <c r="AH113" s="63"/>
      <c r="AI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N113" s="208"/>
      <c r="BO113" s="208"/>
    </row>
    <row r="114" spans="1:67">
      <c r="A114" s="136"/>
      <c r="B114" s="136"/>
      <c r="C114" s="136"/>
      <c r="D114" s="136"/>
      <c r="E114" s="136"/>
      <c r="G114" s="63"/>
      <c r="H114" s="63"/>
      <c r="I114" s="63"/>
      <c r="J114" s="63"/>
      <c r="Z114" s="136"/>
      <c r="AA114" s="208"/>
      <c r="AB114" s="208"/>
      <c r="AC114" s="208"/>
      <c r="AD114" s="208"/>
      <c r="AF114" s="63"/>
      <c r="AG114" s="63"/>
      <c r="AH114" s="63"/>
      <c r="AI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N114" s="208"/>
      <c r="BO114" s="208"/>
    </row>
    <row r="115" spans="1:67">
      <c r="A115" s="136"/>
      <c r="B115" s="136"/>
      <c r="C115" s="136"/>
      <c r="D115" s="136"/>
      <c r="E115" s="136"/>
      <c r="G115" s="63"/>
      <c r="H115" s="63"/>
      <c r="I115" s="63"/>
      <c r="J115" s="63"/>
      <c r="Z115" s="136"/>
      <c r="AA115" s="208"/>
      <c r="AB115" s="208"/>
      <c r="AC115" s="208"/>
      <c r="AD115" s="208"/>
      <c r="AF115" s="63"/>
      <c r="AG115" s="63"/>
      <c r="AH115" s="63"/>
      <c r="AI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N115" s="208"/>
      <c r="BO115" s="208"/>
    </row>
    <row r="116" spans="1:67">
      <c r="A116" s="136"/>
      <c r="B116" s="136"/>
      <c r="C116" s="136"/>
      <c r="D116" s="136"/>
      <c r="E116" s="136"/>
      <c r="G116" s="63"/>
      <c r="H116" s="63"/>
      <c r="I116" s="63"/>
      <c r="J116" s="63"/>
      <c r="Z116" s="136"/>
      <c r="AA116" s="208"/>
      <c r="AB116" s="208"/>
      <c r="AC116" s="208"/>
      <c r="AD116" s="208"/>
      <c r="AF116" s="63"/>
      <c r="AG116" s="63"/>
      <c r="AH116" s="63"/>
      <c r="AI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N116" s="208"/>
      <c r="BO116" s="208"/>
    </row>
    <row r="117" spans="1:67">
      <c r="A117" s="136"/>
      <c r="B117" s="136"/>
      <c r="C117" s="136"/>
      <c r="D117" s="136"/>
      <c r="E117" s="136"/>
      <c r="G117" s="63"/>
      <c r="H117" s="63"/>
      <c r="I117" s="63"/>
      <c r="J117" s="63"/>
      <c r="Z117" s="136"/>
      <c r="AA117" s="208"/>
      <c r="AB117" s="208"/>
      <c r="AC117" s="208"/>
      <c r="AD117" s="208"/>
      <c r="AF117" s="63"/>
      <c r="AG117" s="63"/>
      <c r="AH117" s="63"/>
      <c r="AI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N117" s="208"/>
      <c r="BO117" s="208"/>
    </row>
    <row r="118" spans="1:67">
      <c r="B118" s="136"/>
      <c r="C118" s="136"/>
      <c r="D118" s="136"/>
      <c r="E118" s="136"/>
      <c r="G118" s="63"/>
      <c r="H118" s="63"/>
      <c r="I118" s="63"/>
      <c r="J118" s="63"/>
      <c r="Z118" s="136"/>
      <c r="AA118" s="208"/>
      <c r="AB118" s="208"/>
      <c r="AC118" s="208"/>
      <c r="AD118" s="208"/>
      <c r="AF118" s="63"/>
      <c r="AG118" s="63"/>
      <c r="AH118" s="63"/>
      <c r="AI118" s="63"/>
      <c r="BJ118" s="8"/>
      <c r="BK118" s="8"/>
      <c r="BL118" s="8"/>
      <c r="BM118" s="8"/>
      <c r="BN118" s="208"/>
      <c r="BO118" s="208"/>
    </row>
    <row r="119" spans="1:67">
      <c r="B119" s="136"/>
      <c r="C119" s="136"/>
      <c r="D119" s="136"/>
      <c r="E119" s="136"/>
      <c r="G119" s="63"/>
      <c r="H119" s="63"/>
      <c r="I119" s="63"/>
      <c r="J119" s="63"/>
      <c r="Z119" s="136"/>
      <c r="AA119" s="208"/>
      <c r="AB119" s="208"/>
      <c r="AC119" s="208"/>
      <c r="AD119" s="208"/>
      <c r="AF119" s="63"/>
      <c r="AG119" s="63"/>
      <c r="AH119" s="63"/>
      <c r="AI119" s="63"/>
      <c r="BJ119" s="8"/>
      <c r="BK119" s="8"/>
      <c r="BL119" s="8"/>
      <c r="BM119" s="8"/>
      <c r="BN119" s="208"/>
      <c r="BO119" s="208"/>
    </row>
    <row r="120" spans="1:67">
      <c r="B120" s="136"/>
      <c r="C120" s="136"/>
      <c r="D120" s="136"/>
      <c r="E120" s="136"/>
      <c r="G120" s="63"/>
      <c r="H120" s="63"/>
      <c r="I120" s="63"/>
      <c r="J120" s="63"/>
      <c r="Z120" s="136"/>
      <c r="AA120" s="208"/>
      <c r="AB120" s="208"/>
      <c r="AC120" s="208"/>
      <c r="AD120" s="208"/>
      <c r="BJ120" s="8"/>
      <c r="BK120" s="8"/>
      <c r="BL120" s="8"/>
      <c r="BM120" s="8"/>
      <c r="BN120" s="208"/>
      <c r="BO120" s="208"/>
    </row>
    <row r="121" spans="1:67">
      <c r="B121" s="136"/>
      <c r="C121" s="136"/>
      <c r="D121" s="136"/>
      <c r="E121" s="136"/>
      <c r="G121" s="63"/>
      <c r="H121" s="63"/>
      <c r="I121" s="63"/>
      <c r="J121" s="63"/>
      <c r="Z121" s="136"/>
      <c r="AA121" s="208"/>
      <c r="AB121" s="208"/>
      <c r="AC121" s="208"/>
      <c r="AD121" s="208"/>
      <c r="BJ121" s="8"/>
      <c r="BK121" s="8"/>
      <c r="BL121" s="8"/>
      <c r="BM121" s="8"/>
      <c r="BN121" s="208"/>
      <c r="BO121" s="208"/>
    </row>
    <row r="122" spans="1:67">
      <c r="B122" s="136"/>
      <c r="C122" s="136"/>
      <c r="D122" s="136"/>
      <c r="E122" s="136"/>
      <c r="G122" s="63"/>
      <c r="H122" s="63"/>
      <c r="I122" s="63"/>
      <c r="J122" s="63"/>
      <c r="Z122" s="136"/>
      <c r="AA122" s="208"/>
      <c r="AB122" s="208"/>
      <c r="AC122" s="208"/>
      <c r="AD122" s="208"/>
      <c r="BJ122" s="8"/>
      <c r="BK122" s="8"/>
      <c r="BL122" s="8"/>
      <c r="BM122" s="8"/>
      <c r="BN122" s="208"/>
      <c r="BO122" s="208"/>
    </row>
    <row r="123" spans="1:67">
      <c r="B123" s="136"/>
      <c r="C123" s="136"/>
      <c r="D123" s="136"/>
      <c r="E123" s="136"/>
      <c r="G123" s="63"/>
      <c r="H123" s="63"/>
      <c r="I123" s="63"/>
      <c r="J123" s="63"/>
      <c r="Z123" s="136"/>
      <c r="AA123" s="208"/>
      <c r="AB123" s="208"/>
      <c r="AC123" s="208"/>
      <c r="AD123" s="208"/>
      <c r="BJ123" s="8"/>
      <c r="BK123" s="8"/>
      <c r="BL123" s="8"/>
      <c r="BM123" s="8"/>
      <c r="BN123" s="208"/>
      <c r="BO123" s="208"/>
    </row>
    <row r="124" spans="1:67">
      <c r="B124" s="136"/>
      <c r="C124" s="136"/>
      <c r="D124" s="136"/>
      <c r="E124" s="136"/>
      <c r="G124" s="63"/>
      <c r="H124" s="63"/>
      <c r="I124" s="63"/>
      <c r="J124" s="63"/>
      <c r="Z124" s="136"/>
      <c r="AA124" s="208"/>
      <c r="AB124" s="208"/>
      <c r="AC124" s="208"/>
      <c r="AD124" s="208"/>
      <c r="BJ124" s="8"/>
      <c r="BK124" s="8"/>
      <c r="BL124" s="8"/>
      <c r="BM124" s="8"/>
      <c r="BN124" s="208"/>
      <c r="BO124" s="208"/>
    </row>
    <row r="125" spans="1:67">
      <c r="B125" s="136"/>
      <c r="C125" s="136"/>
      <c r="D125" s="136"/>
      <c r="E125" s="136"/>
      <c r="G125" s="63"/>
      <c r="H125" s="63"/>
      <c r="I125" s="63"/>
      <c r="J125" s="63"/>
      <c r="Z125" s="136"/>
      <c r="AA125" s="208"/>
      <c r="AB125" s="208"/>
      <c r="AC125" s="208"/>
      <c r="AD125" s="208"/>
      <c r="BJ125" s="8"/>
      <c r="BK125" s="8"/>
      <c r="BL125" s="8"/>
      <c r="BM125" s="8"/>
      <c r="BN125" s="208"/>
      <c r="BO125" s="208"/>
    </row>
    <row r="126" spans="1:67">
      <c r="B126" s="136"/>
      <c r="C126" s="136"/>
      <c r="D126" s="136"/>
      <c r="E126" s="136"/>
      <c r="G126" s="63"/>
      <c r="H126" s="63"/>
      <c r="I126" s="63"/>
      <c r="J126" s="63"/>
      <c r="Z126" s="136"/>
      <c r="AA126" s="208"/>
      <c r="AB126" s="208"/>
      <c r="AC126" s="208"/>
      <c r="AD126" s="208"/>
      <c r="BJ126" s="8"/>
      <c r="BK126" s="8"/>
      <c r="BL126" s="8"/>
      <c r="BM126" s="8"/>
      <c r="BN126" s="208"/>
      <c r="BO126" s="208"/>
    </row>
    <row r="127" spans="1:67">
      <c r="B127" s="136"/>
      <c r="C127" s="136"/>
      <c r="D127" s="136"/>
      <c r="E127" s="136"/>
      <c r="G127" s="63"/>
      <c r="H127" s="63"/>
      <c r="I127" s="63"/>
      <c r="J127" s="63"/>
      <c r="Z127" s="136"/>
      <c r="AA127" s="208"/>
      <c r="AB127" s="208"/>
      <c r="AC127" s="208"/>
      <c r="AD127" s="208"/>
      <c r="BJ127" s="8"/>
      <c r="BK127" s="8"/>
      <c r="BL127" s="8"/>
      <c r="BM127" s="8"/>
      <c r="BN127" s="208"/>
      <c r="BO127" s="208"/>
    </row>
    <row r="128" spans="1:67">
      <c r="B128" s="136"/>
      <c r="C128" s="136"/>
      <c r="D128" s="136"/>
      <c r="E128" s="136"/>
      <c r="Z128" s="136"/>
      <c r="AA128" s="208"/>
      <c r="AB128" s="208"/>
      <c r="AC128" s="208"/>
      <c r="AD128" s="208"/>
      <c r="BJ128" s="8"/>
      <c r="BK128" s="8"/>
      <c r="BL128" s="8"/>
      <c r="BM128" s="8"/>
      <c r="BN128" s="208"/>
      <c r="BO128" s="208"/>
    </row>
    <row r="129" spans="2:67">
      <c r="B129" s="136"/>
      <c r="C129" s="136"/>
      <c r="D129" s="136"/>
      <c r="E129" s="136"/>
      <c r="Z129" s="136"/>
      <c r="AA129" s="208"/>
      <c r="AB129" s="208"/>
      <c r="AC129" s="208"/>
      <c r="AD129" s="208"/>
      <c r="BN129" s="208"/>
      <c r="BO129" s="208"/>
    </row>
    <row r="130" spans="2:67">
      <c r="B130" s="136"/>
      <c r="C130" s="136"/>
      <c r="D130" s="136"/>
      <c r="E130" s="136"/>
      <c r="Z130" s="136"/>
      <c r="AA130" s="208"/>
      <c r="AB130" s="208"/>
      <c r="AC130" s="208"/>
      <c r="AD130" s="208"/>
      <c r="BJ130" s="8"/>
      <c r="BK130" s="8"/>
      <c r="BL130" s="8"/>
      <c r="BM130" s="8"/>
      <c r="BN130" s="208"/>
      <c r="BO130" s="208"/>
    </row>
    <row r="131" spans="2:67">
      <c r="B131" s="136"/>
      <c r="C131" s="136"/>
      <c r="D131" s="136"/>
      <c r="E131" s="136"/>
      <c r="Z131" s="136"/>
      <c r="AA131" s="208"/>
      <c r="AB131" s="208"/>
      <c r="AC131" s="208"/>
      <c r="AD131" s="208"/>
      <c r="BJ131" s="8"/>
      <c r="BK131" s="8"/>
      <c r="BL131" s="8"/>
      <c r="BM131" s="8"/>
      <c r="BN131" s="208"/>
      <c r="BO131" s="208"/>
    </row>
    <row r="132" spans="2:67">
      <c r="B132" s="136"/>
      <c r="C132" s="136"/>
      <c r="D132" s="136"/>
      <c r="E132" s="136"/>
      <c r="Z132" s="136"/>
      <c r="AA132" s="208"/>
      <c r="AB132" s="208"/>
      <c r="AC132" s="208"/>
      <c r="AD132" s="208"/>
      <c r="BJ132" s="8"/>
      <c r="BK132" s="8"/>
      <c r="BL132" s="8"/>
      <c r="BM132" s="8"/>
      <c r="BN132" s="208"/>
    </row>
    <row r="133" spans="2:67">
      <c r="B133" s="136"/>
      <c r="C133" s="136"/>
      <c r="D133" s="136"/>
      <c r="E133" s="136"/>
      <c r="Z133" s="136"/>
      <c r="AA133" s="208"/>
      <c r="AB133" s="208"/>
      <c r="AC133" s="208"/>
      <c r="AD133" s="208"/>
      <c r="BJ133" s="8"/>
      <c r="BK133" s="8"/>
      <c r="BL133" s="8"/>
      <c r="BM133" s="8"/>
    </row>
    <row r="134" spans="2:67">
      <c r="B134" s="136"/>
      <c r="C134" s="136"/>
      <c r="D134" s="136"/>
      <c r="E134" s="136"/>
      <c r="Z134" s="136"/>
      <c r="AA134" s="208"/>
      <c r="AB134" s="208"/>
      <c r="AC134" s="208"/>
      <c r="AD134" s="208"/>
      <c r="BJ134" s="8"/>
      <c r="BK134" s="8"/>
      <c r="BL134" s="8"/>
      <c r="BM134" s="8"/>
    </row>
    <row r="135" spans="2:67">
      <c r="B135" s="136"/>
      <c r="C135" s="136"/>
      <c r="D135" s="136"/>
      <c r="E135" s="136"/>
      <c r="Z135" s="136"/>
      <c r="AA135" s="136"/>
      <c r="AB135" s="136"/>
      <c r="AC135" s="136"/>
      <c r="AD135" s="136"/>
      <c r="BJ135" s="8"/>
      <c r="BK135" s="8"/>
      <c r="BL135" s="8"/>
      <c r="BM135" s="8"/>
    </row>
    <row r="136" spans="2:67">
      <c r="B136" s="136"/>
      <c r="C136" s="136"/>
      <c r="D136" s="136"/>
      <c r="E136" s="136"/>
      <c r="Z136" s="136"/>
      <c r="AA136" s="136"/>
      <c r="AB136" s="136"/>
      <c r="AC136" s="136"/>
      <c r="AD136" s="136"/>
      <c r="BJ136" s="8"/>
      <c r="BK136" s="8"/>
      <c r="BL136" s="8"/>
      <c r="BM136" s="8"/>
    </row>
    <row r="137" spans="2:67">
      <c r="B137" s="136"/>
      <c r="C137" s="136"/>
      <c r="D137" s="136"/>
      <c r="E137" s="136"/>
      <c r="Z137" s="136"/>
      <c r="AA137" s="136"/>
      <c r="AB137" s="136"/>
      <c r="AC137" s="136"/>
      <c r="AD137" s="136"/>
    </row>
    <row r="138" spans="2:67">
      <c r="B138" s="136"/>
      <c r="C138" s="136"/>
      <c r="D138" s="136"/>
      <c r="E138" s="136"/>
      <c r="Z138" s="136"/>
      <c r="AA138" s="136"/>
      <c r="AB138" s="136"/>
      <c r="AC138" s="136"/>
      <c r="AD138" s="136"/>
    </row>
    <row r="139" spans="2:67">
      <c r="B139" s="136"/>
      <c r="C139" s="136"/>
      <c r="D139" s="136"/>
      <c r="E139" s="136"/>
      <c r="Z139" s="136"/>
      <c r="AA139" s="136"/>
      <c r="AB139" s="136"/>
      <c r="AC139" s="136"/>
      <c r="AD139" s="136"/>
    </row>
    <row r="140" spans="2:67">
      <c r="B140" s="136"/>
      <c r="C140" s="136"/>
      <c r="D140" s="136"/>
      <c r="E140" s="136"/>
      <c r="Z140" s="136"/>
      <c r="AA140" s="136"/>
      <c r="AB140" s="136"/>
      <c r="AC140" s="136"/>
      <c r="AD140" s="136"/>
      <c r="BJ140" s="8"/>
      <c r="BK140" s="8"/>
      <c r="BL140" s="8"/>
      <c r="BM140" s="8"/>
    </row>
    <row r="141" spans="2:67">
      <c r="B141" s="136"/>
      <c r="C141" s="136"/>
      <c r="D141" s="136"/>
      <c r="E141" s="136"/>
      <c r="Z141" s="136"/>
      <c r="AA141" s="136"/>
      <c r="AB141" s="136"/>
      <c r="AC141" s="136"/>
      <c r="AD141" s="136"/>
      <c r="BJ141" s="8"/>
      <c r="BK141" s="8"/>
      <c r="BL141" s="8"/>
      <c r="BM141" s="8"/>
    </row>
    <row r="142" spans="2:67">
      <c r="B142" s="136"/>
      <c r="C142" s="136"/>
      <c r="D142" s="136"/>
      <c r="E142" s="136"/>
      <c r="Z142" s="136"/>
      <c r="AA142" s="136"/>
      <c r="AB142" s="136"/>
      <c r="AC142" s="136"/>
      <c r="AD142" s="136"/>
      <c r="BJ142" s="8"/>
      <c r="BK142" s="8"/>
      <c r="BL142" s="8"/>
      <c r="BM142" s="8"/>
    </row>
    <row r="143" spans="2:67">
      <c r="B143" s="136"/>
      <c r="C143" s="136"/>
      <c r="D143" s="136"/>
      <c r="E143" s="136"/>
      <c r="Z143" s="136"/>
      <c r="AA143" s="136"/>
      <c r="AB143" s="136"/>
      <c r="AC143" s="136"/>
      <c r="AD143" s="136"/>
      <c r="BJ143" s="8"/>
      <c r="BK143" s="8"/>
      <c r="BL143" s="8"/>
      <c r="BM143" s="8"/>
    </row>
    <row r="144" spans="2:67">
      <c r="B144" s="136"/>
      <c r="C144" s="136"/>
      <c r="D144" s="136"/>
      <c r="E144" s="136"/>
      <c r="Z144" s="136"/>
      <c r="AA144" s="136"/>
      <c r="AB144" s="136"/>
      <c r="AC144" s="136"/>
      <c r="AD144" s="136"/>
      <c r="BJ144" s="8"/>
      <c r="BK144" s="8"/>
      <c r="BL144" s="8"/>
      <c r="BM144" s="8"/>
    </row>
    <row r="145" spans="2:65">
      <c r="B145" s="136"/>
      <c r="C145" s="136"/>
      <c r="D145" s="136"/>
      <c r="E145" s="136"/>
      <c r="Z145" s="136"/>
      <c r="AA145" s="136"/>
      <c r="AB145" s="136"/>
      <c r="AC145" s="136"/>
      <c r="AD145" s="136"/>
      <c r="BJ145" s="8"/>
      <c r="BK145" s="8"/>
      <c r="BL145" s="8"/>
      <c r="BM145" s="8"/>
    </row>
    <row r="146" spans="2:65">
      <c r="B146" s="136"/>
      <c r="C146" s="136"/>
      <c r="D146" s="136"/>
      <c r="E146" s="136"/>
      <c r="Z146" s="136"/>
      <c r="AA146" s="136"/>
      <c r="AB146" s="136"/>
      <c r="AC146" s="136"/>
      <c r="AD146" s="136"/>
      <c r="BJ146" s="8"/>
      <c r="BK146" s="8"/>
      <c r="BL146" s="8"/>
      <c r="BM146" s="8"/>
    </row>
    <row r="147" spans="2:65">
      <c r="B147" s="136"/>
      <c r="C147" s="136"/>
      <c r="D147" s="136"/>
      <c r="E147" s="136"/>
      <c r="Z147" s="136"/>
      <c r="AA147" s="136"/>
      <c r="AB147" s="136"/>
      <c r="AC147" s="136"/>
      <c r="AD147" s="136"/>
      <c r="BJ147" s="8"/>
      <c r="BK147" s="8"/>
      <c r="BL147" s="8"/>
      <c r="BM147" s="8"/>
    </row>
    <row r="148" spans="2:65">
      <c r="B148" s="136"/>
      <c r="C148" s="136"/>
      <c r="D148" s="136"/>
      <c r="E148" s="136"/>
      <c r="Z148" s="136"/>
      <c r="AA148" s="136"/>
      <c r="AB148" s="136"/>
      <c r="AC148" s="136"/>
      <c r="AD148" s="136"/>
      <c r="BJ148" s="8"/>
      <c r="BK148" s="8"/>
      <c r="BL148" s="8"/>
      <c r="BM148" s="8"/>
    </row>
    <row r="149" spans="2:65">
      <c r="B149" s="136"/>
      <c r="C149" s="136"/>
      <c r="D149" s="136"/>
      <c r="E149" s="136"/>
      <c r="Z149" s="136"/>
      <c r="AA149" s="136"/>
      <c r="AB149" s="136"/>
      <c r="AC149" s="136"/>
      <c r="AD149" s="136"/>
      <c r="BJ149" s="8"/>
      <c r="BK149" s="8"/>
      <c r="BL149" s="8"/>
      <c r="BM149" s="8"/>
    </row>
    <row r="150" spans="2:65">
      <c r="B150" s="136"/>
      <c r="C150" s="136"/>
      <c r="D150" s="136"/>
      <c r="E150" s="136"/>
      <c r="Z150" s="136"/>
      <c r="AA150" s="136"/>
      <c r="AB150" s="136"/>
      <c r="AC150" s="136"/>
      <c r="AD150" s="136"/>
      <c r="BJ150" s="8"/>
      <c r="BK150" s="8"/>
      <c r="BL150" s="8"/>
      <c r="BM150" s="8"/>
    </row>
    <row r="151" spans="2:65">
      <c r="B151" s="136"/>
      <c r="C151" s="136"/>
      <c r="D151" s="136"/>
      <c r="E151" s="136"/>
      <c r="Z151" s="136"/>
      <c r="AA151" s="136"/>
      <c r="AB151" s="136"/>
      <c r="AC151" s="136"/>
      <c r="AD151" s="136"/>
      <c r="BJ151" s="8"/>
      <c r="BK151" s="8"/>
      <c r="BL151" s="8"/>
      <c r="BM151" s="8"/>
    </row>
    <row r="152" spans="2:65">
      <c r="B152" s="136"/>
      <c r="C152" s="136"/>
      <c r="D152" s="136"/>
      <c r="E152" s="136"/>
      <c r="Z152" s="136"/>
      <c r="AA152" s="136"/>
      <c r="AB152" s="136"/>
      <c r="AC152" s="136"/>
      <c r="AD152" s="136"/>
      <c r="BJ152" s="8"/>
      <c r="BK152" s="8"/>
      <c r="BL152" s="8"/>
      <c r="BM152" s="8"/>
    </row>
    <row r="153" spans="2:65">
      <c r="B153" s="136"/>
      <c r="C153" s="136"/>
      <c r="D153" s="136"/>
      <c r="E153" s="136"/>
      <c r="Z153" s="136"/>
      <c r="AA153" s="136"/>
      <c r="AB153" s="136"/>
      <c r="AC153" s="136"/>
      <c r="AD153" s="136"/>
      <c r="BJ153" s="8"/>
      <c r="BK153" s="8"/>
      <c r="BL153" s="8"/>
      <c r="BM153" s="8"/>
    </row>
    <row r="154" spans="2:65">
      <c r="B154" s="136"/>
      <c r="C154" s="136"/>
      <c r="D154" s="136"/>
      <c r="E154" s="136"/>
      <c r="Z154" s="136"/>
      <c r="AA154" s="136"/>
      <c r="AB154" s="136"/>
      <c r="AC154" s="136"/>
      <c r="AD154" s="136"/>
      <c r="BJ154" s="8"/>
      <c r="BK154" s="8"/>
      <c r="BL154" s="8"/>
      <c r="BM154" s="8"/>
    </row>
    <row r="155" spans="2:65">
      <c r="B155" s="136"/>
      <c r="C155" s="136"/>
      <c r="D155" s="136"/>
      <c r="E155" s="136"/>
      <c r="Z155" s="136"/>
      <c r="AA155" s="136"/>
      <c r="AB155" s="136"/>
      <c r="AC155" s="136"/>
      <c r="AD155" s="136"/>
      <c r="BJ155" s="8"/>
      <c r="BK155" s="8"/>
      <c r="BL155" s="8"/>
      <c r="BM155" s="8"/>
    </row>
    <row r="156" spans="2:65">
      <c r="B156" s="136"/>
      <c r="C156" s="136"/>
      <c r="D156" s="136"/>
      <c r="E156" s="136"/>
      <c r="Z156" s="136"/>
      <c r="AA156" s="136"/>
      <c r="AB156" s="136"/>
      <c r="AC156" s="136"/>
      <c r="AD156" s="136"/>
      <c r="BJ156" s="8"/>
      <c r="BK156" s="8"/>
      <c r="BL156" s="8"/>
      <c r="BM156" s="8"/>
    </row>
    <row r="157" spans="2:65">
      <c r="B157" s="136"/>
      <c r="C157" s="136"/>
      <c r="D157" s="136"/>
      <c r="E157" s="136"/>
      <c r="Z157" s="136"/>
      <c r="AA157" s="136"/>
      <c r="AB157" s="136"/>
      <c r="AC157" s="136"/>
      <c r="AD157" s="136"/>
      <c r="BJ157" s="8"/>
      <c r="BK157" s="8"/>
      <c r="BL157" s="8"/>
      <c r="BM157" s="8"/>
    </row>
    <row r="158" spans="2:65">
      <c r="B158" s="136"/>
      <c r="C158" s="136"/>
      <c r="D158" s="136"/>
      <c r="E158" s="136"/>
      <c r="Z158" s="136"/>
      <c r="AA158" s="136"/>
      <c r="AB158" s="136"/>
      <c r="AC158" s="136"/>
      <c r="AD158" s="136"/>
      <c r="BJ158" s="8"/>
      <c r="BK158" s="8"/>
      <c r="BL158" s="8"/>
      <c r="BM158" s="8"/>
    </row>
    <row r="159" spans="2:65">
      <c r="B159" s="136"/>
      <c r="C159" s="136"/>
      <c r="D159" s="136"/>
      <c r="E159" s="136"/>
      <c r="Z159" s="136"/>
      <c r="AA159" s="136"/>
      <c r="AB159" s="136"/>
      <c r="AC159" s="136"/>
      <c r="AD159" s="136"/>
      <c r="BJ159" s="8"/>
      <c r="BK159" s="8"/>
      <c r="BL159" s="8"/>
      <c r="BM159" s="8"/>
    </row>
    <row r="160" spans="2:65">
      <c r="B160" s="136"/>
      <c r="C160" s="136"/>
      <c r="D160" s="136"/>
      <c r="E160" s="136"/>
      <c r="Z160" s="136"/>
      <c r="AA160" s="136"/>
      <c r="AB160" s="136"/>
      <c r="AC160" s="136"/>
      <c r="AD160" s="136"/>
      <c r="BJ160" s="8"/>
      <c r="BK160" s="8"/>
      <c r="BL160" s="8"/>
      <c r="BM160" s="8"/>
    </row>
    <row r="161" spans="2:65">
      <c r="B161" s="136"/>
      <c r="C161" s="136"/>
      <c r="D161" s="136"/>
      <c r="E161" s="136"/>
      <c r="Z161" s="136"/>
      <c r="AA161" s="136"/>
      <c r="AB161" s="136"/>
      <c r="AC161" s="136"/>
      <c r="AD161" s="136"/>
      <c r="BJ161" s="8"/>
      <c r="BK161" s="8"/>
      <c r="BL161" s="8"/>
      <c r="BM161" s="8"/>
    </row>
    <row r="162" spans="2:65">
      <c r="B162" s="136"/>
      <c r="C162" s="136"/>
      <c r="D162" s="136"/>
      <c r="E162" s="136"/>
      <c r="Z162" s="136"/>
      <c r="AA162" s="136"/>
      <c r="AB162" s="136"/>
      <c r="AC162" s="136"/>
      <c r="AD162" s="136"/>
      <c r="BJ162" s="8"/>
      <c r="BK162" s="8"/>
      <c r="BL162" s="8"/>
      <c r="BM162" s="8"/>
    </row>
    <row r="163" spans="2:65">
      <c r="B163" s="136"/>
      <c r="C163" s="136"/>
      <c r="D163" s="136"/>
      <c r="E163" s="136"/>
      <c r="Z163" s="136"/>
      <c r="AA163" s="136"/>
      <c r="AB163" s="136"/>
      <c r="AC163" s="136"/>
      <c r="AD163" s="136"/>
      <c r="BJ163" s="8"/>
      <c r="BK163" s="8"/>
      <c r="BL163" s="8"/>
      <c r="BM163" s="8"/>
    </row>
    <row r="164" spans="2:65">
      <c r="B164" s="136"/>
      <c r="C164" s="136"/>
      <c r="D164" s="136"/>
      <c r="E164" s="136"/>
      <c r="Z164" s="136"/>
      <c r="AA164" s="136"/>
      <c r="AB164" s="136"/>
      <c r="AC164" s="136"/>
      <c r="AD164" s="136"/>
      <c r="BJ164" s="8"/>
      <c r="BK164" s="8"/>
      <c r="BL164" s="8"/>
      <c r="BM164" s="8"/>
    </row>
    <row r="165" spans="2:65">
      <c r="B165" s="136"/>
      <c r="C165" s="136"/>
      <c r="D165" s="136"/>
      <c r="E165" s="136"/>
      <c r="Z165" s="136"/>
      <c r="AA165" s="136"/>
      <c r="AB165" s="136"/>
      <c r="AC165" s="136"/>
      <c r="AD165" s="136"/>
      <c r="BJ165" s="8"/>
      <c r="BK165" s="8"/>
      <c r="BL165" s="8"/>
      <c r="BM165" s="8"/>
    </row>
    <row r="166" spans="2:65">
      <c r="B166" s="136"/>
      <c r="C166" s="136"/>
      <c r="D166" s="136"/>
      <c r="E166" s="136"/>
      <c r="Z166" s="136"/>
      <c r="AA166" s="136"/>
      <c r="AB166" s="136"/>
      <c r="AC166" s="136"/>
      <c r="AD166" s="136"/>
      <c r="BJ166" s="8"/>
      <c r="BK166" s="8"/>
      <c r="BL166" s="8"/>
      <c r="BM166" s="8"/>
    </row>
    <row r="167" spans="2:65">
      <c r="B167" s="136"/>
      <c r="C167" s="136"/>
      <c r="D167" s="136"/>
      <c r="E167" s="136"/>
      <c r="Z167" s="136"/>
      <c r="AA167" s="136"/>
      <c r="AB167" s="136"/>
      <c r="AC167" s="136"/>
      <c r="AD167" s="136"/>
      <c r="BJ167" s="8"/>
      <c r="BK167" s="8"/>
      <c r="BL167" s="8"/>
      <c r="BM167" s="8"/>
    </row>
    <row r="168" spans="2:65">
      <c r="B168" s="136"/>
      <c r="C168" s="136"/>
      <c r="D168" s="136"/>
      <c r="E168" s="136"/>
      <c r="Z168" s="136"/>
      <c r="AA168" s="136"/>
      <c r="AB168" s="136"/>
      <c r="AC168" s="136"/>
      <c r="AD168" s="136"/>
      <c r="BJ168" s="8"/>
      <c r="BK168" s="8"/>
      <c r="BL168" s="8"/>
      <c r="BM168" s="8"/>
    </row>
    <row r="169" spans="2:65">
      <c r="B169" s="136"/>
      <c r="C169" s="136"/>
      <c r="D169" s="136"/>
      <c r="E169" s="136"/>
      <c r="Z169" s="136"/>
      <c r="AA169" s="136"/>
      <c r="AB169" s="136"/>
      <c r="AC169" s="136"/>
      <c r="AD169" s="136"/>
      <c r="BJ169" s="8"/>
      <c r="BK169" s="8"/>
      <c r="BL169" s="8"/>
      <c r="BM169" s="8"/>
    </row>
    <row r="170" spans="2:65">
      <c r="B170" s="136"/>
      <c r="C170" s="136"/>
      <c r="D170" s="136"/>
      <c r="E170" s="136"/>
      <c r="Z170" s="136"/>
      <c r="AA170" s="136"/>
      <c r="AB170" s="136"/>
      <c r="AC170" s="136"/>
      <c r="AD170" s="136"/>
      <c r="BJ170" s="8"/>
      <c r="BK170" s="8"/>
      <c r="BL170" s="8"/>
      <c r="BM170" s="8"/>
    </row>
    <row r="171" spans="2:65">
      <c r="B171" s="136"/>
      <c r="C171" s="136"/>
      <c r="D171" s="136"/>
      <c r="E171" s="136"/>
      <c r="Z171" s="136"/>
      <c r="AA171" s="136"/>
      <c r="AB171" s="136"/>
      <c r="AC171" s="136"/>
      <c r="AD171" s="136"/>
      <c r="BJ171" s="8"/>
      <c r="BK171" s="8"/>
      <c r="BL171" s="8"/>
      <c r="BM171" s="8"/>
    </row>
    <row r="172" spans="2:65">
      <c r="B172" s="136"/>
      <c r="C172" s="136"/>
      <c r="D172" s="136"/>
      <c r="E172" s="136"/>
      <c r="Z172" s="136"/>
      <c r="AA172" s="136"/>
      <c r="AB172" s="136"/>
      <c r="AC172" s="136"/>
      <c r="AD172" s="136"/>
      <c r="BJ172" s="8"/>
      <c r="BK172" s="8"/>
      <c r="BL172" s="8"/>
      <c r="BM172" s="8"/>
    </row>
    <row r="173" spans="2:65">
      <c r="B173" s="136"/>
      <c r="C173" s="136"/>
      <c r="D173" s="136"/>
      <c r="E173" s="136"/>
      <c r="Z173" s="136"/>
      <c r="AA173" s="136"/>
      <c r="AB173" s="136"/>
      <c r="AC173" s="136"/>
      <c r="AD173" s="136"/>
      <c r="BJ173" s="8"/>
      <c r="BK173" s="8"/>
      <c r="BL173" s="8"/>
      <c r="BM173" s="8"/>
    </row>
    <row r="174" spans="2:65">
      <c r="B174" s="136"/>
      <c r="C174" s="136"/>
      <c r="D174" s="136"/>
      <c r="E174" s="136"/>
      <c r="Z174" s="136"/>
      <c r="AA174" s="136"/>
      <c r="AB174" s="136"/>
      <c r="AC174" s="136"/>
      <c r="AD174" s="136"/>
      <c r="BJ174" s="8"/>
      <c r="BK174" s="8"/>
      <c r="BL174" s="8"/>
      <c r="BM174" s="8"/>
    </row>
    <row r="175" spans="2:65">
      <c r="B175" s="136"/>
      <c r="C175" s="136"/>
      <c r="D175" s="136"/>
      <c r="E175" s="136"/>
      <c r="Z175" s="136"/>
      <c r="AA175" s="136"/>
      <c r="AB175" s="136"/>
      <c r="AC175" s="136"/>
      <c r="AD175" s="136"/>
      <c r="BJ175" s="8"/>
      <c r="BK175" s="8"/>
      <c r="BL175" s="8"/>
      <c r="BM175" s="8"/>
    </row>
    <row r="176" spans="2:65">
      <c r="B176" s="136"/>
      <c r="C176" s="136"/>
      <c r="D176" s="136"/>
      <c r="E176" s="136"/>
      <c r="Z176" s="136"/>
      <c r="AA176" s="136"/>
      <c r="AB176" s="136"/>
      <c r="AC176" s="136"/>
      <c r="AD176" s="136"/>
      <c r="BJ176" s="8"/>
      <c r="BK176" s="8"/>
      <c r="BL176" s="8"/>
      <c r="BM176" s="8"/>
    </row>
    <row r="177" spans="2:65">
      <c r="B177" s="136"/>
      <c r="C177" s="136"/>
      <c r="D177" s="136"/>
      <c r="E177" s="136"/>
      <c r="Z177" s="136"/>
      <c r="AA177" s="136"/>
      <c r="AB177" s="136"/>
      <c r="AC177" s="136"/>
      <c r="AD177" s="136"/>
      <c r="BJ177" s="8"/>
      <c r="BK177" s="8"/>
      <c r="BL177" s="8"/>
      <c r="BM177" s="8"/>
    </row>
    <row r="178" spans="2:65">
      <c r="B178" s="136"/>
      <c r="C178" s="136"/>
      <c r="D178" s="136"/>
      <c r="E178" s="136"/>
      <c r="Z178" s="136"/>
      <c r="AA178" s="136"/>
      <c r="AB178" s="136"/>
      <c r="AC178" s="136"/>
      <c r="AD178" s="136"/>
      <c r="BJ178" s="8"/>
      <c r="BK178" s="8"/>
      <c r="BL178" s="8"/>
      <c r="BM178" s="8"/>
    </row>
    <row r="179" spans="2:65">
      <c r="B179" s="136"/>
      <c r="C179" s="136"/>
      <c r="D179" s="136"/>
      <c r="E179" s="136"/>
      <c r="Z179" s="136"/>
      <c r="AA179" s="136"/>
      <c r="AB179" s="136"/>
      <c r="AC179" s="136"/>
      <c r="AD179" s="136"/>
      <c r="BJ179" s="8"/>
      <c r="BK179" s="8"/>
      <c r="BL179" s="8"/>
      <c r="BM179" s="8"/>
    </row>
    <row r="180" spans="2:65">
      <c r="B180" s="136"/>
      <c r="C180" s="136"/>
      <c r="D180" s="136"/>
      <c r="E180" s="136"/>
      <c r="Z180" s="136"/>
      <c r="AA180" s="136"/>
      <c r="AB180" s="136"/>
      <c r="AC180" s="136"/>
      <c r="AD180" s="136"/>
      <c r="BJ180" s="8"/>
      <c r="BK180" s="8"/>
      <c r="BL180" s="8"/>
      <c r="BM180" s="8"/>
    </row>
    <row r="181" spans="2:65">
      <c r="B181" s="136"/>
      <c r="C181" s="136"/>
      <c r="D181" s="136"/>
      <c r="E181" s="136"/>
      <c r="Z181" s="136"/>
      <c r="AA181" s="136"/>
      <c r="AB181" s="136"/>
      <c r="AC181" s="136"/>
      <c r="AD181" s="136"/>
      <c r="BJ181" s="8"/>
      <c r="BK181" s="8"/>
      <c r="BL181" s="8"/>
      <c r="BM181" s="8"/>
    </row>
    <row r="182" spans="2:65">
      <c r="B182" s="136"/>
      <c r="C182" s="136"/>
      <c r="D182" s="136"/>
      <c r="E182" s="136"/>
      <c r="Z182" s="136"/>
      <c r="AA182" s="136"/>
      <c r="AB182" s="136"/>
      <c r="AC182" s="136"/>
      <c r="AD182" s="136"/>
      <c r="BJ182" s="8"/>
      <c r="BK182" s="8"/>
      <c r="BL182" s="8"/>
      <c r="BM182" s="8"/>
    </row>
    <row r="183" spans="2:65">
      <c r="B183" s="136"/>
      <c r="C183" s="136"/>
      <c r="D183" s="136"/>
      <c r="E183" s="136"/>
      <c r="Z183" s="136"/>
      <c r="AA183" s="136"/>
      <c r="AB183" s="136"/>
      <c r="AC183" s="136"/>
      <c r="AD183" s="136"/>
      <c r="BJ183" s="8"/>
      <c r="BK183" s="8"/>
      <c r="BL183" s="8"/>
      <c r="BM183" s="8"/>
    </row>
    <row r="184" spans="2:65">
      <c r="B184" s="136"/>
      <c r="C184" s="136"/>
      <c r="D184" s="136"/>
      <c r="E184" s="136"/>
      <c r="Z184" s="136"/>
      <c r="AA184" s="136"/>
      <c r="AB184" s="136"/>
      <c r="AC184" s="136"/>
      <c r="AD184" s="136"/>
      <c r="BJ184" s="8"/>
      <c r="BK184" s="8"/>
      <c r="BL184" s="8"/>
      <c r="BM184" s="8"/>
    </row>
    <row r="185" spans="2:65">
      <c r="B185" s="136"/>
      <c r="C185" s="136"/>
      <c r="D185" s="136"/>
      <c r="E185" s="136"/>
      <c r="Z185" s="136"/>
      <c r="AA185" s="136"/>
      <c r="AB185" s="136"/>
      <c r="AC185" s="136"/>
      <c r="AD185" s="136"/>
      <c r="BJ185" s="8"/>
      <c r="BK185" s="8"/>
      <c r="BL185" s="8"/>
      <c r="BM185" s="8"/>
    </row>
    <row r="186" spans="2:65">
      <c r="B186" s="136"/>
      <c r="C186" s="136"/>
      <c r="D186" s="136"/>
      <c r="E186" s="136"/>
      <c r="Z186" s="136"/>
      <c r="AA186" s="136"/>
      <c r="AB186" s="136"/>
      <c r="AC186" s="136"/>
      <c r="AD186" s="136"/>
      <c r="BJ186" s="8"/>
      <c r="BK186" s="8"/>
      <c r="BL186" s="8"/>
      <c r="BM186" s="8"/>
    </row>
    <row r="187" spans="2:65">
      <c r="B187" s="136"/>
      <c r="C187" s="136"/>
      <c r="D187" s="136"/>
      <c r="E187" s="136"/>
      <c r="Z187" s="136"/>
      <c r="AA187" s="136"/>
      <c r="AB187" s="136"/>
      <c r="AC187" s="136"/>
      <c r="AD187" s="136"/>
      <c r="BJ187" s="8"/>
      <c r="BK187" s="8"/>
      <c r="BL187" s="8"/>
      <c r="BM187" s="8"/>
    </row>
    <row r="188" spans="2:65">
      <c r="B188" s="136"/>
      <c r="C188" s="136"/>
      <c r="D188" s="136"/>
      <c r="E188" s="136"/>
      <c r="Z188" s="136"/>
      <c r="AA188" s="136"/>
      <c r="AB188" s="136"/>
      <c r="AC188" s="136"/>
      <c r="AD188" s="136"/>
      <c r="BJ188" s="8"/>
      <c r="BK188" s="8"/>
      <c r="BL188" s="8"/>
      <c r="BM188" s="8"/>
    </row>
    <row r="189" spans="2:65">
      <c r="B189" s="136"/>
      <c r="C189" s="136"/>
      <c r="D189" s="136"/>
      <c r="E189" s="136"/>
      <c r="Z189" s="136"/>
      <c r="AA189" s="136"/>
      <c r="AB189" s="136"/>
      <c r="AC189" s="136"/>
      <c r="AD189" s="136"/>
      <c r="BJ189" s="8"/>
      <c r="BK189" s="8"/>
      <c r="BL189" s="8"/>
      <c r="BM189" s="8"/>
    </row>
    <row r="190" spans="2:65">
      <c r="B190" s="136"/>
      <c r="C190" s="136"/>
      <c r="D190" s="136"/>
      <c r="E190" s="136"/>
      <c r="Z190" s="136"/>
      <c r="AA190" s="136"/>
      <c r="AB190" s="136"/>
      <c r="AC190" s="136"/>
      <c r="AD190" s="136"/>
      <c r="BJ190" s="8"/>
      <c r="BK190" s="8"/>
      <c r="BL190" s="8"/>
      <c r="BM190" s="8"/>
    </row>
    <row r="191" spans="2:65">
      <c r="B191" s="136"/>
      <c r="C191" s="136"/>
      <c r="D191" s="136"/>
      <c r="E191" s="136"/>
      <c r="Z191" s="136"/>
      <c r="AA191" s="136"/>
      <c r="AB191" s="136"/>
      <c r="AC191" s="136"/>
      <c r="AD191" s="136"/>
      <c r="BJ191" s="8"/>
      <c r="BK191" s="8"/>
      <c r="BL191" s="8"/>
      <c r="BM191" s="8"/>
    </row>
    <row r="192" spans="2:65">
      <c r="B192" s="136"/>
      <c r="C192" s="136"/>
      <c r="D192" s="136"/>
      <c r="E192" s="136"/>
      <c r="Z192" s="136"/>
      <c r="AA192" s="136"/>
      <c r="AB192" s="136"/>
      <c r="AC192" s="136"/>
      <c r="AD192" s="136"/>
      <c r="BJ192" s="8"/>
      <c r="BK192" s="8"/>
      <c r="BL192" s="8"/>
      <c r="BM192" s="8"/>
    </row>
    <row r="193" spans="2:65">
      <c r="B193" s="136"/>
      <c r="C193" s="136"/>
      <c r="D193" s="136"/>
      <c r="E193" s="136"/>
      <c r="Z193" s="136"/>
      <c r="AA193" s="136"/>
      <c r="AB193" s="136"/>
      <c r="AC193" s="136"/>
      <c r="AD193" s="136"/>
      <c r="BJ193" s="8"/>
      <c r="BK193" s="8"/>
      <c r="BL193" s="8"/>
      <c r="BM193" s="8"/>
    </row>
    <row r="194" spans="2:65">
      <c r="B194" s="136"/>
      <c r="C194" s="136"/>
      <c r="D194" s="136"/>
      <c r="E194" s="136"/>
      <c r="Z194" s="136"/>
      <c r="AA194" s="136"/>
      <c r="AB194" s="136"/>
      <c r="AC194" s="136"/>
      <c r="AD194" s="136"/>
      <c r="BJ194" s="8"/>
      <c r="BK194" s="8"/>
      <c r="BL194" s="8"/>
      <c r="BM194" s="8"/>
    </row>
    <row r="195" spans="2:65">
      <c r="B195" s="136"/>
      <c r="C195" s="136"/>
      <c r="D195" s="136"/>
      <c r="E195" s="136"/>
      <c r="Z195" s="136"/>
      <c r="AA195" s="136"/>
      <c r="AB195" s="136"/>
      <c r="AC195" s="136"/>
      <c r="AD195" s="136"/>
      <c r="BJ195" s="8"/>
      <c r="BK195" s="8"/>
      <c r="BL195" s="8"/>
      <c r="BM195" s="8"/>
    </row>
    <row r="196" spans="2:65">
      <c r="B196" s="136"/>
      <c r="C196" s="136"/>
      <c r="D196" s="136"/>
      <c r="E196" s="136"/>
      <c r="Z196" s="136"/>
      <c r="AA196" s="136"/>
      <c r="AB196" s="136"/>
      <c r="AC196" s="136"/>
      <c r="AD196" s="136"/>
      <c r="BJ196" s="8"/>
      <c r="BK196" s="8"/>
      <c r="BL196" s="8"/>
      <c r="BM196" s="8"/>
    </row>
    <row r="197" spans="2:65">
      <c r="B197" s="136"/>
      <c r="C197" s="136"/>
      <c r="D197" s="136"/>
      <c r="E197" s="136"/>
      <c r="Z197" s="136"/>
      <c r="AA197" s="136"/>
      <c r="AB197" s="136"/>
      <c r="AC197" s="136"/>
      <c r="AD197" s="136"/>
      <c r="BK197" s="8"/>
      <c r="BL197" s="8"/>
      <c r="BM197" s="8"/>
    </row>
    <row r="198" spans="2:65">
      <c r="B198" s="136"/>
      <c r="C198" s="136"/>
      <c r="D198" s="136"/>
      <c r="E198" s="136"/>
      <c r="Z198" s="136"/>
      <c r="AA198" s="136"/>
      <c r="AB198" s="136"/>
      <c r="AC198" s="136"/>
      <c r="AD198" s="136"/>
      <c r="BK198" s="8"/>
      <c r="BL198" s="8"/>
      <c r="BM198" s="8"/>
    </row>
    <row r="199" spans="2:65">
      <c r="B199" s="136"/>
      <c r="C199" s="136"/>
      <c r="D199" s="136"/>
      <c r="E199" s="136"/>
      <c r="Z199" s="136"/>
      <c r="AA199" s="136"/>
      <c r="AB199" s="136"/>
      <c r="AC199" s="136"/>
      <c r="AD199" s="136"/>
      <c r="BK199" s="8"/>
      <c r="BL199" s="8"/>
      <c r="BM199" s="8"/>
    </row>
    <row r="200" spans="2:65">
      <c r="B200" s="136"/>
      <c r="C200" s="136"/>
      <c r="D200" s="136"/>
      <c r="E200" s="136"/>
      <c r="Z200" s="136"/>
      <c r="AA200" s="136"/>
      <c r="AB200" s="136"/>
      <c r="AC200" s="136"/>
      <c r="AD200" s="136"/>
      <c r="BK200" s="8"/>
      <c r="BL200" s="8"/>
      <c r="BM200" s="8"/>
    </row>
    <row r="201" spans="2:65">
      <c r="B201" s="136"/>
      <c r="C201" s="136"/>
      <c r="D201" s="136"/>
      <c r="E201" s="136"/>
      <c r="Z201" s="136"/>
      <c r="AA201" s="136"/>
      <c r="AB201" s="136"/>
      <c r="AC201" s="136"/>
      <c r="AD201" s="136"/>
      <c r="BK201" s="8"/>
      <c r="BL201" s="8"/>
      <c r="BM201" s="8"/>
    </row>
    <row r="202" spans="2:65">
      <c r="B202" s="136"/>
      <c r="C202" s="136"/>
      <c r="D202" s="136"/>
      <c r="E202" s="136"/>
      <c r="Z202" s="136"/>
      <c r="AA202" s="136"/>
      <c r="AB202" s="136"/>
      <c r="AC202" s="136"/>
      <c r="AD202" s="136"/>
      <c r="BK202" s="8"/>
      <c r="BL202" s="8"/>
      <c r="BM202" s="8"/>
    </row>
    <row r="203" spans="2:65">
      <c r="B203" s="136"/>
      <c r="C203" s="136"/>
      <c r="D203" s="136"/>
      <c r="E203" s="136"/>
      <c r="Z203" s="136"/>
      <c r="AA203" s="136"/>
      <c r="AB203" s="136"/>
      <c r="AC203" s="136"/>
      <c r="AD203" s="136"/>
      <c r="BK203" s="8"/>
      <c r="BL203" s="8"/>
      <c r="BM203" s="8"/>
    </row>
    <row r="204" spans="2:65">
      <c r="B204" s="136"/>
      <c r="C204" s="136"/>
      <c r="D204" s="136"/>
      <c r="E204" s="136"/>
      <c r="Z204" s="136"/>
      <c r="AA204" s="136"/>
      <c r="AB204" s="136"/>
      <c r="AC204" s="136"/>
      <c r="AD204" s="136"/>
      <c r="BK204" s="8"/>
      <c r="BL204" s="8"/>
      <c r="BM204" s="8"/>
    </row>
    <row r="205" spans="2:65">
      <c r="B205" s="136"/>
      <c r="C205" s="136"/>
      <c r="D205" s="136"/>
      <c r="E205" s="136"/>
      <c r="Z205" s="136"/>
      <c r="AA205" s="136"/>
      <c r="AB205" s="136"/>
      <c r="AC205" s="136"/>
      <c r="AD205" s="136"/>
      <c r="BK205" s="8"/>
      <c r="BL205" s="8"/>
      <c r="BM205" s="8"/>
    </row>
    <row r="206" spans="2:65">
      <c r="B206" s="136"/>
      <c r="C206" s="136"/>
      <c r="D206" s="136"/>
      <c r="E206" s="136"/>
      <c r="Z206" s="136"/>
      <c r="AA206" s="136"/>
      <c r="AB206" s="136"/>
      <c r="AC206" s="136"/>
      <c r="AD206" s="136"/>
      <c r="BK206" s="8"/>
      <c r="BL206" s="8"/>
      <c r="BM206" s="8"/>
    </row>
    <row r="207" spans="2:65">
      <c r="B207" s="136"/>
      <c r="C207" s="136"/>
      <c r="D207" s="136"/>
      <c r="E207" s="136"/>
      <c r="Z207" s="136"/>
      <c r="AA207" s="136"/>
      <c r="AB207" s="136"/>
      <c r="AC207" s="136"/>
      <c r="AD207" s="136"/>
      <c r="BK207" s="8"/>
      <c r="BL207" s="8"/>
      <c r="BM207" s="8"/>
    </row>
    <row r="208" spans="2:65">
      <c r="B208" s="136"/>
      <c r="C208" s="136"/>
      <c r="D208" s="136"/>
      <c r="E208" s="136"/>
      <c r="Z208" s="136"/>
      <c r="AA208" s="136"/>
      <c r="AB208" s="136"/>
      <c r="AC208" s="136"/>
      <c r="AD208" s="136"/>
      <c r="BK208" s="8"/>
      <c r="BL208" s="8"/>
      <c r="BM208" s="8"/>
    </row>
    <row r="209" spans="2:65">
      <c r="B209" s="136"/>
      <c r="C209" s="136"/>
      <c r="D209" s="136"/>
      <c r="E209" s="136"/>
      <c r="Z209" s="136"/>
      <c r="AA209" s="136"/>
      <c r="AB209" s="136"/>
      <c r="AC209" s="136"/>
      <c r="AD209" s="136"/>
      <c r="BK209" s="8"/>
      <c r="BL209" s="8"/>
      <c r="BM209" s="8"/>
    </row>
    <row r="210" spans="2:65">
      <c r="B210" s="136"/>
      <c r="C210" s="136"/>
      <c r="D210" s="136"/>
      <c r="E210" s="136"/>
      <c r="Z210" s="136"/>
      <c r="AA210" s="136"/>
      <c r="AB210" s="136"/>
      <c r="AC210" s="136"/>
      <c r="AD210" s="136"/>
      <c r="BK210" s="8"/>
      <c r="BL210" s="8"/>
      <c r="BM210" s="8"/>
    </row>
    <row r="211" spans="2:65">
      <c r="B211" s="136"/>
      <c r="C211" s="136"/>
      <c r="D211" s="136"/>
      <c r="E211" s="136"/>
      <c r="Z211" s="136"/>
      <c r="AA211" s="136"/>
      <c r="AB211" s="136"/>
      <c r="AC211" s="136"/>
      <c r="AD211" s="136"/>
      <c r="BK211" s="8"/>
      <c r="BL211" s="8"/>
      <c r="BM211" s="8"/>
    </row>
    <row r="212" spans="2:65">
      <c r="B212" s="136"/>
      <c r="C212" s="136"/>
      <c r="D212" s="136"/>
      <c r="E212" s="136"/>
      <c r="Z212" s="136"/>
      <c r="AA212" s="136"/>
      <c r="AB212" s="136"/>
      <c r="AC212" s="136"/>
      <c r="AD212" s="136"/>
      <c r="BK212" s="8"/>
      <c r="BL212" s="8"/>
      <c r="BM212" s="8"/>
    </row>
    <row r="213" spans="2:65">
      <c r="B213" s="136"/>
      <c r="C213" s="136"/>
      <c r="D213" s="136"/>
      <c r="E213" s="136"/>
      <c r="Z213" s="136"/>
      <c r="AA213" s="136"/>
      <c r="AB213" s="136"/>
      <c r="AC213" s="136"/>
      <c r="AD213" s="136"/>
      <c r="BK213" s="8"/>
      <c r="BL213" s="8"/>
      <c r="BM213" s="8"/>
    </row>
    <row r="214" spans="2:65">
      <c r="B214" s="136"/>
      <c r="C214" s="136"/>
      <c r="D214" s="136"/>
      <c r="E214" s="136"/>
      <c r="Z214" s="136"/>
      <c r="AA214" s="136"/>
      <c r="AB214" s="136"/>
      <c r="AC214" s="136"/>
      <c r="AD214" s="136"/>
      <c r="BK214" s="8"/>
      <c r="BL214" s="8"/>
      <c r="BM214" s="8"/>
    </row>
    <row r="215" spans="2:65">
      <c r="B215" s="136"/>
      <c r="C215" s="136"/>
      <c r="D215" s="136"/>
      <c r="E215" s="136"/>
      <c r="Z215" s="136"/>
      <c r="AA215" s="136"/>
      <c r="AB215" s="136"/>
      <c r="AC215" s="136"/>
      <c r="AD215" s="136"/>
      <c r="BK215" s="8"/>
      <c r="BL215" s="8"/>
      <c r="BM215" s="8"/>
    </row>
    <row r="216" spans="2:65">
      <c r="B216" s="136"/>
      <c r="C216" s="136"/>
      <c r="D216" s="136"/>
      <c r="E216" s="136"/>
      <c r="Z216" s="136"/>
      <c r="AA216" s="136"/>
      <c r="AB216" s="136"/>
      <c r="AC216" s="136"/>
      <c r="AD216" s="136"/>
      <c r="BK216" s="8"/>
      <c r="BL216" s="8"/>
      <c r="BM216" s="8"/>
    </row>
    <row r="217" spans="2:65">
      <c r="B217" s="136"/>
      <c r="C217" s="136"/>
      <c r="D217" s="136"/>
      <c r="E217" s="136"/>
      <c r="Z217" s="136"/>
      <c r="AA217" s="136"/>
      <c r="AB217" s="136"/>
      <c r="AC217" s="136"/>
      <c r="AD217" s="136"/>
      <c r="BK217" s="8"/>
      <c r="BL217" s="8"/>
      <c r="BM217" s="8"/>
    </row>
    <row r="218" spans="2:65">
      <c r="B218" s="136"/>
      <c r="C218" s="136"/>
      <c r="D218" s="136"/>
      <c r="E218" s="136"/>
      <c r="Z218" s="136"/>
      <c r="AA218" s="136"/>
      <c r="AB218" s="136"/>
      <c r="AC218" s="136"/>
      <c r="AD218" s="136"/>
      <c r="BK218" s="8"/>
      <c r="BL218" s="8"/>
      <c r="BM218" s="8"/>
    </row>
    <row r="219" spans="2:65">
      <c r="B219" s="136"/>
      <c r="C219" s="136"/>
      <c r="D219" s="136"/>
      <c r="E219" s="136"/>
      <c r="Z219" s="136"/>
      <c r="AA219" s="136"/>
      <c r="AB219" s="136"/>
      <c r="AC219" s="136"/>
      <c r="AD219" s="136"/>
      <c r="BK219" s="8"/>
      <c r="BL219" s="8"/>
      <c r="BM219" s="8"/>
    </row>
    <row r="220" spans="2:65">
      <c r="B220" s="136"/>
      <c r="C220" s="136"/>
      <c r="D220" s="136"/>
      <c r="E220" s="136"/>
      <c r="Z220" s="136"/>
      <c r="AA220" s="136"/>
      <c r="AB220" s="136"/>
      <c r="AC220" s="136"/>
      <c r="AD220" s="136"/>
      <c r="BK220" s="8"/>
      <c r="BL220" s="8"/>
      <c r="BM220" s="8"/>
    </row>
    <row r="221" spans="2:65">
      <c r="B221" s="136"/>
      <c r="C221" s="136"/>
      <c r="D221" s="136"/>
      <c r="E221" s="136"/>
      <c r="Z221" s="136"/>
      <c r="AA221" s="136"/>
      <c r="AB221" s="136"/>
      <c r="AC221" s="136"/>
      <c r="AD221" s="136"/>
      <c r="BK221" s="8"/>
      <c r="BL221" s="8"/>
      <c r="BM221" s="8"/>
    </row>
    <row r="222" spans="2:65">
      <c r="B222" s="136"/>
      <c r="C222" s="136"/>
      <c r="D222" s="136"/>
      <c r="E222" s="136"/>
      <c r="Z222" s="136"/>
      <c r="AA222" s="136"/>
      <c r="AB222" s="136"/>
      <c r="AC222" s="136"/>
      <c r="AD222" s="136"/>
      <c r="BK222" s="8"/>
      <c r="BL222" s="8"/>
      <c r="BM222" s="8"/>
    </row>
    <row r="223" spans="2:65">
      <c r="B223" s="136"/>
      <c r="C223" s="136"/>
      <c r="D223" s="136"/>
      <c r="E223" s="136"/>
      <c r="Z223" s="136"/>
      <c r="AA223" s="136"/>
      <c r="AB223" s="136"/>
      <c r="AC223" s="136"/>
      <c r="AD223" s="136"/>
      <c r="BK223" s="8"/>
      <c r="BL223" s="8"/>
      <c r="BM223" s="8"/>
    </row>
    <row r="224" spans="2:65">
      <c r="B224" s="136"/>
      <c r="C224" s="136"/>
      <c r="D224" s="136"/>
      <c r="E224" s="136"/>
      <c r="Z224" s="136"/>
      <c r="AA224" s="136"/>
      <c r="AB224" s="136"/>
      <c r="AC224" s="136"/>
      <c r="AD224" s="136"/>
      <c r="BK224" s="8"/>
      <c r="BL224" s="8"/>
      <c r="BM224" s="8"/>
    </row>
    <row r="225" spans="2:65">
      <c r="B225" s="136"/>
      <c r="C225" s="136"/>
      <c r="D225" s="136"/>
      <c r="E225" s="136"/>
      <c r="Z225" s="136"/>
      <c r="AA225" s="136"/>
      <c r="AB225" s="136"/>
      <c r="AC225" s="136"/>
      <c r="AD225" s="136"/>
      <c r="BK225" s="8"/>
      <c r="BL225" s="8"/>
      <c r="BM225" s="8"/>
    </row>
    <row r="226" spans="2:65">
      <c r="B226" s="136"/>
      <c r="C226" s="136"/>
      <c r="D226" s="136"/>
      <c r="E226" s="136"/>
      <c r="Z226" s="136"/>
      <c r="AA226" s="136"/>
      <c r="AB226" s="136"/>
      <c r="AC226" s="136"/>
      <c r="AD226" s="136"/>
      <c r="BK226" s="8"/>
      <c r="BL226" s="8"/>
      <c r="BM226" s="8"/>
    </row>
    <row r="227" spans="2:65">
      <c r="B227" s="136"/>
      <c r="C227" s="136"/>
      <c r="D227" s="136"/>
      <c r="E227" s="136"/>
      <c r="Z227" s="136"/>
      <c r="AA227" s="136"/>
      <c r="AB227" s="136"/>
      <c r="AC227" s="136"/>
      <c r="AD227" s="136"/>
      <c r="BK227" s="8"/>
      <c r="BL227" s="8"/>
      <c r="BM227" s="8"/>
    </row>
    <row r="228" spans="2:65">
      <c r="B228" s="136"/>
      <c r="C228" s="136"/>
      <c r="D228" s="136"/>
      <c r="E228" s="136"/>
      <c r="Z228" s="136"/>
      <c r="AA228" s="136"/>
      <c r="AB228" s="136"/>
      <c r="AC228" s="136"/>
      <c r="AD228" s="136"/>
      <c r="BK228" s="8"/>
      <c r="BL228" s="8"/>
      <c r="BM228" s="8"/>
    </row>
    <row r="229" spans="2:65">
      <c r="B229" s="136"/>
      <c r="C229" s="136"/>
      <c r="D229" s="136"/>
      <c r="E229" s="136"/>
      <c r="Z229" s="136"/>
      <c r="AA229" s="136"/>
      <c r="AB229" s="136"/>
      <c r="AC229" s="136"/>
      <c r="AD229" s="136"/>
      <c r="BK229" s="8"/>
      <c r="BL229" s="8"/>
      <c r="BM229" s="8"/>
    </row>
    <row r="230" spans="2:65">
      <c r="B230" s="136"/>
      <c r="C230" s="136"/>
      <c r="D230" s="136"/>
      <c r="E230" s="136"/>
      <c r="Z230" s="136"/>
      <c r="AA230" s="136"/>
      <c r="AB230" s="136"/>
      <c r="AC230" s="136"/>
      <c r="AD230" s="136"/>
      <c r="BK230" s="8"/>
      <c r="BL230" s="8"/>
      <c r="BM230" s="8"/>
    </row>
    <row r="231" spans="2:65">
      <c r="B231" s="136"/>
      <c r="C231" s="136"/>
      <c r="D231" s="136"/>
      <c r="E231" s="136"/>
      <c r="Z231" s="136"/>
      <c r="AA231" s="136"/>
      <c r="AB231" s="136"/>
      <c r="AC231" s="136"/>
      <c r="AD231" s="136"/>
      <c r="BK231" s="8"/>
      <c r="BL231" s="8"/>
      <c r="BM231" s="8"/>
    </row>
    <row r="232" spans="2:65">
      <c r="B232" s="136"/>
      <c r="C232" s="136"/>
      <c r="D232" s="136"/>
      <c r="E232" s="136"/>
      <c r="Z232" s="136"/>
      <c r="AA232" s="136"/>
      <c r="AB232" s="136"/>
      <c r="AC232" s="136"/>
      <c r="AD232" s="136"/>
      <c r="BK232" s="8"/>
      <c r="BL232" s="8"/>
      <c r="BM232" s="8"/>
    </row>
    <row r="233" spans="2:65">
      <c r="B233" s="136"/>
      <c r="C233" s="136"/>
      <c r="D233" s="136"/>
      <c r="E233" s="136"/>
      <c r="Z233" s="136"/>
      <c r="AA233" s="136"/>
      <c r="AB233" s="136"/>
      <c r="AC233" s="136"/>
      <c r="AD233" s="136"/>
      <c r="BK233" s="8"/>
      <c r="BL233" s="8"/>
      <c r="BM233" s="8"/>
    </row>
    <row r="234" spans="2:65">
      <c r="B234" s="136"/>
      <c r="C234" s="136"/>
      <c r="D234" s="136"/>
      <c r="E234" s="136"/>
      <c r="Z234" s="136"/>
      <c r="AA234" s="136"/>
      <c r="AB234" s="136"/>
      <c r="AC234" s="136"/>
      <c r="AD234" s="136"/>
      <c r="BK234" s="8"/>
      <c r="BL234" s="8"/>
      <c r="BM234" s="8"/>
    </row>
    <row r="235" spans="2:65">
      <c r="B235" s="136"/>
      <c r="C235" s="136"/>
      <c r="D235" s="136"/>
      <c r="E235" s="136"/>
      <c r="Z235" s="136"/>
      <c r="AA235" s="136"/>
      <c r="AB235" s="136"/>
      <c r="AC235" s="136"/>
      <c r="AD235" s="136"/>
      <c r="BK235" s="8"/>
      <c r="BL235" s="8"/>
      <c r="BM235" s="8"/>
    </row>
    <row r="236" spans="2:65">
      <c r="B236" s="136"/>
      <c r="C236" s="136"/>
      <c r="D236" s="136"/>
      <c r="E236" s="136"/>
      <c r="Z236" s="136"/>
      <c r="AA236" s="136"/>
      <c r="AB236" s="136"/>
      <c r="AC236" s="136"/>
      <c r="AD236" s="136"/>
      <c r="BK236" s="8"/>
      <c r="BL236" s="8"/>
      <c r="BM236" s="8"/>
    </row>
    <row r="237" spans="2:65">
      <c r="B237" s="136"/>
      <c r="C237" s="136"/>
      <c r="D237" s="136"/>
      <c r="E237" s="136"/>
      <c r="Z237" s="136"/>
      <c r="AA237" s="136"/>
      <c r="AB237" s="136"/>
      <c r="AC237" s="136"/>
      <c r="AD237" s="136"/>
      <c r="BK237" s="8"/>
      <c r="BL237" s="8"/>
      <c r="BM237" s="8"/>
    </row>
    <row r="238" spans="2:65">
      <c r="B238" s="136"/>
      <c r="C238" s="136"/>
      <c r="D238" s="136"/>
      <c r="E238" s="136"/>
      <c r="Z238" s="136"/>
      <c r="AA238" s="136"/>
      <c r="AB238" s="136"/>
      <c r="AC238" s="136"/>
      <c r="AD238" s="136"/>
      <c r="BK238" s="8"/>
      <c r="BL238" s="8"/>
      <c r="BM238" s="8"/>
    </row>
    <row r="239" spans="2:65">
      <c r="B239" s="136"/>
      <c r="C239" s="136"/>
      <c r="D239" s="136"/>
      <c r="E239" s="136"/>
      <c r="Z239" s="136"/>
      <c r="AA239" s="208"/>
      <c r="AB239" s="208"/>
      <c r="AC239" s="208"/>
      <c r="AD239" s="208"/>
      <c r="BK239" s="8"/>
      <c r="BL239" s="8"/>
      <c r="BM239" s="8"/>
    </row>
    <row r="240" spans="2:65">
      <c r="B240" s="136"/>
      <c r="C240" s="136"/>
      <c r="D240" s="136"/>
      <c r="E240" s="136"/>
      <c r="Z240" s="136"/>
      <c r="AA240" s="208"/>
      <c r="AB240" s="208"/>
      <c r="AC240" s="208"/>
      <c r="AD240" s="208"/>
      <c r="BK240" s="8"/>
      <c r="BL240" s="8"/>
      <c r="BM240" s="8"/>
    </row>
    <row r="241" spans="2:65">
      <c r="B241" s="136"/>
      <c r="C241" s="136"/>
      <c r="D241" s="136"/>
      <c r="E241" s="136"/>
      <c r="Z241" s="136"/>
      <c r="AA241" s="208"/>
      <c r="AB241" s="208"/>
      <c r="AC241" s="208"/>
      <c r="AD241" s="208"/>
      <c r="BK241" s="8"/>
      <c r="BL241" s="8"/>
      <c r="BM241" s="8"/>
    </row>
    <row r="242" spans="2:65">
      <c r="B242" s="136"/>
      <c r="C242" s="136"/>
      <c r="D242" s="136"/>
      <c r="E242" s="136"/>
      <c r="Z242" s="136"/>
      <c r="AA242" s="208"/>
      <c r="AB242" s="208"/>
      <c r="AC242" s="208"/>
      <c r="AD242" s="208"/>
      <c r="BK242" s="8"/>
      <c r="BL242" s="8"/>
      <c r="BM242" s="8"/>
    </row>
    <row r="243" spans="2:65">
      <c r="B243" s="136"/>
      <c r="C243" s="136"/>
      <c r="D243" s="136"/>
      <c r="E243" s="136"/>
      <c r="Z243" s="136"/>
      <c r="AA243" s="208"/>
      <c r="AB243" s="208"/>
      <c r="AC243" s="208"/>
      <c r="AD243" s="208"/>
      <c r="BK243" s="8"/>
      <c r="BL243" s="8"/>
      <c r="BM243" s="8"/>
    </row>
    <row r="244" spans="2:65">
      <c r="B244" s="136"/>
      <c r="C244" s="136"/>
      <c r="D244" s="136"/>
      <c r="E244" s="136"/>
      <c r="Z244" s="208"/>
      <c r="AA244" s="208"/>
      <c r="AB244" s="208"/>
      <c r="AC244" s="208"/>
      <c r="AD244" s="208"/>
      <c r="BK244" s="8"/>
      <c r="BL244" s="8"/>
      <c r="BM244" s="8"/>
    </row>
    <row r="245" spans="2:65">
      <c r="B245" s="136"/>
      <c r="C245" s="136"/>
      <c r="D245" s="136"/>
      <c r="E245" s="136"/>
      <c r="Z245" s="208"/>
      <c r="AA245" s="208"/>
      <c r="AB245" s="208"/>
      <c r="AC245" s="208"/>
      <c r="AD245" s="208"/>
      <c r="BK245" s="8"/>
      <c r="BL245" s="8"/>
      <c r="BM245" s="8"/>
    </row>
    <row r="246" spans="2:65">
      <c r="B246" s="136"/>
      <c r="C246" s="136"/>
      <c r="D246" s="136"/>
      <c r="E246" s="136"/>
      <c r="Z246" s="208"/>
      <c r="AA246" s="208"/>
      <c r="AB246" s="208"/>
      <c r="AC246" s="208"/>
      <c r="AD246" s="208"/>
      <c r="BK246" s="8"/>
      <c r="BL246" s="8"/>
      <c r="BM246" s="8"/>
    </row>
    <row r="247" spans="2:65">
      <c r="B247" s="136"/>
      <c r="C247" s="136"/>
      <c r="D247" s="136"/>
      <c r="E247" s="136"/>
      <c r="Z247" s="208"/>
      <c r="AA247" s="208"/>
      <c r="AB247" s="208"/>
      <c r="AC247" s="208"/>
      <c r="AD247" s="208"/>
      <c r="BK247" s="8"/>
      <c r="BL247" s="8"/>
      <c r="BM247" s="8"/>
    </row>
    <row r="248" spans="2:65">
      <c r="B248" s="136"/>
      <c r="C248" s="136"/>
      <c r="D248" s="136"/>
      <c r="E248" s="136"/>
      <c r="Z248" s="208"/>
      <c r="AA248" s="208"/>
      <c r="AB248" s="208"/>
      <c r="AC248" s="208"/>
      <c r="AD248" s="208"/>
      <c r="BK248" s="8"/>
      <c r="BL248" s="8"/>
      <c r="BM248" s="8"/>
    </row>
    <row r="249" spans="2:65">
      <c r="B249" s="136"/>
      <c r="C249" s="136"/>
      <c r="D249" s="136"/>
      <c r="E249" s="136"/>
      <c r="Z249" s="208"/>
      <c r="AA249" s="208"/>
      <c r="AB249" s="208"/>
      <c r="AC249" s="208"/>
      <c r="AD249" s="208"/>
      <c r="BK249" s="8"/>
      <c r="BL249" s="8"/>
      <c r="BM249" s="8"/>
    </row>
    <row r="250" spans="2:65">
      <c r="B250" s="136"/>
      <c r="C250" s="136"/>
      <c r="D250" s="136"/>
      <c r="E250" s="136"/>
      <c r="Z250" s="208"/>
      <c r="AA250" s="208"/>
      <c r="AB250" s="208"/>
      <c r="AC250" s="208"/>
      <c r="AD250" s="208"/>
      <c r="BK250" s="8"/>
      <c r="BL250" s="8"/>
      <c r="BM250" s="8"/>
    </row>
    <row r="251" spans="2:65">
      <c r="B251" s="136"/>
      <c r="C251" s="136"/>
      <c r="D251" s="136"/>
      <c r="E251" s="136"/>
      <c r="Z251" s="208"/>
      <c r="AA251" s="208"/>
      <c r="AB251" s="208"/>
      <c r="AC251" s="208"/>
      <c r="AD251" s="208"/>
      <c r="BK251" s="8"/>
      <c r="BL251" s="8"/>
      <c r="BM251" s="8"/>
    </row>
    <row r="252" spans="2:65">
      <c r="B252" s="136"/>
      <c r="C252" s="136"/>
      <c r="D252" s="136"/>
      <c r="E252" s="136"/>
      <c r="Z252" s="208"/>
      <c r="AA252" s="208"/>
      <c r="AB252" s="208"/>
      <c r="AC252" s="208"/>
      <c r="AD252" s="208"/>
      <c r="BK252" s="8"/>
      <c r="BL252" s="8"/>
      <c r="BM252" s="8"/>
    </row>
    <row r="253" spans="2:65">
      <c r="B253" s="136"/>
      <c r="C253" s="136"/>
      <c r="D253" s="136"/>
      <c r="E253" s="136"/>
      <c r="Z253" s="208"/>
      <c r="AA253" s="208"/>
      <c r="AB253" s="208"/>
      <c r="AC253" s="208"/>
      <c r="AD253" s="208"/>
      <c r="BK253" s="8"/>
      <c r="BL253" s="8"/>
      <c r="BM253" s="8"/>
    </row>
    <row r="254" spans="2:65">
      <c r="B254" s="136"/>
      <c r="C254" s="136"/>
      <c r="D254" s="136"/>
      <c r="E254" s="136"/>
      <c r="Z254" s="208"/>
      <c r="AA254" s="208"/>
      <c r="AB254" s="208"/>
      <c r="AC254" s="208"/>
      <c r="AD254" s="208"/>
      <c r="BK254" s="8"/>
      <c r="BL254" s="8"/>
      <c r="BM254" s="8"/>
    </row>
    <row r="255" spans="2:65">
      <c r="B255" s="136"/>
      <c r="C255" s="136"/>
      <c r="D255" s="136"/>
      <c r="E255" s="136"/>
      <c r="Z255" s="208"/>
      <c r="AA255" s="208"/>
      <c r="AB255" s="208"/>
      <c r="AC255" s="208"/>
      <c r="AD255" s="208"/>
      <c r="BK255" s="8"/>
      <c r="BL255" s="8"/>
      <c r="BM255" s="8"/>
    </row>
    <row r="256" spans="2:65">
      <c r="B256" s="136"/>
      <c r="C256" s="136"/>
      <c r="D256" s="136"/>
      <c r="E256" s="136"/>
      <c r="Z256" s="208"/>
      <c r="AA256" s="208"/>
      <c r="AB256" s="208"/>
      <c r="AC256" s="208"/>
      <c r="AD256" s="208"/>
    </row>
    <row r="257" spans="2:30">
      <c r="B257" s="136"/>
      <c r="C257" s="136"/>
      <c r="D257" s="136"/>
      <c r="E257" s="136"/>
      <c r="Z257" s="208"/>
      <c r="AA257" s="208"/>
      <c r="AB257" s="208"/>
      <c r="AC257" s="208"/>
      <c r="AD257" s="208"/>
    </row>
    <row r="258" spans="2:30">
      <c r="B258" s="136"/>
      <c r="C258" s="136"/>
      <c r="D258" s="136"/>
      <c r="E258" s="136"/>
      <c r="Z258" s="208"/>
      <c r="AA258" s="208"/>
      <c r="AB258" s="208"/>
      <c r="AC258" s="208"/>
      <c r="AD258" s="208"/>
    </row>
    <row r="259" spans="2:30">
      <c r="B259" s="136"/>
      <c r="C259" s="136"/>
      <c r="D259" s="136"/>
      <c r="E259" s="136"/>
      <c r="Z259" s="208"/>
      <c r="AA259" s="208"/>
      <c r="AB259" s="208"/>
      <c r="AC259" s="208"/>
      <c r="AD259" s="208"/>
    </row>
    <row r="260" spans="2:30">
      <c r="B260" s="136"/>
      <c r="C260" s="136"/>
      <c r="D260" s="136"/>
      <c r="E260" s="136"/>
      <c r="Z260" s="208"/>
      <c r="AA260" s="208"/>
      <c r="AB260" s="208"/>
      <c r="AC260" s="208"/>
      <c r="AD260" s="208"/>
    </row>
    <row r="261" spans="2:30">
      <c r="B261" s="136"/>
      <c r="C261" s="136"/>
      <c r="D261" s="136"/>
      <c r="E261" s="136"/>
      <c r="Z261" s="208"/>
      <c r="AA261" s="208"/>
      <c r="AB261" s="208"/>
      <c r="AC261" s="208"/>
      <c r="AD261" s="208"/>
    </row>
    <row r="262" spans="2:30">
      <c r="B262" s="136"/>
      <c r="C262" s="136"/>
      <c r="D262" s="136"/>
      <c r="E262" s="136"/>
      <c r="Z262" s="208"/>
      <c r="AA262" s="208"/>
      <c r="AB262" s="208"/>
      <c r="AC262" s="208"/>
      <c r="AD262" s="208"/>
    </row>
    <row r="263" spans="2:30">
      <c r="B263" s="136"/>
      <c r="C263" s="136"/>
      <c r="D263" s="136"/>
      <c r="E263" s="136"/>
      <c r="Z263" s="208"/>
      <c r="AA263" s="208"/>
      <c r="AB263" s="208"/>
      <c r="AC263" s="208"/>
      <c r="AD263" s="208"/>
    </row>
    <row r="264" spans="2:30">
      <c r="B264" s="136"/>
      <c r="C264" s="136"/>
      <c r="D264" s="136"/>
      <c r="E264" s="136"/>
      <c r="Z264" s="208"/>
      <c r="AA264" s="208"/>
      <c r="AB264" s="208"/>
      <c r="AC264" s="208"/>
      <c r="AD264" s="208"/>
    </row>
    <row r="265" spans="2:30">
      <c r="B265" s="136"/>
      <c r="C265" s="136"/>
      <c r="D265" s="136"/>
      <c r="E265" s="136"/>
      <c r="Z265" s="208"/>
      <c r="AA265" s="208"/>
      <c r="AB265" s="208"/>
      <c r="AC265" s="208"/>
      <c r="AD265" s="208"/>
    </row>
    <row r="266" spans="2:30">
      <c r="B266" s="136"/>
      <c r="C266" s="136"/>
      <c r="D266" s="136"/>
      <c r="E266" s="136"/>
      <c r="Z266" s="208"/>
      <c r="AA266" s="208"/>
      <c r="AB266" s="208"/>
      <c r="AC266" s="208"/>
      <c r="AD266" s="208"/>
    </row>
    <row r="267" spans="2:30">
      <c r="B267" s="136"/>
      <c r="C267" s="136"/>
      <c r="D267" s="136"/>
      <c r="E267" s="136"/>
      <c r="Z267" s="208"/>
      <c r="AA267" s="208"/>
      <c r="AB267" s="208"/>
      <c r="AC267" s="208"/>
      <c r="AD267" s="208"/>
    </row>
    <row r="268" spans="2:30">
      <c r="B268" s="136"/>
      <c r="C268" s="136"/>
      <c r="D268" s="136"/>
      <c r="E268" s="136"/>
      <c r="Z268" s="208"/>
      <c r="AA268" s="208"/>
      <c r="AB268" s="208"/>
      <c r="AC268" s="208"/>
      <c r="AD268" s="208"/>
    </row>
    <row r="269" spans="2:30">
      <c r="B269" s="136"/>
      <c r="C269" s="136"/>
      <c r="D269" s="136"/>
      <c r="E269" s="136"/>
      <c r="Z269" s="208"/>
      <c r="AA269" s="208"/>
      <c r="AB269" s="208"/>
      <c r="AC269" s="208"/>
      <c r="AD269" s="208"/>
    </row>
    <row r="270" spans="2:30">
      <c r="B270" s="136"/>
      <c r="C270" s="136"/>
      <c r="D270" s="136"/>
      <c r="E270" s="136"/>
      <c r="Z270" s="208"/>
      <c r="AA270" s="208"/>
      <c r="AB270" s="208"/>
      <c r="AC270" s="208"/>
      <c r="AD270" s="208"/>
    </row>
    <row r="271" spans="2:30">
      <c r="B271" s="136"/>
      <c r="C271" s="136"/>
      <c r="D271" s="136"/>
      <c r="E271" s="136"/>
      <c r="Z271" s="208"/>
      <c r="AA271" s="208"/>
      <c r="AB271" s="208"/>
      <c r="AC271" s="208"/>
      <c r="AD271" s="208"/>
    </row>
    <row r="272" spans="2:30">
      <c r="B272" s="136"/>
      <c r="C272" s="136"/>
      <c r="D272" s="136"/>
      <c r="E272" s="136"/>
      <c r="Z272" s="208"/>
      <c r="AA272" s="208"/>
      <c r="AB272" s="208"/>
      <c r="AC272" s="208"/>
      <c r="AD272" s="208"/>
    </row>
    <row r="273" spans="2:65">
      <c r="B273" s="136"/>
      <c r="C273" s="136"/>
      <c r="D273" s="136"/>
      <c r="E273" s="136"/>
      <c r="Z273" s="208"/>
      <c r="AA273" s="208"/>
      <c r="AB273" s="208"/>
      <c r="AC273" s="208"/>
      <c r="AD273" s="208"/>
    </row>
    <row r="274" spans="2:65">
      <c r="B274" s="136"/>
      <c r="C274" s="136"/>
      <c r="D274" s="136"/>
      <c r="E274" s="136"/>
      <c r="Z274" s="208"/>
      <c r="AA274" s="208"/>
      <c r="AB274" s="208"/>
      <c r="AC274" s="208"/>
      <c r="AD274" s="208"/>
    </row>
    <row r="275" spans="2:65">
      <c r="B275" s="136"/>
      <c r="C275" s="136"/>
      <c r="D275" s="136"/>
      <c r="E275" s="136"/>
      <c r="Z275" s="208"/>
      <c r="AA275" s="208"/>
      <c r="AB275" s="208"/>
      <c r="AC275" s="208"/>
      <c r="AD275" s="208"/>
    </row>
    <row r="276" spans="2:65">
      <c r="B276" s="136"/>
      <c r="C276" s="136"/>
      <c r="D276" s="136"/>
      <c r="E276" s="136"/>
      <c r="Z276" s="208"/>
      <c r="AA276" s="208"/>
      <c r="AB276" s="208"/>
      <c r="AC276" s="208"/>
      <c r="AD276" s="208"/>
    </row>
    <row r="277" spans="2:65">
      <c r="B277" s="136"/>
      <c r="C277" s="136"/>
      <c r="D277" s="136"/>
      <c r="E277" s="136"/>
      <c r="Z277" s="208"/>
      <c r="AA277" s="208"/>
      <c r="AB277" s="208"/>
      <c r="AC277" s="208"/>
      <c r="AD277" s="208"/>
      <c r="BK277" s="8"/>
      <c r="BL277" s="8"/>
      <c r="BM277" s="8"/>
    </row>
    <row r="278" spans="2:65">
      <c r="B278" s="136"/>
      <c r="C278" s="136"/>
      <c r="D278" s="136"/>
      <c r="E278" s="136"/>
      <c r="Z278" s="208"/>
      <c r="AA278" s="208"/>
      <c r="AB278" s="208"/>
      <c r="AC278" s="208"/>
      <c r="AD278" s="208"/>
      <c r="BK278" s="8"/>
      <c r="BL278" s="8"/>
      <c r="BM278" s="8"/>
    </row>
    <row r="279" spans="2:65">
      <c r="B279" s="136"/>
      <c r="C279" s="136"/>
      <c r="D279" s="136"/>
      <c r="E279" s="136"/>
      <c r="Z279" s="208"/>
      <c r="AA279" s="208"/>
      <c r="AB279" s="208"/>
      <c r="AC279" s="208"/>
      <c r="AD279" s="208"/>
      <c r="BK279" s="8"/>
      <c r="BL279" s="8"/>
      <c r="BM279" s="8"/>
    </row>
    <row r="280" spans="2:65">
      <c r="B280" s="136"/>
      <c r="C280" s="136"/>
      <c r="D280" s="136"/>
      <c r="E280" s="136"/>
      <c r="Z280" s="208"/>
      <c r="AA280" s="208"/>
      <c r="AB280" s="208"/>
      <c r="AC280" s="208"/>
      <c r="AD280" s="208"/>
      <c r="BK280" s="8"/>
      <c r="BL280" s="8"/>
      <c r="BM280" s="8"/>
    </row>
    <row r="281" spans="2:65">
      <c r="B281" s="136"/>
      <c r="C281" s="136"/>
      <c r="D281" s="136"/>
      <c r="E281" s="136"/>
      <c r="Z281" s="208"/>
      <c r="AA281" s="208"/>
      <c r="AB281" s="208"/>
      <c r="AC281" s="208"/>
      <c r="AD281" s="208"/>
      <c r="BK281" s="8"/>
      <c r="BL281" s="8"/>
      <c r="BM281" s="8"/>
    </row>
    <row r="282" spans="2:65">
      <c r="B282" s="136"/>
      <c r="C282" s="136"/>
      <c r="D282" s="136"/>
      <c r="E282" s="136"/>
      <c r="Z282" s="208"/>
      <c r="AA282" s="208"/>
      <c r="AB282" s="208"/>
      <c r="AC282" s="208"/>
      <c r="AD282" s="208"/>
      <c r="BK282" s="8"/>
      <c r="BL282" s="8"/>
      <c r="BM282" s="8"/>
    </row>
    <row r="283" spans="2:65">
      <c r="B283" s="136"/>
      <c r="C283" s="136"/>
      <c r="D283" s="136"/>
      <c r="E283" s="136"/>
      <c r="Z283" s="208"/>
      <c r="AA283" s="208"/>
      <c r="AB283" s="208"/>
      <c r="AC283" s="208"/>
      <c r="AD283" s="208"/>
      <c r="BK283" s="8"/>
      <c r="BL283" s="8"/>
      <c r="BM283" s="8"/>
    </row>
    <row r="284" spans="2:65">
      <c r="B284" s="136"/>
      <c r="C284" s="136"/>
      <c r="D284" s="136"/>
      <c r="E284" s="136"/>
      <c r="Z284" s="208"/>
      <c r="AA284" s="208"/>
      <c r="AB284" s="208"/>
      <c r="AC284" s="208"/>
      <c r="AD284" s="208"/>
      <c r="BK284" s="8"/>
      <c r="BL284" s="8"/>
      <c r="BM284" s="8"/>
    </row>
    <row r="285" spans="2:65">
      <c r="B285" s="136"/>
      <c r="C285" s="136"/>
      <c r="D285" s="136"/>
      <c r="E285" s="136"/>
      <c r="Z285" s="208"/>
      <c r="AA285" s="208"/>
      <c r="AB285" s="208"/>
      <c r="AC285" s="208"/>
      <c r="AD285" s="208"/>
      <c r="BK285" s="8"/>
      <c r="BL285" s="8"/>
      <c r="BM285" s="8"/>
    </row>
    <row r="286" spans="2:65">
      <c r="B286" s="136"/>
      <c r="C286" s="136"/>
      <c r="D286" s="136"/>
      <c r="E286" s="136"/>
      <c r="Z286" s="208"/>
      <c r="AA286" s="208"/>
      <c r="AB286" s="208"/>
      <c r="AC286" s="208"/>
      <c r="AD286" s="208"/>
      <c r="BK286" s="8"/>
      <c r="BL286" s="8"/>
      <c r="BM286" s="8"/>
    </row>
    <row r="287" spans="2:65">
      <c r="B287" s="136"/>
      <c r="C287" s="136"/>
      <c r="D287" s="136"/>
      <c r="E287" s="136"/>
      <c r="Z287" s="208"/>
      <c r="AA287" s="208"/>
      <c r="AB287" s="208"/>
      <c r="AC287" s="208"/>
      <c r="AD287" s="208"/>
      <c r="BK287" s="8"/>
      <c r="BL287" s="8"/>
      <c r="BM287" s="8"/>
    </row>
    <row r="288" spans="2:65">
      <c r="B288" s="136"/>
      <c r="C288" s="136"/>
      <c r="D288" s="136"/>
      <c r="E288" s="136"/>
      <c r="Z288" s="208"/>
      <c r="AA288" s="208"/>
      <c r="AB288" s="208"/>
      <c r="AC288" s="208"/>
      <c r="AD288" s="208"/>
      <c r="BK288" s="8"/>
      <c r="BL288" s="8"/>
      <c r="BM288" s="8"/>
    </row>
    <row r="289" spans="2:65">
      <c r="B289" s="136"/>
      <c r="C289" s="136"/>
      <c r="D289" s="136"/>
      <c r="E289" s="136"/>
      <c r="Z289" s="208"/>
      <c r="AA289" s="208"/>
      <c r="AB289" s="208"/>
      <c r="AC289" s="208"/>
      <c r="AD289" s="208"/>
      <c r="BK289" s="8"/>
      <c r="BL289" s="8"/>
      <c r="BM289" s="8"/>
    </row>
    <row r="290" spans="2:65">
      <c r="Z290" s="208"/>
      <c r="AA290" s="208"/>
      <c r="AB290" s="208"/>
      <c r="AC290" s="208"/>
      <c r="AD290" s="208"/>
      <c r="BK290" s="8"/>
      <c r="BL290" s="8"/>
      <c r="BM290" s="8"/>
    </row>
    <row r="291" spans="2:65">
      <c r="Z291" s="208"/>
      <c r="AA291" s="208"/>
      <c r="AB291" s="208"/>
      <c r="AC291" s="208"/>
      <c r="AD291" s="208"/>
      <c r="BK291" s="8"/>
      <c r="BL291" s="8"/>
      <c r="BM291" s="8"/>
    </row>
    <row r="292" spans="2:65">
      <c r="Z292" s="208"/>
      <c r="AA292" s="208"/>
      <c r="AB292" s="208"/>
      <c r="AC292" s="208"/>
      <c r="AD292" s="208"/>
      <c r="BK292" s="8"/>
      <c r="BL292" s="8"/>
      <c r="BM292" s="8"/>
    </row>
    <row r="293" spans="2:65">
      <c r="Z293" s="208"/>
      <c r="AA293" s="208"/>
      <c r="AB293" s="208"/>
      <c r="AC293" s="208"/>
      <c r="AD293" s="208"/>
      <c r="BK293" s="8"/>
      <c r="BL293" s="8"/>
      <c r="BM293" s="8"/>
    </row>
    <row r="294" spans="2:65">
      <c r="Z294" s="208"/>
      <c r="AA294" s="208"/>
      <c r="AB294" s="208"/>
      <c r="AC294" s="208"/>
      <c r="AD294" s="208"/>
      <c r="BK294" s="8"/>
      <c r="BL294" s="8"/>
      <c r="BM294" s="8"/>
    </row>
    <row r="295" spans="2:65">
      <c r="Z295" s="208"/>
      <c r="BK295" s="8"/>
      <c r="BL295" s="8"/>
      <c r="BM295" s="8"/>
    </row>
    <row r="296" spans="2:65">
      <c r="Z296" s="208"/>
      <c r="BK296" s="8"/>
      <c r="BL296" s="8"/>
      <c r="BM296" s="8"/>
    </row>
    <row r="297" spans="2:65">
      <c r="Z297" s="208"/>
    </row>
    <row r="298" spans="2:65">
      <c r="Z298" s="208"/>
    </row>
    <row r="299" spans="2:65">
      <c r="Z299" s="208"/>
    </row>
  </sheetData>
  <mergeCells count="17">
    <mergeCell ref="AO7:AS7"/>
    <mergeCell ref="AT7:AX7"/>
    <mergeCell ref="AY7:BC7"/>
    <mergeCell ref="BD7:BH7"/>
    <mergeCell ref="BI4:BM4"/>
    <mergeCell ref="AO6:AS6"/>
    <mergeCell ref="AT6:AX6"/>
    <mergeCell ref="AY6:BC6"/>
    <mergeCell ref="BD6:BH6"/>
    <mergeCell ref="AO5:AS5"/>
    <mergeCell ref="AT5:AX5"/>
    <mergeCell ref="AY5:BC5"/>
    <mergeCell ref="BD5:BH5"/>
    <mergeCell ref="AO4:AS4"/>
    <mergeCell ref="AT4:AX4"/>
    <mergeCell ref="AY4:BC4"/>
    <mergeCell ref="BD4:BH4"/>
  </mergeCells>
  <conditionalFormatting sqref="EH1:IP1 AJ1:AM1 B1:D1 AO1:AR1 F1:AD1 BD1:BM1">
    <cfRule type="cellIs" dxfId="10" priority="11" stopIfTrue="1" operator="notEqual">
      <formula>0</formula>
    </cfRule>
  </conditionalFormatting>
  <conditionalFormatting sqref="AT1:AW1">
    <cfRule type="cellIs" dxfId="9" priority="10" stopIfTrue="1" operator="notEqual">
      <formula>0</formula>
    </cfRule>
  </conditionalFormatting>
  <conditionalFormatting sqref="AE1:AH1">
    <cfRule type="cellIs" dxfId="8" priority="9" stopIfTrue="1" operator="notEqual">
      <formula>0</formula>
    </cfRule>
  </conditionalFormatting>
  <conditionalFormatting sqref="A1">
    <cfRule type="cellIs" dxfId="7" priority="8" stopIfTrue="1" operator="notEqual">
      <formula>0</formula>
    </cfRule>
  </conditionalFormatting>
  <conditionalFormatting sqref="E1">
    <cfRule type="cellIs" dxfId="6" priority="7" stopIfTrue="1" operator="notEqual">
      <formula>0</formula>
    </cfRule>
  </conditionalFormatting>
  <conditionalFormatting sqref="AI1">
    <cfRule type="cellIs" dxfId="5" priority="6" stopIfTrue="1" operator="notEqual">
      <formula>0</formula>
    </cfRule>
  </conditionalFormatting>
  <conditionalFormatting sqref="AS1">
    <cfRule type="cellIs" dxfId="4" priority="5" stopIfTrue="1" operator="notEqual">
      <formula>0</formula>
    </cfRule>
  </conditionalFormatting>
  <conditionalFormatting sqref="AX1">
    <cfRule type="cellIs" dxfId="3" priority="4" stopIfTrue="1" operator="notEqual">
      <formula>0</formula>
    </cfRule>
  </conditionalFormatting>
  <conditionalFormatting sqref="AN1">
    <cfRule type="cellIs" dxfId="2" priority="3" stopIfTrue="1" operator="notEqual">
      <formula>0</formula>
    </cfRule>
  </conditionalFormatting>
  <conditionalFormatting sqref="AY1:BB1">
    <cfRule type="cellIs" dxfId="1" priority="2" stopIfTrue="1" operator="notEqual">
      <formula>0</formula>
    </cfRule>
  </conditionalFormatting>
  <conditionalFormatting sqref="BC1">
    <cfRule type="cellIs" dxfId="0" priority="1" stopIfTrue="1" operator="notEqual">
      <formula>0</formula>
    </cfRule>
  </conditionalFormatting>
  <pageMargins left="0.7" right="0.7" top="0.75" bottom="0.75" header="0.3" footer="0.3"/>
  <pageSetup scale="86" orientation="portrait" horizontalDpi="1200" verticalDpi="1200" r:id="rId1"/>
  <colBreaks count="10" manualBreakCount="10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5" max="1048575" man="1"/>
    <brk id="50" max="1048575" man="1"/>
    <brk id="5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K7" sqref="K7"/>
    </sheetView>
  </sheetViews>
  <sheetFormatPr defaultColWidth="7.21875" defaultRowHeight="14.4" outlineLevelCol="1"/>
  <cols>
    <col min="1" max="1" width="3.88671875" style="269" customWidth="1"/>
    <col min="2" max="2" width="7.44140625" style="271" customWidth="1"/>
    <col min="3" max="3" width="5.44140625" style="271" customWidth="1"/>
    <col min="4" max="4" width="33.33203125" style="269" bestFit="1" customWidth="1"/>
    <col min="5" max="5" width="15.109375" style="269" bestFit="1" customWidth="1"/>
    <col min="6" max="6" width="14.5546875" style="269" customWidth="1"/>
    <col min="7" max="7" width="12.109375" style="269" customWidth="1"/>
    <col min="8" max="8" width="12.33203125" style="269" customWidth="1"/>
    <col min="9" max="9" width="14.109375" style="269" customWidth="1"/>
    <col min="10" max="10" width="5.33203125" style="269" hidden="1" customWidth="1" outlineLevel="1"/>
    <col min="11" max="11" width="17.6640625" style="269" bestFit="1" customWidth="1" collapsed="1"/>
    <col min="12" max="12" width="14.6640625" style="269" bestFit="1" customWidth="1"/>
    <col min="13" max="13" width="15.109375" style="269" bestFit="1" customWidth="1"/>
    <col min="14" max="14" width="14.6640625" style="269" bestFit="1" customWidth="1"/>
    <col min="15" max="15" width="14.21875" style="269" customWidth="1"/>
    <col min="16" max="16384" width="7.21875" style="269"/>
  </cols>
  <sheetData>
    <row r="1" spans="1:19" ht="15.6">
      <c r="L1" s="295" t="s">
        <v>333</v>
      </c>
    </row>
    <row r="2" spans="1:19" ht="18">
      <c r="A2" s="267" t="s">
        <v>274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9" ht="18">
      <c r="A3" s="267" t="s">
        <v>275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9" ht="18">
      <c r="A4" s="267" t="s">
        <v>276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</row>
    <row r="5" spans="1:19" ht="18">
      <c r="A5" s="267" t="s">
        <v>277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</row>
    <row r="6" spans="1:19" ht="18">
      <c r="A6" s="270"/>
    </row>
    <row r="7" spans="1:19">
      <c r="A7" s="269">
        <v>1</v>
      </c>
      <c r="M7" s="271" t="s">
        <v>278</v>
      </c>
      <c r="N7" s="271" t="s">
        <v>279</v>
      </c>
    </row>
    <row r="8" spans="1:19" ht="15" thickBot="1">
      <c r="A8" s="269">
        <f t="shared" ref="A8:A30" si="0">+A7+1</f>
        <v>2</v>
      </c>
      <c r="M8" s="271"/>
      <c r="N8" s="271"/>
    </row>
    <row r="9" spans="1:19" ht="15" customHeight="1">
      <c r="A9" s="269">
        <f t="shared" si="0"/>
        <v>3</v>
      </c>
      <c r="M9" s="272" t="s">
        <v>280</v>
      </c>
      <c r="N9" s="272" t="s">
        <v>280</v>
      </c>
    </row>
    <row r="10" spans="1:19" ht="15" customHeight="1" thickBot="1">
      <c r="A10" s="269">
        <f t="shared" si="0"/>
        <v>4</v>
      </c>
      <c r="M10" s="273">
        <f>+'[1]KJB-7 El Adj'!BL12</f>
        <v>2.5347000000000001E-2</v>
      </c>
      <c r="N10" s="273">
        <f>1-M10</f>
        <v>0.97465299999999999</v>
      </c>
    </row>
    <row r="11" spans="1:19" ht="15" customHeight="1">
      <c r="A11" s="269">
        <f t="shared" si="0"/>
        <v>5</v>
      </c>
      <c r="M11" s="272" t="s">
        <v>281</v>
      </c>
      <c r="N11" s="272" t="s">
        <v>281</v>
      </c>
    </row>
    <row r="12" spans="1:19" ht="15" customHeight="1" thickBot="1">
      <c r="A12" s="269">
        <f t="shared" si="0"/>
        <v>6</v>
      </c>
      <c r="M12" s="273">
        <f>+'[1]KJB-7 El Adj'!BL13</f>
        <v>3.8393999999999998E-2</v>
      </c>
      <c r="N12" s="273">
        <f>1-M12</f>
        <v>0.96160599999999996</v>
      </c>
    </row>
    <row r="13" spans="1:19" ht="15" customHeight="1">
      <c r="A13" s="269">
        <f t="shared" si="0"/>
        <v>7</v>
      </c>
      <c r="E13" s="271" t="s">
        <v>282</v>
      </c>
      <c r="F13" s="271" t="s">
        <v>283</v>
      </c>
      <c r="G13" s="271" t="s">
        <v>284</v>
      </c>
      <c r="H13" s="271" t="s">
        <v>284</v>
      </c>
      <c r="I13" s="271" t="s">
        <v>285</v>
      </c>
      <c r="J13" s="274" t="s">
        <v>286</v>
      </c>
      <c r="K13" s="271" t="s">
        <v>287</v>
      </c>
      <c r="L13" s="271" t="s">
        <v>288</v>
      </c>
      <c r="M13" s="271" t="s">
        <v>289</v>
      </c>
      <c r="N13" s="275" t="s">
        <v>290</v>
      </c>
    </row>
    <row r="14" spans="1:19">
      <c r="A14" s="269">
        <f t="shared" si="0"/>
        <v>8</v>
      </c>
      <c r="B14" s="271" t="s">
        <v>291</v>
      </c>
      <c r="C14" s="271" t="s">
        <v>292</v>
      </c>
      <c r="E14" s="276">
        <v>42643</v>
      </c>
      <c r="F14" s="276" t="s">
        <v>293</v>
      </c>
      <c r="G14" s="271" t="s">
        <v>294</v>
      </c>
      <c r="H14" s="271" t="s">
        <v>295</v>
      </c>
      <c r="I14" s="271" t="s">
        <v>296</v>
      </c>
      <c r="J14" s="274" t="s">
        <v>297</v>
      </c>
      <c r="K14" s="276">
        <v>43465</v>
      </c>
      <c r="L14" s="271" t="s">
        <v>298</v>
      </c>
      <c r="M14" s="271" t="s">
        <v>299</v>
      </c>
      <c r="N14" s="275" t="s">
        <v>300</v>
      </c>
    </row>
    <row r="15" spans="1:19">
      <c r="A15" s="269">
        <f t="shared" si="0"/>
        <v>9</v>
      </c>
      <c r="B15" s="271" t="s">
        <v>301</v>
      </c>
      <c r="C15" s="271" t="s">
        <v>302</v>
      </c>
      <c r="D15" s="271" t="s">
        <v>303</v>
      </c>
      <c r="E15" s="276" t="s">
        <v>304</v>
      </c>
      <c r="F15" s="276" t="s">
        <v>305</v>
      </c>
      <c r="G15" s="271" t="s">
        <v>306</v>
      </c>
      <c r="H15" s="271" t="s">
        <v>307</v>
      </c>
      <c r="I15" s="271" t="s">
        <v>308</v>
      </c>
      <c r="J15" s="274"/>
      <c r="K15" s="276" t="s">
        <v>309</v>
      </c>
      <c r="L15" s="271" t="s">
        <v>310</v>
      </c>
      <c r="M15" s="271" t="s">
        <v>311</v>
      </c>
      <c r="N15" s="275" t="s">
        <v>312</v>
      </c>
    </row>
    <row r="16" spans="1:19">
      <c r="A16" s="269">
        <f t="shared" si="0"/>
        <v>10</v>
      </c>
      <c r="B16" s="277">
        <v>501</v>
      </c>
      <c r="C16" s="277" t="s">
        <v>313</v>
      </c>
      <c r="D16" s="278" t="s">
        <v>314</v>
      </c>
      <c r="E16" s="279">
        <v>85246014.709999993</v>
      </c>
      <c r="F16" s="279">
        <v>0</v>
      </c>
      <c r="G16" s="279">
        <v>0</v>
      </c>
      <c r="H16" s="279">
        <v>0</v>
      </c>
      <c r="I16" s="279">
        <f t="shared" ref="I16:I23" si="1">SUM(E16:H16)</f>
        <v>85246014.709999993</v>
      </c>
      <c r="J16" s="279"/>
      <c r="K16" s="279">
        <v>82220396.051686153</v>
      </c>
      <c r="L16" s="279">
        <v>0</v>
      </c>
      <c r="M16" s="279">
        <f t="shared" ref="M16:M23" si="2">SUM(K16:L16)</f>
        <v>82220396.051686153</v>
      </c>
      <c r="N16" s="279">
        <f t="shared" ref="N16:N23" si="3">IF(C16="v",M16*$N$12,M16*$N$10)</f>
        <v>79063626.165677711</v>
      </c>
      <c r="O16" s="280"/>
      <c r="P16" s="280"/>
      <c r="Q16" s="280"/>
      <c r="R16" s="280"/>
      <c r="S16" s="280"/>
    </row>
    <row r="17" spans="1:19">
      <c r="A17" s="269">
        <f t="shared" si="0"/>
        <v>11</v>
      </c>
      <c r="B17" s="271">
        <v>547</v>
      </c>
      <c r="C17" s="271" t="s">
        <v>313</v>
      </c>
      <c r="D17" s="269" t="s">
        <v>315</v>
      </c>
      <c r="E17" s="280">
        <v>149756871.78999999</v>
      </c>
      <c r="F17" s="280"/>
      <c r="G17" s="280"/>
      <c r="H17" s="281"/>
      <c r="I17" s="280">
        <f t="shared" si="1"/>
        <v>149756871.78999999</v>
      </c>
      <c r="J17" s="282">
        <v>0</v>
      </c>
      <c r="K17" s="280">
        <v>133714370.01720013</v>
      </c>
      <c r="L17" s="281"/>
      <c r="M17" s="280">
        <f t="shared" si="2"/>
        <v>133714370.01720013</v>
      </c>
      <c r="N17" s="281">
        <f t="shared" si="3"/>
        <v>128580540.49475974</v>
      </c>
      <c r="O17" s="280"/>
      <c r="P17" s="280"/>
      <c r="Q17" s="280"/>
      <c r="R17" s="280"/>
      <c r="S17" s="280"/>
    </row>
    <row r="18" spans="1:19">
      <c r="A18" s="269">
        <f t="shared" si="0"/>
        <v>12</v>
      </c>
      <c r="B18" s="283">
        <v>555</v>
      </c>
      <c r="C18" s="283" t="s">
        <v>313</v>
      </c>
      <c r="D18" s="284" t="s">
        <v>316</v>
      </c>
      <c r="E18" s="281">
        <v>375700424.96000004</v>
      </c>
      <c r="F18" s="281">
        <v>147337570.84999999</v>
      </c>
      <c r="G18" s="281"/>
      <c r="H18" s="281"/>
      <c r="I18" s="281">
        <f t="shared" si="1"/>
        <v>523037995.81000006</v>
      </c>
      <c r="J18" s="282"/>
      <c r="K18" s="280">
        <v>450719788.54487628</v>
      </c>
      <c r="L18" s="281"/>
      <c r="M18" s="280">
        <f t="shared" si="2"/>
        <v>450719788.54487628</v>
      </c>
      <c r="N18" s="281">
        <f t="shared" si="3"/>
        <v>433414852.98348427</v>
      </c>
      <c r="O18" s="280"/>
      <c r="P18" s="280"/>
      <c r="Q18" s="280"/>
      <c r="R18" s="280"/>
      <c r="S18" s="280"/>
    </row>
    <row r="19" spans="1:19">
      <c r="A19" s="269">
        <f t="shared" si="0"/>
        <v>13</v>
      </c>
      <c r="B19" s="283">
        <v>557</v>
      </c>
      <c r="C19" s="283" t="s">
        <v>317</v>
      </c>
      <c r="D19" s="284" t="s">
        <v>318</v>
      </c>
      <c r="E19" s="281">
        <v>10715287.84</v>
      </c>
      <c r="F19" s="281"/>
      <c r="G19" s="281">
        <v>-1364051.1099999999</v>
      </c>
      <c r="H19" s="281">
        <v>-368615.64</v>
      </c>
      <c r="I19" s="281">
        <f t="shared" si="1"/>
        <v>8982621.0899999999</v>
      </c>
      <c r="J19" s="282"/>
      <c r="K19" s="281">
        <v>11163253.910000002</v>
      </c>
      <c r="L19" s="281">
        <f>SUM(G19:H19)</f>
        <v>-1732666.75</v>
      </c>
      <c r="M19" s="280">
        <f t="shared" si="2"/>
        <v>9430587.160000002</v>
      </c>
      <c r="N19" s="281">
        <f t="shared" si="3"/>
        <v>9191550.0672554821</v>
      </c>
      <c r="O19" s="280"/>
      <c r="P19" s="280"/>
      <c r="Q19" s="280"/>
      <c r="R19" s="280"/>
      <c r="S19" s="280"/>
    </row>
    <row r="20" spans="1:19">
      <c r="A20" s="269">
        <f t="shared" si="0"/>
        <v>14</v>
      </c>
      <c r="B20" s="283">
        <v>557</v>
      </c>
      <c r="C20" s="283" t="s">
        <v>313</v>
      </c>
      <c r="D20" s="284" t="s">
        <v>319</v>
      </c>
      <c r="E20" s="281">
        <v>325842.46999999997</v>
      </c>
      <c r="F20" s="281"/>
      <c r="G20" s="281"/>
      <c r="H20" s="281"/>
      <c r="I20" s="281">
        <f t="shared" si="1"/>
        <v>325842.46999999997</v>
      </c>
      <c r="J20" s="282">
        <v>0</v>
      </c>
      <c r="K20" s="281">
        <f>+I20</f>
        <v>325842.46999999997</v>
      </c>
      <c r="L20" s="281"/>
      <c r="M20" s="280">
        <f t="shared" si="2"/>
        <v>325842.46999999997</v>
      </c>
      <c r="N20" s="281">
        <f t="shared" si="3"/>
        <v>313332.07420681993</v>
      </c>
      <c r="O20" s="280"/>
      <c r="P20" s="280"/>
      <c r="Q20" s="280"/>
      <c r="R20" s="280"/>
      <c r="S20" s="280"/>
    </row>
    <row r="21" spans="1:19">
      <c r="A21" s="269">
        <f t="shared" si="0"/>
        <v>15</v>
      </c>
      <c r="B21" s="283">
        <v>565</v>
      </c>
      <c r="C21" s="283" t="s">
        <v>313</v>
      </c>
      <c r="D21" s="284" t="s">
        <v>320</v>
      </c>
      <c r="E21" s="281">
        <v>113800193.22</v>
      </c>
      <c r="F21" s="281"/>
      <c r="G21" s="281"/>
      <c r="H21" s="281"/>
      <c r="I21" s="281">
        <f t="shared" si="1"/>
        <v>113800193.22</v>
      </c>
      <c r="J21" s="285">
        <v>-9.9837779998779297E-7</v>
      </c>
      <c r="K21" s="281">
        <v>112909796.27716601</v>
      </c>
      <c r="L21" s="281"/>
      <c r="M21" s="280">
        <f t="shared" si="2"/>
        <v>112909796.27716601</v>
      </c>
      <c r="N21" s="281">
        <f t="shared" si="3"/>
        <v>108574737.55890049</v>
      </c>
      <c r="O21" s="280"/>
      <c r="P21" s="280"/>
      <c r="Q21" s="280"/>
      <c r="R21" s="280"/>
      <c r="S21" s="280"/>
    </row>
    <row r="22" spans="1:19">
      <c r="A22" s="269">
        <f t="shared" si="0"/>
        <v>16</v>
      </c>
      <c r="B22" s="283">
        <v>447</v>
      </c>
      <c r="C22" s="283" t="s">
        <v>313</v>
      </c>
      <c r="D22" s="284" t="s">
        <v>321</v>
      </c>
      <c r="E22" s="281">
        <v>-53788170.890000015</v>
      </c>
      <c r="F22" s="281">
        <v>-147337570.84999999</v>
      </c>
      <c r="G22" s="281"/>
      <c r="H22" s="281"/>
      <c r="I22" s="281">
        <f t="shared" si="1"/>
        <v>-201125741.74000001</v>
      </c>
      <c r="J22" s="285">
        <v>1.0132789611816406E-6</v>
      </c>
      <c r="K22" s="281">
        <v>-29566835.397595782</v>
      </c>
      <c r="L22" s="281"/>
      <c r="M22" s="280">
        <f t="shared" si="2"/>
        <v>-29566835.397595782</v>
      </c>
      <c r="N22" s="281">
        <f t="shared" si="3"/>
        <v>-28431646.31934049</v>
      </c>
      <c r="O22" s="280"/>
      <c r="P22" s="280"/>
      <c r="Q22" s="280"/>
      <c r="R22" s="280"/>
      <c r="S22" s="280"/>
    </row>
    <row r="23" spans="1:19">
      <c r="A23" s="269">
        <f t="shared" si="0"/>
        <v>17</v>
      </c>
      <c r="B23" s="283">
        <v>456</v>
      </c>
      <c r="C23" s="283" t="s">
        <v>313</v>
      </c>
      <c r="D23" s="284" t="s">
        <v>322</v>
      </c>
      <c r="E23" s="281">
        <v>18023677.969999999</v>
      </c>
      <c r="F23" s="281"/>
      <c r="G23" s="281"/>
      <c r="H23" s="281"/>
      <c r="I23" s="281">
        <f t="shared" si="1"/>
        <v>18023677.969999999</v>
      </c>
      <c r="J23" s="282">
        <v>0</v>
      </c>
      <c r="K23" s="281">
        <v>-16211041.102281947</v>
      </c>
      <c r="L23" s="281"/>
      <c r="M23" s="280">
        <f t="shared" si="2"/>
        <v>-16211041.102281947</v>
      </c>
      <c r="N23" s="281">
        <f t="shared" si="3"/>
        <v>-15588634.390200933</v>
      </c>
      <c r="O23" s="280"/>
      <c r="P23" s="280"/>
      <c r="Q23" s="280"/>
      <c r="R23" s="280"/>
      <c r="S23" s="280"/>
    </row>
    <row r="24" spans="1:19">
      <c r="A24" s="269">
        <f t="shared" si="0"/>
        <v>18</v>
      </c>
      <c r="B24" s="286" t="s">
        <v>323</v>
      </c>
      <c r="C24" s="283"/>
      <c r="D24" s="284"/>
      <c r="E24" s="287">
        <f>SUM(E16:E23)</f>
        <v>699780142.07000017</v>
      </c>
      <c r="F24" s="287">
        <f>SUM(F16:F23)</f>
        <v>0</v>
      </c>
      <c r="G24" s="287">
        <f>SUM(G16:G23)</f>
        <v>-1364051.1099999999</v>
      </c>
      <c r="H24" s="287">
        <f>SUM(H16:H23)</f>
        <v>-368615.64</v>
      </c>
      <c r="I24" s="287">
        <f>SUM(I16:I23)</f>
        <v>698047475.32000017</v>
      </c>
      <c r="J24" s="288"/>
      <c r="K24" s="287">
        <f>SUM(K16:K23)</f>
        <v>745275570.77105093</v>
      </c>
      <c r="L24" s="287">
        <f>SUM(L16:L23)</f>
        <v>-1732666.75</v>
      </c>
      <c r="M24" s="289">
        <f>SUM(M16:M23)</f>
        <v>743542904.02105093</v>
      </c>
      <c r="N24" s="287">
        <f>SUM(N16:N23)</f>
        <v>715118358.63474309</v>
      </c>
      <c r="O24" s="280"/>
      <c r="P24" s="280"/>
      <c r="Q24" s="280"/>
      <c r="R24" s="280"/>
      <c r="S24" s="280"/>
    </row>
    <row r="25" spans="1:19">
      <c r="A25" s="269">
        <f t="shared" si="0"/>
        <v>19</v>
      </c>
      <c r="B25" s="283"/>
      <c r="C25" s="283"/>
      <c r="D25" s="290" t="s">
        <v>272</v>
      </c>
      <c r="E25" s="285">
        <v>0</v>
      </c>
      <c r="F25" s="285"/>
      <c r="G25" s="285"/>
      <c r="H25" s="290"/>
      <c r="I25" s="285"/>
      <c r="J25" s="280"/>
      <c r="K25" s="280"/>
      <c r="L25" s="280"/>
      <c r="M25" s="291"/>
      <c r="N25" s="285"/>
      <c r="O25" s="280"/>
      <c r="P25" s="280"/>
      <c r="Q25" s="280"/>
      <c r="R25" s="280"/>
      <c r="S25" s="280"/>
    </row>
    <row r="26" spans="1:19">
      <c r="A26" s="269">
        <f t="shared" si="0"/>
        <v>20</v>
      </c>
      <c r="B26" s="283" t="s">
        <v>324</v>
      </c>
      <c r="C26" s="283" t="s">
        <v>317</v>
      </c>
      <c r="D26" s="284" t="s">
        <v>325</v>
      </c>
      <c r="E26" s="281">
        <v>133910147</v>
      </c>
      <c r="F26" s="281"/>
      <c r="G26" s="281">
        <v>-6304989.3199999994</v>
      </c>
      <c r="H26" s="281">
        <v>-1707720.6600000001</v>
      </c>
      <c r="I26" s="281">
        <f>SUM(E26:H26)</f>
        <v>125897437.02000001</v>
      </c>
      <c r="J26" s="288">
        <v>0</v>
      </c>
      <c r="K26" s="281">
        <v>147018434.04146132</v>
      </c>
      <c r="L26" s="281">
        <f>SUM(G26:H26)</f>
        <v>-8012709.9799999995</v>
      </c>
      <c r="M26" s="280">
        <f>SUM(K26:L26)</f>
        <v>139005724.06146133</v>
      </c>
      <c r="N26" s="281">
        <f>IF(C26="v",M26*$N$12,M26*$N$10)</f>
        <v>135482345.97367546</v>
      </c>
      <c r="O26" s="280"/>
      <c r="P26" s="280"/>
      <c r="Q26" s="280"/>
      <c r="R26" s="280"/>
      <c r="S26" s="280"/>
    </row>
    <row r="27" spans="1:19">
      <c r="A27" s="269">
        <f t="shared" si="0"/>
        <v>21</v>
      </c>
      <c r="B27" s="283" t="s">
        <v>324</v>
      </c>
      <c r="C27" s="283" t="s">
        <v>317</v>
      </c>
      <c r="D27" s="284" t="s">
        <v>326</v>
      </c>
      <c r="E27" s="281">
        <v>662134.87</v>
      </c>
      <c r="F27" s="281"/>
      <c r="G27" s="281"/>
      <c r="H27" s="281"/>
      <c r="I27" s="281">
        <f>SUM(E27:H27)</f>
        <v>662134.87</v>
      </c>
      <c r="J27" s="288">
        <v>0</v>
      </c>
      <c r="K27" s="281">
        <f>+I27</f>
        <v>662134.87</v>
      </c>
      <c r="L27" s="281"/>
      <c r="M27" s="280">
        <f>SUM(K27:L27)</f>
        <v>662134.87</v>
      </c>
      <c r="N27" s="281">
        <f>IF(C27="v",M27*$N$12,M27*$N$10)</f>
        <v>645351.73745011003</v>
      </c>
      <c r="O27" s="280"/>
      <c r="P27" s="280"/>
      <c r="Q27" s="280"/>
      <c r="R27" s="280"/>
      <c r="S27" s="280"/>
    </row>
    <row r="28" spans="1:19">
      <c r="A28" s="269">
        <f t="shared" si="0"/>
        <v>22</v>
      </c>
      <c r="B28" s="283" t="s">
        <v>327</v>
      </c>
      <c r="C28" s="283" t="s">
        <v>317</v>
      </c>
      <c r="D28" s="284" t="s">
        <v>328</v>
      </c>
      <c r="E28" s="281">
        <v>-8228548.5899999999</v>
      </c>
      <c r="F28" s="281"/>
      <c r="G28" s="281"/>
      <c r="H28" s="281"/>
      <c r="I28" s="281">
        <f>SUM(E28:H28)</f>
        <v>-8228548.5899999999</v>
      </c>
      <c r="J28" s="288">
        <v>0</v>
      </c>
      <c r="K28" s="280">
        <v>-9944078.2818932347</v>
      </c>
      <c r="L28" s="281"/>
      <c r="M28" s="280">
        <f>SUM(K28:L28)</f>
        <v>-9944078.2818932347</v>
      </c>
      <c r="N28" s="281">
        <f>IF(C28="v",M28*$N$12,M28*$N$10)</f>
        <v>-9692025.729682086</v>
      </c>
      <c r="O28" s="280"/>
      <c r="P28" s="280"/>
      <c r="Q28" s="280"/>
      <c r="R28" s="280"/>
      <c r="S28" s="280"/>
    </row>
    <row r="29" spans="1:19">
      <c r="A29" s="269">
        <f t="shared" si="0"/>
        <v>23</v>
      </c>
      <c r="B29" s="283" t="s">
        <v>329</v>
      </c>
      <c r="C29" s="283" t="s">
        <v>313</v>
      </c>
      <c r="D29" s="284" t="s">
        <v>330</v>
      </c>
      <c r="E29" s="281"/>
      <c r="F29" s="281"/>
      <c r="G29" s="281"/>
      <c r="H29" s="281"/>
      <c r="I29" s="281">
        <f>SUM(E29:H29)</f>
        <v>0</v>
      </c>
      <c r="J29" s="288"/>
      <c r="K29" s="280">
        <v>4959911.9999999991</v>
      </c>
      <c r="L29" s="281"/>
      <c r="M29" s="280">
        <f>SUM(K29:L29)</f>
        <v>4959911.9999999991</v>
      </c>
      <c r="N29" s="281">
        <f>IF(C29="v",M29*$N$12,M29*$N$10)</f>
        <v>4769481.1386719989</v>
      </c>
      <c r="O29" s="280"/>
      <c r="P29" s="280"/>
      <c r="Q29" s="280"/>
      <c r="R29" s="280"/>
      <c r="S29" s="280"/>
    </row>
    <row r="30" spans="1:19" ht="15" thickBot="1">
      <c r="A30" s="269">
        <f t="shared" si="0"/>
        <v>24</v>
      </c>
      <c r="B30" s="292" t="s">
        <v>331</v>
      </c>
      <c r="E30" s="293">
        <f>SUM(E24:E29)</f>
        <v>826123875.35000014</v>
      </c>
      <c r="F30" s="293">
        <f>SUM(F24:F29)</f>
        <v>0</v>
      </c>
      <c r="G30" s="293">
        <f>SUM(G24:G29)</f>
        <v>-7669040.4299999997</v>
      </c>
      <c r="H30" s="293">
        <f>SUM(H24:H29)</f>
        <v>-2076336.3000000003</v>
      </c>
      <c r="I30" s="293">
        <f>SUM(I24:I29)</f>
        <v>816378498.62000012</v>
      </c>
      <c r="J30" s="293"/>
      <c r="K30" s="293">
        <f>SUM(K24:K29)</f>
        <v>887971973.40061903</v>
      </c>
      <c r="L30" s="293">
        <f>SUM(L24:L29)</f>
        <v>-9745376.7300000004</v>
      </c>
      <c r="M30" s="293">
        <f>SUM(M24:M29)</f>
        <v>878226596.67061901</v>
      </c>
      <c r="N30" s="293">
        <f>SUM(N24:N29)</f>
        <v>846323511.75485861</v>
      </c>
      <c r="O30" s="280"/>
      <c r="P30" s="280"/>
      <c r="Q30" s="280"/>
      <c r="R30" s="280"/>
      <c r="S30" s="280"/>
    </row>
    <row r="31" spans="1:19" ht="15" thickTop="1"/>
    <row r="35" spans="2:14" ht="116.25" customHeight="1">
      <c r="B35" s="269"/>
      <c r="C35" s="269"/>
      <c r="N35" s="294" t="s">
        <v>332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5DE44E0-A2BE-45AF-94A9-BD4E5B65913D}"/>
</file>

<file path=customXml/itemProps2.xml><?xml version="1.0" encoding="utf-8"?>
<ds:datastoreItem xmlns:ds="http://schemas.openxmlformats.org/officeDocument/2006/customXml" ds:itemID="{1B51DE4D-3910-4FC7-B496-509356482889}"/>
</file>

<file path=customXml/itemProps3.xml><?xml version="1.0" encoding="utf-8"?>
<ds:datastoreItem xmlns:ds="http://schemas.openxmlformats.org/officeDocument/2006/customXml" ds:itemID="{50644829-C2C0-4B78-8B45-BEEB8830235B}"/>
</file>

<file path=customXml/itemProps4.xml><?xml version="1.0" encoding="utf-8"?>
<ds:datastoreItem xmlns:ds="http://schemas.openxmlformats.org/officeDocument/2006/customXml" ds:itemID="{3D0C129D-C56F-4D17-971D-DDDB7A2FC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KJB-7</vt:lpstr>
      <vt:lpstr>KJB-7.01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dcterms:created xsi:type="dcterms:W3CDTF">2017-01-05T17:03:28Z</dcterms:created>
  <dcterms:modified xsi:type="dcterms:W3CDTF">2017-01-05T18:04:45Z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