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605" windowHeight="10650" activeTab="0"/>
  </bookViews>
  <sheets>
    <sheet name="CONFIDENTIAL" sheetId="1" r:id="rId1"/>
    <sheet name="Pg 1 CofCap" sheetId="2" r:id="rId2"/>
    <sheet name="(R) Pg 2 Cost of Total Debt" sheetId="3" r:id="rId3"/>
    <sheet name="Pg 3 STD Int&amp;Fees-Details AMA" sheetId="4" r:id="rId4"/>
    <sheet name="Pg 4 Reacquired Deb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2">'(R) Pg 2 Cost of Total Debt'!$A$1:$J$49</definedName>
    <definedName name="_xlnm.Print_Area" localSheetId="1">'Pg 1 CofCap'!$A$1:$F$42</definedName>
    <definedName name="_xlnm.Print_Area" localSheetId="3">'Pg 3 STD Int&amp;Fees-Details AMA'!$A$1:$P$70</definedName>
    <definedName name="_xlnm.Print_Area" localSheetId="4">'Pg 4 Reacquired Debt'!$A$1:$K$29</definedName>
    <definedName name="_xlnm.Print_Titles" localSheetId="4">'Pg 4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<sst xmlns="http://schemas.openxmlformats.org/spreadsheetml/2006/main" count="263" uniqueCount="152">
  <si>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</si>
  <si>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</si>
  <si>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</si>
  <si>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</si>
  <si>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</si>
  <si>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</si>
  <si>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</si>
  <si>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</si>
  <si>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</si>
  <si>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</si>
  <si>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</si>
  <si>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</si>
  <si>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</si>
  <si>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</si>
  <si>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</si>
  <si>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</si>
  <si>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</si>
  <si>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</si>
  <si>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</si>
  <si>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</si>
  <si>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</si>
  <si>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</si>
  <si>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</si>
  <si>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</si>
  <si>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</si>
  <si>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</si>
  <si>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</si>
  <si>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</si>
  <si>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</si>
  <si>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</si>
  <si>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</si>
  <si>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</si>
  <si>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</si>
  <si>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</si>
  <si>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</si>
  <si>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</si>
  <si>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</si>
  <si>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</si>
  <si>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</si>
  <si>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</si>
  <si>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</si>
  <si>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</si>
  <si>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</si>
  <si>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</si>
  <si>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</si>
  <si>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</si>
  <si>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2003 PCB's</t>
  </si>
  <si>
    <t>30 Yr 6.724%</t>
  </si>
  <si>
    <t>Amortization (i)</t>
  </si>
  <si>
    <t>Redemption</t>
  </si>
  <si>
    <t>Refinance</t>
  </si>
  <si>
    <t>for Amort.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</si>
  <si>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</si>
  <si>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</si>
  <si>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</si>
  <si>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</si>
  <si>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</si>
  <si>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</si>
  <si>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</si>
  <si>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</si>
  <si>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</si>
  <si>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</si>
  <si>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</si>
  <si>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</si>
  <si>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</si>
  <si>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</si>
  <si>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</si>
  <si>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</si>
  <si>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</si>
  <si>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</si>
  <si>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</si>
  <si>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</si>
  <si>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</si>
  <si>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</si>
  <si>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</si>
  <si>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</si>
  <si>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</si>
  <si>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</si>
  <si>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</si>
  <si>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</si>
  <si>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</si>
  <si>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</si>
  <si>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</si>
  <si>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</si>
  <si>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</si>
  <si>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</si>
  <si>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</si>
  <si>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</si>
  <si>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</si>
  <si>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</si>
  <si>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</si>
  <si>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</si>
  <si>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</si>
  <si>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</si>
  <si>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</si>
  <si>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</si>
  <si>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</si>
  <si>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</si>
  <si>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</si>
  <si>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</si>
  <si>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</si>
  <si>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</si>
  <si>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</si>
  <si>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</si>
  <si>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</si>
  <si>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</si>
  <si>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</si>
  <si>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</si>
  <si>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</si>
  <si>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</si>
  <si>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</si>
  <si>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</si>
  <si>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</si>
  <si>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</si>
  <si>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</si>
  <si>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</si>
  <si>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</si>
  <si>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</si>
  <si>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</si>
  <si>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</si>
  <si>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</si>
  <si>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</si>
  <si>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</si>
  <si>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</si>
  <si>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</si>
  <si>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</si>
  <si>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</si>
  <si>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</si>
  <si>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</si>
  <si>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</si>
  <si>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</si>
  <si>
    <t>LTD Average Balance (in 000's)</t>
  </si>
  <si>
    <t>Total STD and LTD</t>
  </si>
  <si>
    <t>Total Long-term Debt Cost of Interest on AMA basis</t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</si>
  <si>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</si>
  <si>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</si>
  <si>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</si>
  <si>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</si>
  <si>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</si>
  <si>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</si>
  <si>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$800mm Liquidity Fac (18101223)</t>
  </si>
  <si>
    <r>
      <t>Projected SOFR</t>
    </r>
    <r>
      <rPr>
        <sz val="8"/>
        <color indexed="8"/>
        <rFont val="Times New Roman"/>
        <family val="1"/>
      </rPr>
      <t xml:space="preserve"> Rates (1 mo)</t>
    </r>
  </si>
  <si>
    <t>For The 12 Months Ended December 31, 2026</t>
  </si>
  <si>
    <t>Requested For Rate Year January 2026 through December 2026</t>
  </si>
  <si>
    <t>LC Outstanding  with TD_1 (000'0)</t>
  </si>
  <si>
    <t>LC Outstanding  with TD_2 (000'0)</t>
  </si>
  <si>
    <t>Credit Facilities SOFR adj.</t>
  </si>
  <si>
    <t>SHADED INFORMATION IS DESIGNATED AS CONFIDENTIAL PER WAC 480-07-160</t>
  </si>
  <si>
    <t>This file contains confidential information</t>
  </si>
  <si>
    <t>Shaded information is designated as confidential per WAC 480-07-160</t>
  </si>
  <si>
    <t>REDACTED VERSION</t>
  </si>
  <si>
    <t>XXXXX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</si>
</sst>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[$-409]dddd\,\ mmmm\ d\,\ yyyy"/>
    <numFmt numFmtId="225" formatCode="&quot;$&quot;#,##0.0_);[Red]\(&quot;$&quot;#,##0.0\)"/>
  </numFmts>
  <fonts count="56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20"/>
      <color indexed="8"/>
      <name val="Calibri"/>
      <family val="2"/>
    </font>
    <font>
      <sz val="18"/>
      <name val="Arial"/>
      <family val="2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sz val="20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 style="thin">
        <color rgb="FFFFFF00"/>
      </right>
      <top>
        <color indexed="63"/>
      </top>
      <bottom style="thin">
        <color rgb="FFFFFF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FFFF00"/>
      </left>
      <right/>
      <top style="thick">
        <color rgb="FFFFFF00"/>
      </top>
      <bottom style="thick">
        <color rgb="FFFFFF00"/>
      </bottom>
    </border>
    <border>
      <left/>
      <right/>
      <top style="thick">
        <color rgb="FFFFFF00"/>
      </top>
      <bottom style="thick">
        <color rgb="FFFFFF00"/>
      </bottom>
    </border>
    <border>
      <left/>
      <right style="thick">
        <color rgb="FFFFFF00"/>
      </right>
      <top style="thick">
        <color rgb="FFFFFF00"/>
      </top>
      <bottom style="thick">
        <color rgb="FFFFFF00"/>
      </bottom>
    </border>
    <border>
      <left style="medium">
        <color rgb="FFFFFF00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</borders>
  <cellStyleXfs count="1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21">
    <xf numFmtId="37" fontId="0" fillId="0" borderId="0" xfId="0" applyAlignment="1">
      <alignment/>
    </xf>
    <xf numFmtId="10" fontId="3" fillId="0" borderId="0" xfId="110" applyFont="1">
      <alignment/>
      <protection/>
    </xf>
    <xf numFmtId="10" fontId="3" fillId="0" borderId="0" xfId="110" applyFont="1" applyAlignment="1">
      <alignment horizontal="centerContinuous"/>
      <protection/>
    </xf>
    <xf numFmtId="1" fontId="3" fillId="0" borderId="0" xfId="110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0" applyNumberFormat="1" applyFont="1" applyProtection="1">
      <alignment/>
      <protection/>
    </xf>
    <xf numFmtId="165" fontId="3" fillId="0" borderId="0" xfId="110" applyNumberFormat="1" applyFont="1" applyProtection="1">
      <alignment/>
      <protection/>
    </xf>
    <xf numFmtId="10" fontId="3" fillId="0" borderId="0" xfId="110" applyNumberFormat="1" applyFont="1" applyProtection="1">
      <alignment/>
      <protection/>
    </xf>
    <xf numFmtId="37" fontId="3" fillId="0" borderId="0" xfId="108" applyFont="1">
      <alignment/>
      <protection/>
    </xf>
    <xf numFmtId="37" fontId="3" fillId="0" borderId="0" xfId="108" applyFont="1" applyAlignment="1" applyProtection="1">
      <alignment horizontal="center"/>
      <protection/>
    </xf>
    <xf numFmtId="37" fontId="5" fillId="0" borderId="0" xfId="108" applyFont="1" applyAlignment="1">
      <alignment horizontal="center"/>
      <protection/>
    </xf>
    <xf numFmtId="5" fontId="3" fillId="0" borderId="0" xfId="108" applyNumberFormat="1" applyFont="1">
      <alignment/>
      <protection/>
    </xf>
    <xf numFmtId="37" fontId="6" fillId="0" borderId="0" xfId="108" applyFont="1" applyFill="1">
      <alignment/>
      <protection/>
    </xf>
    <xf numFmtId="15" fontId="3" fillId="0" borderId="0" xfId="108" applyNumberFormat="1" applyFont="1" applyProtection="1">
      <alignment/>
      <protection/>
    </xf>
    <xf numFmtId="0" fontId="3" fillId="0" borderId="0" xfId="111" applyFont="1" applyAlignment="1" applyProtection="1">
      <alignment horizontal="left"/>
      <protection/>
    </xf>
    <xf numFmtId="0" fontId="4" fillId="0" borderId="0" xfId="111" applyFont="1">
      <alignment/>
      <protection/>
    </xf>
    <xf numFmtId="5" fontId="4" fillId="0" borderId="0" xfId="111" applyNumberFormat="1" applyFont="1" applyProtection="1">
      <alignment/>
      <protection/>
    </xf>
    <xf numFmtId="37" fontId="7" fillId="0" borderId="0" xfId="108" applyFont="1" applyFill="1" applyAlignment="1">
      <alignment horizontal="center"/>
      <protection/>
    </xf>
    <xf numFmtId="5" fontId="6" fillId="0" borderId="0" xfId="108" applyNumberFormat="1" applyFont="1" applyFill="1">
      <alignment/>
      <protection/>
    </xf>
    <xf numFmtId="37" fontId="6" fillId="0" borderId="0" xfId="108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8" applyFont="1" applyFill="1" applyAlignment="1" applyProtection="1">
      <alignment horizontal="center"/>
      <protection/>
    </xf>
    <xf numFmtId="10" fontId="6" fillId="0" borderId="0" xfId="108" applyNumberFormat="1" applyFont="1" applyFill="1" applyProtection="1">
      <alignment/>
      <protection/>
    </xf>
    <xf numFmtId="168" fontId="6" fillId="0" borderId="0" xfId="108" applyNumberFormat="1" applyFont="1" applyFill="1" applyAlignment="1" applyProtection="1">
      <alignment horizontal="fill"/>
      <protection/>
    </xf>
    <xf numFmtId="166" fontId="3" fillId="0" borderId="0" xfId="108" applyNumberFormat="1" applyFont="1" applyFill="1">
      <alignment/>
      <protection/>
    </xf>
    <xf numFmtId="15" fontId="11" fillId="0" borderId="0" xfId="111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0" fontId="15" fillId="0" borderId="0" xfId="111" applyFont="1">
      <alignment/>
      <protection/>
    </xf>
    <xf numFmtId="0" fontId="4" fillId="0" borderId="0" xfId="111" applyFont="1" applyFill="1">
      <alignment/>
      <protection/>
    </xf>
    <xf numFmtId="0" fontId="4" fillId="0" borderId="0" xfId="111" applyFont="1" applyAlignment="1">
      <alignment horizontal="center"/>
      <protection/>
    </xf>
    <xf numFmtId="37" fontId="3" fillId="0" borderId="0" xfId="110" applyNumberFormat="1" applyFont="1">
      <alignment/>
      <protection/>
    </xf>
    <xf numFmtId="5" fontId="3" fillId="0" borderId="0" xfId="108" applyNumberFormat="1" applyFont="1" applyFill="1">
      <alignment/>
      <protection/>
    </xf>
    <xf numFmtId="37" fontId="3" fillId="0" borderId="0" xfId="108" applyFont="1" applyFill="1">
      <alignment/>
      <protection/>
    </xf>
    <xf numFmtId="5" fontId="32" fillId="0" borderId="0" xfId="106" applyNumberFormat="1" applyFont="1" applyFill="1" applyBorder="1" applyAlignment="1" applyProtection="1">
      <alignment horizontal="left"/>
      <protection/>
    </xf>
    <xf numFmtId="170" fontId="3" fillId="0" borderId="0" xfId="110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6" applyNumberFormat="1" applyFont="1" applyAlignment="1">
      <alignment/>
    </xf>
    <xf numFmtId="0" fontId="33" fillId="0" borderId="0" xfId="106" applyFont="1" applyBorder="1" applyAlignment="1" applyProtection="1">
      <alignment horizontal="centerContinuous" vertical="center" wrapText="1"/>
      <protection/>
    </xf>
    <xf numFmtId="10" fontId="5" fillId="0" borderId="0" xfId="110" applyFont="1" applyAlignment="1">
      <alignment horizontal="centerContinuous"/>
      <protection/>
    </xf>
    <xf numFmtId="172" fontId="5" fillId="0" borderId="0" xfId="110" applyNumberFormat="1" applyFont="1" applyBorder="1" applyAlignment="1" applyProtection="1">
      <alignment horizontal="centerContinuous" vertical="center" wrapText="1"/>
      <protection/>
    </xf>
    <xf numFmtId="1" fontId="12" fillId="0" borderId="0" xfId="110" applyNumberFormat="1" applyFont="1" applyAlignment="1" applyProtection="1">
      <alignment horizontal="center"/>
      <protection/>
    </xf>
    <xf numFmtId="37" fontId="34" fillId="0" borderId="0" xfId="107" applyFont="1" applyAlignment="1" applyProtection="1">
      <alignment horizontal="center"/>
      <protection/>
    </xf>
    <xf numFmtId="10" fontId="5" fillId="0" borderId="0" xfId="110" applyFont="1" applyFill="1" applyBorder="1" applyAlignment="1" applyProtection="1">
      <alignment horizontal="center" wrapText="1"/>
      <protection/>
    </xf>
    <xf numFmtId="10" fontId="5" fillId="0" borderId="0" xfId="110" applyFont="1" applyAlignment="1">
      <alignment horizontal="center"/>
      <protection/>
    </xf>
    <xf numFmtId="10" fontId="5" fillId="0" borderId="0" xfId="110" applyFont="1" applyAlignment="1" applyProtection="1">
      <alignment horizontal="center"/>
      <protection/>
    </xf>
    <xf numFmtId="10" fontId="35" fillId="0" borderId="0" xfId="110" applyFont="1" applyAlignment="1" applyProtection="1">
      <alignment horizontal="left"/>
      <protection/>
    </xf>
    <xf numFmtId="10" fontId="35" fillId="0" borderId="0" xfId="110" applyFont="1" applyAlignment="1" applyProtection="1">
      <alignment horizontal="center"/>
      <protection/>
    </xf>
    <xf numFmtId="10" fontId="3" fillId="0" borderId="0" xfId="110" applyFont="1" applyAlignment="1" applyProtection="1">
      <alignment horizontal="left"/>
      <protection/>
    </xf>
    <xf numFmtId="10" fontId="3" fillId="0" borderId="0" xfId="110" applyFont="1" applyAlignment="1" applyProtection="1">
      <alignment horizontal="left" indent="2"/>
      <protection/>
    </xf>
    <xf numFmtId="10" fontId="3" fillId="0" borderId="0" xfId="110" applyNumberFormat="1" applyFont="1" applyAlignment="1" applyProtection="1">
      <alignment/>
      <protection/>
    </xf>
    <xf numFmtId="10" fontId="3" fillId="0" borderId="0" xfId="110" applyFont="1" applyAlignment="1">
      <alignment horizontal="left" indent="2"/>
      <protection/>
    </xf>
    <xf numFmtId="10" fontId="3" fillId="0" borderId="10" xfId="110" applyFont="1" applyBorder="1" applyAlignment="1">
      <alignment horizontal="left" indent="2"/>
      <protection/>
    </xf>
    <xf numFmtId="37" fontId="34" fillId="0" borderId="10" xfId="107" applyFont="1" applyBorder="1" applyAlignment="1" applyProtection="1">
      <alignment horizontal="center"/>
      <protection/>
    </xf>
    <xf numFmtId="165" fontId="3" fillId="0" borderId="10" xfId="110" applyNumberFormat="1" applyFont="1" applyBorder="1" applyAlignment="1" applyProtection="1">
      <alignment/>
      <protection/>
    </xf>
    <xf numFmtId="10" fontId="3" fillId="0" borderId="10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 indent="1"/>
      <protection/>
    </xf>
    <xf numFmtId="10" fontId="5" fillId="0" borderId="0" xfId="110" applyNumberFormat="1" applyFont="1" applyAlignment="1" applyProtection="1">
      <alignment/>
      <protection/>
    </xf>
    <xf numFmtId="5" fontId="3" fillId="0" borderId="0" xfId="110" applyNumberFormat="1" applyFont="1" applyAlignment="1" applyProtection="1">
      <alignment/>
      <protection/>
    </xf>
    <xf numFmtId="10" fontId="5" fillId="0" borderId="11" xfId="110" applyFont="1" applyBorder="1" applyAlignment="1" applyProtection="1">
      <alignment horizontal="left" indent="1"/>
      <protection/>
    </xf>
    <xf numFmtId="37" fontId="34" fillId="0" borderId="11" xfId="107" applyFont="1" applyBorder="1" applyAlignment="1" applyProtection="1">
      <alignment horizontal="center"/>
      <protection/>
    </xf>
    <xf numFmtId="165" fontId="3" fillId="0" borderId="11" xfId="110" applyNumberFormat="1" applyFont="1" applyBorder="1" applyAlignment="1" applyProtection="1">
      <alignment/>
      <protection/>
    </xf>
    <xf numFmtId="10" fontId="3" fillId="0" borderId="11" xfId="110" applyNumberFormat="1" applyFont="1" applyBorder="1" applyAlignment="1" applyProtection="1">
      <alignment/>
      <protection/>
    </xf>
    <xf numFmtId="10" fontId="5" fillId="0" borderId="11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/>
      <protection/>
    </xf>
    <xf numFmtId="10" fontId="35" fillId="0" borderId="0" xfId="110" applyNumberFormat="1" applyFont="1" applyAlignment="1" applyProtection="1">
      <alignment/>
      <protection/>
    </xf>
    <xf numFmtId="5" fontId="36" fillId="0" borderId="0" xfId="110" applyNumberFormat="1" applyFont="1" applyBorder="1" applyAlignment="1" applyProtection="1">
      <alignment/>
      <protection/>
    </xf>
    <xf numFmtId="10" fontId="3" fillId="0" borderId="0" xfId="110" applyNumberFormat="1" applyFont="1" applyBorder="1">
      <alignment/>
      <protection/>
    </xf>
    <xf numFmtId="10" fontId="3" fillId="0" borderId="0" xfId="110" applyFont="1" applyBorder="1" applyAlignment="1">
      <alignment horizontal="right"/>
      <protection/>
    </xf>
    <xf numFmtId="10" fontId="3" fillId="0" borderId="0" xfId="110" applyFont="1" applyBorder="1" applyAlignment="1">
      <alignment horizontal="center"/>
      <protection/>
    </xf>
    <xf numFmtId="10" fontId="3" fillId="0" borderId="0" xfId="110" applyNumberFormat="1" applyFont="1" applyBorder="1" applyAlignment="1">
      <alignment horizontal="right"/>
      <protection/>
    </xf>
    <xf numFmtId="10" fontId="10" fillId="0" borderId="0" xfId="110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0" applyNumberFormat="1" applyFont="1">
      <alignment/>
      <protection/>
    </xf>
    <xf numFmtId="37" fontId="11" fillId="0" borderId="0" xfId="108" applyNumberFormat="1" applyFont="1" applyAlignment="1" applyProtection="1">
      <alignment horizontal="centerContinuous"/>
      <protection/>
    </xf>
    <xf numFmtId="0" fontId="5" fillId="0" borderId="0" xfId="111" applyFont="1" applyFill="1" applyBorder="1" applyAlignment="1" applyProtection="1" quotePrefix="1">
      <alignment horizontal="centerContinuous" vertical="center" wrapText="1"/>
      <protection/>
    </xf>
    <xf numFmtId="0" fontId="11" fillId="0" borderId="0" xfId="111" applyFont="1" applyFill="1" applyBorder="1" applyAlignment="1" applyProtection="1" quotePrefix="1">
      <alignment horizontal="centerContinuous" vertical="center" wrapText="1"/>
      <protection/>
    </xf>
    <xf numFmtId="181" fontId="11" fillId="0" borderId="0" xfId="108" applyNumberFormat="1" applyFont="1" applyFill="1" applyAlignment="1" applyProtection="1" quotePrefix="1">
      <alignment horizontal="centerContinuous"/>
      <protection/>
    </xf>
    <xf numFmtId="181" fontId="11" fillId="0" borderId="0" xfId="108" applyNumberFormat="1" applyFont="1" applyFill="1" applyAlignment="1" applyProtection="1">
      <alignment horizontal="centerContinuous"/>
      <protection/>
    </xf>
    <xf numFmtId="3" fontId="12" fillId="0" borderId="0" xfId="109" applyFont="1" applyAlignment="1">
      <alignment horizontal="center"/>
      <protection/>
    </xf>
    <xf numFmtId="37" fontId="39" fillId="0" borderId="0" xfId="107" applyFont="1" applyAlignment="1" applyProtection="1">
      <alignment horizontal="center"/>
      <protection/>
    </xf>
    <xf numFmtId="3" fontId="3" fillId="0" borderId="0" xfId="109" applyFont="1" applyAlignment="1">
      <alignment horizontal="center"/>
      <protection/>
    </xf>
    <xf numFmtId="168" fontId="34" fillId="0" borderId="0" xfId="109" applyNumberFormat="1" applyFont="1" applyAlignment="1" applyProtection="1">
      <alignment horizontal="center"/>
      <protection/>
    </xf>
    <xf numFmtId="3" fontId="34" fillId="0" borderId="0" xfId="109" applyFont="1" applyAlignment="1">
      <alignment horizontal="center"/>
      <protection/>
    </xf>
    <xf numFmtId="3" fontId="34" fillId="0" borderId="10" xfId="109" applyFont="1" applyBorder="1" applyAlignment="1" applyProtection="1">
      <alignment horizontal="center"/>
      <protection/>
    </xf>
    <xf numFmtId="3" fontId="34" fillId="0" borderId="10" xfId="109" applyFont="1" applyBorder="1" applyAlignment="1" applyProtection="1" quotePrefix="1">
      <alignment horizontal="center"/>
      <protection/>
    </xf>
    <xf numFmtId="17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right"/>
    </xf>
    <xf numFmtId="175" fontId="12" fillId="0" borderId="0" xfId="106" applyNumberFormat="1" applyFont="1" applyFill="1" applyProtection="1">
      <alignment/>
      <protection/>
    </xf>
    <xf numFmtId="175" fontId="12" fillId="0" borderId="0" xfId="106" applyNumberFormat="1" applyFont="1" applyFill="1" applyBorder="1" applyProtection="1">
      <alignment/>
      <protection/>
    </xf>
    <xf numFmtId="37" fontId="34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39" fontId="12" fillId="0" borderId="0" xfId="0" applyNumberFormat="1" applyFont="1" applyFill="1" applyAlignment="1">
      <alignment horizontal="right"/>
    </xf>
    <xf numFmtId="175" fontId="34" fillId="0" borderId="0" xfId="106" applyNumberFormat="1" applyFont="1" applyFill="1" applyBorder="1" applyProtection="1">
      <alignment/>
      <protection/>
    </xf>
    <xf numFmtId="3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75" fontId="34" fillId="0" borderId="0" xfId="106" applyNumberFormat="1" applyFont="1" applyFill="1" applyProtection="1">
      <alignment/>
      <protection/>
    </xf>
    <xf numFmtId="17" fontId="12" fillId="0" borderId="0" xfId="108" applyNumberFormat="1" applyFont="1" applyAlignment="1" applyProtection="1">
      <alignment horizontal="left"/>
      <protection/>
    </xf>
    <xf numFmtId="37" fontId="34" fillId="0" borderId="0" xfId="108" applyNumberFormat="1" applyFont="1" applyAlignment="1" applyProtection="1">
      <alignment horizontal="left"/>
      <protection/>
    </xf>
    <xf numFmtId="10" fontId="34" fillId="0" borderId="0" xfId="116" applyNumberFormat="1" applyFont="1" applyFill="1" applyAlignment="1">
      <alignment/>
    </xf>
    <xf numFmtId="175" fontId="34" fillId="0" borderId="12" xfId="106" applyNumberFormat="1" applyFont="1" applyFill="1" applyBorder="1" applyProtection="1">
      <alignment/>
      <protection/>
    </xf>
    <xf numFmtId="192" fontId="41" fillId="0" borderId="12" xfId="106" applyNumberFormat="1" applyFont="1" applyBorder="1" applyProtection="1">
      <alignment/>
      <protection/>
    </xf>
    <xf numFmtId="171" fontId="12" fillId="0" borderId="0" xfId="0" applyNumberFormat="1" applyFont="1" applyFill="1" applyAlignment="1">
      <alignment/>
    </xf>
    <xf numFmtId="3" fontId="12" fillId="0" borderId="0" xfId="109" applyFont="1">
      <alignment/>
      <protection/>
    </xf>
    <xf numFmtId="10" fontId="12" fillId="0" borderId="0" xfId="116" applyNumberFormat="1" applyFont="1" applyFill="1" applyAlignment="1">
      <alignment/>
    </xf>
    <xf numFmtId="37" fontId="34" fillId="0" borderId="0" xfId="105" applyNumberFormat="1" applyFont="1" applyFill="1" applyBorder="1">
      <alignment/>
      <protection/>
    </xf>
    <xf numFmtId="10" fontId="34" fillId="0" borderId="12" xfId="0" applyNumberFormat="1" applyFont="1" applyFill="1" applyBorder="1" applyAlignment="1">
      <alignment/>
    </xf>
    <xf numFmtId="171" fontId="12" fillId="0" borderId="0" xfId="0" applyNumberFormat="1" applyFont="1" applyFill="1" applyAlignment="1">
      <alignment horizontal="center"/>
    </xf>
    <xf numFmtId="10" fontId="34" fillId="0" borderId="0" xfId="108" applyNumberFormat="1" applyFont="1" applyFill="1" applyBorder="1" applyProtection="1">
      <alignment/>
      <protection/>
    </xf>
    <xf numFmtId="187" fontId="43" fillId="0" borderId="0" xfId="106" applyNumberFormat="1" applyFont="1" applyFill="1" applyBorder="1" applyProtection="1">
      <alignment/>
      <protection/>
    </xf>
    <xf numFmtId="192" fontId="41" fillId="0" borderId="0" xfId="106" applyNumberFormat="1" applyFont="1" applyBorder="1" applyProtection="1">
      <alignment/>
      <protection/>
    </xf>
    <xf numFmtId="3" fontId="34" fillId="0" borderId="0" xfId="109" applyFont="1" quotePrefix="1">
      <alignment/>
      <protection/>
    </xf>
    <xf numFmtId="37" fontId="34" fillId="0" borderId="0" xfId="108" applyNumberFormat="1" applyFont="1">
      <alignment/>
      <protection/>
    </xf>
    <xf numFmtId="37" fontId="12" fillId="0" borderId="0" xfId="108" applyNumberFormat="1" applyFont="1">
      <alignment/>
      <protection/>
    </xf>
    <xf numFmtId="171" fontId="12" fillId="0" borderId="0" xfId="0" applyNumberFormat="1" applyFont="1" applyAlignment="1">
      <alignment/>
    </xf>
    <xf numFmtId="179" fontId="42" fillId="0" borderId="0" xfId="106" applyNumberFormat="1" applyFont="1" applyFill="1" applyProtection="1">
      <alignment/>
      <protection/>
    </xf>
    <xf numFmtId="37" fontId="12" fillId="0" borderId="0" xfId="105" applyFont="1" applyFill="1">
      <alignment/>
      <protection/>
    </xf>
    <xf numFmtId="37" fontId="10" fillId="0" borderId="0" xfId="105" applyFont="1" applyFill="1">
      <alignment/>
      <protection/>
    </xf>
    <xf numFmtId="37" fontId="7" fillId="0" borderId="0" xfId="105" applyFont="1" applyFill="1">
      <alignment/>
      <protection/>
    </xf>
    <xf numFmtId="37" fontId="12" fillId="0" borderId="0" xfId="107" applyFont="1" applyFill="1" applyAlignment="1" applyProtection="1">
      <alignment horizontal="center"/>
      <protection/>
    </xf>
    <xf numFmtId="37" fontId="34" fillId="0" borderId="0" xfId="107" applyFont="1" applyFill="1" applyAlignment="1" applyProtection="1">
      <alignment horizontal="center"/>
      <protection/>
    </xf>
    <xf numFmtId="17" fontId="40" fillId="0" borderId="0" xfId="105" applyNumberFormat="1" applyFont="1" applyFill="1" applyBorder="1" applyAlignment="1">
      <alignment horizontal="center"/>
      <protection/>
    </xf>
    <xf numFmtId="37" fontId="40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>
      <alignment/>
      <protection/>
    </xf>
    <xf numFmtId="5" fontId="12" fillId="0" borderId="0" xfId="106" applyNumberFormat="1" applyFont="1" applyFill="1" applyBorder="1" applyProtection="1">
      <alignment/>
      <protection/>
    </xf>
    <xf numFmtId="5" fontId="42" fillId="0" borderId="0" xfId="106" applyNumberFormat="1" applyFont="1" applyFill="1" applyBorder="1" applyProtection="1">
      <alignment/>
      <protection/>
    </xf>
    <xf numFmtId="5" fontId="41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2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 applyAlignment="1">
      <alignment horizontal="left" indent="1"/>
      <protection/>
    </xf>
    <xf numFmtId="5" fontId="42" fillId="0" borderId="13" xfId="106" applyNumberFormat="1" applyFont="1" applyFill="1" applyBorder="1" applyProtection="1">
      <alignment/>
      <protection/>
    </xf>
    <xf numFmtId="5" fontId="41" fillId="0" borderId="13" xfId="106" applyNumberFormat="1" applyFont="1" applyFill="1" applyBorder="1" applyProtection="1">
      <alignment/>
      <protection/>
    </xf>
    <xf numFmtId="37" fontId="10" fillId="0" borderId="0" xfId="105" applyFont="1" applyFill="1" applyBorder="1">
      <alignment/>
      <protection/>
    </xf>
    <xf numFmtId="37" fontId="34" fillId="0" borderId="0" xfId="105" applyFont="1" applyFill="1" applyBorder="1" applyAlignment="1">
      <alignment horizontal="centerContinuous" vertical="center" wrapText="1"/>
      <protection/>
    </xf>
    <xf numFmtId="37" fontId="11" fillId="0" borderId="0" xfId="105" applyFont="1" applyFill="1" applyBorder="1" applyAlignment="1">
      <alignment horizontal="centerContinuous" vertical="center" wrapText="1"/>
      <protection/>
    </xf>
    <xf numFmtId="165" fontId="42" fillId="0" borderId="0" xfId="117" applyNumberFormat="1" applyFont="1" applyFill="1" applyBorder="1" applyAlignment="1" applyProtection="1">
      <alignment/>
      <protection/>
    </xf>
    <xf numFmtId="168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/>
      <protection/>
    </xf>
    <xf numFmtId="10" fontId="42" fillId="0" borderId="11" xfId="106" applyNumberFormat="1" applyFont="1" applyFill="1" applyBorder="1" applyProtection="1">
      <alignment/>
      <protection/>
    </xf>
    <xf numFmtId="37" fontId="44" fillId="0" borderId="0" xfId="105" applyFont="1" applyFill="1" applyBorder="1" applyAlignment="1">
      <alignment horizontal="center"/>
      <protection/>
    </xf>
    <xf numFmtId="37" fontId="45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 applyAlignment="1">
      <alignment horizontal="left" indent="1"/>
      <protection/>
    </xf>
    <xf numFmtId="37" fontId="12" fillId="0" borderId="12" xfId="105" applyFont="1" applyFill="1" applyBorder="1">
      <alignment/>
      <protection/>
    </xf>
    <xf numFmtId="5" fontId="41" fillId="0" borderId="12" xfId="106" applyNumberFormat="1" applyFont="1" applyFill="1" applyBorder="1" applyProtection="1">
      <alignment/>
      <protection/>
    </xf>
    <xf numFmtId="10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 indent="2"/>
      <protection/>
    </xf>
    <xf numFmtId="5" fontId="42" fillId="0" borderId="11" xfId="106" applyNumberFormat="1" applyFont="1" applyFill="1" applyBorder="1" applyProtection="1">
      <alignment/>
      <protection/>
    </xf>
    <xf numFmtId="37" fontId="40" fillId="0" borderId="0" xfId="105" applyFont="1" applyFill="1" applyBorder="1" applyAlignment="1">
      <alignment horizontal="center"/>
      <protection/>
    </xf>
    <xf numFmtId="168" fontId="12" fillId="0" borderId="0" xfId="117" applyNumberFormat="1" applyFont="1" applyFill="1" applyAlignment="1">
      <alignment/>
    </xf>
    <xf numFmtId="5" fontId="42" fillId="0" borderId="12" xfId="106" applyNumberFormat="1" applyFont="1" applyFill="1" applyBorder="1" applyProtection="1">
      <alignment/>
      <protection/>
    </xf>
    <xf numFmtId="10" fontId="12" fillId="0" borderId="0" xfId="117" applyNumberFormat="1" applyFont="1" applyFill="1" applyAlignment="1">
      <alignment/>
    </xf>
    <xf numFmtId="195" fontId="12" fillId="0" borderId="0" xfId="105" applyNumberFormat="1" applyFont="1" applyFill="1" applyBorder="1" applyAlignment="1">
      <alignment horizontal="left"/>
      <protection/>
    </xf>
    <xf numFmtId="10" fontId="12" fillId="0" borderId="0" xfId="105" applyNumberFormat="1" applyFont="1" applyFill="1" applyBorder="1">
      <alignment/>
      <protection/>
    </xf>
    <xf numFmtId="168" fontId="46" fillId="0" borderId="0" xfId="117" applyNumberFormat="1" applyFont="1" applyFill="1" applyAlignment="1">
      <alignment horizontal="center"/>
    </xf>
    <xf numFmtId="10" fontId="46" fillId="0" borderId="0" xfId="117" applyNumberFormat="1" applyFont="1" applyFill="1" applyAlignment="1">
      <alignment horizontal="center"/>
    </xf>
    <xf numFmtId="199" fontId="42" fillId="0" borderId="0" xfId="106" applyNumberFormat="1" applyFont="1" applyFill="1" applyBorder="1" applyProtection="1">
      <alignment/>
      <protection/>
    </xf>
    <xf numFmtId="37" fontId="10" fillId="0" borderId="0" xfId="105" applyFont="1" applyFill="1" applyAlignment="1">
      <alignment horizontal="right"/>
      <protection/>
    </xf>
    <xf numFmtId="10" fontId="41" fillId="0" borderId="0" xfId="117" applyNumberFormat="1" applyFont="1" applyFill="1" applyBorder="1" applyAlignment="1" applyProtection="1">
      <alignment/>
      <protection/>
    </xf>
    <xf numFmtId="5" fontId="12" fillId="0" borderId="12" xfId="105" applyNumberFormat="1" applyFont="1" applyFill="1" applyBorder="1">
      <alignment/>
      <protection/>
    </xf>
    <xf numFmtId="5" fontId="12" fillId="0" borderId="0" xfId="105" applyNumberFormat="1" applyFont="1" applyFill="1" applyBorder="1">
      <alignment/>
      <protection/>
    </xf>
    <xf numFmtId="37" fontId="47" fillId="0" borderId="0" xfId="105" applyFont="1" applyFill="1">
      <alignment/>
      <protection/>
    </xf>
    <xf numFmtId="171" fontId="10" fillId="0" borderId="0" xfId="105" applyNumberFormat="1" applyFont="1" applyFill="1">
      <alignment/>
      <protection/>
    </xf>
    <xf numFmtId="0" fontId="10" fillId="0" borderId="0" xfId="111" applyFont="1">
      <alignment/>
      <protection/>
    </xf>
    <xf numFmtId="172" fontId="11" fillId="0" borderId="0" xfId="111" applyNumberFormat="1" applyFont="1" applyFill="1" applyAlignment="1">
      <alignment horizontal="left"/>
      <protection/>
    </xf>
    <xf numFmtId="0" fontId="48" fillId="0" borderId="0" xfId="111" applyFont="1" applyFill="1" applyAlignment="1" applyProtection="1" quotePrefix="1">
      <alignment horizontal="center"/>
      <protection/>
    </xf>
    <xf numFmtId="1" fontId="10" fillId="0" borderId="0" xfId="111" applyNumberFormat="1" applyFont="1" applyFill="1" applyAlignment="1" applyProtection="1">
      <alignment horizontal="center"/>
      <protection/>
    </xf>
    <xf numFmtId="37" fontId="34" fillId="0" borderId="0" xfId="107" applyFont="1" applyAlignment="1" applyProtection="1" quotePrefix="1">
      <alignment horizontal="center"/>
      <protection/>
    </xf>
    <xf numFmtId="0" fontId="11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>
      <alignment horizontal="center"/>
      <protection/>
    </xf>
    <xf numFmtId="0" fontId="34" fillId="0" borderId="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left"/>
      <protection/>
    </xf>
    <xf numFmtId="0" fontId="34" fillId="0" borderId="1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center"/>
      <protection/>
    </xf>
    <xf numFmtId="7" fontId="10" fillId="0" borderId="0" xfId="111" applyNumberFormat="1" applyFont="1" applyFill="1">
      <alignment/>
      <protection/>
    </xf>
    <xf numFmtId="5" fontId="10" fillId="0" borderId="0" xfId="111" applyNumberFormat="1" applyFont="1" applyFill="1">
      <alignment/>
      <protection/>
    </xf>
    <xf numFmtId="0" fontId="10" fillId="0" borderId="0" xfId="111" applyNumberFormat="1" applyFont="1" applyFill="1" applyAlignment="1">
      <alignment horizontal="center"/>
      <protection/>
    </xf>
    <xf numFmtId="0" fontId="11" fillId="0" borderId="0" xfId="111" applyFont="1" applyFill="1" applyBorder="1" applyAlignment="1" applyProtection="1" quotePrefix="1">
      <alignment horizontal="left"/>
      <protection/>
    </xf>
    <xf numFmtId="5" fontId="11" fillId="0" borderId="12" xfId="111" applyNumberFormat="1" applyFont="1" applyFill="1" applyBorder="1" applyAlignment="1" applyProtection="1">
      <alignment horizontal="right"/>
      <protection/>
    </xf>
    <xf numFmtId="5" fontId="11" fillId="0" borderId="0" xfId="110" applyNumberFormat="1" applyFont="1" applyBorder="1" applyAlignment="1" applyProtection="1">
      <alignment/>
      <protection/>
    </xf>
    <xf numFmtId="5" fontId="10" fillId="0" borderId="0" xfId="111" applyNumberFormat="1" applyFont="1" applyProtection="1">
      <alignment/>
      <protection/>
    </xf>
    <xf numFmtId="10" fontId="10" fillId="0" borderId="0" xfId="116" applyNumberFormat="1" applyFont="1" applyFill="1" applyAlignment="1">
      <alignment/>
    </xf>
    <xf numFmtId="0" fontId="11" fillId="0" borderId="0" xfId="111" applyFont="1" applyFill="1" applyAlignment="1" applyProtection="1">
      <alignment horizontal="left"/>
      <protection/>
    </xf>
    <xf numFmtId="0" fontId="11" fillId="0" borderId="0" xfId="111" applyFont="1" applyAlignment="1" applyProtection="1">
      <alignment horizontal="left"/>
      <protection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8" applyFont="1" applyAlignment="1">
      <alignment horizontal="center"/>
      <protection/>
    </xf>
    <xf numFmtId="175" fontId="49" fillId="0" borderId="0" xfId="106" applyNumberFormat="1" applyFont="1" applyFill="1" applyProtection="1">
      <alignment/>
      <protection/>
    </xf>
    <xf numFmtId="10" fontId="3" fillId="0" borderId="0" xfId="110" applyFont="1" applyFill="1">
      <alignment/>
      <protection/>
    </xf>
    <xf numFmtId="10" fontId="5" fillId="0" borderId="0" xfId="110" applyFont="1" applyFill="1" applyAlignment="1">
      <alignment horizontal="center"/>
      <protection/>
    </xf>
    <xf numFmtId="10" fontId="37" fillId="0" borderId="0" xfId="110" applyFont="1" applyFill="1" applyAlignment="1" applyProtection="1">
      <alignment horizontal="right"/>
      <protection/>
    </xf>
    <xf numFmtId="10" fontId="5" fillId="0" borderId="0" xfId="110" applyFont="1" applyFill="1" applyAlignment="1" applyProtection="1">
      <alignment horizontal="center"/>
      <protection/>
    </xf>
    <xf numFmtId="10" fontId="35" fillId="0" borderId="0" xfId="110" applyFont="1" applyFill="1" applyAlignment="1" applyProtection="1">
      <alignment horizontal="left"/>
      <protection/>
    </xf>
    <xf numFmtId="10" fontId="35" fillId="0" borderId="0" xfId="110" applyFont="1" applyFill="1" applyAlignment="1" applyProtection="1">
      <alignment horizontal="right"/>
      <protection/>
    </xf>
    <xf numFmtId="10" fontId="35" fillId="0" borderId="0" xfId="110" applyFont="1" applyFill="1" applyAlignment="1" applyProtection="1">
      <alignment horizontal="center"/>
      <protection/>
    </xf>
    <xf numFmtId="10" fontId="3" fillId="0" borderId="0" xfId="110" applyFont="1" applyFill="1" applyAlignment="1" applyProtection="1">
      <alignment horizontal="left"/>
      <protection/>
    </xf>
    <xf numFmtId="10" fontId="3" fillId="0" borderId="0" xfId="110" applyNumberFormat="1" applyFont="1" applyFill="1" applyAlignment="1" applyProtection="1">
      <alignment horizontal="left"/>
      <protection/>
    </xf>
    <xf numFmtId="10" fontId="3" fillId="0" borderId="0" xfId="110" applyNumberFormat="1" applyFont="1" applyFill="1" applyBorder="1" applyAlignment="1" applyProtection="1">
      <alignment horizontal="left"/>
      <protection/>
    </xf>
    <xf numFmtId="10" fontId="3" fillId="0" borderId="0" xfId="110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0" fontId="3" fillId="0" borderId="0" xfId="110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Alignment="1">
      <alignment horizontal="left" indent="2"/>
      <protection/>
    </xf>
    <xf numFmtId="5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Border="1" applyAlignment="1">
      <alignment horizontal="right"/>
      <protection/>
    </xf>
    <xf numFmtId="10" fontId="3" fillId="0" borderId="0" xfId="110" applyNumberFormat="1" applyFont="1" applyFill="1" applyAlignment="1">
      <alignment horizontal="right"/>
      <protection/>
    </xf>
    <xf numFmtId="10" fontId="3" fillId="0" borderId="10" xfId="110" applyFont="1" applyFill="1" applyBorder="1" applyAlignment="1">
      <alignment horizontal="left" indent="2"/>
      <protection/>
    </xf>
    <xf numFmtId="5" fontId="3" fillId="0" borderId="10" xfId="110" applyNumberFormat="1" applyFont="1" applyFill="1" applyBorder="1" applyAlignment="1" applyProtection="1">
      <alignment horizontal="right"/>
      <protection/>
    </xf>
    <xf numFmtId="165" fontId="3" fillId="0" borderId="10" xfId="110" applyNumberFormat="1" applyFont="1" applyFill="1" applyBorder="1" applyAlignment="1">
      <alignment horizontal="right"/>
      <protection/>
    </xf>
    <xf numFmtId="10" fontId="3" fillId="0" borderId="10" xfId="110" applyFont="1" applyFill="1" applyBorder="1" applyAlignment="1">
      <alignment horizontal="right"/>
      <protection/>
    </xf>
    <xf numFmtId="10" fontId="3" fillId="0" borderId="10" xfId="110" applyNumberFormat="1" applyFont="1" applyFill="1" applyBorder="1" applyAlignment="1">
      <alignment horizontal="right"/>
      <protection/>
    </xf>
    <xf numFmtId="10" fontId="5" fillId="0" borderId="0" xfId="110" applyFont="1" applyFill="1" applyAlignment="1" applyProtection="1">
      <alignment horizontal="left" indent="1"/>
      <protection/>
    </xf>
    <xf numFmtId="10" fontId="5" fillId="0" borderId="0" xfId="110" applyNumberFormat="1" applyFont="1" applyFill="1" applyAlignment="1">
      <alignment horizontal="right"/>
      <protection/>
    </xf>
    <xf numFmtId="10" fontId="5" fillId="0" borderId="11" xfId="110" applyFont="1" applyFill="1" applyBorder="1" applyAlignment="1" applyProtection="1">
      <alignment horizontal="left" indent="1"/>
      <protection/>
    </xf>
    <xf numFmtId="5" fontId="3" fillId="0" borderId="11" xfId="110" applyNumberFormat="1" applyFont="1" applyFill="1" applyBorder="1" applyAlignment="1" applyProtection="1">
      <alignment horizontal="right"/>
      <protection/>
    </xf>
    <xf numFmtId="165" fontId="3" fillId="0" borderId="11" xfId="110" applyNumberFormat="1" applyFont="1" applyFill="1" applyBorder="1" applyAlignment="1" applyProtection="1">
      <alignment horizontal="right"/>
      <protection/>
    </xf>
    <xf numFmtId="10" fontId="3" fillId="0" borderId="11" xfId="110" applyFont="1" applyFill="1" applyBorder="1" applyAlignment="1" applyProtection="1">
      <alignment horizontal="right"/>
      <protection/>
    </xf>
    <xf numFmtId="10" fontId="5" fillId="0" borderId="11" xfId="110" applyNumberFormat="1" applyFont="1" applyFill="1" applyBorder="1" applyAlignment="1" applyProtection="1">
      <alignment horizontal="right"/>
      <protection/>
    </xf>
    <xf numFmtId="10" fontId="5" fillId="0" borderId="0" xfId="110" applyFont="1" applyFill="1" applyAlignment="1" applyProtection="1">
      <alignment horizontal="left"/>
      <protection/>
    </xf>
    <xf numFmtId="5" fontId="5" fillId="0" borderId="0" xfId="110" applyNumberFormat="1" applyFont="1" applyFill="1" applyBorder="1" applyAlignment="1" applyProtection="1">
      <alignment horizontal="right"/>
      <protection/>
    </xf>
    <xf numFmtId="10" fontId="5" fillId="0" borderId="0" xfId="110" applyNumberFormat="1" applyFont="1" applyFill="1" applyBorder="1" applyAlignment="1" applyProtection="1">
      <alignment horizontal="right"/>
      <protection/>
    </xf>
    <xf numFmtId="5" fontId="35" fillId="0" borderId="0" xfId="110" applyNumberFormat="1" applyFont="1" applyFill="1" applyBorder="1" applyAlignment="1" applyProtection="1">
      <alignment horizontal="right"/>
      <protection/>
    </xf>
    <xf numFmtId="10" fontId="35" fillId="0" borderId="0" xfId="110" applyNumberFormat="1" applyFont="1" applyFill="1" applyAlignment="1" applyProtection="1">
      <alignment horizontal="right"/>
      <protection/>
    </xf>
    <xf numFmtId="5" fontId="36" fillId="0" borderId="0" xfId="110" applyNumberFormat="1" applyFont="1" applyFill="1" applyBorder="1" applyAlignment="1" applyProtection="1">
      <alignment horizontal="right"/>
      <protection/>
    </xf>
    <xf numFmtId="10" fontId="38" fillId="0" borderId="0" xfId="110" applyFont="1" applyFill="1" applyBorder="1" applyAlignment="1">
      <alignment horizontal="right"/>
      <protection/>
    </xf>
    <xf numFmtId="10" fontId="36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NumberFormat="1" applyFont="1" applyFill="1" applyAlignment="1" applyProtection="1">
      <alignment/>
      <protection/>
    </xf>
    <xf numFmtId="10" fontId="3" fillId="0" borderId="10" xfId="110" applyNumberFormat="1" applyFont="1" applyFill="1" applyBorder="1" applyAlignment="1" applyProtection="1">
      <alignment/>
      <protection/>
    </xf>
    <xf numFmtId="192" fontId="42" fillId="0" borderId="0" xfId="106" applyNumberFormat="1" applyFont="1" applyFill="1" applyBorder="1" applyProtection="1">
      <alignment/>
      <protection/>
    </xf>
    <xf numFmtId="192" fontId="41" fillId="0" borderId="0" xfId="106" applyNumberFormat="1" applyFont="1" applyFill="1" applyBorder="1" applyProtection="1">
      <alignment/>
      <protection/>
    </xf>
    <xf numFmtId="43" fontId="3" fillId="0" borderId="0" xfId="69" applyFont="1" applyAlignment="1">
      <alignment/>
    </xf>
    <xf numFmtId="43" fontId="3" fillId="0" borderId="0" xfId="110" applyNumberFormat="1" applyFont="1">
      <alignment/>
      <protection/>
    </xf>
    <xf numFmtId="37" fontId="12" fillId="0" borderId="0" xfId="108" applyFont="1" applyFill="1">
      <alignment/>
      <protection/>
    </xf>
    <xf numFmtId="37" fontId="12" fillId="0" borderId="0" xfId="108" applyNumberFormat="1" applyFont="1" applyFill="1">
      <alignment/>
      <protection/>
    </xf>
    <xf numFmtId="10" fontId="12" fillId="0" borderId="0" xfId="0" applyNumberFormat="1" applyFont="1" applyFill="1" applyAlignment="1">
      <alignment horizontal="right"/>
    </xf>
    <xf numFmtId="43" fontId="11" fillId="0" borderId="0" xfId="69" applyFont="1" applyBorder="1" applyAlignment="1">
      <alignment horizontal="left"/>
    </xf>
    <xf numFmtId="37" fontId="53" fillId="0" borderId="0" xfId="105" applyFont="1" applyFill="1">
      <alignment/>
      <protection/>
    </xf>
    <xf numFmtId="168" fontId="3" fillId="0" borderId="0" xfId="116" applyNumberFormat="1" applyFont="1" applyAlignment="1">
      <alignment/>
    </xf>
    <xf numFmtId="167" fontId="3" fillId="0" borderId="0" xfId="110" applyNumberFormat="1" applyFont="1">
      <alignment/>
      <protection/>
    </xf>
    <xf numFmtId="167" fontId="3" fillId="0" borderId="0" xfId="110" applyNumberFormat="1" applyFont="1" applyBorder="1">
      <alignment/>
      <protection/>
    </xf>
    <xf numFmtId="167" fontId="3" fillId="0" borderId="0" xfId="69" applyNumberFormat="1" applyFont="1" applyAlignment="1">
      <alignment/>
    </xf>
    <xf numFmtId="170" fontId="12" fillId="0" borderId="0" xfId="69" applyNumberFormat="1" applyFont="1" applyFill="1" applyBorder="1" applyAlignment="1">
      <alignment/>
    </xf>
    <xf numFmtId="170" fontId="41" fillId="0" borderId="0" xfId="69" applyNumberFormat="1" applyFont="1" applyFill="1" applyBorder="1" applyAlignment="1" applyProtection="1">
      <alignment/>
      <protection/>
    </xf>
    <xf numFmtId="10" fontId="3" fillId="0" borderId="0" xfId="110" applyFont="1" applyFill="1" applyBorder="1" applyAlignment="1">
      <alignment horizontal="centerContinuous" vertical="center" wrapText="1"/>
      <protection/>
    </xf>
    <xf numFmtId="165" fontId="3" fillId="0" borderId="0" xfId="110" applyNumberFormat="1" applyFont="1" applyFill="1" applyAlignment="1" applyProtection="1">
      <alignment/>
      <protection/>
    </xf>
    <xf numFmtId="165" fontId="3" fillId="0" borderId="10" xfId="110" applyNumberFormat="1" applyFont="1" applyFill="1" applyBorder="1" applyAlignment="1" applyProtection="1">
      <alignment/>
      <protection/>
    </xf>
    <xf numFmtId="10" fontId="3" fillId="0" borderId="0" xfId="110" applyNumberFormat="1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>
      <alignment horizontal="right"/>
      <protection/>
    </xf>
    <xf numFmtId="10" fontId="5" fillId="0" borderId="0" xfId="110" applyNumberFormat="1" applyFont="1" applyFill="1" applyAlignment="1" applyProtection="1">
      <alignment horizontal="right"/>
      <protection/>
    </xf>
    <xf numFmtId="7" fontId="42" fillId="0" borderId="0" xfId="106" applyNumberFormat="1" applyFont="1" applyFill="1" applyBorder="1" applyProtection="1">
      <alignment/>
      <protection/>
    </xf>
    <xf numFmtId="10" fontId="42" fillId="0" borderId="0" xfId="116" applyNumberFormat="1" applyFont="1" applyFill="1" applyBorder="1" applyAlignment="1" applyProtection="1">
      <alignment/>
      <protection/>
    </xf>
    <xf numFmtId="39" fontId="1" fillId="0" borderId="0" xfId="0" applyNumberFormat="1" applyFont="1" applyAlignment="1">
      <alignment/>
    </xf>
    <xf numFmtId="175" fontId="54" fillId="0" borderId="0" xfId="106" applyNumberFormat="1" applyFont="1" applyFill="1" applyProtection="1">
      <alignment/>
      <protection/>
    </xf>
    <xf numFmtId="170" fontId="12" fillId="0" borderId="0" xfId="69" applyNumberFormat="1" applyFont="1" applyFill="1" applyAlignment="1">
      <alignment/>
    </xf>
    <xf numFmtId="170" fontId="12" fillId="0" borderId="0" xfId="71" applyNumberFormat="1" applyFont="1" applyFill="1" applyBorder="1" applyAlignment="1">
      <alignment/>
    </xf>
    <xf numFmtId="6" fontId="12" fillId="0" borderId="0" xfId="74" applyNumberFormat="1" applyFont="1" applyFill="1" applyBorder="1" applyAlignment="1">
      <alignment/>
    </xf>
    <xf numFmtId="10" fontId="35" fillId="0" borderId="0" xfId="110" applyNumberFormat="1" applyFont="1" applyFill="1" applyAlignment="1" applyProtection="1">
      <alignment/>
      <protection/>
    </xf>
    <xf numFmtId="10" fontId="36" fillId="0" borderId="0" xfId="110" applyNumberFormat="1" applyFont="1" applyBorder="1" applyAlignment="1" applyProtection="1">
      <alignment horizontal="right"/>
      <protection/>
    </xf>
    <xf numFmtId="39" fontId="12" fillId="0" borderId="0" xfId="0" applyNumberFormat="1" applyFont="1" applyFill="1" applyAlignment="1">
      <alignment horizontal="center"/>
    </xf>
    <xf numFmtId="37" fontId="12" fillId="0" borderId="0" xfId="108" applyNumberFormat="1" applyFont="1" applyAlignment="1" applyProtection="1">
      <alignment/>
      <protection/>
    </xf>
    <xf numFmtId="17" fontId="12" fillId="0" borderId="0" xfId="108" applyNumberFormat="1" applyFont="1" applyAlignment="1" applyProtection="1">
      <alignment horizontal="center"/>
      <protection/>
    </xf>
    <xf numFmtId="37" fontId="12" fillId="0" borderId="0" xfId="0" applyNumberFormat="1" applyFont="1" applyFill="1" applyAlignment="1">
      <alignment/>
    </xf>
    <xf numFmtId="168" fontId="12" fillId="0" borderId="0" xfId="0" applyNumberFormat="1" applyFont="1" applyFill="1" applyAlignment="1">
      <alignment/>
    </xf>
    <xf numFmtId="17" fontId="12" fillId="0" borderId="0" xfId="0" applyNumberFormat="1" applyFont="1" applyFill="1" applyAlignment="1">
      <alignment horizontal="center"/>
    </xf>
    <xf numFmtId="168" fontId="10" fillId="0" borderId="0" xfId="111" applyNumberFormat="1" applyFont="1" applyFill="1" applyAlignment="1">
      <alignment horizontal="left"/>
      <protection/>
    </xf>
    <xf numFmtId="15" fontId="10" fillId="0" borderId="0" xfId="111" applyNumberFormat="1" applyFont="1" applyFill="1" applyAlignment="1">
      <alignment horizontal="center"/>
      <protection/>
    </xf>
    <xf numFmtId="15" fontId="10" fillId="0" borderId="0" xfId="111" applyNumberFormat="1" applyFont="1" applyFill="1" applyAlignment="1">
      <alignment horizontal="right"/>
      <protection/>
    </xf>
    <xf numFmtId="168" fontId="10" fillId="0" borderId="0" xfId="111" applyNumberFormat="1" applyFont="1" applyFill="1" applyAlignment="1" applyProtection="1">
      <alignment horizontal="left"/>
      <protection/>
    </xf>
    <xf numFmtId="15" fontId="10" fillId="0" borderId="0" xfId="111" applyNumberFormat="1" applyFont="1" applyFill="1" applyAlignment="1" applyProtection="1">
      <alignment horizontal="center"/>
      <protection/>
    </xf>
    <xf numFmtId="10" fontId="12" fillId="0" borderId="0" xfId="116" applyNumberFormat="1" applyFont="1" applyFill="1" applyBorder="1" applyAlignment="1" applyProtection="1">
      <alignment/>
      <protection/>
    </xf>
    <xf numFmtId="10" fontId="12" fillId="0" borderId="11" xfId="106" applyNumberFormat="1" applyFont="1" applyFill="1" applyBorder="1" applyProtection="1">
      <alignment/>
      <protection/>
    </xf>
    <xf numFmtId="5" fontId="12" fillId="0" borderId="11" xfId="106" applyNumberFormat="1" applyFont="1" applyFill="1" applyBorder="1" applyProtection="1">
      <alignment/>
      <protection/>
    </xf>
    <xf numFmtId="168" fontId="12" fillId="0" borderId="0" xfId="117" applyNumberFormat="1" applyFont="1" applyFill="1" applyAlignment="1">
      <alignment horizontal="center"/>
    </xf>
    <xf numFmtId="37" fontId="12" fillId="0" borderId="0" xfId="105" applyFont="1" applyFill="1" applyAlignment="1">
      <alignment horizontal="right"/>
      <protection/>
    </xf>
    <xf numFmtId="10" fontId="41" fillId="0" borderId="0" xfId="116" applyNumberFormat="1" applyFont="1" applyFill="1" applyBorder="1" applyAlignment="1" applyProtection="1">
      <alignment horizontal="right"/>
      <protection/>
    </xf>
    <xf numFmtId="168" fontId="12" fillId="18" borderId="14" xfId="0" applyNumberFormat="1" applyFont="1" applyFill="1" applyBorder="1" applyAlignment="1">
      <alignment/>
    </xf>
    <xf numFmtId="17" fontId="12" fillId="18" borderId="15" xfId="0" applyNumberFormat="1" applyFont="1" applyFill="1" applyBorder="1" applyAlignment="1">
      <alignment horizontal="center"/>
    </xf>
    <xf numFmtId="39" fontId="12" fillId="18" borderId="15" xfId="0" applyNumberFormat="1" applyFont="1" applyFill="1" applyBorder="1" applyAlignment="1">
      <alignment horizontal="center"/>
    </xf>
    <xf numFmtId="10" fontId="12" fillId="18" borderId="15" xfId="0" applyNumberFormat="1" applyFont="1" applyFill="1" applyBorder="1" applyAlignment="1">
      <alignment horizontal="right"/>
    </xf>
    <xf numFmtId="175" fontId="12" fillId="18" borderId="15" xfId="106" applyNumberFormat="1" applyFont="1" applyFill="1" applyBorder="1" applyProtection="1">
      <alignment/>
      <protection/>
    </xf>
    <xf numFmtId="175" fontId="12" fillId="18" borderId="16" xfId="106" applyNumberFormat="1" applyFont="1" applyFill="1" applyBorder="1" applyProtection="1">
      <alignment/>
      <protection/>
    </xf>
    <xf numFmtId="168" fontId="12" fillId="18" borderId="17" xfId="0" applyNumberFormat="1" applyFont="1" applyFill="1" applyBorder="1" applyAlignment="1">
      <alignment/>
    </xf>
    <xf numFmtId="17" fontId="12" fillId="18" borderId="0" xfId="0" applyNumberFormat="1" applyFont="1" applyFill="1" applyBorder="1" applyAlignment="1">
      <alignment horizontal="center"/>
    </xf>
    <xf numFmtId="39" fontId="12" fillId="18" borderId="0" xfId="0" applyNumberFormat="1" applyFont="1" applyFill="1" applyBorder="1" applyAlignment="1">
      <alignment horizontal="center"/>
    </xf>
    <xf numFmtId="10" fontId="12" fillId="18" borderId="0" xfId="0" applyNumberFormat="1" applyFont="1" applyFill="1" applyBorder="1" applyAlignment="1">
      <alignment horizontal="right"/>
    </xf>
    <xf numFmtId="175" fontId="12" fillId="18" borderId="0" xfId="106" applyNumberFormat="1" applyFont="1" applyFill="1" applyBorder="1" applyProtection="1">
      <alignment/>
      <protection/>
    </xf>
    <xf numFmtId="175" fontId="12" fillId="18" borderId="18" xfId="106" applyNumberFormat="1" applyFont="1" applyFill="1" applyBorder="1" applyProtection="1">
      <alignment/>
      <protection/>
    </xf>
    <xf numFmtId="168" fontId="12" fillId="18" borderId="19" xfId="0" applyNumberFormat="1" applyFont="1" applyFill="1" applyBorder="1" applyAlignment="1">
      <alignment/>
    </xf>
    <xf numFmtId="17" fontId="12" fillId="18" borderId="20" xfId="0" applyNumberFormat="1" applyFont="1" applyFill="1" applyBorder="1" applyAlignment="1">
      <alignment horizontal="center"/>
    </xf>
    <xf numFmtId="39" fontId="12" fillId="18" borderId="20" xfId="0" applyNumberFormat="1" applyFont="1" applyFill="1" applyBorder="1" applyAlignment="1">
      <alignment horizontal="center"/>
    </xf>
    <xf numFmtId="10" fontId="12" fillId="18" borderId="20" xfId="0" applyNumberFormat="1" applyFont="1" applyFill="1" applyBorder="1" applyAlignment="1">
      <alignment horizontal="right"/>
    </xf>
    <xf numFmtId="175" fontId="12" fillId="18" borderId="20" xfId="106" applyNumberFormat="1" applyFont="1" applyFill="1" applyBorder="1" applyProtection="1">
      <alignment/>
      <protection/>
    </xf>
    <xf numFmtId="175" fontId="12" fillId="18" borderId="21" xfId="106" applyNumberFormat="1" applyFont="1" applyFill="1" applyBorder="1" applyProtection="1">
      <alignment/>
      <protection/>
    </xf>
    <xf numFmtId="5" fontId="41" fillId="0" borderId="12" xfId="117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>
      <alignment horizontal="center"/>
    </xf>
    <xf numFmtId="37" fontId="5" fillId="0" borderId="0" xfId="108" applyFont="1" applyFill="1">
      <alignment/>
      <protection/>
    </xf>
    <xf numFmtId="10" fontId="5" fillId="0" borderId="22" xfId="110" applyFont="1" applyFill="1" applyBorder="1" applyAlignment="1" applyProtection="1">
      <alignment horizontal="center" wrapText="1"/>
      <protection/>
    </xf>
    <xf numFmtId="10" fontId="5" fillId="0" borderId="11" xfId="110" applyFont="1" applyFill="1" applyBorder="1" applyAlignment="1" applyProtection="1">
      <alignment horizontal="center" wrapText="1"/>
      <protection/>
    </xf>
    <xf numFmtId="10" fontId="5" fillId="0" borderId="23" xfId="110" applyFont="1" applyFill="1" applyBorder="1" applyAlignment="1" applyProtection="1">
      <alignment horizontal="center" wrapText="1"/>
      <protection/>
    </xf>
    <xf numFmtId="10" fontId="33" fillId="0" borderId="0" xfId="110" applyFont="1" applyAlignment="1" applyProtection="1">
      <alignment horizontal="center"/>
      <protection/>
    </xf>
    <xf numFmtId="172" fontId="33" fillId="0" borderId="0" xfId="110" applyNumberFormat="1" applyFont="1" applyAlignment="1" applyProtection="1">
      <alignment horizontal="center"/>
      <protection/>
    </xf>
    <xf numFmtId="37" fontId="34" fillId="0" borderId="0" xfId="108" applyNumberFormat="1" applyFont="1" applyBorder="1" applyAlignment="1" applyProtection="1">
      <alignment horizontal="center" wrapText="1"/>
      <protection/>
    </xf>
    <xf numFmtId="37" fontId="34" fillId="0" borderId="10" xfId="108" applyNumberFormat="1" applyFont="1" applyBorder="1" applyAlignment="1" applyProtection="1">
      <alignment horizontal="center" wrapText="1"/>
      <protection/>
    </xf>
    <xf numFmtId="3" fontId="34" fillId="0" borderId="0" xfId="109" applyFont="1" applyAlignment="1">
      <alignment horizontal="left" wrapText="1"/>
      <protection/>
    </xf>
    <xf numFmtId="37" fontId="55" fillId="0" borderId="24" xfId="0" applyFont="1" applyBorder="1" applyAlignment="1">
      <alignment horizontal="center" vertical="center"/>
    </xf>
    <xf numFmtId="37" fontId="55" fillId="0" borderId="25" xfId="0" applyFont="1" applyBorder="1" applyAlignment="1">
      <alignment horizontal="center" vertical="center"/>
    </xf>
    <xf numFmtId="37" fontId="55" fillId="0" borderId="26" xfId="0" applyFont="1" applyBorder="1" applyAlignment="1">
      <alignment horizontal="center" vertical="center"/>
    </xf>
    <xf numFmtId="37" fontId="55" fillId="18" borderId="27" xfId="0" applyFont="1" applyFill="1" applyBorder="1" applyAlignment="1">
      <alignment horizontal="center" vertical="center"/>
    </xf>
    <xf numFmtId="37" fontId="55" fillId="18" borderId="28" xfId="0" applyFont="1" applyFill="1" applyBorder="1" applyAlignment="1">
      <alignment horizontal="center" vertical="center"/>
    </xf>
    <xf numFmtId="37" fontId="55" fillId="18" borderId="29" xfId="0" applyFont="1" applyFill="1" applyBorder="1" applyAlignment="1">
      <alignment horizontal="center" vertical="center"/>
    </xf>
    <xf numFmtId="37" fontId="5" fillId="19" borderId="30" xfId="108" applyFont="1" applyFill="1" applyBorder="1" applyAlignment="1">
      <alignment horizontal="center"/>
      <protection/>
    </xf>
    <xf numFmtId="37" fontId="5" fillId="19" borderId="31" xfId="108" applyFont="1" applyFill="1" applyBorder="1" applyAlignment="1">
      <alignment horizontal="center"/>
      <protection/>
    </xf>
    <xf numFmtId="37" fontId="5" fillId="19" borderId="32" xfId="108" applyFont="1" applyFill="1" applyBorder="1" applyAlignment="1">
      <alignment horizontal="center"/>
      <protection/>
    </xf>
    <xf numFmtId="37" fontId="52" fillId="0" borderId="0" xfId="0" applyFont="1" applyAlignment="1">
      <alignment/>
    </xf>
    <xf numFmtId="37" fontId="34" fillId="0" borderId="0" xfId="108" applyFont="1" applyAlignment="1" applyProtection="1">
      <alignment horizontal="left"/>
      <protection/>
    </xf>
    <xf numFmtId="10" fontId="40" fillId="0" borderId="0" xfId="110" applyFont="1" applyFill="1" applyAlignment="1" applyProtection="1">
      <alignment/>
      <protection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Psebonds" xfId="109"/>
    <cellStyle name="Normal_RATEOFRE" xfId="110"/>
    <cellStyle name="Normal_SCHEDULE" xfId="111"/>
    <cellStyle name="Note" xfId="112"/>
    <cellStyle name="Note 2" xfId="113"/>
    <cellStyle name="Output" xfId="114"/>
    <cellStyle name="Output 2" xfId="115"/>
    <cellStyle name="Percent" xfId="116"/>
    <cellStyle name="Percent 2" xfId="117"/>
    <cellStyle name="Percent 3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Test%20Year\WACC%20Yr%20Ending%206-30-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Debt%20and%20Shelf%20Filings%20Expenses%20_A%20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Basket_2023-11-30_11h_29m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TD%20NGX%20SBLC%20History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119791667</v>
          </cell>
          <cell r="D14">
            <v>0.0123</v>
          </cell>
          <cell r="E14">
            <v>0.0458</v>
          </cell>
        </row>
        <row r="16">
          <cell r="C16">
            <v>4836189614</v>
          </cell>
          <cell r="D16">
            <v>0.497</v>
          </cell>
          <cell r="E16">
            <v>0.0507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6">
          <cell r="D26">
            <v>0.5093</v>
          </cell>
        </row>
        <row r="28">
          <cell r="C28">
            <v>4774948958</v>
          </cell>
          <cell r="D28">
            <v>0.4907</v>
          </cell>
          <cell r="E28">
            <v>0.094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 &amp; Review"/>
      <sheetName val="2023 PSE $400M Bond"/>
      <sheetName val="2023-2025 Mrtge Ind Renewal Fee"/>
      <sheetName val="2022 PSE Shelf Registration"/>
      <sheetName val="2022 PE Credit Facility"/>
      <sheetName val="2022 PSE Credit Facility"/>
      <sheetName val="PE $450M Bond 2022"/>
      <sheetName val="2022 PE Shelf Registration"/>
      <sheetName val="2021 PSE $450M Bond"/>
      <sheetName val="2021 PIH Term Loan"/>
      <sheetName val="2021 PE $500M Bond"/>
      <sheetName val="2020 PE $650M Bond"/>
      <sheetName val="2019 PE Term Loan"/>
      <sheetName val="2019 PSE $450M Sr Notes"/>
      <sheetName val="2019 Shelf Registration"/>
      <sheetName val="2018 PE Term Loan"/>
      <sheetName val="2018 PSE $600M  4.223% Sr Notes"/>
      <sheetName val="Hybrid Retirement"/>
      <sheetName val="2017 PSE Credit Facility"/>
      <sheetName val="2017 PE Credit Facility"/>
      <sheetName val="2016 PSE Shelf Registration"/>
      <sheetName val="2015 PSE $425M 4.30% Sr Note"/>
      <sheetName val="2015-PE $400M 3.65% Sr Note"/>
      <sheetName val="2014 PE Term Loans"/>
      <sheetName val="2014 Shelf Registration"/>
      <sheetName val="2013-PE Bond Deal "/>
      <sheetName val="2013 PCB REFINANCE (GA)"/>
      <sheetName val="2013 PCB REFINANCE Est-BR004"/>
      <sheetName val="2013 PCB REFINANCE Est-BR002"/>
      <sheetName val="2013 PSE Credit Facility"/>
      <sheetName val="2013 PSE Hedging Line of Cr"/>
      <sheetName val="2012 PE Credit Agreement"/>
      <sheetName val="2012-PE $450M 5.625% Sr Notes"/>
      <sheetName val="2011-9.57% FMB Retirement"/>
      <sheetName val="2011-Nov. $45M 4.70% Sr Notes"/>
      <sheetName val="2011-Nov. $250M 4.434% Sr Notes"/>
      <sheetName val="2011-PE $500M 6.0% Sr Notes"/>
      <sheetName val="2011-PSE 5.638% $300M Sr Notes"/>
      <sheetName val="2010-Jun 5.764% $250M Sr Notes"/>
      <sheetName val="2010-PE $450M 6.5% Sr Notes"/>
      <sheetName val="2010-Mar 5.795% $325M SrNotes"/>
      <sheetName val="2009 $350M 5.757% Sr Notes"/>
      <sheetName val="2009 $250M 6.75% Sr Notes"/>
      <sheetName val="2008 PSE Bridge Loan"/>
      <sheetName val="2008 PE Credit Agreements"/>
      <sheetName val="2008 PSE Hedging Line of Credit"/>
      <sheetName val="2008 PSE Capital Line of Credit"/>
      <sheetName val="2008 PSE Operating LOC"/>
      <sheetName val="Redemption of 8.2% Cap Trust I"/>
      <sheetName val="2007 Hedging Line of Credit"/>
      <sheetName val="2007 Hybrid Securities"/>
      <sheetName val="2006 PSE Sept. 30 Yr Notes"/>
      <sheetName val="Redemption of 8.4% Cap Trust II"/>
      <sheetName val="2006 PSE $250M 30 Yr Notes"/>
      <sheetName val="2005 AR Securitization"/>
      <sheetName val="2005 $312M Equity Offering"/>
      <sheetName val="Trust Preferred Tender Expenses"/>
      <sheetName val="2005 $250M 30 Yr Notes"/>
      <sheetName val="$500mm Credit Facility"/>
      <sheetName val="AR Securitization"/>
      <sheetName val="2003 $150M 5 Yr Notes (2)"/>
      <sheetName val="2003 $150M 5 Yr Notes"/>
      <sheetName val="2003 PCBs"/>
      <sheetName val="2002 Credit Facility"/>
      <sheetName val="WAC 480-146-230"/>
    </sheetNames>
    <sheetDataSet>
      <sheetData sheetId="1">
        <row r="61">
          <cell r="C61">
            <v>98.82010309500001</v>
          </cell>
        </row>
      </sheetData>
      <sheetData sheetId="21">
        <row r="68">
          <cell r="C68">
            <v>98.46409318117647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1">
          <cell r="P131">
            <v>0.036765458518601656</v>
          </cell>
        </row>
        <row r="135">
          <cell r="E135">
            <v>0.03599945095031627</v>
          </cell>
          <cell r="F135">
            <v>0.03524684631762154</v>
          </cell>
          <cell r="G135">
            <v>0.03442604932049665</v>
          </cell>
          <cell r="H135">
            <v>0.033515642660754866</v>
          </cell>
          <cell r="I135">
            <v>0.0325676503456822</v>
          </cell>
          <cell r="J135">
            <v>0.03162079191984958</v>
          </cell>
          <cell r="K135">
            <v>0.030749768096105867</v>
          </cell>
          <cell r="L135">
            <v>0.0300297549566899</v>
          </cell>
          <cell r="M135">
            <v>0.02954209998426086</v>
          </cell>
          <cell r="N135">
            <v>0.029250120152752176</v>
          </cell>
          <cell r="O135">
            <v>0.029100475387111753</v>
          </cell>
          <cell r="P135">
            <v>0.02904506163750005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GX 2023 "/>
      <sheetName val="NGX 2022"/>
    </sheetNames>
    <sheetDataSet>
      <sheetData sheetId="0">
        <row r="36">
          <cell r="J36">
            <v>28000000</v>
          </cell>
        </row>
        <row r="39">
          <cell r="J39">
            <v>28000000</v>
          </cell>
        </row>
        <row r="43">
          <cell r="J43">
            <v>22393939.393939395</v>
          </cell>
        </row>
        <row r="49">
          <cell r="J49">
            <v>9892857.142857144</v>
          </cell>
        </row>
        <row r="54">
          <cell r="J54">
            <v>17612903.225806452</v>
          </cell>
        </row>
        <row r="61">
          <cell r="J61">
            <v>9676470.588235294</v>
          </cell>
        </row>
        <row r="65">
          <cell r="J65">
            <v>7857142.857142857</v>
          </cell>
        </row>
        <row r="68">
          <cell r="J68">
            <v>11000000</v>
          </cell>
        </row>
        <row r="72">
          <cell r="J72">
            <v>8290322.580645162</v>
          </cell>
        </row>
        <row r="76">
          <cell r="J76">
            <v>4290322.580645162</v>
          </cell>
        </row>
        <row r="80">
          <cell r="J80">
            <v>4000000</v>
          </cell>
        </row>
        <row r="84">
          <cell r="J84">
            <v>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3:W10"/>
  <sheetViews>
    <sheetView tabSelected="1" zoomScalePageLayoutView="0" workbookViewId="0" topLeftCell="A1">
      <selection activeCell="E10" sqref="E10"/>
    </sheetView>
  </sheetViews>
  <sheetFormatPr defaultColWidth="9.33203125" defaultRowHeight="11.25"/>
  <sheetData>
    <row r="2" ht="12" thickBot="1"/>
    <row r="3" spans="3:23" ht="27" thickBot="1">
      <c r="C3" s="309" t="s">
        <v>148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1"/>
    </row>
    <row r="5" ht="12" thickBot="1"/>
    <row r="6" spans="3:23" ht="27.75" thickBot="1" thickTop="1">
      <c r="C6" s="312" t="s">
        <v>149</v>
      </c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4"/>
    </row>
    <row r="7" ht="12" thickTop="1"/>
    <row r="10" ht="23.25">
      <c r="K10" s="318" t="s">
        <v>150</v>
      </c>
    </row>
  </sheetData>
  <sheetProtection/>
  <mergeCells count="2">
    <mergeCell ref="C3:W3"/>
    <mergeCell ref="C6:W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Layout" zoomScaleNormal="80" workbookViewId="0" topLeftCell="A1">
      <selection activeCell="I45" sqref="I44:I45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.75">
      <c r="B1" s="42" t="s">
        <v>123</v>
      </c>
      <c r="C1" s="42"/>
      <c r="D1" s="42"/>
      <c r="E1" s="42"/>
      <c r="F1" s="42"/>
    </row>
    <row r="2" spans="1:6" ht="12.75">
      <c r="A2" s="43"/>
      <c r="B2" s="2"/>
      <c r="C2" s="2"/>
      <c r="D2" s="2"/>
      <c r="E2" s="2"/>
      <c r="F2" s="2"/>
    </row>
    <row r="3" spans="2:6" ht="15.75">
      <c r="B3" s="304" t="s">
        <v>2</v>
      </c>
      <c r="C3" s="304"/>
      <c r="D3" s="304"/>
      <c r="E3" s="304"/>
      <c r="F3" s="304"/>
    </row>
    <row r="4" spans="2:8" ht="15" customHeight="1">
      <c r="B4" s="305" t="s">
        <v>107</v>
      </c>
      <c r="C4" s="305"/>
      <c r="D4" s="305"/>
      <c r="E4" s="305"/>
      <c r="F4" s="305"/>
      <c r="H4" s="35"/>
    </row>
    <row r="5" spans="1:8" ht="12.75">
      <c r="A5" s="44" t="s">
        <v>143</v>
      </c>
      <c r="B5" s="248"/>
      <c r="C5" s="44"/>
      <c r="D5" s="44"/>
      <c r="E5" s="44"/>
      <c r="F5" s="44"/>
      <c r="H5" s="35"/>
    </row>
    <row r="6" spans="1:8" ht="12.75">
      <c r="A6" s="3"/>
      <c r="C6" s="4"/>
      <c r="H6" s="35"/>
    </row>
    <row r="7" spans="1:8" ht="12.75">
      <c r="A7" s="3"/>
      <c r="H7" s="35"/>
    </row>
    <row r="8" spans="1:8" ht="12.75">
      <c r="A8" s="45">
        <v>1</v>
      </c>
      <c r="B8" s="46" t="s">
        <v>1</v>
      </c>
      <c r="C8" s="46" t="s">
        <v>16</v>
      </c>
      <c r="D8" s="46" t="s">
        <v>23</v>
      </c>
      <c r="E8" s="46" t="s">
        <v>25</v>
      </c>
      <c r="F8" s="46" t="s">
        <v>26</v>
      </c>
      <c r="H8" s="35"/>
    </row>
    <row r="9" spans="1:8" ht="12.75">
      <c r="A9" s="45">
        <f>A8+1</f>
        <v>2</v>
      </c>
      <c r="B9" s="301" t="s">
        <v>109</v>
      </c>
      <c r="C9" s="302"/>
      <c r="D9" s="302"/>
      <c r="E9" s="302"/>
      <c r="F9" s="303"/>
      <c r="H9" s="35"/>
    </row>
    <row r="10" spans="1:8" ht="12.75">
      <c r="A10" s="45">
        <f>A9+1</f>
        <v>3</v>
      </c>
      <c r="B10" s="47"/>
      <c r="C10" s="47"/>
      <c r="D10" s="47"/>
      <c r="E10" s="47"/>
      <c r="F10" s="47"/>
      <c r="H10" s="35"/>
    </row>
    <row r="11" spans="1:6" ht="12.75">
      <c r="A11" s="45">
        <f>A10+1</f>
        <v>4</v>
      </c>
      <c r="B11" s="46"/>
      <c r="C11" s="46"/>
      <c r="D11" s="48"/>
      <c r="E11" s="49" t="s">
        <v>6</v>
      </c>
      <c r="F11" s="49" t="s">
        <v>3</v>
      </c>
    </row>
    <row r="12" spans="1:8" ht="12.75">
      <c r="A12" s="45">
        <f aca="true" t="shared" si="0" ref="A12:A40">A11+1</f>
        <v>5</v>
      </c>
      <c r="B12" s="50" t="s">
        <v>4</v>
      </c>
      <c r="C12" s="51"/>
      <c r="D12" s="51" t="s">
        <v>5</v>
      </c>
      <c r="E12" s="51" t="s">
        <v>101</v>
      </c>
      <c r="F12" s="51" t="s">
        <v>7</v>
      </c>
      <c r="H12" s="35"/>
    </row>
    <row r="13" spans="1:8" ht="12.75">
      <c r="A13" s="45">
        <f t="shared" si="0"/>
        <v>6</v>
      </c>
      <c r="B13" s="52"/>
      <c r="C13" s="46"/>
      <c r="D13" s="46"/>
      <c r="E13" s="46"/>
      <c r="F13" s="46"/>
      <c r="H13" s="35"/>
    </row>
    <row r="14" spans="1:8" ht="12.75">
      <c r="A14" s="45">
        <f t="shared" si="0"/>
        <v>7</v>
      </c>
      <c r="B14" s="53" t="s">
        <v>119</v>
      </c>
      <c r="C14" s="46"/>
      <c r="D14" s="231">
        <f>'Pg 3 STD Int&amp;Fees-Details AMA'!P66</f>
        <v>0.011860118151644899</v>
      </c>
      <c r="E14" s="231">
        <f>'(R) Pg 2 Cost of Total Debt'!G37</f>
        <v>0.0408</v>
      </c>
      <c r="F14" s="54">
        <f>ROUND(D14*E14,4)</f>
        <v>0.0005</v>
      </c>
      <c r="H14" s="235"/>
    </row>
    <row r="15" spans="1:8" ht="12.75">
      <c r="A15" s="45">
        <f t="shared" si="0"/>
        <v>8</v>
      </c>
      <c r="B15" s="55" t="s">
        <v>24</v>
      </c>
      <c r="C15" s="46"/>
      <c r="D15" s="249"/>
      <c r="E15" s="54"/>
      <c r="F15" s="231">
        <f>'Pg 3 STD Int&amp;Fees-Details AMA'!P56</f>
        <v>0.0001</v>
      </c>
      <c r="H15" s="35"/>
    </row>
    <row r="16" spans="1:8" ht="12.75">
      <c r="A16" s="45">
        <f t="shared" si="0"/>
        <v>9</v>
      </c>
      <c r="B16" s="56" t="s">
        <v>96</v>
      </c>
      <c r="C16" s="57"/>
      <c r="D16" s="250"/>
      <c r="E16" s="59"/>
      <c r="F16" s="232">
        <f>'Pg 3 STD Int&amp;Fees-Details AMA'!P61</f>
        <v>0</v>
      </c>
      <c r="H16" s="35"/>
    </row>
    <row r="17" spans="1:8" ht="12.75">
      <c r="A17" s="45">
        <f t="shared" si="0"/>
        <v>10</v>
      </c>
      <c r="B17" s="60" t="s">
        <v>118</v>
      </c>
      <c r="C17" s="46"/>
      <c r="D17" s="249"/>
      <c r="E17" s="54"/>
      <c r="F17" s="61">
        <f>SUM(F14:F16)</f>
        <v>0.0006000000000000001</v>
      </c>
      <c r="H17" s="35"/>
    </row>
    <row r="18" spans="1:9" ht="12.75">
      <c r="A18" s="45">
        <f t="shared" si="0"/>
        <v>11</v>
      </c>
      <c r="B18" s="53" t="s">
        <v>120</v>
      </c>
      <c r="C18" s="62"/>
      <c r="D18" s="231">
        <f>'Pg 3 STD Int&amp;Fees-Details AMA'!P67</f>
        <v>0.4781398818483551</v>
      </c>
      <c r="E18" s="231">
        <f>'(R) Pg 2 Cost of Total Debt'!G35</f>
        <v>0.05356218057327525</v>
      </c>
      <c r="F18" s="231">
        <f>ROUND(D18*E18,4)</f>
        <v>0.0256</v>
      </c>
      <c r="H18" s="242"/>
      <c r="I18" s="35"/>
    </row>
    <row r="19" spans="1:8" ht="12.75">
      <c r="A19" s="45">
        <f t="shared" si="0"/>
        <v>12</v>
      </c>
      <c r="B19" s="56" t="s">
        <v>97</v>
      </c>
      <c r="C19" s="57"/>
      <c r="D19" s="58"/>
      <c r="E19" s="59"/>
      <c r="F19" s="232">
        <f>'Pg 4 Reacquired Debt'!K25</f>
        <v>0.0001</v>
      </c>
      <c r="H19" s="35"/>
    </row>
    <row r="20" spans="1:8" ht="12.75">
      <c r="A20" s="45">
        <f t="shared" si="0"/>
        <v>13</v>
      </c>
      <c r="B20" s="63" t="s">
        <v>121</v>
      </c>
      <c r="C20" s="64"/>
      <c r="D20" s="65"/>
      <c r="E20" s="66"/>
      <c r="F20" s="67">
        <f>F18+F19</f>
        <v>0.0257</v>
      </c>
      <c r="H20" s="35"/>
    </row>
    <row r="21" spans="1:8" ht="12.75">
      <c r="A21" s="45">
        <f t="shared" si="0"/>
        <v>14</v>
      </c>
      <c r="B21" s="68" t="s">
        <v>98</v>
      </c>
      <c r="C21" s="46"/>
      <c r="D21" s="61">
        <f>D14+D18</f>
        <v>0.49</v>
      </c>
      <c r="E21" s="54"/>
      <c r="F21" s="61">
        <f>F17+F20</f>
        <v>0.0263</v>
      </c>
      <c r="H21" s="35"/>
    </row>
    <row r="22" spans="1:8" ht="12.75">
      <c r="A22" s="45">
        <f t="shared" si="0"/>
        <v>15</v>
      </c>
      <c r="B22" s="68" t="s">
        <v>99</v>
      </c>
      <c r="C22" s="46"/>
      <c r="D22" s="261">
        <v>0.51</v>
      </c>
      <c r="E22" s="225">
        <v>0.105</v>
      </c>
      <c r="F22" s="69">
        <f>ROUND(D22*E22,4)</f>
        <v>0.0536</v>
      </c>
      <c r="H22" s="35"/>
    </row>
    <row r="23" spans="1:8" ht="12.75">
      <c r="A23" s="45">
        <f t="shared" si="0"/>
        <v>16</v>
      </c>
      <c r="B23" s="68" t="s">
        <v>100</v>
      </c>
      <c r="C23" s="70"/>
      <c r="D23" s="262">
        <v>1</v>
      </c>
      <c r="E23" s="54"/>
      <c r="F23" s="230">
        <f>F21+F22</f>
        <v>0.0799</v>
      </c>
      <c r="H23" s="35"/>
    </row>
    <row r="24" spans="1:8" ht="12.75">
      <c r="A24" s="45">
        <f t="shared" si="0"/>
        <v>17</v>
      </c>
      <c r="B24" s="46"/>
      <c r="C24" s="46"/>
      <c r="D24" s="46"/>
      <c r="E24" s="46"/>
      <c r="F24" s="46"/>
      <c r="H24" s="35"/>
    </row>
    <row r="25" spans="1:8" ht="12.75">
      <c r="A25" s="45">
        <f t="shared" si="0"/>
        <v>18</v>
      </c>
      <c r="B25" s="46"/>
      <c r="C25" s="46"/>
      <c r="D25" s="46"/>
      <c r="E25" s="46"/>
      <c r="F25" s="46"/>
      <c r="H25" s="35"/>
    </row>
    <row r="26" spans="1:8" ht="12.75">
      <c r="A26" s="45">
        <f t="shared" si="0"/>
        <v>19</v>
      </c>
      <c r="B26" s="301" t="s">
        <v>110</v>
      </c>
      <c r="C26" s="302"/>
      <c r="D26" s="302"/>
      <c r="E26" s="302"/>
      <c r="F26" s="303"/>
      <c r="H26" s="35"/>
    </row>
    <row r="27" spans="1:7" ht="12.75">
      <c r="A27" s="45">
        <f t="shared" si="0"/>
        <v>20</v>
      </c>
      <c r="B27" s="193"/>
      <c r="C27" s="193"/>
      <c r="D27" s="193"/>
      <c r="E27" s="193"/>
      <c r="F27" s="193"/>
      <c r="G27" s="71"/>
    </row>
    <row r="28" spans="1:7" ht="12.75">
      <c r="A28" s="45">
        <f t="shared" si="0"/>
        <v>21</v>
      </c>
      <c r="B28" s="194"/>
      <c r="C28" s="195" t="s">
        <v>108</v>
      </c>
      <c r="D28" s="194"/>
      <c r="E28" s="196" t="s">
        <v>6</v>
      </c>
      <c r="F28" s="196" t="s">
        <v>3</v>
      </c>
      <c r="G28" s="71"/>
    </row>
    <row r="29" spans="1:8" ht="12.75">
      <c r="A29" s="45">
        <f t="shared" si="0"/>
        <v>22</v>
      </c>
      <c r="B29" s="197" t="s">
        <v>4</v>
      </c>
      <c r="C29" s="198" t="s">
        <v>111</v>
      </c>
      <c r="D29" s="199" t="s">
        <v>5</v>
      </c>
      <c r="E29" s="199" t="s">
        <v>101</v>
      </c>
      <c r="F29" s="199" t="s">
        <v>7</v>
      </c>
      <c r="G29" s="71"/>
      <c r="H29" s="243"/>
    </row>
    <row r="30" spans="1:8" ht="12.75">
      <c r="A30" s="45">
        <f t="shared" si="0"/>
        <v>23</v>
      </c>
      <c r="B30" s="200"/>
      <c r="C30" s="200"/>
      <c r="D30" s="201"/>
      <c r="E30" s="200"/>
      <c r="F30" s="202"/>
      <c r="G30" s="71"/>
      <c r="H30" s="243"/>
    </row>
    <row r="31" spans="1:8" ht="12.75">
      <c r="A31" s="45">
        <f t="shared" si="0"/>
        <v>24</v>
      </c>
      <c r="B31" s="203" t="s">
        <v>119</v>
      </c>
      <c r="C31" s="204">
        <f>'[4]New Format'!$C$14</f>
        <v>119791667</v>
      </c>
      <c r="D31" s="251">
        <f>'[4]New Format'!$D$14</f>
        <v>0.0123</v>
      </c>
      <c r="E31" s="205">
        <f>'[4]New Format'!$E$14</f>
        <v>0.0458</v>
      </c>
      <c r="F31" s="210">
        <f>ROUND(D31*E31,4)</f>
        <v>0.0006</v>
      </c>
      <c r="H31" s="244"/>
    </row>
    <row r="32" spans="1:8" ht="12.75">
      <c r="A32" s="45">
        <f t="shared" si="0"/>
        <v>25</v>
      </c>
      <c r="B32" s="207" t="s">
        <v>24</v>
      </c>
      <c r="C32" s="208"/>
      <c r="D32" s="252"/>
      <c r="E32" s="209"/>
      <c r="F32" s="210">
        <f>'[4]New Format'!$F$20</f>
        <v>0.0002</v>
      </c>
      <c r="H32" s="244"/>
    </row>
    <row r="33" spans="1:8" ht="12.75">
      <c r="A33" s="45">
        <f t="shared" si="0"/>
        <v>26</v>
      </c>
      <c r="B33" s="211" t="s">
        <v>96</v>
      </c>
      <c r="C33" s="212"/>
      <c r="D33" s="215"/>
      <c r="E33" s="214"/>
      <c r="F33" s="215">
        <f>'[4]New Format'!$F$22</f>
        <v>0.0001</v>
      </c>
      <c r="H33" s="244"/>
    </row>
    <row r="34" spans="1:8" ht="12.75">
      <c r="A34" s="45">
        <f t="shared" si="0"/>
        <v>27</v>
      </c>
      <c r="B34" s="216" t="s">
        <v>118</v>
      </c>
      <c r="C34" s="208"/>
      <c r="D34" s="252"/>
      <c r="E34" s="209"/>
      <c r="F34" s="217">
        <f>SUM(F31:F33)</f>
        <v>0.0009</v>
      </c>
      <c r="H34" s="244"/>
    </row>
    <row r="35" spans="1:8" ht="12.75">
      <c r="A35" s="45">
        <f t="shared" si="0"/>
        <v>28</v>
      </c>
      <c r="B35" s="203" t="s">
        <v>8</v>
      </c>
      <c r="C35" s="208">
        <f>'[4]New Format'!$C$16</f>
        <v>4836189614</v>
      </c>
      <c r="D35" s="251">
        <f>'[4]New Format'!$D$16</f>
        <v>0.497</v>
      </c>
      <c r="E35" s="205">
        <f>'[4]New Format'!$E$16</f>
        <v>0.0507</v>
      </c>
      <c r="F35" s="206">
        <f>ROUND(D35*E35,4)</f>
        <v>0.0252</v>
      </c>
      <c r="H35" s="244"/>
    </row>
    <row r="36" spans="1:10" ht="12.75">
      <c r="A36" s="45">
        <f t="shared" si="0"/>
        <v>29</v>
      </c>
      <c r="B36" s="211" t="s">
        <v>97</v>
      </c>
      <c r="C36" s="212"/>
      <c r="D36" s="213"/>
      <c r="E36" s="214"/>
      <c r="F36" s="215">
        <f>'[4]New Format'!$F$24</f>
        <v>0.0002</v>
      </c>
      <c r="G36" s="71"/>
      <c r="H36" s="245"/>
      <c r="I36" s="235"/>
      <c r="J36" s="236"/>
    </row>
    <row r="37" spans="1:8" ht="12.75">
      <c r="A37" s="45">
        <f t="shared" si="0"/>
        <v>30</v>
      </c>
      <c r="B37" s="218" t="s">
        <v>121</v>
      </c>
      <c r="C37" s="219"/>
      <c r="D37" s="220"/>
      <c r="E37" s="221"/>
      <c r="F37" s="222">
        <f>F35+F36</f>
        <v>0.0254</v>
      </c>
      <c r="G37" s="71"/>
      <c r="H37" s="243"/>
    </row>
    <row r="38" spans="1:9" ht="12.75">
      <c r="A38" s="45">
        <f t="shared" si="0"/>
        <v>31</v>
      </c>
      <c r="B38" s="223" t="s">
        <v>98</v>
      </c>
      <c r="C38" s="224">
        <f>+C31+C35</f>
        <v>4955981281</v>
      </c>
      <c r="D38" s="253">
        <f>'[4]New Format'!$D$26</f>
        <v>0.5093</v>
      </c>
      <c r="E38" s="205"/>
      <c r="F38" s="225">
        <f>F34+F37</f>
        <v>0.0263</v>
      </c>
      <c r="G38" s="71"/>
      <c r="H38" s="41"/>
      <c r="I38" s="40"/>
    </row>
    <row r="39" spans="1:9" ht="12.75">
      <c r="A39" s="45">
        <f t="shared" si="0"/>
        <v>32</v>
      </c>
      <c r="B39" s="223" t="s">
        <v>99</v>
      </c>
      <c r="C39" s="226">
        <f>'[4]New Format'!$C$28</f>
        <v>4774948958</v>
      </c>
      <c r="D39" s="227">
        <f>'[4]New Format'!$D$28</f>
        <v>0.4907</v>
      </c>
      <c r="E39" s="225">
        <f>'[4]New Format'!$E$28</f>
        <v>0.094</v>
      </c>
      <c r="F39" s="227">
        <f>ROUND(+D39*E39,4)</f>
        <v>0.0461</v>
      </c>
      <c r="G39" s="71"/>
      <c r="H39" s="41"/>
      <c r="I39" s="40"/>
    </row>
    <row r="40" spans="1:8" ht="12.75">
      <c r="A40" s="45">
        <f t="shared" si="0"/>
        <v>33</v>
      </c>
      <c r="B40" s="223" t="s">
        <v>100</v>
      </c>
      <c r="C40" s="228">
        <f>SUM(C38:C39)</f>
        <v>9730930239</v>
      </c>
      <c r="D40" s="230">
        <f>SUM(D38:D39)</f>
        <v>1</v>
      </c>
      <c r="E40" s="229"/>
      <c r="F40" s="230">
        <f>SUM(F38:F39)</f>
        <v>0.0724</v>
      </c>
      <c r="G40" s="71"/>
      <c r="H40" s="39"/>
    </row>
    <row r="41" spans="1:7" ht="12.75">
      <c r="A41" s="45"/>
      <c r="C41" s="73"/>
      <c r="D41" s="74"/>
      <c r="E41" s="72"/>
      <c r="F41" s="74"/>
      <c r="G41" s="71"/>
    </row>
    <row r="42" spans="1:6" ht="12.75">
      <c r="A42" s="45"/>
      <c r="B42" s="75"/>
      <c r="C42" s="76"/>
      <c r="E42" s="77"/>
      <c r="F42" s="77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&amp;C&amp;A&amp;R
Page 1 of 4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1"/>
  <sheetViews>
    <sheetView view="pageLayout" workbookViewId="0" topLeftCell="A1">
      <selection activeCell="J42" sqref="J42"/>
    </sheetView>
  </sheetViews>
  <sheetFormatPr defaultColWidth="8.660156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1" width="11.5" style="8" bestFit="1" customWidth="1"/>
    <col min="12" max="12" width="6" style="8" customWidth="1"/>
    <col min="13" max="13" width="10.83203125" style="8" bestFit="1" customWidth="1"/>
    <col min="14" max="16384" width="8.66015625" style="8" customWidth="1"/>
  </cols>
  <sheetData>
    <row r="1" spans="1:10" ht="12.75">
      <c r="A1" s="78"/>
      <c r="B1" s="79" t="s">
        <v>66</v>
      </c>
      <c r="C1" s="80"/>
      <c r="D1" s="80"/>
      <c r="E1" s="80"/>
      <c r="F1" s="80"/>
      <c r="G1" s="79"/>
      <c r="H1" s="80"/>
      <c r="I1" s="80"/>
      <c r="J1" s="79"/>
    </row>
    <row r="2" spans="1:10" s="29" customFormat="1" ht="12.75">
      <c r="A2" s="81"/>
      <c r="B2" s="79" t="s">
        <v>116</v>
      </c>
      <c r="C2" s="80"/>
      <c r="D2" s="80"/>
      <c r="E2" s="80"/>
      <c r="F2" s="80"/>
      <c r="G2" s="79"/>
      <c r="H2" s="80"/>
      <c r="I2" s="80"/>
      <c r="J2" s="79"/>
    </row>
    <row r="3" spans="1:10" s="29" customFormat="1" ht="12.75">
      <c r="A3" s="82"/>
      <c r="B3" s="79" t="s">
        <v>142</v>
      </c>
      <c r="C3" s="80"/>
      <c r="D3" s="80"/>
      <c r="E3" s="80"/>
      <c r="F3" s="80"/>
      <c r="G3" s="79"/>
      <c r="H3" s="80"/>
      <c r="I3" s="80"/>
      <c r="J3" s="79"/>
    </row>
    <row r="4" spans="1:7" ht="10.5" customHeight="1">
      <c r="A4" s="8"/>
      <c r="G4" s="8"/>
    </row>
    <row r="5" spans="1:9" ht="10.5" customHeight="1">
      <c r="A5" s="83">
        <v>1</v>
      </c>
      <c r="B5" s="84" t="s">
        <v>1</v>
      </c>
      <c r="C5" s="84" t="s">
        <v>16</v>
      </c>
      <c r="D5" s="84" t="s">
        <v>23</v>
      </c>
      <c r="E5" s="84" t="s">
        <v>25</v>
      </c>
      <c r="F5" s="84" t="s">
        <v>26</v>
      </c>
      <c r="G5" s="84" t="s">
        <v>27</v>
      </c>
      <c r="H5" s="84" t="s">
        <v>28</v>
      </c>
      <c r="I5" s="84" t="s">
        <v>29</v>
      </c>
    </row>
    <row r="6" spans="1:9" ht="10.5" customHeight="1">
      <c r="A6" s="83">
        <f>A5+1</f>
        <v>2</v>
      </c>
      <c r="B6" s="84"/>
      <c r="C6" s="84"/>
      <c r="D6" s="84"/>
      <c r="E6" s="84"/>
      <c r="F6" s="306" t="s">
        <v>106</v>
      </c>
      <c r="G6" s="85"/>
      <c r="H6" s="85"/>
      <c r="I6" s="306" t="s">
        <v>117</v>
      </c>
    </row>
    <row r="7" spans="1:9" ht="10.5" customHeight="1">
      <c r="A7" s="83">
        <f aca="true" t="shared" si="0" ref="A7:A47">A6+1</f>
        <v>3</v>
      </c>
      <c r="B7" s="84"/>
      <c r="C7" s="84"/>
      <c r="D7" s="84"/>
      <c r="E7" s="84"/>
      <c r="F7" s="306"/>
      <c r="G7" s="85"/>
      <c r="H7" s="85"/>
      <c r="I7" s="306"/>
    </row>
    <row r="8" spans="1:10" ht="10.5" customHeight="1">
      <c r="A8" s="83">
        <f t="shared" si="0"/>
        <v>4</v>
      </c>
      <c r="B8" s="84"/>
      <c r="C8" s="86" t="s">
        <v>18</v>
      </c>
      <c r="D8" s="86" t="s">
        <v>9</v>
      </c>
      <c r="E8" s="87" t="s">
        <v>43</v>
      </c>
      <c r="F8" s="306"/>
      <c r="G8" s="306" t="s">
        <v>39</v>
      </c>
      <c r="H8" s="306" t="s">
        <v>115</v>
      </c>
      <c r="I8" s="306"/>
      <c r="J8" s="191"/>
    </row>
    <row r="9" spans="1:9" ht="9.75" customHeight="1">
      <c r="A9" s="83">
        <f t="shared" si="0"/>
        <v>5</v>
      </c>
      <c r="B9" s="88" t="s">
        <v>105</v>
      </c>
      <c r="C9" s="89" t="s">
        <v>11</v>
      </c>
      <c r="D9" s="88" t="s">
        <v>44</v>
      </c>
      <c r="E9" s="88" t="s">
        <v>44</v>
      </c>
      <c r="F9" s="307"/>
      <c r="G9" s="307"/>
      <c r="H9" s="307" t="s">
        <v>38</v>
      </c>
      <c r="I9" s="307"/>
    </row>
    <row r="10" spans="1:11" s="12" customFormat="1" ht="12.75">
      <c r="A10" s="83">
        <f t="shared" si="0"/>
        <v>6</v>
      </c>
      <c r="B10" s="98" t="s">
        <v>12</v>
      </c>
      <c r="C10" s="95">
        <v>0.0702</v>
      </c>
      <c r="D10" s="90">
        <v>35786</v>
      </c>
      <c r="E10" s="90">
        <v>46722</v>
      </c>
      <c r="F10" s="263">
        <v>98.98573577666666</v>
      </c>
      <c r="G10" s="91">
        <f>ROUND(YIELD(D10,E10,C10,F10,100,2,2),4)</f>
        <v>0.071</v>
      </c>
      <c r="H10" s="92">
        <f aca="true" t="shared" si="1" ref="H10:H25">G10*I10</f>
        <v>21299999.999999996</v>
      </c>
      <c r="I10" s="92">
        <v>300000000</v>
      </c>
      <c r="J10" s="92"/>
      <c r="K10" s="189"/>
    </row>
    <row r="11" spans="1:11" s="12" customFormat="1" ht="12.75">
      <c r="A11" s="83">
        <f t="shared" si="0"/>
        <v>7</v>
      </c>
      <c r="B11" s="98" t="s">
        <v>13</v>
      </c>
      <c r="C11" s="95">
        <v>0.07</v>
      </c>
      <c r="D11" s="90">
        <v>36228</v>
      </c>
      <c r="E11" s="90">
        <v>47186</v>
      </c>
      <c r="F11" s="263">
        <v>99.04287054999999</v>
      </c>
      <c r="G11" s="91">
        <f aca="true" t="shared" si="2" ref="G11:G24">ROUND(YIELD(D11,E11,C11,F11,100,2,2),4)</f>
        <v>0.0708</v>
      </c>
      <c r="H11" s="92">
        <f t="shared" si="1"/>
        <v>7080000</v>
      </c>
      <c r="I11" s="92">
        <v>100000000</v>
      </c>
      <c r="J11" s="92"/>
      <c r="K11" s="189"/>
    </row>
    <row r="12" spans="1:11" ht="12.75">
      <c r="A12" s="83">
        <f t="shared" si="0"/>
        <v>8</v>
      </c>
      <c r="B12" s="98" t="s">
        <v>40</v>
      </c>
      <c r="C12" s="95">
        <v>0.05483</v>
      </c>
      <c r="D12" s="90">
        <v>38499</v>
      </c>
      <c r="E12" s="90">
        <v>49461</v>
      </c>
      <c r="F12" s="263">
        <v>84.886606836</v>
      </c>
      <c r="G12" s="91">
        <f t="shared" si="2"/>
        <v>0.0665</v>
      </c>
      <c r="H12" s="92">
        <f t="shared" si="1"/>
        <v>16625000</v>
      </c>
      <c r="I12" s="92">
        <v>250000000</v>
      </c>
      <c r="J12" s="92"/>
      <c r="K12" s="190"/>
    </row>
    <row r="13" spans="1:11" ht="12.75">
      <c r="A13" s="83">
        <f t="shared" si="0"/>
        <v>9</v>
      </c>
      <c r="B13" s="98" t="s">
        <v>40</v>
      </c>
      <c r="C13" s="95">
        <v>0.06724</v>
      </c>
      <c r="D13" s="90">
        <v>38898</v>
      </c>
      <c r="E13" s="90">
        <v>49841</v>
      </c>
      <c r="F13" s="263">
        <v>107.515271756</v>
      </c>
      <c r="G13" s="91">
        <f t="shared" si="2"/>
        <v>0.0617</v>
      </c>
      <c r="H13" s="92">
        <f t="shared" si="1"/>
        <v>15425000</v>
      </c>
      <c r="I13" s="92">
        <v>250000000</v>
      </c>
      <c r="J13" s="92"/>
      <c r="K13" s="190"/>
    </row>
    <row r="14" spans="1:11" ht="12.75">
      <c r="A14" s="83">
        <f t="shared" si="0"/>
        <v>10</v>
      </c>
      <c r="B14" s="98" t="s">
        <v>40</v>
      </c>
      <c r="C14" s="95">
        <v>0.06274</v>
      </c>
      <c r="D14" s="90">
        <v>38978</v>
      </c>
      <c r="E14" s="90">
        <v>50114</v>
      </c>
      <c r="F14" s="263">
        <v>98.8127</v>
      </c>
      <c r="G14" s="91">
        <f t="shared" si="2"/>
        <v>0.0636</v>
      </c>
      <c r="H14" s="92">
        <f t="shared" si="1"/>
        <v>19080000</v>
      </c>
      <c r="I14" s="92">
        <v>300000000</v>
      </c>
      <c r="J14" s="92"/>
      <c r="K14" s="190"/>
    </row>
    <row r="15" spans="1:11" ht="12.75">
      <c r="A15" s="83">
        <f t="shared" si="0"/>
        <v>11</v>
      </c>
      <c r="B15" s="98" t="s">
        <v>40</v>
      </c>
      <c r="C15" s="95">
        <v>0.05757</v>
      </c>
      <c r="D15" s="90">
        <v>40067</v>
      </c>
      <c r="E15" s="90">
        <v>51058</v>
      </c>
      <c r="F15" s="263">
        <v>98.9836</v>
      </c>
      <c r="G15" s="91">
        <f t="shared" si="2"/>
        <v>0.0583</v>
      </c>
      <c r="H15" s="92">
        <f t="shared" si="1"/>
        <v>20405000</v>
      </c>
      <c r="I15" s="92">
        <v>350000000</v>
      </c>
      <c r="J15" s="92"/>
      <c r="K15" s="190"/>
    </row>
    <row r="16" spans="1:11" ht="12.75">
      <c r="A16" s="83">
        <f t="shared" si="0"/>
        <v>12</v>
      </c>
      <c r="B16" s="98" t="s">
        <v>40</v>
      </c>
      <c r="C16" s="95">
        <v>0.05795</v>
      </c>
      <c r="D16" s="90">
        <v>40245</v>
      </c>
      <c r="E16" s="90">
        <v>51210</v>
      </c>
      <c r="F16" s="263">
        <v>98.9588</v>
      </c>
      <c r="G16" s="91">
        <f t="shared" si="2"/>
        <v>0.0587</v>
      </c>
      <c r="H16" s="92">
        <f t="shared" si="1"/>
        <v>19077500</v>
      </c>
      <c r="I16" s="92">
        <v>325000000</v>
      </c>
      <c r="J16" s="92"/>
      <c r="K16" s="190"/>
    </row>
    <row r="17" spans="1:11" ht="12.75">
      <c r="A17" s="83">
        <f t="shared" si="0"/>
        <v>13</v>
      </c>
      <c r="B17" s="98" t="s">
        <v>40</v>
      </c>
      <c r="C17" s="95">
        <v>0.05764</v>
      </c>
      <c r="D17" s="90">
        <v>40358</v>
      </c>
      <c r="E17" s="90">
        <v>51332</v>
      </c>
      <c r="F17" s="263">
        <v>98.9652</v>
      </c>
      <c r="G17" s="91">
        <f t="shared" si="2"/>
        <v>0.0584</v>
      </c>
      <c r="H17" s="92">
        <f t="shared" si="1"/>
        <v>14600000</v>
      </c>
      <c r="I17" s="92">
        <v>250000000</v>
      </c>
      <c r="J17" s="92"/>
      <c r="K17" s="190"/>
    </row>
    <row r="18" spans="1:11" ht="12.75">
      <c r="A18" s="83">
        <f t="shared" si="0"/>
        <v>14</v>
      </c>
      <c r="B18" s="98" t="s">
        <v>40</v>
      </c>
      <c r="C18" s="95">
        <v>0.05638</v>
      </c>
      <c r="D18" s="90">
        <v>40627</v>
      </c>
      <c r="E18" s="90">
        <v>51606</v>
      </c>
      <c r="F18" s="263">
        <v>98.971</v>
      </c>
      <c r="G18" s="91">
        <f t="shared" si="2"/>
        <v>0.0571</v>
      </c>
      <c r="H18" s="92">
        <f t="shared" si="1"/>
        <v>17130000</v>
      </c>
      <c r="I18" s="92">
        <v>300000000</v>
      </c>
      <c r="J18" s="92"/>
      <c r="K18" s="190"/>
    </row>
    <row r="19" spans="1:11" ht="12.75">
      <c r="A19" s="83">
        <f t="shared" si="0"/>
        <v>15</v>
      </c>
      <c r="B19" s="98" t="s">
        <v>40</v>
      </c>
      <c r="C19" s="95">
        <v>0.04434</v>
      </c>
      <c r="D19" s="90">
        <v>40863</v>
      </c>
      <c r="E19" s="90">
        <v>51820</v>
      </c>
      <c r="F19" s="263">
        <v>98.963</v>
      </c>
      <c r="G19" s="91">
        <f t="shared" si="2"/>
        <v>0.045</v>
      </c>
      <c r="H19" s="92">
        <f t="shared" si="1"/>
        <v>11250000</v>
      </c>
      <c r="I19" s="92">
        <v>250000000</v>
      </c>
      <c r="J19" s="92"/>
      <c r="K19" s="190"/>
    </row>
    <row r="20" spans="1:11" ht="12.75">
      <c r="A20" s="83">
        <f t="shared" si="0"/>
        <v>16</v>
      </c>
      <c r="B20" s="98" t="s">
        <v>40</v>
      </c>
      <c r="C20" s="95">
        <v>0.047</v>
      </c>
      <c r="D20" s="90">
        <v>40869</v>
      </c>
      <c r="E20" s="90">
        <v>55472</v>
      </c>
      <c r="F20" s="263">
        <v>98.8639</v>
      </c>
      <c r="G20" s="91">
        <f t="shared" si="2"/>
        <v>0.0476</v>
      </c>
      <c r="H20" s="92">
        <f t="shared" si="1"/>
        <v>2142000</v>
      </c>
      <c r="I20" s="92">
        <v>45000000</v>
      </c>
      <c r="J20" s="92"/>
      <c r="K20" s="190"/>
    </row>
    <row r="21" spans="1:11" ht="12.75">
      <c r="A21" s="83">
        <f t="shared" si="0"/>
        <v>17</v>
      </c>
      <c r="B21" s="264" t="s">
        <v>14</v>
      </c>
      <c r="C21" s="95">
        <v>0.039</v>
      </c>
      <c r="D21" s="90">
        <v>41417</v>
      </c>
      <c r="E21" s="265">
        <v>47908</v>
      </c>
      <c r="F21" s="263">
        <v>98.9391</v>
      </c>
      <c r="G21" s="91">
        <f t="shared" si="2"/>
        <v>0.0398</v>
      </c>
      <c r="H21" s="92">
        <f t="shared" si="1"/>
        <v>5510708</v>
      </c>
      <c r="I21" s="92">
        <v>138460000</v>
      </c>
      <c r="J21" s="92"/>
      <c r="K21" s="190"/>
    </row>
    <row r="22" spans="1:11" ht="12.75">
      <c r="A22" s="83">
        <f t="shared" si="0"/>
        <v>18</v>
      </c>
      <c r="B22" s="264" t="s">
        <v>14</v>
      </c>
      <c r="C22" s="95">
        <v>0.04</v>
      </c>
      <c r="D22" s="90">
        <v>41417</v>
      </c>
      <c r="E22" s="265">
        <v>47908</v>
      </c>
      <c r="F22" s="263">
        <v>98.9391</v>
      </c>
      <c r="G22" s="91">
        <f t="shared" si="2"/>
        <v>0.0408</v>
      </c>
      <c r="H22" s="92">
        <f t="shared" si="1"/>
        <v>954720.0000000001</v>
      </c>
      <c r="I22" s="92">
        <v>23400000</v>
      </c>
      <c r="J22" s="92"/>
      <c r="K22" s="190"/>
    </row>
    <row r="23" spans="1:11" ht="12.75">
      <c r="A23" s="83">
        <f t="shared" si="0"/>
        <v>19</v>
      </c>
      <c r="B23" s="98" t="s">
        <v>40</v>
      </c>
      <c r="C23" s="95">
        <v>0.043</v>
      </c>
      <c r="D23" s="90">
        <v>42150</v>
      </c>
      <c r="E23" s="90">
        <v>53102</v>
      </c>
      <c r="F23" s="263">
        <f>'[5]2015 PSE $425M 4.30% Sr Note'!$C$68</f>
        <v>98.46409318117647</v>
      </c>
      <c r="G23" s="91">
        <f t="shared" si="2"/>
        <v>0.0439</v>
      </c>
      <c r="H23" s="92">
        <f t="shared" si="1"/>
        <v>18657500</v>
      </c>
      <c r="I23" s="92">
        <v>425000000</v>
      </c>
      <c r="J23" s="92"/>
      <c r="K23" s="190"/>
    </row>
    <row r="24" spans="1:11" ht="12.75">
      <c r="A24" s="83">
        <f t="shared" si="0"/>
        <v>20</v>
      </c>
      <c r="B24" s="98" t="s">
        <v>40</v>
      </c>
      <c r="C24" s="95">
        <v>0.04223</v>
      </c>
      <c r="D24" s="90">
        <v>43265</v>
      </c>
      <c r="E24" s="90">
        <v>54224</v>
      </c>
      <c r="F24" s="263">
        <v>98.8868</v>
      </c>
      <c r="G24" s="91">
        <f t="shared" si="2"/>
        <v>0.0429</v>
      </c>
      <c r="H24" s="92">
        <f t="shared" si="1"/>
        <v>25740000</v>
      </c>
      <c r="I24" s="92">
        <v>600000000</v>
      </c>
      <c r="J24" s="92"/>
      <c r="K24" s="190"/>
    </row>
    <row r="25" spans="1:11" ht="12.75">
      <c r="A25" s="83">
        <f t="shared" si="0"/>
        <v>21</v>
      </c>
      <c r="B25" s="98" t="s">
        <v>40</v>
      </c>
      <c r="C25" s="95">
        <v>0.0325</v>
      </c>
      <c r="D25" s="90">
        <v>43707</v>
      </c>
      <c r="E25" s="90">
        <v>54681</v>
      </c>
      <c r="F25" s="299">
        <v>98.83</v>
      </c>
      <c r="G25" s="239">
        <f aca="true" t="shared" si="3" ref="G25:G31">ROUND(YIELD(D25,E25,C25,F25,100,2,2),4)</f>
        <v>0.0331</v>
      </c>
      <c r="H25" s="92">
        <f t="shared" si="1"/>
        <v>14894999.999999998</v>
      </c>
      <c r="I25" s="92">
        <v>450000000</v>
      </c>
      <c r="J25" s="192"/>
      <c r="K25" s="190"/>
    </row>
    <row r="26" spans="1:11" ht="12.75">
      <c r="A26" s="83">
        <f t="shared" si="0"/>
        <v>22</v>
      </c>
      <c r="B26" s="266" t="s">
        <v>40</v>
      </c>
      <c r="C26" s="267">
        <v>0.02893</v>
      </c>
      <c r="D26" s="268">
        <v>44454</v>
      </c>
      <c r="E26" s="268">
        <v>55411</v>
      </c>
      <c r="F26" s="263">
        <v>98.85</v>
      </c>
      <c r="G26" s="239">
        <f t="shared" si="3"/>
        <v>0.0295</v>
      </c>
      <c r="H26" s="92">
        <f>G26*I26</f>
        <v>13275000</v>
      </c>
      <c r="I26" s="92">
        <v>450000000</v>
      </c>
      <c r="J26" s="192"/>
      <c r="K26" s="190"/>
    </row>
    <row r="27" spans="1:11" ht="12.75">
      <c r="A27" s="83">
        <f t="shared" si="0"/>
        <v>23</v>
      </c>
      <c r="B27" s="266" t="s">
        <v>40</v>
      </c>
      <c r="C27" s="267">
        <v>0.05448</v>
      </c>
      <c r="D27" s="268">
        <v>45064</v>
      </c>
      <c r="E27" s="268">
        <v>56036</v>
      </c>
      <c r="F27" s="263">
        <f>'[5]2023 PSE $400M Bond'!$C$61</f>
        <v>98.82010309500001</v>
      </c>
      <c r="G27" s="239">
        <f t="shared" si="3"/>
        <v>0.0553</v>
      </c>
      <c r="H27" s="92">
        <f>G27*I27</f>
        <v>22120000</v>
      </c>
      <c r="I27" s="92">
        <v>400000000</v>
      </c>
      <c r="J27" s="192"/>
      <c r="K27" s="190"/>
    </row>
    <row r="28" spans="1:11" ht="12.75">
      <c r="A28" s="83">
        <f t="shared" si="0"/>
        <v>24</v>
      </c>
      <c r="B28" s="266" t="s">
        <v>40</v>
      </c>
      <c r="C28" s="280" t="s">
        <v>151</v>
      </c>
      <c r="D28" s="281" t="s">
        <v>151</v>
      </c>
      <c r="E28" s="281" t="s">
        <v>151</v>
      </c>
      <c r="F28" s="282" t="s">
        <v>151</v>
      </c>
      <c r="G28" s="283" t="s">
        <v>151</v>
      </c>
      <c r="H28" s="284" t="s">
        <v>151</v>
      </c>
      <c r="I28" s="285" t="s">
        <v>151</v>
      </c>
      <c r="J28" s="192"/>
      <c r="K28" s="190"/>
    </row>
    <row r="29" spans="1:11" ht="12.75">
      <c r="A29" s="83">
        <f t="shared" si="0"/>
        <v>25</v>
      </c>
      <c r="B29" s="266" t="s">
        <v>40</v>
      </c>
      <c r="C29" s="286" t="s">
        <v>151</v>
      </c>
      <c r="D29" s="287" t="s">
        <v>151</v>
      </c>
      <c r="E29" s="287" t="s">
        <v>151</v>
      </c>
      <c r="F29" s="288" t="s">
        <v>151</v>
      </c>
      <c r="G29" s="289" t="s">
        <v>151</v>
      </c>
      <c r="H29" s="290" t="s">
        <v>151</v>
      </c>
      <c r="I29" s="291" t="s">
        <v>151</v>
      </c>
      <c r="J29" s="192"/>
      <c r="K29" s="190"/>
    </row>
    <row r="30" spans="1:11" ht="12.75">
      <c r="A30" s="83">
        <f t="shared" si="0"/>
        <v>26</v>
      </c>
      <c r="B30" s="266" t="s">
        <v>40</v>
      </c>
      <c r="C30" s="286" t="s">
        <v>151</v>
      </c>
      <c r="D30" s="287" t="s">
        <v>151</v>
      </c>
      <c r="E30" s="287" t="s">
        <v>151</v>
      </c>
      <c r="F30" s="288" t="s">
        <v>151</v>
      </c>
      <c r="G30" s="289" t="s">
        <v>151</v>
      </c>
      <c r="H30" s="290" t="s">
        <v>151</v>
      </c>
      <c r="I30" s="291" t="s">
        <v>151</v>
      </c>
      <c r="J30" s="192"/>
      <c r="K30" s="190"/>
    </row>
    <row r="31" spans="1:11" ht="12.75">
      <c r="A31" s="83">
        <f t="shared" si="0"/>
        <v>27</v>
      </c>
      <c r="B31" s="266" t="s">
        <v>40</v>
      </c>
      <c r="C31" s="292" t="s">
        <v>151</v>
      </c>
      <c r="D31" s="293" t="s">
        <v>151</v>
      </c>
      <c r="E31" s="293" t="s">
        <v>151</v>
      </c>
      <c r="F31" s="294" t="s">
        <v>151</v>
      </c>
      <c r="G31" s="295" t="s">
        <v>151</v>
      </c>
      <c r="H31" s="296" t="s">
        <v>151</v>
      </c>
      <c r="I31" s="297" t="s">
        <v>151</v>
      </c>
      <c r="J31" s="257"/>
      <c r="K31" s="266"/>
    </row>
    <row r="32" spans="1:11" ht="12.75">
      <c r="A32" s="83">
        <f t="shared" si="0"/>
        <v>28</v>
      </c>
      <c r="H32" s="92">
        <v>0</v>
      </c>
      <c r="K32" s="190"/>
    </row>
    <row r="33" spans="1:10" ht="12.75">
      <c r="A33" s="83">
        <f t="shared" si="0"/>
        <v>29</v>
      </c>
      <c r="B33" s="94" t="s">
        <v>138</v>
      </c>
      <c r="C33" s="92"/>
      <c r="D33" s="95"/>
      <c r="E33" s="90"/>
      <c r="F33" s="90"/>
      <c r="G33" s="96"/>
      <c r="H33" s="97"/>
      <c r="I33" s="97">
        <v>7306860000</v>
      </c>
      <c r="J33" s="92"/>
    </row>
    <row r="34" spans="1:10" ht="12.75">
      <c r="A34" s="83">
        <f t="shared" si="0"/>
        <v>30</v>
      </c>
      <c r="B34" s="98"/>
      <c r="C34" s="92"/>
      <c r="D34" s="95"/>
      <c r="E34" s="90"/>
      <c r="F34" s="90"/>
      <c r="G34" s="96"/>
      <c r="H34" s="99"/>
      <c r="I34" s="93"/>
      <c r="J34" s="92"/>
    </row>
    <row r="35" spans="1:9" ht="13.5" thickBot="1">
      <c r="A35" s="83">
        <f t="shared" si="0"/>
        <v>31</v>
      </c>
      <c r="B35" s="101" t="s">
        <v>133</v>
      </c>
      <c r="C35" s="319"/>
      <c r="D35" s="95"/>
      <c r="E35" s="90"/>
      <c r="F35" s="97"/>
      <c r="G35" s="103">
        <v>0.05356218057327525</v>
      </c>
      <c r="H35" s="104">
        <v>368607428</v>
      </c>
      <c r="I35" s="105">
        <v>6881860000</v>
      </c>
    </row>
    <row r="36" spans="1:9" ht="13.5" thickTop="1">
      <c r="A36" s="83">
        <f t="shared" si="0"/>
        <v>32</v>
      </c>
      <c r="B36" s="102"/>
      <c r="C36" s="319"/>
      <c r="D36" s="95"/>
      <c r="E36" s="90"/>
      <c r="F36" s="97"/>
      <c r="G36" s="106"/>
      <c r="H36" s="106"/>
      <c r="I36" s="97"/>
    </row>
    <row r="37" spans="1:9" ht="12.75">
      <c r="A37" s="83">
        <f t="shared" si="0"/>
        <v>33</v>
      </c>
      <c r="B37" s="107" t="s">
        <v>102</v>
      </c>
      <c r="C37" s="107"/>
      <c r="D37" s="95"/>
      <c r="E37" s="90"/>
      <c r="F37" s="97"/>
      <c r="G37" s="108">
        <v>0.0408</v>
      </c>
      <c r="H37" s="93">
        <v>6967620.928029067</v>
      </c>
      <c r="I37" s="233">
        <v>170702499.00000003</v>
      </c>
    </row>
    <row r="38" spans="1:9" ht="13.5" thickBot="1">
      <c r="A38" s="83">
        <f t="shared" si="0"/>
        <v>34</v>
      </c>
      <c r="B38" s="109" t="s">
        <v>103</v>
      </c>
      <c r="C38" s="127"/>
      <c r="D38" s="95"/>
      <c r="E38" s="90"/>
      <c r="F38" s="87" t="s">
        <v>130</v>
      </c>
      <c r="G38" s="110">
        <v>0.0533</v>
      </c>
      <c r="H38" s="104">
        <v>375575048.92802906</v>
      </c>
      <c r="I38" s="105">
        <v>7052562499</v>
      </c>
    </row>
    <row r="39" spans="1:10" ht="13.5" thickTop="1">
      <c r="A39" s="83">
        <f t="shared" si="0"/>
        <v>35</v>
      </c>
      <c r="B39" s="109"/>
      <c r="C39" s="127"/>
      <c r="D39" s="95"/>
      <c r="E39" s="90"/>
      <c r="F39" s="90"/>
      <c r="G39" s="97"/>
      <c r="H39" s="111"/>
      <c r="I39" s="112"/>
      <c r="J39" s="113"/>
    </row>
    <row r="40" spans="1:10" ht="12.75">
      <c r="A40" s="83">
        <f t="shared" si="0"/>
        <v>36</v>
      </c>
      <c r="B40" s="109" t="s">
        <v>113</v>
      </c>
      <c r="C40" s="127"/>
      <c r="D40" s="95"/>
      <c r="E40" s="90"/>
      <c r="F40" s="90"/>
      <c r="H40" s="114">
        <v>6881860000</v>
      </c>
      <c r="I40" s="112"/>
      <c r="J40" s="113"/>
    </row>
    <row r="41" spans="1:10" ht="12.75">
      <c r="A41" s="83">
        <f t="shared" si="0"/>
        <v>37</v>
      </c>
      <c r="B41" s="109" t="s">
        <v>112</v>
      </c>
      <c r="C41" s="127"/>
      <c r="D41" s="95"/>
      <c r="E41" s="90"/>
      <c r="F41" s="90"/>
      <c r="H41" s="320">
        <v>0.4781398818483551</v>
      </c>
      <c r="I41" s="112"/>
      <c r="J41" s="113"/>
    </row>
    <row r="42" spans="1:10" ht="12.75">
      <c r="A42" s="83">
        <f t="shared" si="0"/>
        <v>38</v>
      </c>
      <c r="B42" s="109" t="s">
        <v>114</v>
      </c>
      <c r="C42" s="127"/>
      <c r="D42" s="95"/>
      <c r="E42" s="90"/>
      <c r="F42" s="90"/>
      <c r="H42" s="234">
        <v>14392984691.836735</v>
      </c>
      <c r="I42" s="112"/>
      <c r="J42" s="113"/>
    </row>
    <row r="43" spans="1:10" ht="12.75">
      <c r="A43" s="83">
        <f t="shared" si="0"/>
        <v>39</v>
      </c>
      <c r="B43" s="109"/>
      <c r="C43" s="109"/>
      <c r="D43" s="95"/>
      <c r="E43" s="90"/>
      <c r="F43" s="90"/>
      <c r="G43" s="97"/>
      <c r="H43" s="111"/>
      <c r="I43" s="112"/>
      <c r="J43" s="113"/>
    </row>
    <row r="44" spans="1:9" ht="12.75">
      <c r="A44" s="83">
        <f t="shared" si="0"/>
        <v>40</v>
      </c>
      <c r="B44" s="115" t="s">
        <v>124</v>
      </c>
      <c r="C44" s="116"/>
      <c r="D44" s="117"/>
      <c r="E44" s="117"/>
      <c r="F44" s="117"/>
      <c r="G44" s="117"/>
      <c r="H44" s="117"/>
      <c r="I44" s="117"/>
    </row>
    <row r="45" spans="1:9" ht="12.75">
      <c r="A45" s="83">
        <f t="shared" si="0"/>
        <v>41</v>
      </c>
      <c r="B45" s="115" t="s">
        <v>125</v>
      </c>
      <c r="C45" s="116"/>
      <c r="D45" s="117"/>
      <c r="E45" s="117"/>
      <c r="F45" s="117"/>
      <c r="G45" s="117"/>
      <c r="H45" s="118"/>
      <c r="I45" s="117"/>
    </row>
    <row r="46" spans="1:9" ht="27.75" customHeight="1">
      <c r="A46" s="83">
        <f t="shared" si="0"/>
        <v>42</v>
      </c>
      <c r="B46" s="308" t="s">
        <v>129</v>
      </c>
      <c r="C46" s="308"/>
      <c r="D46" s="308"/>
      <c r="E46" s="308"/>
      <c r="F46" s="308"/>
      <c r="G46" s="308"/>
      <c r="H46" s="308"/>
      <c r="I46" s="308"/>
    </row>
    <row r="47" spans="1:39" ht="12.75">
      <c r="A47" s="83">
        <f t="shared" si="0"/>
        <v>43</v>
      </c>
      <c r="B47" s="237"/>
      <c r="C47" s="237"/>
      <c r="D47" s="237"/>
      <c r="E47" s="237"/>
      <c r="F47" s="238"/>
      <c r="G47" s="36"/>
      <c r="H47" s="237"/>
      <c r="I47" s="238"/>
      <c r="J47" s="92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</row>
    <row r="48" spans="1:10" ht="13.5" thickBot="1">
      <c r="A48" s="83"/>
      <c r="B48" s="37"/>
      <c r="C48" s="37"/>
      <c r="D48" s="37"/>
      <c r="E48" s="37"/>
      <c r="F48" s="37"/>
      <c r="G48" s="36"/>
      <c r="H48" s="37"/>
      <c r="I48" s="117"/>
      <c r="J48" s="98"/>
    </row>
    <row r="49" spans="1:10" ht="13.5" thickBot="1">
      <c r="A49" s="17"/>
      <c r="B49" s="315" t="s">
        <v>147</v>
      </c>
      <c r="C49" s="316"/>
      <c r="D49" s="316"/>
      <c r="E49" s="316"/>
      <c r="F49" s="316"/>
      <c r="G49" s="316"/>
      <c r="H49" s="316"/>
      <c r="I49" s="317"/>
      <c r="J49" s="100"/>
    </row>
    <row r="50" spans="1:10" ht="12.75">
      <c r="A50" s="17"/>
      <c r="B50" s="12"/>
      <c r="C50" s="12"/>
      <c r="D50" s="12"/>
      <c r="E50" s="12"/>
      <c r="F50" s="12"/>
      <c r="G50" s="36"/>
      <c r="H50" s="12"/>
      <c r="I50" s="12"/>
      <c r="J50" s="17">
        <f>IF(J49&lt;&gt;0,"ERROR","")</f>
      </c>
    </row>
    <row r="51" spans="1:9" ht="12.75">
      <c r="A51" s="17"/>
      <c r="B51" s="12"/>
      <c r="C51" s="12"/>
      <c r="D51" s="12"/>
      <c r="E51" s="300" t="s">
        <v>150</v>
      </c>
      <c r="F51" s="12"/>
      <c r="G51" s="18"/>
      <c r="H51" s="12"/>
      <c r="I51" s="99"/>
    </row>
    <row r="52" spans="1:9" ht="12.75">
      <c r="A52" s="19"/>
      <c r="B52" s="20"/>
      <c r="C52" s="20"/>
      <c r="D52" s="21"/>
      <c r="E52" s="22"/>
      <c r="F52" s="22"/>
      <c r="G52" s="119"/>
      <c r="H52" s="24"/>
      <c r="I52" s="99"/>
    </row>
    <row r="53" spans="1:9" ht="12.75">
      <c r="A53" s="19"/>
      <c r="B53" s="20"/>
      <c r="C53" s="20"/>
      <c r="D53" s="21"/>
      <c r="E53" s="22"/>
      <c r="F53" s="22"/>
      <c r="G53" s="23"/>
      <c r="H53" s="24"/>
      <c r="I53" s="25"/>
    </row>
    <row r="54" spans="1:9" ht="12.75">
      <c r="A54" s="19"/>
      <c r="B54" s="20"/>
      <c r="C54" s="20"/>
      <c r="D54" s="21"/>
      <c r="E54" s="22"/>
      <c r="F54" s="22"/>
      <c r="G54" s="23"/>
      <c r="H54" s="24"/>
      <c r="I54" s="25"/>
    </row>
    <row r="55" spans="1:9" ht="12.75" hidden="1">
      <c r="A55" s="26"/>
      <c r="B55" s="12"/>
      <c r="C55" s="12"/>
      <c r="D55" s="12"/>
      <c r="E55" s="12"/>
      <c r="F55" s="12"/>
      <c r="G55" s="18"/>
      <c r="H55" s="12"/>
      <c r="I55" s="27"/>
    </row>
    <row r="56" spans="1:9" ht="12.75" hidden="1">
      <c r="A56" s="26"/>
      <c r="B56" s="12"/>
      <c r="C56" s="12"/>
      <c r="D56" s="12"/>
      <c r="E56" s="12"/>
      <c r="F56" s="12"/>
      <c r="G56" s="18"/>
      <c r="H56" s="12"/>
      <c r="I56" s="28"/>
    </row>
    <row r="57" spans="1:9" ht="12.75" hidden="1">
      <c r="A57" s="26"/>
      <c r="B57" s="12"/>
      <c r="C57" s="12"/>
      <c r="D57" s="12"/>
      <c r="E57" s="12"/>
      <c r="F57" s="12"/>
      <c r="G57" s="18"/>
      <c r="H57" s="12"/>
      <c r="I57" s="12"/>
    </row>
    <row r="58" spans="1:9" ht="12.75">
      <c r="A58" s="19"/>
      <c r="B58" s="20"/>
      <c r="C58" s="20"/>
      <c r="D58" s="21"/>
      <c r="E58" s="22"/>
      <c r="F58" s="22"/>
      <c r="G58" s="23"/>
      <c r="H58" s="24"/>
      <c r="I58" s="25"/>
    </row>
    <row r="59" spans="1:9" ht="12.75">
      <c r="A59" s="19"/>
      <c r="B59" s="20"/>
      <c r="C59" s="20"/>
      <c r="D59" s="21"/>
      <c r="E59" s="22"/>
      <c r="F59" s="22"/>
      <c r="G59" s="23"/>
      <c r="H59" s="24"/>
      <c r="I59" s="25"/>
    </row>
    <row r="60" spans="1:9" ht="12.75">
      <c r="A60" s="26"/>
      <c r="B60" s="12"/>
      <c r="C60" s="12"/>
      <c r="D60" s="12"/>
      <c r="E60" s="12"/>
      <c r="F60" s="12"/>
      <c r="G60" s="18"/>
      <c r="H60" s="12"/>
      <c r="I60" s="12"/>
    </row>
    <row r="61" spans="1:9" ht="12.75">
      <c r="A61" s="26"/>
      <c r="B61" s="12"/>
      <c r="C61" s="12"/>
      <c r="D61" s="12"/>
      <c r="E61" s="12"/>
      <c r="F61" s="12"/>
      <c r="G61" s="18"/>
      <c r="H61" s="12"/>
      <c r="I61" s="12"/>
    </row>
    <row r="62" spans="1:9" ht="12.75">
      <c r="A62" s="26"/>
      <c r="B62" s="12"/>
      <c r="C62" s="12"/>
      <c r="D62" s="12"/>
      <c r="E62" s="12"/>
      <c r="F62" s="12"/>
      <c r="G62" s="18"/>
      <c r="H62" s="12"/>
      <c r="I62" s="12"/>
    </row>
    <row r="63" spans="1:9" ht="12.75">
      <c r="A63" s="26"/>
      <c r="B63" s="12"/>
      <c r="C63" s="12"/>
      <c r="D63" s="12"/>
      <c r="E63" s="12"/>
      <c r="F63" s="12"/>
      <c r="G63" s="18"/>
      <c r="H63" s="12"/>
      <c r="I63" s="12"/>
    </row>
    <row r="64" spans="1:9" ht="12.75">
      <c r="A64" s="26"/>
      <c r="B64" s="12"/>
      <c r="C64" s="12"/>
      <c r="D64" s="12"/>
      <c r="E64" s="12"/>
      <c r="F64" s="12"/>
      <c r="G64" s="18"/>
      <c r="H64" s="12"/>
      <c r="I64" s="12"/>
    </row>
    <row r="65" spans="1:9" ht="12.75">
      <c r="A65" s="26"/>
      <c r="B65" s="12"/>
      <c r="C65" s="12"/>
      <c r="D65" s="12"/>
      <c r="E65" s="12"/>
      <c r="F65" s="12"/>
      <c r="G65" s="18"/>
      <c r="H65" s="12"/>
      <c r="I65" s="12"/>
    </row>
    <row r="66" spans="1:9" ht="12.75">
      <c r="A66" s="26"/>
      <c r="B66" s="12"/>
      <c r="C66" s="12"/>
      <c r="D66" s="12"/>
      <c r="E66" s="12"/>
      <c r="F66" s="12"/>
      <c r="G66" s="18"/>
      <c r="H66" s="12"/>
      <c r="I66" s="12"/>
    </row>
    <row r="67" spans="1:9" ht="12.75">
      <c r="A67" s="26"/>
      <c r="B67" s="12"/>
      <c r="C67" s="12"/>
      <c r="D67" s="12"/>
      <c r="E67" s="12"/>
      <c r="F67" s="12"/>
      <c r="G67" s="18"/>
      <c r="H67" s="12"/>
      <c r="I67" s="12"/>
    </row>
    <row r="68" spans="1:9" ht="12.75">
      <c r="A68" s="26"/>
      <c r="B68" s="12"/>
      <c r="C68" s="12"/>
      <c r="D68" s="12"/>
      <c r="E68" s="12"/>
      <c r="F68" s="12"/>
      <c r="G68" s="18"/>
      <c r="H68" s="12"/>
      <c r="I68" s="12"/>
    </row>
    <row r="69" spans="1:9" ht="12.75">
      <c r="A69" s="17"/>
      <c r="B69" s="12"/>
      <c r="C69" s="12"/>
      <c r="D69" s="20"/>
      <c r="E69" s="12"/>
      <c r="F69" s="12"/>
      <c r="G69" s="18"/>
      <c r="H69" s="12"/>
      <c r="I69" s="12"/>
    </row>
    <row r="70" spans="4:6" ht="12.75">
      <c r="D70" s="9"/>
      <c r="F70" s="14"/>
    </row>
    <row r="71" ht="12.75">
      <c r="D71" s="13"/>
    </row>
  </sheetData>
  <sheetProtection/>
  <mergeCells count="6">
    <mergeCell ref="G8:G9"/>
    <mergeCell ref="H8:H9"/>
    <mergeCell ref="F6:F9"/>
    <mergeCell ref="I6:I9"/>
    <mergeCell ref="B46:I46"/>
    <mergeCell ref="B49:I49"/>
  </mergeCells>
  <printOptions horizontalCentered="1"/>
  <pageMargins left="0.2" right="0.2" top="0.41" bottom="0.35" header="0.17" footer="0.17"/>
  <pageSetup fitToHeight="1" fitToWidth="1" horizontalDpi="600" verticalDpi="600" orientation="portrait" r:id="rId1"/>
  <headerFooter alignWithMargins="0">
    <oddFooter>&amp;C&amp;A&amp;R
Page 2 of 4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T71"/>
  <sheetViews>
    <sheetView view="pageLayout" workbookViewId="0" topLeftCell="A1">
      <selection activeCell="I68" sqref="I68"/>
    </sheetView>
  </sheetViews>
  <sheetFormatPr defaultColWidth="10.5" defaultRowHeight="11.25"/>
  <cols>
    <col min="1" max="1" width="3.5" style="121" customWidth="1"/>
    <col min="2" max="2" width="37" style="121" customWidth="1"/>
    <col min="3" max="3" width="14.5" style="121" bestFit="1" customWidth="1"/>
    <col min="4" max="11" width="13.66015625" style="121" customWidth="1"/>
    <col min="12" max="12" width="12.5" style="121" customWidth="1"/>
    <col min="13" max="15" width="13.66015625" style="121" customWidth="1"/>
    <col min="16" max="16" width="20.5" style="121" customWidth="1"/>
    <col min="17" max="17" width="2" style="121" customWidth="1"/>
    <col min="18" max="18" width="8" style="121" bestFit="1" customWidth="1"/>
    <col min="19" max="16384" width="10.5" style="121" customWidth="1"/>
  </cols>
  <sheetData>
    <row r="1" spans="1:16" ht="12.75">
      <c r="A1" s="120"/>
      <c r="B1" s="79" t="s">
        <v>66</v>
      </c>
      <c r="C1" s="80"/>
      <c r="D1" s="80"/>
      <c r="E1" s="80"/>
      <c r="F1" s="80"/>
      <c r="G1" s="79"/>
      <c r="H1" s="80"/>
      <c r="I1" s="80"/>
      <c r="J1" s="79"/>
      <c r="K1" s="79"/>
      <c r="L1" s="80"/>
      <c r="M1" s="80"/>
      <c r="N1" s="80"/>
      <c r="O1" s="80"/>
      <c r="P1" s="79"/>
    </row>
    <row r="2" spans="1:16" ht="12.75">
      <c r="A2" s="120"/>
      <c r="B2" s="79" t="s">
        <v>67</v>
      </c>
      <c r="C2" s="80"/>
      <c r="D2" s="80"/>
      <c r="E2" s="80"/>
      <c r="F2" s="80"/>
      <c r="G2" s="79"/>
      <c r="H2" s="80"/>
      <c r="I2" s="80"/>
      <c r="J2" s="79"/>
      <c r="K2" s="79"/>
      <c r="L2" s="80"/>
      <c r="M2" s="80"/>
      <c r="N2" s="80"/>
      <c r="O2" s="80"/>
      <c r="P2" s="79"/>
    </row>
    <row r="3" spans="1:16" ht="13.5" customHeight="1">
      <c r="A3" s="120"/>
      <c r="B3" s="79" t="str">
        <f>'(R) Pg 2 Cost of Total Debt'!$B$3</f>
        <v>For The 12 Months Ended December 31, 2026</v>
      </c>
      <c r="C3" s="80"/>
      <c r="D3" s="80"/>
      <c r="E3" s="80"/>
      <c r="F3" s="80"/>
      <c r="G3" s="79"/>
      <c r="H3" s="80"/>
      <c r="I3" s="80"/>
      <c r="J3" s="79"/>
      <c r="K3" s="79"/>
      <c r="L3" s="80"/>
      <c r="M3" s="80"/>
      <c r="N3" s="80"/>
      <c r="O3" s="80"/>
      <c r="P3" s="79"/>
    </row>
    <row r="4" spans="1:16" ht="12.75">
      <c r="A4" s="120"/>
      <c r="B4" s="122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12">
      <c r="A5" s="123">
        <v>1</v>
      </c>
      <c r="B5" s="124" t="s">
        <v>1</v>
      </c>
      <c r="C5" s="124" t="s">
        <v>16</v>
      </c>
      <c r="D5" s="124" t="s">
        <v>23</v>
      </c>
      <c r="E5" s="124" t="s">
        <v>25</v>
      </c>
      <c r="F5" s="124" t="s">
        <v>26</v>
      </c>
      <c r="G5" s="124" t="s">
        <v>27</v>
      </c>
      <c r="H5" s="124" t="s">
        <v>28</v>
      </c>
      <c r="I5" s="124" t="s">
        <v>29</v>
      </c>
      <c r="J5" s="124" t="s">
        <v>30</v>
      </c>
      <c r="K5" s="124" t="s">
        <v>32</v>
      </c>
      <c r="L5" s="124" t="s">
        <v>33</v>
      </c>
      <c r="M5" s="124" t="s">
        <v>34</v>
      </c>
      <c r="N5" s="124" t="s">
        <v>35</v>
      </c>
      <c r="O5" s="124" t="s">
        <v>36</v>
      </c>
      <c r="P5" s="124" t="s">
        <v>37</v>
      </c>
    </row>
    <row r="6" spans="1:16" ht="12">
      <c r="A6" s="123"/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4"/>
    </row>
    <row r="7" spans="1:16" ht="12" customHeight="1">
      <c r="A7" s="123">
        <f>A5+1</f>
        <v>2</v>
      </c>
      <c r="B7" s="120"/>
      <c r="C7" s="125">
        <v>46013</v>
      </c>
      <c r="D7" s="125">
        <v>46053</v>
      </c>
      <c r="E7" s="125">
        <v>46081</v>
      </c>
      <c r="F7" s="125">
        <v>46112</v>
      </c>
      <c r="G7" s="125">
        <v>46142</v>
      </c>
      <c r="H7" s="125">
        <v>46173</v>
      </c>
      <c r="I7" s="125">
        <v>46203</v>
      </c>
      <c r="J7" s="125">
        <v>46234</v>
      </c>
      <c r="K7" s="125">
        <v>46265</v>
      </c>
      <c r="L7" s="125">
        <v>46295</v>
      </c>
      <c r="M7" s="125">
        <v>46326</v>
      </c>
      <c r="N7" s="125">
        <v>46356</v>
      </c>
      <c r="O7" s="125">
        <v>46387</v>
      </c>
      <c r="P7" s="126" t="s">
        <v>139</v>
      </c>
    </row>
    <row r="8" spans="1:16" ht="12">
      <c r="A8" s="123">
        <f>A7+1</f>
        <v>3</v>
      </c>
      <c r="B8" s="127" t="s">
        <v>137</v>
      </c>
      <c r="C8" s="128">
        <v>170702.499</v>
      </c>
      <c r="D8" s="128">
        <v>170702.499</v>
      </c>
      <c r="E8" s="128">
        <v>170702.499</v>
      </c>
      <c r="F8" s="128">
        <v>170702.499</v>
      </c>
      <c r="G8" s="128">
        <v>170702.499</v>
      </c>
      <c r="H8" s="128">
        <v>170702.499</v>
      </c>
      <c r="I8" s="128">
        <v>170702.499</v>
      </c>
      <c r="J8" s="128">
        <v>170702.499</v>
      </c>
      <c r="K8" s="128">
        <v>170702.499</v>
      </c>
      <c r="L8" s="128">
        <v>170702.499</v>
      </c>
      <c r="M8" s="128">
        <v>170702.499</v>
      </c>
      <c r="N8" s="128">
        <v>170702.499</v>
      </c>
      <c r="O8" s="128">
        <v>170702.499</v>
      </c>
      <c r="P8" s="130">
        <f>AVERAGE(D8:O8)</f>
        <v>170702.49900000004</v>
      </c>
    </row>
    <row r="9" spans="1:16" ht="5.25" customHeight="1">
      <c r="A9" s="123"/>
      <c r="B9" s="131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1:16" ht="12">
      <c r="A10" s="123">
        <f>A8+1</f>
        <v>4</v>
      </c>
      <c r="B10" s="127" t="s">
        <v>68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29"/>
    </row>
    <row r="11" spans="1:16" ht="12">
      <c r="A11" s="123">
        <f>A10+1</f>
        <v>5</v>
      </c>
      <c r="B11" s="131" t="s">
        <v>69</v>
      </c>
      <c r="C11" s="128">
        <f>MIN(0.5*C8,125000)</f>
        <v>85351.2495</v>
      </c>
      <c r="D11" s="128">
        <f>+C11</f>
        <v>85351.2495</v>
      </c>
      <c r="E11" s="128">
        <f aca="true" t="shared" si="0" ref="E11:O11">+D11</f>
        <v>85351.2495</v>
      </c>
      <c r="F11" s="128">
        <f t="shared" si="0"/>
        <v>85351.2495</v>
      </c>
      <c r="G11" s="128">
        <f t="shared" si="0"/>
        <v>85351.2495</v>
      </c>
      <c r="H11" s="128">
        <f t="shared" si="0"/>
        <v>85351.2495</v>
      </c>
      <c r="I11" s="128">
        <f t="shared" si="0"/>
        <v>85351.2495</v>
      </c>
      <c r="J11" s="128">
        <f t="shared" si="0"/>
        <v>85351.2495</v>
      </c>
      <c r="K11" s="128">
        <f t="shared" si="0"/>
        <v>85351.2495</v>
      </c>
      <c r="L11" s="128">
        <f t="shared" si="0"/>
        <v>85351.2495</v>
      </c>
      <c r="M11" s="128">
        <f t="shared" si="0"/>
        <v>85351.2495</v>
      </c>
      <c r="N11" s="128">
        <f t="shared" si="0"/>
        <v>85351.2495</v>
      </c>
      <c r="O11" s="128">
        <f t="shared" si="0"/>
        <v>85351.2495</v>
      </c>
      <c r="P11" s="130">
        <f>AVERAGE(D11:O11)</f>
        <v>85351.24950000002</v>
      </c>
    </row>
    <row r="12" spans="1:16" ht="12">
      <c r="A12" s="123">
        <f>A11+1</f>
        <v>6</v>
      </c>
      <c r="B12" s="131" t="s">
        <v>70</v>
      </c>
      <c r="C12" s="133">
        <f>+C8-C11</f>
        <v>85351.2495</v>
      </c>
      <c r="D12" s="133">
        <f aca="true" t="shared" si="1" ref="D12:O12">D8-D11</f>
        <v>85351.2495</v>
      </c>
      <c r="E12" s="133">
        <f t="shared" si="1"/>
        <v>85351.2495</v>
      </c>
      <c r="F12" s="133">
        <f t="shared" si="1"/>
        <v>85351.2495</v>
      </c>
      <c r="G12" s="133">
        <f t="shared" si="1"/>
        <v>85351.2495</v>
      </c>
      <c r="H12" s="133">
        <f t="shared" si="1"/>
        <v>85351.2495</v>
      </c>
      <c r="I12" s="133">
        <f t="shared" si="1"/>
        <v>85351.2495</v>
      </c>
      <c r="J12" s="133">
        <f t="shared" si="1"/>
        <v>85351.2495</v>
      </c>
      <c r="K12" s="133">
        <f t="shared" si="1"/>
        <v>85351.2495</v>
      </c>
      <c r="L12" s="133">
        <f t="shared" si="1"/>
        <v>85351.2495</v>
      </c>
      <c r="M12" s="133">
        <f t="shared" si="1"/>
        <v>85351.2495</v>
      </c>
      <c r="N12" s="133">
        <f t="shared" si="1"/>
        <v>85351.2495</v>
      </c>
      <c r="O12" s="133">
        <f t="shared" si="1"/>
        <v>85351.2495</v>
      </c>
      <c r="P12" s="130">
        <f>ROUND(((C12+O12)+(SUM(D12:N12)*2))/24,3)</f>
        <v>85351.25</v>
      </c>
    </row>
    <row r="13" spans="1:16" ht="12">
      <c r="A13" s="123">
        <f>A12+1</f>
        <v>7</v>
      </c>
      <c r="B13" s="134" t="s">
        <v>71</v>
      </c>
      <c r="C13" s="135">
        <f aca="true" t="shared" si="2" ref="C13:O13">SUM(C11:C12)</f>
        <v>170702.499</v>
      </c>
      <c r="D13" s="135">
        <f t="shared" si="2"/>
        <v>170702.499</v>
      </c>
      <c r="E13" s="135">
        <f t="shared" si="2"/>
        <v>170702.499</v>
      </c>
      <c r="F13" s="135">
        <f t="shared" si="2"/>
        <v>170702.499</v>
      </c>
      <c r="G13" s="135">
        <f t="shared" si="2"/>
        <v>170702.499</v>
      </c>
      <c r="H13" s="135">
        <f t="shared" si="2"/>
        <v>170702.499</v>
      </c>
      <c r="I13" s="135">
        <f t="shared" si="2"/>
        <v>170702.499</v>
      </c>
      <c r="J13" s="135">
        <f t="shared" si="2"/>
        <v>170702.499</v>
      </c>
      <c r="K13" s="135">
        <f t="shared" si="2"/>
        <v>170702.499</v>
      </c>
      <c r="L13" s="135">
        <f t="shared" si="2"/>
        <v>170702.499</v>
      </c>
      <c r="M13" s="135">
        <f t="shared" si="2"/>
        <v>170702.499</v>
      </c>
      <c r="N13" s="135">
        <f t="shared" si="2"/>
        <v>170702.499</v>
      </c>
      <c r="O13" s="135">
        <f t="shared" si="2"/>
        <v>170702.499</v>
      </c>
      <c r="P13" s="136">
        <f>AVERAGE(D13:O13)</f>
        <v>170702.49900000004</v>
      </c>
    </row>
    <row r="14" spans="1:16" ht="5.25" customHeight="1">
      <c r="A14" s="123"/>
      <c r="B14" s="13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1:16" ht="13.5" customHeight="1">
      <c r="A15" s="123">
        <f>A13+1</f>
        <v>8</v>
      </c>
      <c r="B15" s="127" t="s">
        <v>60</v>
      </c>
      <c r="M15" s="137"/>
      <c r="N15" s="138"/>
      <c r="O15" s="139"/>
      <c r="P15" s="140"/>
    </row>
    <row r="16" spans="1:19" ht="12">
      <c r="A16" s="123">
        <f>A15+1</f>
        <v>9</v>
      </c>
      <c r="B16" s="131" t="s">
        <v>141</v>
      </c>
      <c r="C16" s="155">
        <f>'[6]Sheet1'!$P$131</f>
        <v>0.036765458518601656</v>
      </c>
      <c r="D16" s="155">
        <f>'[6]Sheet1'!E135</f>
        <v>0.03599945095031627</v>
      </c>
      <c r="E16" s="155">
        <f>'[6]Sheet1'!F135</f>
        <v>0.03524684631762154</v>
      </c>
      <c r="F16" s="155">
        <f>'[6]Sheet1'!G135</f>
        <v>0.03442604932049665</v>
      </c>
      <c r="G16" s="155">
        <f>'[6]Sheet1'!H135</f>
        <v>0.033515642660754866</v>
      </c>
      <c r="H16" s="155">
        <f>'[6]Sheet1'!I135</f>
        <v>0.0325676503456822</v>
      </c>
      <c r="I16" s="155">
        <f>'[6]Sheet1'!J135</f>
        <v>0.03162079191984958</v>
      </c>
      <c r="J16" s="155">
        <f>'[6]Sheet1'!K135</f>
        <v>0.030749768096105867</v>
      </c>
      <c r="K16" s="155">
        <f>'[6]Sheet1'!L135</f>
        <v>0.0300297549566899</v>
      </c>
      <c r="L16" s="155">
        <f>'[6]Sheet1'!M135</f>
        <v>0.02954209998426086</v>
      </c>
      <c r="M16" s="155">
        <f>'[6]Sheet1'!N135</f>
        <v>0.029250120152752176</v>
      </c>
      <c r="N16" s="155">
        <f>'[6]Sheet1'!O135</f>
        <v>0.029100475387111753</v>
      </c>
      <c r="O16" s="155">
        <f>'[6]Sheet1'!P135</f>
        <v>0.02904506163750005</v>
      </c>
      <c r="S16" s="254"/>
    </row>
    <row r="17" spans="1:19" ht="12.75">
      <c r="A17" s="123">
        <f>A16+1</f>
        <v>10</v>
      </c>
      <c r="B17" s="131" t="s">
        <v>72</v>
      </c>
      <c r="C17" s="274">
        <f>(5.67%+5.72%)/2-(5.34097%)</f>
        <v>0.0035402999999999962</v>
      </c>
      <c r="D17" s="274">
        <f>(5.67%+5.72%)/2-(5.34097%)</f>
        <v>0.0035402999999999962</v>
      </c>
      <c r="E17" s="274">
        <f aca="true" t="shared" si="3" ref="E17:O17">(5.67%+5.72%)/2-(5.34097%)</f>
        <v>0.0035402999999999962</v>
      </c>
      <c r="F17" s="274">
        <f t="shared" si="3"/>
        <v>0.0035402999999999962</v>
      </c>
      <c r="G17" s="274">
        <f t="shared" si="3"/>
        <v>0.0035402999999999962</v>
      </c>
      <c r="H17" s="274">
        <f t="shared" si="3"/>
        <v>0.0035402999999999962</v>
      </c>
      <c r="I17" s="274">
        <f t="shared" si="3"/>
        <v>0.0035402999999999962</v>
      </c>
      <c r="J17" s="274">
        <f t="shared" si="3"/>
        <v>0.0035402999999999962</v>
      </c>
      <c r="K17" s="274">
        <f t="shared" si="3"/>
        <v>0.0035402999999999962</v>
      </c>
      <c r="L17" s="274">
        <f t="shared" si="3"/>
        <v>0.0035402999999999962</v>
      </c>
      <c r="M17" s="274">
        <f t="shared" si="3"/>
        <v>0.0035402999999999962</v>
      </c>
      <c r="N17" s="274">
        <f t="shared" si="3"/>
        <v>0.0035402999999999962</v>
      </c>
      <c r="O17" s="274">
        <f t="shared" si="3"/>
        <v>0.0035402999999999962</v>
      </c>
      <c r="R17" s="241"/>
      <c r="S17" s="256"/>
    </row>
    <row r="18" spans="1:19" ht="12">
      <c r="A18" s="123">
        <f>A17+1</f>
        <v>11</v>
      </c>
      <c r="B18" s="131" t="s">
        <v>73</v>
      </c>
      <c r="C18" s="149">
        <v>0.0125</v>
      </c>
      <c r="D18" s="149">
        <f>C18</f>
        <v>0.0125</v>
      </c>
      <c r="E18" s="149">
        <f aca="true" t="shared" si="4" ref="E18:O18">D18</f>
        <v>0.0125</v>
      </c>
      <c r="F18" s="149">
        <f t="shared" si="4"/>
        <v>0.0125</v>
      </c>
      <c r="G18" s="149">
        <f t="shared" si="4"/>
        <v>0.0125</v>
      </c>
      <c r="H18" s="149">
        <f t="shared" si="4"/>
        <v>0.0125</v>
      </c>
      <c r="I18" s="149">
        <f t="shared" si="4"/>
        <v>0.0125</v>
      </c>
      <c r="J18" s="149">
        <f t="shared" si="4"/>
        <v>0.0125</v>
      </c>
      <c r="K18" s="149">
        <f t="shared" si="4"/>
        <v>0.0125</v>
      </c>
      <c r="L18" s="149">
        <f t="shared" si="4"/>
        <v>0.0125</v>
      </c>
      <c r="M18" s="149">
        <f t="shared" si="4"/>
        <v>0.0125</v>
      </c>
      <c r="N18" s="149">
        <f t="shared" si="4"/>
        <v>0.0125</v>
      </c>
      <c r="O18" s="149">
        <f t="shared" si="4"/>
        <v>0.0125</v>
      </c>
      <c r="S18" s="255"/>
    </row>
    <row r="19" spans="1:19" ht="12">
      <c r="A19" s="123">
        <f>A18+1</f>
        <v>12</v>
      </c>
      <c r="B19" s="131" t="s">
        <v>146</v>
      </c>
      <c r="C19" s="149">
        <v>0.001</v>
      </c>
      <c r="D19" s="149">
        <v>0.001</v>
      </c>
      <c r="E19" s="149">
        <v>0.001</v>
      </c>
      <c r="F19" s="149">
        <v>0.001</v>
      </c>
      <c r="G19" s="149">
        <v>0.001</v>
      </c>
      <c r="H19" s="149">
        <v>0.001</v>
      </c>
      <c r="I19" s="149">
        <v>0.001</v>
      </c>
      <c r="J19" s="149">
        <v>0.001</v>
      </c>
      <c r="K19" s="149">
        <v>0.001</v>
      </c>
      <c r="L19" s="149">
        <v>0.001</v>
      </c>
      <c r="M19" s="149">
        <v>0.001</v>
      </c>
      <c r="N19" s="149">
        <v>0.001</v>
      </c>
      <c r="O19" s="149">
        <v>0.001</v>
      </c>
      <c r="S19" s="255"/>
    </row>
    <row r="20" spans="1:16" ht="6" customHeight="1">
      <c r="A20" s="123"/>
      <c r="B20" s="13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29"/>
    </row>
    <row r="21" spans="1:16" ht="12" customHeight="1">
      <c r="A21" s="123">
        <f>A19+1</f>
        <v>13</v>
      </c>
      <c r="B21" s="127" t="s">
        <v>74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29"/>
    </row>
    <row r="22" spans="1:16" ht="12">
      <c r="A22" s="123">
        <f>A21+1</f>
        <v>14</v>
      </c>
      <c r="B22" s="142" t="s">
        <v>75</v>
      </c>
      <c r="C22" s="275">
        <f>C16+C17</f>
        <v>0.04030575851860165</v>
      </c>
      <c r="D22" s="275">
        <f aca="true" t="shared" si="5" ref="D22:O22">D16+D17</f>
        <v>0.03953975095031627</v>
      </c>
      <c r="E22" s="275">
        <f t="shared" si="5"/>
        <v>0.038787146317621535</v>
      </c>
      <c r="F22" s="275">
        <f t="shared" si="5"/>
        <v>0.037966349320496647</v>
      </c>
      <c r="G22" s="275">
        <f t="shared" si="5"/>
        <v>0.03705594266075486</v>
      </c>
      <c r="H22" s="275">
        <f t="shared" si="5"/>
        <v>0.0361079503456822</v>
      </c>
      <c r="I22" s="275">
        <f t="shared" si="5"/>
        <v>0.03516109191984958</v>
      </c>
      <c r="J22" s="275">
        <f t="shared" si="5"/>
        <v>0.034290068096105866</v>
      </c>
      <c r="K22" s="275">
        <f t="shared" si="5"/>
        <v>0.033570054956689896</v>
      </c>
      <c r="L22" s="275">
        <f t="shared" si="5"/>
        <v>0.03308239998426085</v>
      </c>
      <c r="M22" s="275">
        <f t="shared" si="5"/>
        <v>0.03279042015275217</v>
      </c>
      <c r="N22" s="275">
        <f t="shared" si="5"/>
        <v>0.03264077538711175</v>
      </c>
      <c r="O22" s="275">
        <f t="shared" si="5"/>
        <v>0.032585361637500046</v>
      </c>
      <c r="P22" s="129"/>
    </row>
    <row r="23" spans="1:16" ht="12">
      <c r="A23" s="123">
        <f>A22+1</f>
        <v>15</v>
      </c>
      <c r="B23" s="142" t="s">
        <v>70</v>
      </c>
      <c r="C23" s="143">
        <f>C16+C18+C19</f>
        <v>0.05026545851860166</v>
      </c>
      <c r="D23" s="143">
        <f>D16+D18+D19</f>
        <v>0.04949945095031627</v>
      </c>
      <c r="E23" s="143">
        <f aca="true" t="shared" si="6" ref="E23:O23">E16+E18+E19</f>
        <v>0.04874684631762154</v>
      </c>
      <c r="F23" s="143">
        <f t="shared" si="6"/>
        <v>0.047926049320496655</v>
      </c>
      <c r="G23" s="143">
        <f t="shared" si="6"/>
        <v>0.047015642660754864</v>
      </c>
      <c r="H23" s="143">
        <f t="shared" si="6"/>
        <v>0.04606765034568221</v>
      </c>
      <c r="I23" s="143">
        <f t="shared" si="6"/>
        <v>0.04512079191984958</v>
      </c>
      <c r="J23" s="143">
        <f t="shared" si="6"/>
        <v>0.04424976809610587</v>
      </c>
      <c r="K23" s="143">
        <f t="shared" si="6"/>
        <v>0.0435297549566899</v>
      </c>
      <c r="L23" s="143">
        <f t="shared" si="6"/>
        <v>0.04304209998426086</v>
      </c>
      <c r="M23" s="143">
        <f t="shared" si="6"/>
        <v>0.042750120152752175</v>
      </c>
      <c r="N23" s="143">
        <f t="shared" si="6"/>
        <v>0.04260047538711176</v>
      </c>
      <c r="O23" s="143">
        <f t="shared" si="6"/>
        <v>0.04254506163750005</v>
      </c>
      <c r="P23" s="129"/>
    </row>
    <row r="24" spans="1:16" ht="5.25" customHeight="1">
      <c r="A24" s="123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</row>
    <row r="25" spans="1:16" ht="12">
      <c r="A25" s="123">
        <f>A23+1</f>
        <v>16</v>
      </c>
      <c r="B25" s="131" t="s">
        <v>76</v>
      </c>
      <c r="C25" s="131"/>
      <c r="D25" s="131">
        <v>31</v>
      </c>
      <c r="E25" s="131">
        <f>E7-D7</f>
        <v>28</v>
      </c>
      <c r="F25" s="131">
        <f aca="true" t="shared" si="7" ref="F25:O25">F7-E7</f>
        <v>31</v>
      </c>
      <c r="G25" s="131">
        <f t="shared" si="7"/>
        <v>30</v>
      </c>
      <c r="H25" s="131">
        <f t="shared" si="7"/>
        <v>31</v>
      </c>
      <c r="I25" s="131">
        <f t="shared" si="7"/>
        <v>30</v>
      </c>
      <c r="J25" s="131">
        <f t="shared" si="7"/>
        <v>31</v>
      </c>
      <c r="K25" s="131">
        <f t="shared" si="7"/>
        <v>31</v>
      </c>
      <c r="L25" s="131">
        <f t="shared" si="7"/>
        <v>30</v>
      </c>
      <c r="M25" s="131">
        <f t="shared" si="7"/>
        <v>31</v>
      </c>
      <c r="N25" s="131">
        <f t="shared" si="7"/>
        <v>30</v>
      </c>
      <c r="O25" s="131">
        <f t="shared" si="7"/>
        <v>31</v>
      </c>
      <c r="P25" s="144"/>
    </row>
    <row r="26" spans="1:16" ht="3.75" customHeight="1">
      <c r="A26" s="123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44"/>
    </row>
    <row r="27" spans="1:16" ht="12">
      <c r="A27" s="123">
        <f>A25+1</f>
        <v>17</v>
      </c>
      <c r="B27" s="127" t="s">
        <v>77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45" t="s">
        <v>52</v>
      </c>
    </row>
    <row r="28" spans="1:16" ht="12">
      <c r="A28" s="123">
        <f>A27+1</f>
        <v>18</v>
      </c>
      <c r="B28" s="131" t="s">
        <v>78</v>
      </c>
      <c r="C28" s="129"/>
      <c r="D28" s="129">
        <f>AVERAGE(C11:D11)*(D22*D25/360)*1000</f>
        <v>290604.94890104857</v>
      </c>
      <c r="E28" s="129">
        <f>AVERAGE(D11:E11)*(E22*E25/360)*1000</f>
        <v>257485.77576931394</v>
      </c>
      <c r="F28" s="129">
        <f aca="true" t="shared" si="8" ref="F28:O28">AVERAGE(E11:F11)*(F22*F25/360)*1000</f>
        <v>279040.93321442726</v>
      </c>
      <c r="G28" s="129">
        <f t="shared" si="8"/>
        <v>263564.2506246485</v>
      </c>
      <c r="H28" s="129">
        <f t="shared" si="8"/>
        <v>265382.2751264609</v>
      </c>
      <c r="I28" s="129">
        <f t="shared" si="8"/>
        <v>250086.92742862628</v>
      </c>
      <c r="J28" s="129">
        <f t="shared" si="8"/>
        <v>252021.40244645663</v>
      </c>
      <c r="K28" s="129">
        <f t="shared" si="8"/>
        <v>246729.52840681022</v>
      </c>
      <c r="L28" s="129">
        <f t="shared" si="8"/>
        <v>235302.01459295367</v>
      </c>
      <c r="M28" s="129">
        <f t="shared" si="8"/>
        <v>240999.4535602465</v>
      </c>
      <c r="N28" s="129">
        <f t="shared" si="8"/>
        <v>232160.9136615695</v>
      </c>
      <c r="O28" s="129">
        <f t="shared" si="8"/>
        <v>239492.3368507496</v>
      </c>
      <c r="P28" s="130">
        <f>SUM(D28:O28)</f>
        <v>3052870.760583312</v>
      </c>
    </row>
    <row r="29" spans="1:16" ht="12">
      <c r="A29" s="123">
        <f>A28+1</f>
        <v>19</v>
      </c>
      <c r="B29" s="131" t="s">
        <v>79</v>
      </c>
      <c r="C29" s="131"/>
      <c r="D29" s="129">
        <f>AVERAGE(C12:D12)*(D23*D25/360)*1000</f>
        <v>363805.6656482699</v>
      </c>
      <c r="E29" s="129">
        <f aca="true" t="shared" si="9" ref="E29:O29">AVERAGE(D12:E12)*(E23*E25/360)*1000</f>
        <v>323602.5521861589</v>
      </c>
      <c r="F29" s="129">
        <f t="shared" si="9"/>
        <v>352241.64996164857</v>
      </c>
      <c r="G29" s="129">
        <f t="shared" si="9"/>
        <v>334403.653928411</v>
      </c>
      <c r="H29" s="129">
        <f t="shared" si="9"/>
        <v>338582.9918736822</v>
      </c>
      <c r="I29" s="129">
        <f t="shared" si="9"/>
        <v>320926.33073238883</v>
      </c>
      <c r="J29" s="129">
        <f t="shared" si="9"/>
        <v>325222.1191936779</v>
      </c>
      <c r="K29" s="129">
        <f t="shared" si="9"/>
        <v>319930.2451540315</v>
      </c>
      <c r="L29" s="129">
        <f t="shared" si="9"/>
        <v>306141.4178967162</v>
      </c>
      <c r="M29" s="129">
        <f t="shared" si="9"/>
        <v>314200.17030746775</v>
      </c>
      <c r="N29" s="129">
        <f t="shared" si="9"/>
        <v>303000.316965332</v>
      </c>
      <c r="O29" s="129">
        <f t="shared" si="9"/>
        <v>312693.05359797087</v>
      </c>
      <c r="P29" s="130">
        <f>SUM(D29:O29)</f>
        <v>3914750.1674457556</v>
      </c>
    </row>
    <row r="30" spans="1:16" ht="12.75" thickBot="1">
      <c r="A30" s="123">
        <f>A29+1</f>
        <v>20</v>
      </c>
      <c r="B30" s="146" t="s">
        <v>80</v>
      </c>
      <c r="C30" s="131"/>
      <c r="D30" s="147">
        <f aca="true" t="shared" si="10" ref="D30:O30">SUM(D28:D29)</f>
        <v>654410.6145493184</v>
      </c>
      <c r="E30" s="147">
        <f t="shared" si="10"/>
        <v>581088.3279554729</v>
      </c>
      <c r="F30" s="147">
        <f t="shared" si="10"/>
        <v>631282.5831760758</v>
      </c>
      <c r="G30" s="147">
        <f t="shared" si="10"/>
        <v>597967.9045530595</v>
      </c>
      <c r="H30" s="147">
        <f t="shared" si="10"/>
        <v>603965.2670001431</v>
      </c>
      <c r="I30" s="147">
        <f t="shared" si="10"/>
        <v>571013.2581610151</v>
      </c>
      <c r="J30" s="147">
        <f t="shared" si="10"/>
        <v>577243.5216401345</v>
      </c>
      <c r="K30" s="147">
        <f t="shared" si="10"/>
        <v>566659.7735608417</v>
      </c>
      <c r="L30" s="147">
        <f t="shared" si="10"/>
        <v>541443.4324896699</v>
      </c>
      <c r="M30" s="147">
        <f t="shared" si="10"/>
        <v>555199.6238677143</v>
      </c>
      <c r="N30" s="147">
        <f t="shared" si="10"/>
        <v>535161.2306269015</v>
      </c>
      <c r="O30" s="147">
        <f t="shared" si="10"/>
        <v>552185.3904487204</v>
      </c>
      <c r="P30" s="148">
        <f>SUM(D30:O30)</f>
        <v>6967620.928029067</v>
      </c>
    </row>
    <row r="31" spans="1:16" ht="5.25" customHeight="1" thickTop="1">
      <c r="A31" s="123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44"/>
    </row>
    <row r="32" spans="1:18" ht="12">
      <c r="A32" s="123">
        <f>A30+1</f>
        <v>21</v>
      </c>
      <c r="B32" s="120" t="s">
        <v>81</v>
      </c>
      <c r="C32" s="137"/>
      <c r="D32" s="149">
        <f>(+D30/1000)/((D13+C13)/2)*(360/D25)</f>
        <v>0.04451960095031627</v>
      </c>
      <c r="E32" s="149">
        <f aca="true" t="shared" si="11" ref="E32:O32">(+E30/1000)/((E13+D13)/2)*(360/E25)</f>
        <v>0.04376699631762154</v>
      </c>
      <c r="F32" s="149">
        <f t="shared" si="11"/>
        <v>0.042946199320496654</v>
      </c>
      <c r="G32" s="149">
        <f t="shared" si="11"/>
        <v>0.042035792660754856</v>
      </c>
      <c r="H32" s="149">
        <f t="shared" si="11"/>
        <v>0.041087800345682206</v>
      </c>
      <c r="I32" s="149">
        <f t="shared" si="11"/>
        <v>0.04014094191984957</v>
      </c>
      <c r="J32" s="149">
        <f t="shared" si="11"/>
        <v>0.03926991809610587</v>
      </c>
      <c r="K32" s="149">
        <f t="shared" si="11"/>
        <v>0.03854990495668989</v>
      </c>
      <c r="L32" s="149">
        <f t="shared" si="11"/>
        <v>0.03806224998426085</v>
      </c>
      <c r="M32" s="149">
        <f t="shared" si="11"/>
        <v>0.037770270152752174</v>
      </c>
      <c r="N32" s="149">
        <f t="shared" si="11"/>
        <v>0.03762062538711174</v>
      </c>
      <c r="O32" s="149">
        <f t="shared" si="11"/>
        <v>0.03756521163750005</v>
      </c>
      <c r="P32" s="149">
        <f>ROUND(P30/(P8*1000),4)</f>
        <v>0.0408</v>
      </c>
      <c r="R32" s="149"/>
    </row>
    <row r="33" spans="1:16" ht="4.5" customHeight="1">
      <c r="A33" s="123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44"/>
    </row>
    <row r="34" spans="1:16" ht="12">
      <c r="A34" s="123">
        <f>A32+1</f>
        <v>22</v>
      </c>
      <c r="B34" s="127" t="s">
        <v>82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44"/>
    </row>
    <row r="35" spans="1:16" ht="12">
      <c r="A35" s="123">
        <f>A34+1</f>
        <v>23</v>
      </c>
      <c r="B35" s="131" t="s">
        <v>83</v>
      </c>
      <c r="C35" s="128">
        <v>800000</v>
      </c>
      <c r="D35" s="128">
        <f>C35</f>
        <v>800000</v>
      </c>
      <c r="E35" s="128">
        <f aca="true" t="shared" si="12" ref="E35:O35">D35</f>
        <v>800000</v>
      </c>
      <c r="F35" s="128">
        <f t="shared" si="12"/>
        <v>800000</v>
      </c>
      <c r="G35" s="128">
        <f t="shared" si="12"/>
        <v>800000</v>
      </c>
      <c r="H35" s="128">
        <f t="shared" si="12"/>
        <v>800000</v>
      </c>
      <c r="I35" s="128">
        <f t="shared" si="12"/>
        <v>800000</v>
      </c>
      <c r="J35" s="128">
        <f t="shared" si="12"/>
        <v>800000</v>
      </c>
      <c r="K35" s="128">
        <f t="shared" si="12"/>
        <v>800000</v>
      </c>
      <c r="L35" s="128">
        <f t="shared" si="12"/>
        <v>800000</v>
      </c>
      <c r="M35" s="128">
        <f t="shared" si="12"/>
        <v>800000</v>
      </c>
      <c r="N35" s="128">
        <f t="shared" si="12"/>
        <v>800000</v>
      </c>
      <c r="O35" s="128">
        <f t="shared" si="12"/>
        <v>800000</v>
      </c>
      <c r="P35" s="144"/>
    </row>
    <row r="36" spans="1:16" ht="12">
      <c r="A36" s="123">
        <f>A35+1</f>
        <v>24</v>
      </c>
      <c r="B36" s="131" t="s">
        <v>84</v>
      </c>
      <c r="C36" s="128">
        <f>C12+C44</f>
        <v>85351.2495</v>
      </c>
      <c r="D36" s="129">
        <f aca="true" t="shared" si="13" ref="D36:O36">D12+D44</f>
        <v>85351.2495</v>
      </c>
      <c r="E36" s="129">
        <f t="shared" si="13"/>
        <v>85351.2495</v>
      </c>
      <c r="F36" s="129">
        <f t="shared" si="13"/>
        <v>85351.2495</v>
      </c>
      <c r="G36" s="129">
        <f t="shared" si="13"/>
        <v>85351.2495</v>
      </c>
      <c r="H36" s="129">
        <f t="shared" si="13"/>
        <v>85351.2495</v>
      </c>
      <c r="I36" s="129">
        <f t="shared" si="13"/>
        <v>85351.2495</v>
      </c>
      <c r="J36" s="129">
        <f t="shared" si="13"/>
        <v>85351.2495</v>
      </c>
      <c r="K36" s="129">
        <f t="shared" si="13"/>
        <v>85351.2495</v>
      </c>
      <c r="L36" s="129">
        <f t="shared" si="13"/>
        <v>85351.2495</v>
      </c>
      <c r="M36" s="129">
        <f t="shared" si="13"/>
        <v>85351.2495</v>
      </c>
      <c r="N36" s="129">
        <f t="shared" si="13"/>
        <v>85351.2495</v>
      </c>
      <c r="O36" s="129">
        <f t="shared" si="13"/>
        <v>85351.2495</v>
      </c>
      <c r="P36" s="144"/>
    </row>
    <row r="37" spans="1:16" ht="12">
      <c r="A37" s="123">
        <f>A36+1</f>
        <v>25</v>
      </c>
      <c r="B37" s="150" t="s">
        <v>85</v>
      </c>
      <c r="C37" s="276">
        <f>C35-C36</f>
        <v>714648.7505</v>
      </c>
      <c r="D37" s="151">
        <f>D35-D36</f>
        <v>714648.7505</v>
      </c>
      <c r="E37" s="151">
        <f aca="true" t="shared" si="14" ref="E37:O37">E35-E36</f>
        <v>714648.7505</v>
      </c>
      <c r="F37" s="151">
        <f t="shared" si="14"/>
        <v>714648.7505</v>
      </c>
      <c r="G37" s="151">
        <f t="shared" si="14"/>
        <v>714648.7505</v>
      </c>
      <c r="H37" s="151">
        <f t="shared" si="14"/>
        <v>714648.7505</v>
      </c>
      <c r="I37" s="151">
        <f t="shared" si="14"/>
        <v>714648.7505</v>
      </c>
      <c r="J37" s="151">
        <f t="shared" si="14"/>
        <v>714648.7505</v>
      </c>
      <c r="K37" s="151">
        <f t="shared" si="14"/>
        <v>714648.7505</v>
      </c>
      <c r="L37" s="151">
        <f t="shared" si="14"/>
        <v>714648.7505</v>
      </c>
      <c r="M37" s="151">
        <f t="shared" si="14"/>
        <v>714648.7505</v>
      </c>
      <c r="N37" s="151">
        <f t="shared" si="14"/>
        <v>714648.7505</v>
      </c>
      <c r="O37" s="151">
        <f t="shared" si="14"/>
        <v>714648.7505</v>
      </c>
      <c r="P37" s="144"/>
    </row>
    <row r="38" spans="1:16" ht="4.5" customHeight="1">
      <c r="A38" s="123"/>
      <c r="B38" s="134"/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44"/>
    </row>
    <row r="39" spans="1:16" ht="12">
      <c r="A39" s="123">
        <f>A37+1</f>
        <v>26</v>
      </c>
      <c r="B39" s="127" t="s">
        <v>86</v>
      </c>
      <c r="C39" s="152" t="s">
        <v>11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44"/>
    </row>
    <row r="40" spans="1:16" ht="12">
      <c r="A40" s="123">
        <f>A39+1</f>
        <v>27</v>
      </c>
      <c r="B40" s="142" t="s">
        <v>87</v>
      </c>
      <c r="C40" s="277">
        <v>0.00175</v>
      </c>
      <c r="D40" s="129">
        <f>AVERAGE(C37:D37)*($C40*D$25/360)*1000</f>
        <v>107693.59642951388</v>
      </c>
      <c r="E40" s="129">
        <f aca="true" t="shared" si="15" ref="E40:O40">AVERAGE(D37:E37)*($C40*E$25/360)*1000</f>
        <v>97271.63548472222</v>
      </c>
      <c r="F40" s="129">
        <f t="shared" si="15"/>
        <v>107693.59642951388</v>
      </c>
      <c r="G40" s="129">
        <f t="shared" si="15"/>
        <v>104219.60944791665</v>
      </c>
      <c r="H40" s="129">
        <f t="shared" si="15"/>
        <v>107693.59642951388</v>
      </c>
      <c r="I40" s="129">
        <f t="shared" si="15"/>
        <v>104219.60944791665</v>
      </c>
      <c r="J40" s="129">
        <f t="shared" si="15"/>
        <v>107693.59642951388</v>
      </c>
      <c r="K40" s="129">
        <f t="shared" si="15"/>
        <v>107693.59642951388</v>
      </c>
      <c r="L40" s="129">
        <f t="shared" si="15"/>
        <v>104219.60944791665</v>
      </c>
      <c r="M40" s="129">
        <f t="shared" si="15"/>
        <v>107693.59642951388</v>
      </c>
      <c r="N40" s="129">
        <f t="shared" si="15"/>
        <v>104219.60944791665</v>
      </c>
      <c r="O40" s="129">
        <f t="shared" si="15"/>
        <v>107693.59642951388</v>
      </c>
      <c r="P40" s="130">
        <f>SUM(D40:O40)</f>
        <v>1268005.2482829862</v>
      </c>
    </row>
    <row r="41" spans="1:18" ht="12.75" thickBot="1">
      <c r="A41" s="123">
        <f>A40+1</f>
        <v>28</v>
      </c>
      <c r="B41" s="146" t="s">
        <v>88</v>
      </c>
      <c r="C41" s="153"/>
      <c r="D41" s="154">
        <f aca="true" t="shared" si="16" ref="D41:O41">SUM(D40:D40)</f>
        <v>107693.59642951388</v>
      </c>
      <c r="E41" s="154">
        <f t="shared" si="16"/>
        <v>97271.63548472222</v>
      </c>
      <c r="F41" s="154">
        <f t="shared" si="16"/>
        <v>107693.59642951388</v>
      </c>
      <c r="G41" s="154">
        <f t="shared" si="16"/>
        <v>104219.60944791665</v>
      </c>
      <c r="H41" s="154">
        <f t="shared" si="16"/>
        <v>107693.59642951388</v>
      </c>
      <c r="I41" s="154">
        <f t="shared" si="16"/>
        <v>104219.60944791665</v>
      </c>
      <c r="J41" s="154">
        <f t="shared" si="16"/>
        <v>107693.59642951388</v>
      </c>
      <c r="K41" s="154">
        <f t="shared" si="16"/>
        <v>107693.59642951388</v>
      </c>
      <c r="L41" s="154">
        <f t="shared" si="16"/>
        <v>104219.60944791665</v>
      </c>
      <c r="M41" s="154">
        <f t="shared" si="16"/>
        <v>107693.59642951388</v>
      </c>
      <c r="N41" s="154">
        <f t="shared" si="16"/>
        <v>104219.60944791665</v>
      </c>
      <c r="O41" s="154">
        <f t="shared" si="16"/>
        <v>107693.59642951388</v>
      </c>
      <c r="P41" s="148">
        <f>SUM(D41:O41)</f>
        <v>1268005.2482829862</v>
      </c>
      <c r="R41" s="155"/>
    </row>
    <row r="42" spans="1:16" ht="6" customHeight="1" thickTop="1">
      <c r="A42" s="123"/>
      <c r="B42" s="156"/>
      <c r="C42" s="157"/>
      <c r="D42" s="157"/>
      <c r="E42" s="157"/>
      <c r="F42" s="157"/>
      <c r="G42" s="157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16" ht="12" customHeight="1">
      <c r="A43" s="123">
        <f>A41+1</f>
        <v>29</v>
      </c>
      <c r="B43" s="127" t="s">
        <v>89</v>
      </c>
      <c r="C43" s="158"/>
      <c r="D43" s="157"/>
      <c r="E43" s="157"/>
      <c r="F43" s="157"/>
      <c r="G43" s="157"/>
      <c r="H43" s="120"/>
      <c r="I43" s="120"/>
      <c r="J43" s="120"/>
      <c r="K43" s="120"/>
      <c r="L43" s="120"/>
      <c r="M43" s="120"/>
      <c r="N43" s="120"/>
      <c r="O43" s="120"/>
      <c r="P43" s="120"/>
    </row>
    <row r="44" spans="1:16" ht="12" customHeight="1">
      <c r="A44" s="123">
        <f>A43+1</f>
        <v>30</v>
      </c>
      <c r="B44" s="131" t="s">
        <v>90</v>
      </c>
      <c r="C44" s="158"/>
      <c r="D44" s="260">
        <v>0</v>
      </c>
      <c r="E44" s="260">
        <v>0</v>
      </c>
      <c r="F44" s="260">
        <v>0</v>
      </c>
      <c r="G44" s="260">
        <v>0</v>
      </c>
      <c r="H44" s="260">
        <v>0</v>
      </c>
      <c r="I44" s="260">
        <v>0</v>
      </c>
      <c r="J44" s="260">
        <v>0</v>
      </c>
      <c r="K44" s="260">
        <v>0</v>
      </c>
      <c r="L44" s="260">
        <v>0</v>
      </c>
      <c r="M44" s="260">
        <v>0</v>
      </c>
      <c r="N44" s="260">
        <v>0</v>
      </c>
      <c r="O44" s="260">
        <v>0</v>
      </c>
      <c r="P44" s="120"/>
    </row>
    <row r="45" spans="1:16" ht="12" customHeight="1">
      <c r="A45" s="123">
        <f>A44+1</f>
        <v>31</v>
      </c>
      <c r="B45" s="131" t="s">
        <v>144</v>
      </c>
      <c r="C45" s="158"/>
      <c r="D45" s="246">
        <f>'[7]NGX 2023 '!$J$36/1000</f>
        <v>28000</v>
      </c>
      <c r="E45" s="246">
        <f>'[7]NGX 2023 '!$J$39/1000</f>
        <v>28000</v>
      </c>
      <c r="F45" s="246">
        <f>'[7]NGX 2023 '!$J$43/1000</f>
        <v>22393.939393939396</v>
      </c>
      <c r="G45" s="246">
        <f>'[7]NGX 2023 '!$J$49/1000</f>
        <v>9892.857142857143</v>
      </c>
      <c r="H45" s="258">
        <f>'[7]NGX 2023 '!$J$54/1000</f>
        <v>17612.90322580645</v>
      </c>
      <c r="I45" s="258">
        <f>'[7]NGX 2023 '!$J$61/1000</f>
        <v>9676.470588235294</v>
      </c>
      <c r="J45" s="258">
        <f>'[7]NGX 2023 '!$J$65/1000</f>
        <v>7857.142857142857</v>
      </c>
      <c r="K45" s="258">
        <f>'[7]NGX 2023 '!$J$68/1000</f>
        <v>11000</v>
      </c>
      <c r="L45" s="258">
        <f>'[7]NGX 2023 '!$J$72/1000</f>
        <v>8290.322580645161</v>
      </c>
      <c r="M45" s="258">
        <f>'[7]NGX 2023 '!$J$76/1000</f>
        <v>4290.322580645162</v>
      </c>
      <c r="N45" s="258">
        <f>'[7]NGX 2023 '!$J$80/1000</f>
        <v>4000</v>
      </c>
      <c r="O45" s="258">
        <f>'[7]NGX 2023 '!$J$84/1000</f>
        <v>4000</v>
      </c>
      <c r="P45" s="120"/>
    </row>
    <row r="46" spans="1:16" ht="12" customHeight="1">
      <c r="A46" s="123">
        <f>A45+1</f>
        <v>32</v>
      </c>
      <c r="B46" s="131" t="s">
        <v>145</v>
      </c>
      <c r="C46" s="158"/>
      <c r="D46" s="259">
        <f>40000000/1000</f>
        <v>40000</v>
      </c>
      <c r="E46" s="259">
        <f aca="true" t="shared" si="17" ref="E46:O46">40000000/1000</f>
        <v>40000</v>
      </c>
      <c r="F46" s="259">
        <f t="shared" si="17"/>
        <v>40000</v>
      </c>
      <c r="G46" s="259">
        <f t="shared" si="17"/>
        <v>40000</v>
      </c>
      <c r="H46" s="259">
        <f t="shared" si="17"/>
        <v>40000</v>
      </c>
      <c r="I46" s="259">
        <f t="shared" si="17"/>
        <v>40000</v>
      </c>
      <c r="J46" s="259">
        <f t="shared" si="17"/>
        <v>40000</v>
      </c>
      <c r="K46" s="259">
        <f t="shared" si="17"/>
        <v>40000</v>
      </c>
      <c r="L46" s="259">
        <f t="shared" si="17"/>
        <v>40000</v>
      </c>
      <c r="M46" s="259">
        <f t="shared" si="17"/>
        <v>40000</v>
      </c>
      <c r="N46" s="259">
        <f t="shared" si="17"/>
        <v>40000</v>
      </c>
      <c r="O46" s="259">
        <f t="shared" si="17"/>
        <v>40000</v>
      </c>
      <c r="P46" s="120"/>
    </row>
    <row r="47" spans="1:16" ht="12" customHeight="1">
      <c r="A47" s="123">
        <f>A46+1</f>
        <v>33</v>
      </c>
      <c r="B47" s="131" t="s">
        <v>91</v>
      </c>
      <c r="C47" s="158"/>
      <c r="D47" s="128">
        <f aca="true" t="shared" si="18" ref="D47:I47">1737375/1000</f>
        <v>1737.375</v>
      </c>
      <c r="E47" s="128">
        <f t="shared" si="18"/>
        <v>1737.375</v>
      </c>
      <c r="F47" s="128">
        <f t="shared" si="18"/>
        <v>1737.375</v>
      </c>
      <c r="G47" s="128">
        <f t="shared" si="18"/>
        <v>1737.375</v>
      </c>
      <c r="H47" s="128">
        <f t="shared" si="18"/>
        <v>1737.375</v>
      </c>
      <c r="I47" s="128">
        <f t="shared" si="18"/>
        <v>1737.375</v>
      </c>
      <c r="J47" s="128">
        <f aca="true" t="shared" si="19" ref="J47:O47">1527250/1000</f>
        <v>1527.25</v>
      </c>
      <c r="K47" s="128">
        <f t="shared" si="19"/>
        <v>1527.25</v>
      </c>
      <c r="L47" s="128">
        <f t="shared" si="19"/>
        <v>1527.25</v>
      </c>
      <c r="M47" s="128">
        <f t="shared" si="19"/>
        <v>1527.25</v>
      </c>
      <c r="N47" s="128">
        <f t="shared" si="19"/>
        <v>1527.25</v>
      </c>
      <c r="O47" s="128">
        <f t="shared" si="19"/>
        <v>1527.25</v>
      </c>
      <c r="P47" s="120"/>
    </row>
    <row r="48" spans="1:16" ht="7.5" customHeight="1">
      <c r="A48" s="123"/>
      <c r="B48" s="127"/>
      <c r="C48" s="158"/>
      <c r="D48" s="157"/>
      <c r="E48" s="157"/>
      <c r="F48" s="157"/>
      <c r="G48" s="157"/>
      <c r="H48" s="120"/>
      <c r="I48" s="120"/>
      <c r="J48" s="120"/>
      <c r="K48" s="120"/>
      <c r="L48" s="120"/>
      <c r="M48" s="120"/>
      <c r="N48" s="120"/>
      <c r="O48" s="120"/>
      <c r="P48" s="120"/>
    </row>
    <row r="49" spans="1:16" ht="12" customHeight="1">
      <c r="A49" s="123">
        <f>A47+1</f>
        <v>34</v>
      </c>
      <c r="B49" s="131" t="s">
        <v>90</v>
      </c>
      <c r="C49" s="277">
        <v>0.01</v>
      </c>
      <c r="D49" s="128">
        <f>D44*($C49*D$25/360)*1000</f>
        <v>0</v>
      </c>
      <c r="E49" s="128">
        <f aca="true" t="shared" si="20" ref="E49:O52">E44*($C49*E$25/360)*1000</f>
        <v>0</v>
      </c>
      <c r="F49" s="128">
        <f t="shared" si="20"/>
        <v>0</v>
      </c>
      <c r="G49" s="128">
        <f t="shared" si="20"/>
        <v>0</v>
      </c>
      <c r="H49" s="128">
        <f t="shared" si="20"/>
        <v>0</v>
      </c>
      <c r="I49" s="128">
        <f t="shared" si="20"/>
        <v>0</v>
      </c>
      <c r="J49" s="128">
        <f t="shared" si="20"/>
        <v>0</v>
      </c>
      <c r="K49" s="128">
        <f t="shared" si="20"/>
        <v>0</v>
      </c>
      <c r="L49" s="128">
        <f t="shared" si="20"/>
        <v>0</v>
      </c>
      <c r="M49" s="128">
        <f t="shared" si="20"/>
        <v>0</v>
      </c>
      <c r="N49" s="128">
        <f t="shared" si="20"/>
        <v>0</v>
      </c>
      <c r="O49" s="128">
        <f t="shared" si="20"/>
        <v>0</v>
      </c>
      <c r="P49" s="130"/>
    </row>
    <row r="50" spans="1:18" ht="12" customHeight="1">
      <c r="A50" s="123">
        <f>A49+1</f>
        <v>35</v>
      </c>
      <c r="B50" s="131" t="s">
        <v>144</v>
      </c>
      <c r="C50" s="277">
        <v>0.00625</v>
      </c>
      <c r="D50" s="121">
        <f>D45*($C50*D$25/360)*1000</f>
        <v>15069.444444444445</v>
      </c>
      <c r="E50" s="121">
        <f t="shared" si="20"/>
        <v>13611.111111111113</v>
      </c>
      <c r="F50" s="121">
        <f t="shared" si="20"/>
        <v>12052.29377104377</v>
      </c>
      <c r="G50" s="121">
        <f t="shared" si="20"/>
        <v>5152.5297619047615</v>
      </c>
      <c r="H50" s="121">
        <f t="shared" si="20"/>
        <v>9479.166666666666</v>
      </c>
      <c r="I50" s="121">
        <f t="shared" si="20"/>
        <v>5039.828431372548</v>
      </c>
      <c r="J50" s="121">
        <f t="shared" si="20"/>
        <v>4228.670634920634</v>
      </c>
      <c r="K50" s="121">
        <f t="shared" si="20"/>
        <v>5920.13888888889</v>
      </c>
      <c r="L50" s="121">
        <f t="shared" si="20"/>
        <v>4317.876344086021</v>
      </c>
      <c r="M50" s="121">
        <f t="shared" si="20"/>
        <v>2309.0277777777783</v>
      </c>
      <c r="N50" s="121">
        <f t="shared" si="20"/>
        <v>2083.3333333333335</v>
      </c>
      <c r="O50" s="121">
        <f t="shared" si="20"/>
        <v>2152.777777777778</v>
      </c>
      <c r="R50" s="155"/>
    </row>
    <row r="51" spans="1:18" ht="12" customHeight="1">
      <c r="A51" s="123">
        <f>A50+1</f>
        <v>36</v>
      </c>
      <c r="B51" s="131" t="s">
        <v>145</v>
      </c>
      <c r="C51" s="277">
        <v>0.0075</v>
      </c>
      <c r="D51" s="121">
        <f>D46*($C51*D$25/360)*1000</f>
        <v>25833.333333333332</v>
      </c>
      <c r="E51" s="121">
        <f t="shared" si="20"/>
        <v>23333.333333333332</v>
      </c>
      <c r="F51" s="121">
        <f t="shared" si="20"/>
        <v>25833.333333333332</v>
      </c>
      <c r="G51" s="121">
        <f t="shared" si="20"/>
        <v>24999.999999999996</v>
      </c>
      <c r="H51" s="121">
        <f t="shared" si="20"/>
        <v>25833.333333333332</v>
      </c>
      <c r="I51" s="121">
        <f t="shared" si="20"/>
        <v>24999.999999999996</v>
      </c>
      <c r="J51" s="121">
        <f t="shared" si="20"/>
        <v>25833.333333333332</v>
      </c>
      <c r="K51" s="121">
        <f t="shared" si="20"/>
        <v>25833.333333333332</v>
      </c>
      <c r="L51" s="121">
        <f t="shared" si="20"/>
        <v>24999.999999999996</v>
      </c>
      <c r="M51" s="121">
        <f t="shared" si="20"/>
        <v>25833.333333333332</v>
      </c>
      <c r="N51" s="121">
        <f t="shared" si="20"/>
        <v>24999.999999999996</v>
      </c>
      <c r="O51" s="121">
        <f t="shared" si="20"/>
        <v>25833.333333333332</v>
      </c>
      <c r="R51" s="155"/>
    </row>
    <row r="52" spans="1:18" ht="12" customHeight="1">
      <c r="A52" s="123">
        <f>A51+1</f>
        <v>37</v>
      </c>
      <c r="B52" s="131" t="s">
        <v>91</v>
      </c>
      <c r="C52" s="277">
        <v>0.01</v>
      </c>
      <c r="D52" s="128">
        <f>D47*($C52*D$25/360)*1000</f>
        <v>1496.0729166666667</v>
      </c>
      <c r="E52" s="128">
        <f t="shared" si="20"/>
        <v>1351.2916666666667</v>
      </c>
      <c r="F52" s="128">
        <f t="shared" si="20"/>
        <v>1496.0729166666667</v>
      </c>
      <c r="G52" s="128">
        <f t="shared" si="20"/>
        <v>1447.8125</v>
      </c>
      <c r="H52" s="128">
        <f t="shared" si="20"/>
        <v>1496.0729166666667</v>
      </c>
      <c r="I52" s="128">
        <f t="shared" si="20"/>
        <v>1447.8125</v>
      </c>
      <c r="J52" s="128">
        <f t="shared" si="20"/>
        <v>1315.1319444444446</v>
      </c>
      <c r="K52" s="128">
        <f t="shared" si="20"/>
        <v>1315.1319444444446</v>
      </c>
      <c r="L52" s="128">
        <f t="shared" si="20"/>
        <v>1272.7083333333333</v>
      </c>
      <c r="M52" s="128">
        <f t="shared" si="20"/>
        <v>1315.1319444444446</v>
      </c>
      <c r="N52" s="128">
        <f t="shared" si="20"/>
        <v>1272.7083333333333</v>
      </c>
      <c r="O52" s="128">
        <f t="shared" si="20"/>
        <v>1315.1319444444446</v>
      </c>
      <c r="P52" s="130"/>
      <c r="R52" s="155"/>
    </row>
    <row r="53" spans="1:16" ht="12.75" customHeight="1" thickBot="1">
      <c r="A53" s="123">
        <f>A52+1</f>
        <v>38</v>
      </c>
      <c r="B53" s="146" t="s">
        <v>126</v>
      </c>
      <c r="D53" s="154">
        <f>SUM(D49:D52)</f>
        <v>42398.850694444445</v>
      </c>
      <c r="E53" s="154">
        <f aca="true" t="shared" si="21" ref="E53:O53">SUM(E49:E52)</f>
        <v>38295.73611111111</v>
      </c>
      <c r="F53" s="154">
        <f t="shared" si="21"/>
        <v>39381.70002104377</v>
      </c>
      <c r="G53" s="154">
        <f t="shared" si="21"/>
        <v>31600.342261904756</v>
      </c>
      <c r="H53" s="154">
        <f t="shared" si="21"/>
        <v>36808.572916666664</v>
      </c>
      <c r="I53" s="154">
        <f t="shared" si="21"/>
        <v>31487.640931372545</v>
      </c>
      <c r="J53" s="154">
        <f t="shared" si="21"/>
        <v>31377.13591269841</v>
      </c>
      <c r="K53" s="154">
        <f t="shared" si="21"/>
        <v>33068.604166666664</v>
      </c>
      <c r="L53" s="154">
        <f t="shared" si="21"/>
        <v>30590.58467741935</v>
      </c>
      <c r="M53" s="154">
        <f t="shared" si="21"/>
        <v>29457.493055555555</v>
      </c>
      <c r="N53" s="154">
        <f t="shared" si="21"/>
        <v>28356.04166666666</v>
      </c>
      <c r="O53" s="154">
        <f t="shared" si="21"/>
        <v>29301.243055555555</v>
      </c>
      <c r="P53" s="148">
        <f>SUM(D53:O53)</f>
        <v>402123.9454711055</v>
      </c>
    </row>
    <row r="54" spans="1:18" ht="12.75" customHeight="1" thickTop="1">
      <c r="A54" s="123">
        <f aca="true" t="shared" si="22" ref="A54:A70">A53+1</f>
        <v>39</v>
      </c>
      <c r="B54" s="146"/>
      <c r="C54" s="159"/>
      <c r="D54" s="129"/>
      <c r="E54" s="129"/>
      <c r="F54" s="160"/>
      <c r="G54" s="129"/>
      <c r="H54" s="129"/>
      <c r="I54" s="129"/>
      <c r="J54" s="129"/>
      <c r="K54" s="129"/>
      <c r="L54" s="129"/>
      <c r="M54" s="129"/>
      <c r="N54" s="129"/>
      <c r="O54" s="278" t="s">
        <v>92</v>
      </c>
      <c r="P54" s="130">
        <f>P41+P53</f>
        <v>1670129.1937540919</v>
      </c>
      <c r="R54" s="155"/>
    </row>
    <row r="55" spans="1:18" ht="12.75" customHeight="1">
      <c r="A55" s="123">
        <f t="shared" si="22"/>
        <v>40</v>
      </c>
      <c r="B55" s="146"/>
      <c r="C55" s="15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278" t="s">
        <v>104</v>
      </c>
      <c r="P55" s="130">
        <f>'(R) Pg 2 Cost of Total Debt'!H42</f>
        <v>14392984691.836735</v>
      </c>
      <c r="R55" s="155"/>
    </row>
    <row r="56" spans="1:16" ht="11.25" customHeight="1">
      <c r="A56" s="123">
        <f t="shared" si="22"/>
        <v>41</v>
      </c>
      <c r="B56" s="146"/>
      <c r="C56" s="15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278" t="s">
        <v>93</v>
      </c>
      <c r="P56" s="162">
        <f>ROUND(P54/P55,4)</f>
        <v>0.0001</v>
      </c>
    </row>
    <row r="57" spans="1:16" ht="12">
      <c r="A57" s="123">
        <f t="shared" si="22"/>
        <v>42</v>
      </c>
      <c r="B57" s="127" t="s">
        <v>122</v>
      </c>
      <c r="C57" s="157"/>
      <c r="D57" s="157"/>
      <c r="E57" s="157"/>
      <c r="F57" s="157"/>
      <c r="G57" s="157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20" ht="12">
      <c r="A58" s="123">
        <f t="shared" si="22"/>
        <v>43</v>
      </c>
      <c r="B58" s="142" t="s">
        <v>140</v>
      </c>
      <c r="C58" s="157"/>
      <c r="D58" s="128">
        <v>54030.38</v>
      </c>
      <c r="E58" s="128">
        <f>+D58</f>
        <v>54030.38</v>
      </c>
      <c r="F58" s="128">
        <f aca="true" t="shared" si="23" ref="F58:O58">+E58</f>
        <v>54030.38</v>
      </c>
      <c r="G58" s="128">
        <f t="shared" si="23"/>
        <v>54030.38</v>
      </c>
      <c r="H58" s="128">
        <f t="shared" si="23"/>
        <v>54030.38</v>
      </c>
      <c r="I58" s="128">
        <f t="shared" si="23"/>
        <v>54030.38</v>
      </c>
      <c r="J58" s="128">
        <f t="shared" si="23"/>
        <v>54030.38</v>
      </c>
      <c r="K58" s="128">
        <f t="shared" si="23"/>
        <v>54030.38</v>
      </c>
      <c r="L58" s="128">
        <f t="shared" si="23"/>
        <v>54030.38</v>
      </c>
      <c r="M58" s="128">
        <f t="shared" si="23"/>
        <v>54030.38</v>
      </c>
      <c r="N58" s="128">
        <f t="shared" si="23"/>
        <v>54030.38</v>
      </c>
      <c r="O58" s="128">
        <f t="shared" si="23"/>
        <v>54030.38</v>
      </c>
      <c r="P58" s="130">
        <f>SUM(D58:O58)</f>
        <v>648364.5599999999</v>
      </c>
      <c r="T58" s="241"/>
    </row>
    <row r="59" spans="1:18" ht="12" customHeight="1" thickBot="1">
      <c r="A59" s="123">
        <f t="shared" si="22"/>
        <v>44</v>
      </c>
      <c r="B59" s="146" t="s">
        <v>94</v>
      </c>
      <c r="C59" s="157"/>
      <c r="D59" s="163">
        <f aca="true" t="shared" si="24" ref="D59:O59">SUM(D58:D58)</f>
        <v>54030.38</v>
      </c>
      <c r="E59" s="163">
        <f t="shared" si="24"/>
        <v>54030.38</v>
      </c>
      <c r="F59" s="163">
        <f t="shared" si="24"/>
        <v>54030.38</v>
      </c>
      <c r="G59" s="163">
        <f t="shared" si="24"/>
        <v>54030.38</v>
      </c>
      <c r="H59" s="163">
        <f t="shared" si="24"/>
        <v>54030.38</v>
      </c>
      <c r="I59" s="163">
        <f t="shared" si="24"/>
        <v>54030.38</v>
      </c>
      <c r="J59" s="163">
        <f t="shared" si="24"/>
        <v>54030.38</v>
      </c>
      <c r="K59" s="163">
        <f t="shared" si="24"/>
        <v>54030.38</v>
      </c>
      <c r="L59" s="163">
        <f t="shared" si="24"/>
        <v>54030.38</v>
      </c>
      <c r="M59" s="163">
        <f t="shared" si="24"/>
        <v>54030.38</v>
      </c>
      <c r="N59" s="163">
        <f t="shared" si="24"/>
        <v>54030.38</v>
      </c>
      <c r="O59" s="163">
        <f t="shared" si="24"/>
        <v>54030.38</v>
      </c>
      <c r="P59" s="148">
        <f>SUM(D59:O59)</f>
        <v>648364.5599999999</v>
      </c>
      <c r="R59" s="155"/>
    </row>
    <row r="60" spans="1:18" ht="12" customHeight="1" thickTop="1">
      <c r="A60" s="123">
        <f t="shared" si="22"/>
        <v>45</v>
      </c>
      <c r="B60" s="146"/>
      <c r="C60" s="157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278" t="s">
        <v>104</v>
      </c>
      <c r="P60" s="130">
        <f>'(R) Pg 2 Cost of Total Debt'!$H$42</f>
        <v>14392984691.836735</v>
      </c>
      <c r="R60" s="155"/>
    </row>
    <row r="61" spans="1:18" ht="12" customHeight="1">
      <c r="A61" s="123">
        <f t="shared" si="22"/>
        <v>46</v>
      </c>
      <c r="B61" s="146"/>
      <c r="C61" s="157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278" t="s">
        <v>95</v>
      </c>
      <c r="P61" s="162">
        <f>ROUND(P59/P60,4)</f>
        <v>0</v>
      </c>
      <c r="R61" s="155"/>
    </row>
    <row r="62" spans="1:18" ht="12" customHeight="1">
      <c r="A62" s="123">
        <f t="shared" si="22"/>
        <v>47</v>
      </c>
      <c r="B62" s="146"/>
      <c r="C62" s="157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1"/>
      <c r="P62" s="162"/>
      <c r="R62" s="155"/>
    </row>
    <row r="63" spans="1:18" ht="12" customHeight="1">
      <c r="A63" s="123">
        <f t="shared" si="22"/>
        <v>48</v>
      </c>
      <c r="B63" s="127" t="s">
        <v>131</v>
      </c>
      <c r="C63" s="246">
        <v>6881860</v>
      </c>
      <c r="D63" s="246">
        <v>6881860</v>
      </c>
      <c r="E63" s="246">
        <v>6881860</v>
      </c>
      <c r="F63" s="246">
        <v>6881860</v>
      </c>
      <c r="G63" s="246">
        <v>6881860</v>
      </c>
      <c r="H63" s="246">
        <v>6881860</v>
      </c>
      <c r="I63" s="246">
        <v>6881860</v>
      </c>
      <c r="J63" s="246">
        <v>6881860</v>
      </c>
      <c r="K63" s="246">
        <v>6881860</v>
      </c>
      <c r="L63" s="246">
        <v>6881860</v>
      </c>
      <c r="M63" s="246">
        <v>6881860</v>
      </c>
      <c r="N63" s="246">
        <v>6881860</v>
      </c>
      <c r="O63" s="246">
        <v>6881860</v>
      </c>
      <c r="P63" s="247">
        <f>ROUND(((C63+O63)+(SUM(D63:N63)*2))/24,3)</f>
        <v>6881860</v>
      </c>
      <c r="R63" s="155"/>
    </row>
    <row r="64" spans="1:18" ht="12" customHeight="1" thickBot="1">
      <c r="A64" s="123">
        <f>A63+1</f>
        <v>49</v>
      </c>
      <c r="B64" s="146" t="s">
        <v>132</v>
      </c>
      <c r="C64" s="154">
        <f>C13+C63</f>
        <v>7052562.499</v>
      </c>
      <c r="D64" s="154">
        <f aca="true" t="shared" si="25" ref="D64:P64">D13+D63</f>
        <v>7052562.499</v>
      </c>
      <c r="E64" s="154">
        <f t="shared" si="25"/>
        <v>7052562.499</v>
      </c>
      <c r="F64" s="154">
        <f t="shared" si="25"/>
        <v>7052562.499</v>
      </c>
      <c r="G64" s="154">
        <f t="shared" si="25"/>
        <v>7052562.499</v>
      </c>
      <c r="H64" s="154">
        <f t="shared" si="25"/>
        <v>7052562.499</v>
      </c>
      <c r="I64" s="154">
        <f t="shared" si="25"/>
        <v>7052562.499</v>
      </c>
      <c r="J64" s="154">
        <f t="shared" si="25"/>
        <v>7052562.499</v>
      </c>
      <c r="K64" s="154">
        <f t="shared" si="25"/>
        <v>7052562.499</v>
      </c>
      <c r="L64" s="154">
        <f t="shared" si="25"/>
        <v>7052562.499</v>
      </c>
      <c r="M64" s="154">
        <f t="shared" si="25"/>
        <v>7052562.499</v>
      </c>
      <c r="N64" s="154">
        <f t="shared" si="25"/>
        <v>7052562.499</v>
      </c>
      <c r="O64" s="154">
        <f t="shared" si="25"/>
        <v>7052562.499</v>
      </c>
      <c r="P64" s="298">
        <f t="shared" si="25"/>
        <v>7052562.499</v>
      </c>
      <c r="R64" s="155"/>
    </row>
    <row r="65" spans="1:18" ht="12" customHeight="1" thickTop="1">
      <c r="A65" s="123">
        <f t="shared" si="22"/>
        <v>50</v>
      </c>
      <c r="B65" s="146"/>
      <c r="C65" s="157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1"/>
      <c r="P65" s="162"/>
      <c r="R65" s="155"/>
    </row>
    <row r="66" spans="1:18" ht="12" customHeight="1">
      <c r="A66" s="123">
        <f t="shared" si="22"/>
        <v>51</v>
      </c>
      <c r="B66" s="142" t="s">
        <v>135</v>
      </c>
      <c r="C66" s="157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1"/>
      <c r="P66" s="279">
        <f>+P13/P64*(1-'Pg 1 CofCap'!D22)</f>
        <v>0.011860118151644899</v>
      </c>
      <c r="R66" s="155"/>
    </row>
    <row r="67" spans="1:16" ht="12" customHeight="1">
      <c r="A67" s="123">
        <f t="shared" si="22"/>
        <v>52</v>
      </c>
      <c r="B67" s="142" t="s">
        <v>136</v>
      </c>
      <c r="P67" s="279">
        <f>+P63/P64*(1-'Pg 1 CofCap'!D22)</f>
        <v>0.4781398818483551</v>
      </c>
    </row>
    <row r="68" spans="1:16" ht="12" customHeight="1">
      <c r="A68" s="123">
        <f t="shared" si="22"/>
        <v>53</v>
      </c>
      <c r="B68" s="146" t="s">
        <v>134</v>
      </c>
      <c r="P68" s="279">
        <f>SUM(P66:P67)</f>
        <v>0.49</v>
      </c>
    </row>
    <row r="69" spans="1:16" ht="12" customHeight="1">
      <c r="A69" s="123">
        <f t="shared" si="22"/>
        <v>54</v>
      </c>
      <c r="B69" s="142"/>
      <c r="P69" s="38"/>
    </row>
    <row r="70" spans="1:2" ht="12" customHeight="1">
      <c r="A70" s="123">
        <f t="shared" si="22"/>
        <v>55</v>
      </c>
      <c r="B70" s="127" t="s">
        <v>127</v>
      </c>
    </row>
    <row r="71" spans="2:15" ht="12">
      <c r="B71" s="165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</row>
  </sheetData>
  <sheetProtection/>
  <printOptions horizontalCentered="1"/>
  <pageMargins left="0.27" right="0.23" top="0.61" bottom="0" header="0.27" footer="0.27"/>
  <pageSetup horizontalDpi="600" verticalDpi="600" orientation="landscape" scale="70" r:id="rId1"/>
  <headerFooter alignWithMargins="0">
    <oddHeader>&amp;C
</oddHead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view="pageLayout" workbookViewId="0" topLeftCell="A1">
      <selection activeCell="J41" sqref="J41:J43"/>
    </sheetView>
  </sheetViews>
  <sheetFormatPr defaultColWidth="8.66015625" defaultRowHeight="11.25"/>
  <cols>
    <col min="1" max="1" width="4.66015625" style="15" customWidth="1"/>
    <col min="2" max="2" width="35.33203125" style="15" customWidth="1"/>
    <col min="3" max="3" width="10.66015625" style="15" customWidth="1"/>
    <col min="4" max="4" width="11.66015625" style="15" customWidth="1"/>
    <col min="5" max="5" width="16.16015625" style="15" customWidth="1"/>
    <col min="6" max="6" width="15.66015625" style="15" customWidth="1"/>
    <col min="7" max="7" width="13" style="15" customWidth="1"/>
    <col min="8" max="8" width="16.83203125" style="15" customWidth="1"/>
    <col min="9" max="9" width="15.83203125" style="15" customWidth="1"/>
    <col min="10" max="10" width="16.33203125" style="15" customWidth="1"/>
    <col min="11" max="11" width="18.16015625" style="15" customWidth="1"/>
    <col min="12" max="12" width="6.33203125" style="15" customWidth="1"/>
    <col min="13" max="13" width="10.5" style="15" bestFit="1" customWidth="1"/>
    <col min="14" max="14" width="9.16015625" style="15" bestFit="1" customWidth="1"/>
    <col min="15" max="16384" width="8.66015625" style="15" customWidth="1"/>
  </cols>
  <sheetData>
    <row r="1" spans="2:12" ht="12.75" customHeight="1">
      <c r="B1" s="79" t="s">
        <v>66</v>
      </c>
      <c r="C1" s="80"/>
      <c r="D1" s="80"/>
      <c r="E1" s="80"/>
      <c r="F1" s="80"/>
      <c r="G1" s="79"/>
      <c r="H1" s="80"/>
      <c r="I1" s="80"/>
      <c r="J1" s="79"/>
      <c r="K1" s="80"/>
      <c r="L1" s="167"/>
    </row>
    <row r="2" spans="2:12" ht="12.75" customHeight="1">
      <c r="B2" s="79" t="s">
        <v>15</v>
      </c>
      <c r="C2" s="80"/>
      <c r="D2" s="80"/>
      <c r="E2" s="80"/>
      <c r="F2" s="80"/>
      <c r="G2" s="79"/>
      <c r="H2" s="80"/>
      <c r="I2" s="80"/>
      <c r="J2" s="79"/>
      <c r="K2" s="80"/>
      <c r="L2" s="167"/>
    </row>
    <row r="3" spans="2:12" ht="12.75" customHeight="1">
      <c r="B3" s="79" t="str">
        <f>'(R) Pg 2 Cost of Total Debt'!$B$3</f>
        <v>For The 12 Months Ended December 31, 2026</v>
      </c>
      <c r="C3" s="80"/>
      <c r="D3" s="80"/>
      <c r="E3" s="80"/>
      <c r="F3" s="80"/>
      <c r="G3" s="79"/>
      <c r="H3" s="80"/>
      <c r="I3" s="80"/>
      <c r="J3" s="79"/>
      <c r="K3" s="80"/>
      <c r="L3" s="167"/>
    </row>
    <row r="4" spans="2:12" ht="12.75" customHeight="1">
      <c r="B4" s="168"/>
      <c r="C4" s="168"/>
      <c r="D4" s="168"/>
      <c r="E4" s="169"/>
      <c r="F4" s="169"/>
      <c r="G4" s="169"/>
      <c r="H4" s="169"/>
      <c r="I4" s="169"/>
      <c r="J4" s="169"/>
      <c r="K4" s="169"/>
      <c r="L4" s="167"/>
    </row>
    <row r="5" spans="1:12" ht="12.75" customHeight="1">
      <c r="A5" s="170">
        <v>1</v>
      </c>
      <c r="B5" s="46" t="s">
        <v>1</v>
      </c>
      <c r="C5" s="46" t="s">
        <v>16</v>
      </c>
      <c r="D5" s="46" t="s">
        <v>23</v>
      </c>
      <c r="E5" s="46" t="s">
        <v>25</v>
      </c>
      <c r="F5" s="46" t="s">
        <v>26</v>
      </c>
      <c r="G5" s="171" t="s">
        <v>27</v>
      </c>
      <c r="H5" s="46" t="s">
        <v>28</v>
      </c>
      <c r="I5" s="46" t="s">
        <v>29</v>
      </c>
      <c r="J5" s="46" t="s">
        <v>30</v>
      </c>
      <c r="K5" s="46" t="s">
        <v>32</v>
      </c>
      <c r="L5" s="167"/>
    </row>
    <row r="6" spans="1:12" ht="23.25" customHeight="1">
      <c r="A6" s="170">
        <f aca="true" t="shared" si="0" ref="A6:A27">A5+1</f>
        <v>2</v>
      </c>
      <c r="B6" s="172" t="s">
        <v>0</v>
      </c>
      <c r="C6" s="173" t="s">
        <v>9</v>
      </c>
      <c r="D6" s="174" t="s">
        <v>43</v>
      </c>
      <c r="E6" s="175" t="s">
        <v>49</v>
      </c>
      <c r="F6" s="175" t="s">
        <v>50</v>
      </c>
      <c r="G6" s="175" t="s">
        <v>50</v>
      </c>
      <c r="H6" s="175" t="s">
        <v>31</v>
      </c>
      <c r="I6" s="174" t="s">
        <v>61</v>
      </c>
      <c r="J6" s="175" t="s">
        <v>62</v>
      </c>
      <c r="K6" s="174" t="s">
        <v>10</v>
      </c>
      <c r="L6" s="167"/>
    </row>
    <row r="7" spans="1:12" ht="12.75" customHeight="1">
      <c r="A7" s="170">
        <f t="shared" si="0"/>
        <v>3</v>
      </c>
      <c r="B7" s="176" t="s">
        <v>9</v>
      </c>
      <c r="C7" s="177" t="s">
        <v>44</v>
      </c>
      <c r="D7" s="177" t="s">
        <v>44</v>
      </c>
      <c r="E7" s="177" t="s">
        <v>44</v>
      </c>
      <c r="F7" s="177" t="s">
        <v>9</v>
      </c>
      <c r="G7" s="177" t="s">
        <v>44</v>
      </c>
      <c r="H7" s="177" t="s">
        <v>51</v>
      </c>
      <c r="I7" s="178" t="s">
        <v>48</v>
      </c>
      <c r="J7" s="177" t="s">
        <v>63</v>
      </c>
      <c r="K7" s="177" t="s">
        <v>48</v>
      </c>
      <c r="L7" s="167"/>
    </row>
    <row r="8" ht="12.75" customHeight="1">
      <c r="A8" s="170">
        <f t="shared" si="0"/>
        <v>4</v>
      </c>
    </row>
    <row r="9" spans="1:13" ht="12.75" customHeight="1">
      <c r="A9" s="170">
        <f t="shared" si="0"/>
        <v>5</v>
      </c>
      <c r="B9" s="269" t="s">
        <v>45</v>
      </c>
      <c r="C9" s="270">
        <v>35587</v>
      </c>
      <c r="D9" s="270">
        <v>46539</v>
      </c>
      <c r="E9" s="270">
        <v>38504</v>
      </c>
      <c r="F9" s="270"/>
      <c r="G9" s="270"/>
      <c r="H9" s="271">
        <v>46539</v>
      </c>
      <c r="I9" s="180">
        <v>19150.350000000002</v>
      </c>
      <c r="J9" s="181">
        <v>12</v>
      </c>
      <c r="K9" s="180">
        <f>ROUND(I9*J9,2)</f>
        <v>229804.2</v>
      </c>
      <c r="M9" s="180"/>
    </row>
    <row r="10" spans="1:13" ht="15" customHeight="1">
      <c r="A10" s="170">
        <f t="shared" si="0"/>
        <v>6</v>
      </c>
      <c r="B10" s="272" t="s">
        <v>19</v>
      </c>
      <c r="C10" s="270">
        <v>33457</v>
      </c>
      <c r="D10" s="270">
        <f>DATE(2021,8,1)</f>
        <v>44409</v>
      </c>
      <c r="E10" s="273">
        <v>37691</v>
      </c>
      <c r="F10" s="273" t="s">
        <v>46</v>
      </c>
      <c r="G10" s="273">
        <v>37691</v>
      </c>
      <c r="H10" s="271">
        <v>47908</v>
      </c>
      <c r="I10" s="180">
        <v>3790.0400000000004</v>
      </c>
      <c r="J10" s="181">
        <v>12</v>
      </c>
      <c r="K10" s="180">
        <f aca="true" t="shared" si="1" ref="K10:K21">ROUND(I10*J10,2)</f>
        <v>45480.48</v>
      </c>
      <c r="M10" s="180"/>
    </row>
    <row r="11" spans="1:13" ht="15" customHeight="1">
      <c r="A11" s="170">
        <f t="shared" si="0"/>
        <v>7</v>
      </c>
      <c r="B11" s="272" t="s">
        <v>20</v>
      </c>
      <c r="C11" s="270">
        <v>33457</v>
      </c>
      <c r="D11" s="270">
        <f>DATE(2021,8,1)</f>
        <v>44409</v>
      </c>
      <c r="E11" s="273">
        <v>37691</v>
      </c>
      <c r="F11" s="273" t="s">
        <v>46</v>
      </c>
      <c r="G11" s="273">
        <v>37691</v>
      </c>
      <c r="H11" s="271">
        <v>47908</v>
      </c>
      <c r="I11" s="180">
        <v>2880.1200000000003</v>
      </c>
      <c r="J11" s="181">
        <v>12</v>
      </c>
      <c r="K11" s="180">
        <f t="shared" si="1"/>
        <v>34561.44</v>
      </c>
      <c r="M11" s="180"/>
    </row>
    <row r="12" spans="1:13" ht="15" customHeight="1">
      <c r="A12" s="170">
        <f t="shared" si="0"/>
        <v>8</v>
      </c>
      <c r="B12" s="272" t="s">
        <v>21</v>
      </c>
      <c r="C12" s="270">
        <v>33664</v>
      </c>
      <c r="D12" s="270">
        <f>DATE(2022,3,1)</f>
        <v>44621</v>
      </c>
      <c r="E12" s="273">
        <v>37691</v>
      </c>
      <c r="F12" s="273" t="s">
        <v>46</v>
      </c>
      <c r="G12" s="273">
        <v>37691</v>
      </c>
      <c r="H12" s="271">
        <v>47908</v>
      </c>
      <c r="I12" s="180">
        <v>8818.789999999999</v>
      </c>
      <c r="J12" s="181">
        <v>12</v>
      </c>
      <c r="K12" s="180">
        <f t="shared" si="1"/>
        <v>105825.48</v>
      </c>
      <c r="M12" s="180"/>
    </row>
    <row r="13" spans="1:13" ht="15" customHeight="1">
      <c r="A13" s="170">
        <f t="shared" si="0"/>
        <v>9</v>
      </c>
      <c r="B13" s="272" t="s">
        <v>22</v>
      </c>
      <c r="C13" s="270">
        <v>33664</v>
      </c>
      <c r="D13" s="270">
        <f>DATE(2022,3,1)</f>
        <v>44621</v>
      </c>
      <c r="E13" s="273">
        <v>37691</v>
      </c>
      <c r="F13" s="273" t="s">
        <v>46</v>
      </c>
      <c r="G13" s="273">
        <v>37691</v>
      </c>
      <c r="H13" s="271">
        <v>47908</v>
      </c>
      <c r="I13" s="180">
        <v>2691.48</v>
      </c>
      <c r="J13" s="181">
        <v>12</v>
      </c>
      <c r="K13" s="180">
        <f t="shared" si="1"/>
        <v>32297.76</v>
      </c>
      <c r="M13" s="180"/>
    </row>
    <row r="14" spans="1:13" ht="15" customHeight="1">
      <c r="A14" s="170">
        <f t="shared" si="0"/>
        <v>10</v>
      </c>
      <c r="B14" s="272" t="s">
        <v>55</v>
      </c>
      <c r="C14" s="270">
        <v>37691</v>
      </c>
      <c r="D14" s="270">
        <v>47908</v>
      </c>
      <c r="E14" s="273">
        <v>41449</v>
      </c>
      <c r="F14" s="273" t="s">
        <v>56</v>
      </c>
      <c r="G14" s="273">
        <v>41417</v>
      </c>
      <c r="H14" s="271">
        <v>47908</v>
      </c>
      <c r="I14" s="180">
        <v>24927.39</v>
      </c>
      <c r="J14" s="181">
        <v>12</v>
      </c>
      <c r="K14" s="180">
        <f t="shared" si="1"/>
        <v>299128.68</v>
      </c>
      <c r="M14" s="180"/>
    </row>
    <row r="15" spans="1:13" ht="15" customHeight="1">
      <c r="A15" s="170">
        <f t="shared" si="0"/>
        <v>11</v>
      </c>
      <c r="B15" s="272" t="s">
        <v>55</v>
      </c>
      <c r="C15" s="270">
        <v>37691</v>
      </c>
      <c r="D15" s="270">
        <v>47908</v>
      </c>
      <c r="E15" s="273">
        <v>41449</v>
      </c>
      <c r="F15" s="273" t="s">
        <v>56</v>
      </c>
      <c r="G15" s="273">
        <v>41417</v>
      </c>
      <c r="H15" s="271">
        <v>47908</v>
      </c>
      <c r="I15" s="180">
        <v>4212.7699999999995</v>
      </c>
      <c r="J15" s="181">
        <v>12</v>
      </c>
      <c r="K15" s="180">
        <f t="shared" si="1"/>
        <v>50553.24</v>
      </c>
      <c r="M15" s="180"/>
    </row>
    <row r="16" spans="1:11" ht="15" customHeight="1">
      <c r="A16" s="170">
        <f t="shared" si="0"/>
        <v>12</v>
      </c>
      <c r="B16" s="269" t="s">
        <v>41</v>
      </c>
      <c r="C16" s="270">
        <v>38183</v>
      </c>
      <c r="D16" s="270">
        <v>38913</v>
      </c>
      <c r="E16" s="270">
        <v>38499</v>
      </c>
      <c r="F16" s="270" t="s">
        <v>42</v>
      </c>
      <c r="G16" s="270">
        <v>38499</v>
      </c>
      <c r="H16" s="271">
        <v>49456</v>
      </c>
      <c r="I16" s="180">
        <v>1423.88</v>
      </c>
      <c r="J16" s="181">
        <v>12</v>
      </c>
      <c r="K16" s="180">
        <f t="shared" si="1"/>
        <v>17086.56</v>
      </c>
    </row>
    <row r="17" spans="1:11" ht="15" customHeight="1">
      <c r="A17" s="170">
        <f t="shared" si="0"/>
        <v>13</v>
      </c>
      <c r="B17" s="269" t="s">
        <v>17</v>
      </c>
      <c r="C17" s="270">
        <v>37035</v>
      </c>
      <c r="D17" s="270">
        <v>51682</v>
      </c>
      <c r="E17" s="270">
        <v>38898</v>
      </c>
      <c r="F17" s="270" t="s">
        <v>47</v>
      </c>
      <c r="G17" s="270">
        <v>38898</v>
      </c>
      <c r="H17" s="271">
        <v>49841</v>
      </c>
      <c r="I17" s="180">
        <v>16418.45</v>
      </c>
      <c r="J17" s="181">
        <v>12</v>
      </c>
      <c r="K17" s="180">
        <f t="shared" si="1"/>
        <v>197021.4</v>
      </c>
    </row>
    <row r="18" spans="1:11" ht="15" customHeight="1">
      <c r="A18" s="170">
        <f t="shared" si="0"/>
        <v>14</v>
      </c>
      <c r="B18" s="269" t="s">
        <v>53</v>
      </c>
      <c r="C18" s="270">
        <v>33117</v>
      </c>
      <c r="D18" s="270">
        <v>44075</v>
      </c>
      <c r="E18" s="270">
        <v>40900</v>
      </c>
      <c r="F18" s="270" t="s">
        <v>54</v>
      </c>
      <c r="G18" s="270">
        <v>40869</v>
      </c>
      <c r="H18" s="271">
        <v>55472</v>
      </c>
      <c r="I18" s="180">
        <v>33376.57</v>
      </c>
      <c r="J18" s="181">
        <v>12</v>
      </c>
      <c r="K18" s="180">
        <f t="shared" si="1"/>
        <v>400518.84</v>
      </c>
    </row>
    <row r="19" spans="1:11" ht="15" customHeight="1">
      <c r="A19" s="170">
        <f t="shared" si="0"/>
        <v>15</v>
      </c>
      <c r="B19" s="269" t="s">
        <v>57</v>
      </c>
      <c r="C19" s="270">
        <v>38637</v>
      </c>
      <c r="D19" s="270">
        <v>42278</v>
      </c>
      <c r="E19" s="270">
        <v>42160</v>
      </c>
      <c r="F19" s="270" t="s">
        <v>59</v>
      </c>
      <c r="G19" s="270">
        <v>42150</v>
      </c>
      <c r="H19" s="271">
        <v>53102</v>
      </c>
      <c r="I19" s="180">
        <v>6858.54</v>
      </c>
      <c r="J19" s="181">
        <v>12</v>
      </c>
      <c r="K19" s="180">
        <f t="shared" si="1"/>
        <v>82302.48</v>
      </c>
    </row>
    <row r="20" spans="1:11" ht="15" customHeight="1">
      <c r="A20" s="170">
        <f t="shared" si="0"/>
        <v>16</v>
      </c>
      <c r="B20" s="269" t="s">
        <v>58</v>
      </c>
      <c r="C20" s="270">
        <v>39836</v>
      </c>
      <c r="D20" s="270">
        <v>42384</v>
      </c>
      <c r="E20" s="270">
        <v>42160</v>
      </c>
      <c r="F20" s="270" t="s">
        <v>59</v>
      </c>
      <c r="G20" s="270">
        <v>42150</v>
      </c>
      <c r="H20" s="271">
        <v>53102</v>
      </c>
      <c r="I20" s="180">
        <v>26387.48</v>
      </c>
      <c r="J20" s="181">
        <v>12</v>
      </c>
      <c r="K20" s="180">
        <f t="shared" si="1"/>
        <v>316649.76</v>
      </c>
    </row>
    <row r="21" spans="1:11" ht="15" customHeight="1">
      <c r="A21" s="170">
        <f t="shared" si="0"/>
        <v>17</v>
      </c>
      <c r="B21" s="269" t="s">
        <v>128</v>
      </c>
      <c r="C21" s="270">
        <v>39237</v>
      </c>
      <c r="D21" s="270">
        <v>24624</v>
      </c>
      <c r="E21" s="270">
        <v>43217</v>
      </c>
      <c r="F21" s="270"/>
      <c r="G21" s="270"/>
      <c r="H21" s="271">
        <v>61149</v>
      </c>
      <c r="I21" s="180">
        <v>8387.72</v>
      </c>
      <c r="J21" s="181">
        <v>12</v>
      </c>
      <c r="K21" s="180">
        <f t="shared" si="1"/>
        <v>100652.64</v>
      </c>
    </row>
    <row r="22" spans="1:11" ht="15" customHeight="1" thickBot="1">
      <c r="A22" s="170">
        <f t="shared" si="0"/>
        <v>18</v>
      </c>
      <c r="B22" s="182"/>
      <c r="C22" s="30"/>
      <c r="D22" s="30"/>
      <c r="E22" s="30"/>
      <c r="F22" s="30"/>
      <c r="G22" s="30"/>
      <c r="H22" s="30"/>
      <c r="J22" s="30"/>
      <c r="K22" s="183">
        <f>SUM(K9:K21)</f>
        <v>1911882.96</v>
      </c>
    </row>
    <row r="23" spans="1:11" ht="15" customHeight="1" thickTop="1">
      <c r="A23" s="170">
        <f t="shared" si="0"/>
        <v>19</v>
      </c>
      <c r="B23" s="182" t="s">
        <v>104</v>
      </c>
      <c r="C23" s="30"/>
      <c r="D23" s="30"/>
      <c r="E23" s="30"/>
      <c r="F23" s="30"/>
      <c r="G23" s="30"/>
      <c r="H23" s="30"/>
      <c r="I23" s="240"/>
      <c r="J23" s="30"/>
      <c r="K23" s="184">
        <f>'(R) Pg 2 Cost of Total Debt'!H42</f>
        <v>14392984691.836735</v>
      </c>
    </row>
    <row r="24" spans="1:11" ht="12.75" customHeight="1">
      <c r="A24" s="170">
        <f t="shared" si="0"/>
        <v>20</v>
      </c>
      <c r="B24" s="182"/>
      <c r="C24" s="31"/>
      <c r="D24" s="31"/>
      <c r="E24" s="31"/>
      <c r="F24" s="31"/>
      <c r="G24" s="31"/>
      <c r="H24" s="31"/>
      <c r="I24" s="31"/>
      <c r="J24" s="31"/>
      <c r="K24" s="179"/>
    </row>
    <row r="25" spans="1:11" ht="12.75" customHeight="1">
      <c r="A25" s="170">
        <f t="shared" si="0"/>
        <v>21</v>
      </c>
      <c r="B25" s="182" t="s">
        <v>64</v>
      </c>
      <c r="C25" s="167"/>
      <c r="D25" s="167"/>
      <c r="E25" s="167"/>
      <c r="F25" s="167"/>
      <c r="G25" s="167"/>
      <c r="H25" s="185"/>
      <c r="I25" s="185"/>
      <c r="J25" s="185"/>
      <c r="K25" s="186">
        <f>ROUND(K22/K23,4)</f>
        <v>0.0001</v>
      </c>
    </row>
    <row r="26" spans="1:11" ht="12.75" customHeight="1">
      <c r="A26" s="170">
        <f t="shared" si="0"/>
        <v>22</v>
      </c>
      <c r="B26" s="187"/>
      <c r="C26" s="33"/>
      <c r="D26" s="33"/>
      <c r="E26" s="33"/>
      <c r="F26" s="33"/>
      <c r="H26" s="16"/>
      <c r="I26" s="16"/>
      <c r="J26" s="16"/>
      <c r="K26" s="179"/>
    </row>
    <row r="27" spans="1:11" ht="12.75" customHeight="1">
      <c r="A27" s="170">
        <f t="shared" si="0"/>
        <v>23</v>
      </c>
      <c r="B27" s="167" t="s">
        <v>65</v>
      </c>
      <c r="H27" s="16"/>
      <c r="I27" s="16"/>
      <c r="J27" s="16"/>
      <c r="K27" s="179"/>
    </row>
    <row r="28" spans="1:11" ht="12.75" customHeight="1">
      <c r="A28" s="170"/>
      <c r="B28" s="188"/>
      <c r="H28" s="16"/>
      <c r="I28" s="16"/>
      <c r="J28" s="16"/>
      <c r="K28" s="16"/>
    </row>
    <row r="29" spans="1:11" ht="12.75" customHeight="1">
      <c r="A29" s="34"/>
      <c r="H29" s="16"/>
      <c r="I29" s="16"/>
      <c r="J29" s="16"/>
      <c r="K29" s="16"/>
    </row>
    <row r="30" spans="8:11" ht="12.75" customHeight="1">
      <c r="H30" s="16"/>
      <c r="I30" s="16"/>
      <c r="J30" s="16"/>
      <c r="K30" s="16"/>
    </row>
    <row r="31" spans="8:11" ht="12.75" customHeight="1">
      <c r="H31" s="16"/>
      <c r="I31" s="16"/>
      <c r="J31" s="16"/>
      <c r="K31" s="32"/>
    </row>
    <row r="32" spans="8:11" ht="12.75" customHeight="1">
      <c r="H32" s="16"/>
      <c r="I32" s="16"/>
      <c r="J32" s="16"/>
      <c r="K32" s="16"/>
    </row>
    <row r="33" spans="8:11" ht="12.75" customHeight="1">
      <c r="H33" s="16"/>
      <c r="I33" s="16"/>
      <c r="J33" s="16"/>
      <c r="K33" s="16"/>
    </row>
    <row r="34" spans="8:11" ht="12.75" customHeight="1">
      <c r="H34" s="16"/>
      <c r="I34" s="16"/>
      <c r="J34" s="16"/>
      <c r="K34" s="16"/>
    </row>
    <row r="35" spans="8:11" ht="12.75" customHeight="1">
      <c r="H35" s="16"/>
      <c r="I35" s="16"/>
      <c r="J35" s="16"/>
      <c r="K35" s="16"/>
    </row>
    <row r="36" spans="8:11" ht="12.75" customHeight="1">
      <c r="H36" s="16"/>
      <c r="I36" s="16"/>
      <c r="J36" s="16"/>
      <c r="K36" s="16"/>
    </row>
    <row r="37" spans="8:11" ht="12.75" customHeight="1">
      <c r="H37" s="16"/>
      <c r="I37" s="16"/>
      <c r="J37" s="16"/>
      <c r="K37" s="16"/>
    </row>
    <row r="38" spans="8:11" ht="12.75" customHeight="1">
      <c r="H38" s="16"/>
      <c r="I38" s="16"/>
      <c r="J38" s="16"/>
      <c r="K38" s="16"/>
    </row>
    <row r="39" spans="8:11" ht="12.75" customHeight="1">
      <c r="H39" s="16"/>
      <c r="I39" s="16"/>
      <c r="J39" s="16"/>
      <c r="K39" s="1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&amp;C&amp;A&amp;R
Page 4 of 4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Stanton, Amy (SEA)</cp:lastModifiedBy>
  <cp:lastPrinted>2024-01-17T21:02:22Z</cp:lastPrinted>
  <dcterms:created xsi:type="dcterms:W3CDTF">2016-12-21T02:43:36Z</dcterms:created>
  <dcterms:modified xsi:type="dcterms:W3CDTF">2024-02-08T01:29:01Z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Testimony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0</vt:lpwstr>
  </property>
  <property fmtid="{D5CDD505-2E9C-101B-9397-08002B2CF9AE}" pid="8" name="DocketNumber">
    <vt:lpwstr>240004</vt:lpwstr>
  </property>
  <property fmtid="{D5CDD505-2E9C-101B-9397-08002B2CF9AE}" pid="9" name="Date1">
    <vt:lpwstr>2024-02-15T00:00:00Z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2024-01-03T00:00:00Z</vt:lpwstr>
  </property>
  <property fmtid="{D5CDD505-2E9C-101B-9397-08002B2CF9AE}" pid="13" name="Prefix">
    <vt:lpwstr>UE</vt:lpwstr>
  </property>
  <property fmtid="{D5CDD505-2E9C-101B-9397-08002B2CF9AE}" pid="14" name="IndustryCode">
    <vt:lpwstr>140</vt:lpwstr>
  </property>
  <property fmtid="{D5CDD505-2E9C-101B-9397-08002B2CF9AE}" pid="15" name="CaseStatus">
    <vt:lpwstr>Formal</vt:lpwstr>
  </property>
  <property fmtid="{D5CDD505-2E9C-101B-9397-08002B2CF9AE}" pid="16" name="_docset_NoMedatataSyncRequired">
    <vt:lpwstr>False</vt:lpwstr>
  </property>
</Properties>
</file>