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ustomProperty1.bin" ContentType="application/vnd.openxmlformats-officedocument.spreadsheetml.customProperty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ss\AppData\Local\Temp\Workshare\wwlntgnf.q3p\8\"/>
    </mc:Choice>
  </mc:AlternateContent>
  <xr:revisionPtr revIDLastSave="0" documentId="10_ncr:100000_{78AABF16-E5A3-47F5-934D-DB5BADB662AF}" xr6:coauthVersionLast="31" xr6:coauthVersionMax="31" xr10:uidLastSave="{00000000-0000-0000-0000-000000000000}"/>
  <bookViews>
    <workbookView xWindow="7188" yWindow="-12" windowWidth="3600" windowHeight="11136" xr2:uid="{00000000-000D-0000-FFFF-FFFF00000000}"/>
  </bookViews>
  <sheets>
    <sheet name="JE's" sheetId="1" r:id="rId1"/>
    <sheet name="Dep Exp" sheetId="26" r:id="rId2"/>
    <sheet name="Return Electric" sheetId="18" r:id="rId3"/>
    <sheet name="AMI Electric AMA Combined" sheetId="7" r:id="rId4"/>
    <sheet name="AMI Electric AMA 20 Yr" sheetId="8" r:id="rId5"/>
    <sheet name="AMI Electric AMA 5 Yr" sheetId="9" r:id="rId6"/>
    <sheet name="Return Gas" sheetId="19" r:id="rId7"/>
    <sheet name="AMI Gas AMA Combined" sheetId="10" r:id="rId8"/>
    <sheet name="AMI Gas AMA 20 Yr" sheetId="11" r:id="rId9"/>
    <sheet name="AMI Gas AMA 7 Yr" sheetId="12" r:id="rId10"/>
    <sheet name="Return Common" sheetId="3" r:id="rId11"/>
    <sheet name="Common AMA-Combined" sheetId="14" r:id="rId12"/>
    <sheet name="Common AMA-3 yr Property" sheetId="15" r:id="rId13"/>
    <sheet name="Common AMA-7 yr Property " sheetId="16" r:id="rId14"/>
    <sheet name="Alloc Methds ERF" sheetId="17" r:id="rId15"/>
    <sheet name="ERF ROR" sheetId="13" r:id="rId16"/>
  </sheets>
  <definedNames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</definedNames>
  <calcPr calcId="179017"/>
</workbook>
</file>

<file path=xl/calcChain.xml><?xml version="1.0" encoding="utf-8"?>
<calcChain xmlns="http://schemas.openxmlformats.org/spreadsheetml/2006/main">
  <c r="E37" i="12" l="1"/>
  <c r="E38" i="12" s="1"/>
  <c r="C37" i="12"/>
  <c r="C38" i="12" s="1"/>
  <c r="C39" i="12" s="1"/>
  <c r="C58" i="12"/>
  <c r="E39" i="11"/>
  <c r="E40" i="11" s="1"/>
  <c r="C39" i="11"/>
  <c r="C34" i="10" s="1"/>
  <c r="N50" i="19"/>
  <c r="M50" i="19"/>
  <c r="L50" i="19"/>
  <c r="K50" i="19"/>
  <c r="J50" i="19"/>
  <c r="I50" i="19"/>
  <c r="H50" i="19"/>
  <c r="G50" i="19"/>
  <c r="F50" i="19"/>
  <c r="E50" i="19"/>
  <c r="D50" i="19"/>
  <c r="C50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C4" i="19"/>
  <c r="E37" i="9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C37" i="9"/>
  <c r="C38" i="9" s="1"/>
  <c r="C39" i="9" s="1"/>
  <c r="E39" i="8"/>
  <c r="C39" i="8"/>
  <c r="C34" i="7" s="1"/>
  <c r="N50" i="18"/>
  <c r="M50" i="18"/>
  <c r="L50" i="18"/>
  <c r="K50" i="18"/>
  <c r="J50" i="18"/>
  <c r="I50" i="18"/>
  <c r="H50" i="18"/>
  <c r="G50" i="18"/>
  <c r="F50" i="18"/>
  <c r="E50" i="18"/>
  <c r="D50" i="18"/>
  <c r="C50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C4" i="18"/>
  <c r="N50" i="3"/>
  <c r="M50" i="3"/>
  <c r="L50" i="3"/>
  <c r="K50" i="3"/>
  <c r="J50" i="3"/>
  <c r="I50" i="3"/>
  <c r="H50" i="3"/>
  <c r="G50" i="3"/>
  <c r="F50" i="3"/>
  <c r="E50" i="3"/>
  <c r="D50" i="3"/>
  <c r="C50" i="3"/>
  <c r="N34" i="3"/>
  <c r="M34" i="3"/>
  <c r="L34" i="3"/>
  <c r="K34" i="3"/>
  <c r="J34" i="3"/>
  <c r="I34" i="3"/>
  <c r="H34" i="3"/>
  <c r="G34" i="3"/>
  <c r="F34" i="3"/>
  <c r="E34" i="3"/>
  <c r="D34" i="3"/>
  <c r="C34" i="3"/>
  <c r="G46" i="17"/>
  <c r="E39" i="17"/>
  <c r="F39" i="17"/>
  <c r="G28" i="17"/>
  <c r="F22" i="17"/>
  <c r="E22" i="17"/>
  <c r="G22" i="17" s="1"/>
  <c r="F18" i="17"/>
  <c r="G17" i="17"/>
  <c r="G16" i="17"/>
  <c r="G15" i="17"/>
  <c r="G18" i="17" s="1"/>
  <c r="E18" i="17"/>
  <c r="G8" i="17"/>
  <c r="F9" i="17" s="1"/>
  <c r="E40" i="8" l="1"/>
  <c r="E34" i="7"/>
  <c r="E41" i="11"/>
  <c r="E35" i="10"/>
  <c r="C40" i="8"/>
  <c r="C40" i="11"/>
  <c r="E34" i="10"/>
  <c r="C40" i="12"/>
  <c r="E39" i="12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C40" i="9"/>
  <c r="F19" i="17"/>
  <c r="E19" i="17"/>
  <c r="G19" i="17" s="1"/>
  <c r="F23" i="17"/>
  <c r="E23" i="17"/>
  <c r="F29" i="17"/>
  <c r="E29" i="17"/>
  <c r="G29" i="17" s="1"/>
  <c r="E9" i="17"/>
  <c r="G9" i="17" s="1"/>
  <c r="G25" i="17"/>
  <c r="E26" i="17" s="1"/>
  <c r="G31" i="17"/>
  <c r="E32" i="17" s="1"/>
  <c r="G38" i="17"/>
  <c r="G39" i="17" s="1"/>
  <c r="E40" i="17" s="1"/>
  <c r="G11" i="17"/>
  <c r="F12" i="17" s="1"/>
  <c r="E12" i="17" l="1"/>
  <c r="G12" i="17" s="1"/>
  <c r="E58" i="12"/>
  <c r="E42" i="11"/>
  <c r="E36" i="10"/>
  <c r="C35" i="10"/>
  <c r="C41" i="11"/>
  <c r="C41" i="8"/>
  <c r="C35" i="7"/>
  <c r="E35" i="7"/>
  <c r="E41" i="8"/>
  <c r="C41" i="12"/>
  <c r="C41" i="9"/>
  <c r="F40" i="17"/>
  <c r="G40" i="17" s="1"/>
  <c r="F32" i="17"/>
  <c r="F34" i="17" s="1"/>
  <c r="F35" i="17" s="1"/>
  <c r="E34" i="17"/>
  <c r="E35" i="17" s="1"/>
  <c r="F26" i="17"/>
  <c r="G26" i="17" s="1"/>
  <c r="G23" i="17"/>
  <c r="E42" i="8" l="1"/>
  <c r="E36" i="7"/>
  <c r="D23" i="26"/>
  <c r="G4" i="3"/>
  <c r="C42" i="11"/>
  <c r="C36" i="10"/>
  <c r="E43" i="11"/>
  <c r="E37" i="10"/>
  <c r="D22" i="26"/>
  <c r="G3" i="3"/>
  <c r="C42" i="8"/>
  <c r="C36" i="7"/>
  <c r="C42" i="12"/>
  <c r="C42" i="9"/>
  <c r="G32" i="17"/>
  <c r="G34" i="17" s="1"/>
  <c r="G35" i="17" s="1"/>
  <c r="C43" i="8" l="1"/>
  <c r="C37" i="7"/>
  <c r="E44" i="11"/>
  <c r="E38" i="10"/>
  <c r="C43" i="11"/>
  <c r="C37" i="10"/>
  <c r="E43" i="8"/>
  <c r="E37" i="7"/>
  <c r="C43" i="12"/>
  <c r="C43" i="9"/>
  <c r="E45" i="11" l="1"/>
  <c r="E39" i="10"/>
  <c r="C44" i="11"/>
  <c r="C38" i="10"/>
  <c r="E44" i="8"/>
  <c r="E38" i="7"/>
  <c r="C44" i="8"/>
  <c r="C38" i="7"/>
  <c r="C44" i="12"/>
  <c r="C44" i="9"/>
  <c r="C45" i="11" l="1"/>
  <c r="C39" i="10"/>
  <c r="C45" i="8"/>
  <c r="C39" i="7"/>
  <c r="E45" i="8"/>
  <c r="E39" i="7"/>
  <c r="E46" i="11"/>
  <c r="E40" i="10"/>
  <c r="C45" i="12"/>
  <c r="C45" i="9"/>
  <c r="E46" i="8" l="1"/>
  <c r="E40" i="7"/>
  <c r="E47" i="11"/>
  <c r="E41" i="10"/>
  <c r="C46" i="11"/>
  <c r="C40" i="10"/>
  <c r="C46" i="8"/>
  <c r="C40" i="7"/>
  <c r="C46" i="12"/>
  <c r="C46" i="9"/>
  <c r="E48" i="11" l="1"/>
  <c r="E42" i="10"/>
  <c r="C47" i="11"/>
  <c r="C41" i="10"/>
  <c r="C47" i="8"/>
  <c r="C41" i="7"/>
  <c r="E47" i="8"/>
  <c r="E41" i="7"/>
  <c r="C47" i="12"/>
  <c r="C47" i="9"/>
  <c r="C48" i="8" l="1"/>
  <c r="C42" i="7"/>
  <c r="C26" i="18" s="1"/>
  <c r="C48" i="11"/>
  <c r="C42" i="10"/>
  <c r="E48" i="8"/>
  <c r="E42" i="7"/>
  <c r="E49" i="11"/>
  <c r="E43" i="10"/>
  <c r="C48" i="12"/>
  <c r="C48" i="9"/>
  <c r="E49" i="8" l="1"/>
  <c r="E43" i="7"/>
  <c r="C26" i="19"/>
  <c r="C49" i="8"/>
  <c r="C43" i="7"/>
  <c r="D26" i="18" s="1"/>
  <c r="E50" i="11"/>
  <c r="E44" i="10"/>
  <c r="C49" i="11"/>
  <c r="C43" i="10"/>
  <c r="C49" i="12"/>
  <c r="C49" i="9"/>
  <c r="D26" i="19" l="1"/>
  <c r="C50" i="11"/>
  <c r="C44" i="10"/>
  <c r="E51" i="11"/>
  <c r="E45" i="10"/>
  <c r="C50" i="8"/>
  <c r="C44" i="7"/>
  <c r="E26" i="18" s="1"/>
  <c r="E50" i="8"/>
  <c r="E44" i="7"/>
  <c r="C50" i="12"/>
  <c r="C50" i="9"/>
  <c r="E26" i="19" l="1"/>
  <c r="E52" i="11"/>
  <c r="E46" i="10"/>
  <c r="C51" i="8"/>
  <c r="C45" i="7"/>
  <c r="F26" i="18" s="1"/>
  <c r="E51" i="8"/>
  <c r="E45" i="7"/>
  <c r="C51" i="11"/>
  <c r="C45" i="10"/>
  <c r="C51" i="12"/>
  <c r="C51" i="9"/>
  <c r="C52" i="8" l="1"/>
  <c r="C46" i="7"/>
  <c r="G26" i="18" s="1"/>
  <c r="E52" i="8"/>
  <c r="E46" i="7"/>
  <c r="C52" i="11"/>
  <c r="C46" i="10"/>
  <c r="F26" i="19"/>
  <c r="E53" i="11"/>
  <c r="E47" i="10"/>
  <c r="C52" i="12"/>
  <c r="C52" i="9"/>
  <c r="C53" i="11" l="1"/>
  <c r="C47" i="10"/>
  <c r="E53" i="8"/>
  <c r="E47" i="7"/>
  <c r="E54" i="11"/>
  <c r="E48" i="10"/>
  <c r="G26" i="19"/>
  <c r="C53" i="8"/>
  <c r="C47" i="7"/>
  <c r="H26" i="18" s="1"/>
  <c r="C53" i="12"/>
  <c r="C53" i="9"/>
  <c r="C54" i="8" l="1"/>
  <c r="C48" i="7"/>
  <c r="I26" i="18" s="1"/>
  <c r="E55" i="11"/>
  <c r="E49" i="10"/>
  <c r="E54" i="8"/>
  <c r="E48" i="7"/>
  <c r="H26" i="19"/>
  <c r="C54" i="11"/>
  <c r="C48" i="10"/>
  <c r="C54" i="12"/>
  <c r="C54" i="9"/>
  <c r="I26" i="19" l="1"/>
  <c r="E56" i="11"/>
  <c r="E50" i="10"/>
  <c r="C55" i="11"/>
  <c r="C49" i="10"/>
  <c r="E55" i="8"/>
  <c r="E49" i="7"/>
  <c r="C55" i="8"/>
  <c r="C49" i="7"/>
  <c r="J26" i="18" s="1"/>
  <c r="C55" i="12"/>
  <c r="C55" i="9"/>
  <c r="E56" i="8" l="1"/>
  <c r="E50" i="7"/>
  <c r="E57" i="11"/>
  <c r="E51" i="10"/>
  <c r="J26" i="19"/>
  <c r="C56" i="8"/>
  <c r="C50" i="7"/>
  <c r="K26" i="18" s="1"/>
  <c r="C56" i="11"/>
  <c r="C50" i="10"/>
  <c r="C56" i="12"/>
  <c r="C56" i="9"/>
  <c r="K26" i="19" l="1"/>
  <c r="E58" i="11"/>
  <c r="E53" i="10" s="1"/>
  <c r="E52" i="10"/>
  <c r="C57" i="11"/>
  <c r="C51" i="10"/>
  <c r="C57" i="8"/>
  <c r="C51" i="7"/>
  <c r="L26" i="18" s="1"/>
  <c r="E57" i="8"/>
  <c r="E51" i="7"/>
  <c r="L26" i="19" l="1"/>
  <c r="C58" i="11"/>
  <c r="C53" i="10" s="1"/>
  <c r="N26" i="19" s="1"/>
  <c r="C52" i="10"/>
  <c r="E58" i="8"/>
  <c r="E53" i="7" s="1"/>
  <c r="E52" i="7"/>
  <c r="C58" i="8"/>
  <c r="C52" i="7"/>
  <c r="M26" i="18" s="1"/>
  <c r="C53" i="7" l="1"/>
  <c r="N26" i="18" s="1"/>
  <c r="M26" i="19"/>
  <c r="N18" i="3"/>
  <c r="M18" i="3"/>
  <c r="L18" i="3"/>
  <c r="K18" i="3"/>
  <c r="J18" i="3"/>
  <c r="I18" i="3"/>
  <c r="H18" i="3"/>
  <c r="G18" i="3"/>
  <c r="F18" i="3"/>
  <c r="E18" i="3"/>
  <c r="D18" i="3"/>
  <c r="C18" i="3"/>
  <c r="B56" i="16"/>
  <c r="B55" i="16"/>
  <c r="B54" i="16"/>
  <c r="B53" i="16"/>
  <c r="B52" i="16"/>
  <c r="B51" i="16"/>
  <c r="B50" i="16"/>
  <c r="D49" i="16"/>
  <c r="B49" i="16"/>
  <c r="B48" i="16"/>
  <c r="B47" i="16"/>
  <c r="B46" i="16"/>
  <c r="B45" i="16"/>
  <c r="B44" i="16"/>
  <c r="B43" i="16"/>
  <c r="B42" i="16"/>
  <c r="D51" i="16" s="1"/>
  <c r="B41" i="16"/>
  <c r="B40" i="16"/>
  <c r="B39" i="16"/>
  <c r="B38" i="16"/>
  <c r="E37" i="16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B37" i="16"/>
  <c r="B36" i="16"/>
  <c r="B35" i="16"/>
  <c r="B34" i="16"/>
  <c r="B33" i="16"/>
  <c r="B32" i="16"/>
  <c r="B31" i="16"/>
  <c r="B30" i="16"/>
  <c r="D41" i="16" s="1"/>
  <c r="B29" i="16"/>
  <c r="D28" i="16"/>
  <c r="B28" i="16"/>
  <c r="B27" i="16"/>
  <c r="B26" i="16"/>
  <c r="B25" i="16"/>
  <c r="B24" i="16"/>
  <c r="B23" i="16"/>
  <c r="B22" i="16"/>
  <c r="B21" i="16"/>
  <c r="B20" i="16"/>
  <c r="B19" i="16"/>
  <c r="B18" i="16"/>
  <c r="D18" i="16" s="1"/>
  <c r="B17" i="16"/>
  <c r="I16" i="16"/>
  <c r="G16" i="16"/>
  <c r="G17" i="16" s="1"/>
  <c r="B16" i="16"/>
  <c r="E37" i="15"/>
  <c r="C37" i="15"/>
  <c r="B36" i="15"/>
  <c r="B35" i="15"/>
  <c r="B34" i="15"/>
  <c r="B31" i="14" s="1"/>
  <c r="B33" i="15"/>
  <c r="B32" i="15"/>
  <c r="B31" i="15"/>
  <c r="B28" i="14" s="1"/>
  <c r="B30" i="15"/>
  <c r="D29" i="15" s="1"/>
  <c r="B29" i="15"/>
  <c r="B28" i="15"/>
  <c r="B27" i="15"/>
  <c r="B26" i="15"/>
  <c r="B25" i="15"/>
  <c r="B22" i="14" s="1"/>
  <c r="B24" i="15"/>
  <c r="B23" i="15"/>
  <c r="B20" i="14" s="1"/>
  <c r="B22" i="15"/>
  <c r="B19" i="14" s="1"/>
  <c r="B21" i="15"/>
  <c r="B20" i="15"/>
  <c r="B19" i="15"/>
  <c r="B18" i="15"/>
  <c r="B17" i="15"/>
  <c r="G16" i="15"/>
  <c r="I16" i="15" s="1"/>
  <c r="F16" i="15"/>
  <c r="B16" i="15"/>
  <c r="C34" i="14"/>
  <c r="E33" i="14"/>
  <c r="D18" i="26" s="1"/>
  <c r="C33" i="14"/>
  <c r="E32" i="14"/>
  <c r="C32" i="14"/>
  <c r="B32" i="14"/>
  <c r="E31" i="14"/>
  <c r="C31" i="14"/>
  <c r="E30" i="14"/>
  <c r="C30" i="14"/>
  <c r="B30" i="14"/>
  <c r="E29" i="14"/>
  <c r="C29" i="14"/>
  <c r="E28" i="14"/>
  <c r="C28" i="14"/>
  <c r="E27" i="14"/>
  <c r="C27" i="14"/>
  <c r="E26" i="14"/>
  <c r="C26" i="14"/>
  <c r="B26" i="14"/>
  <c r="E25" i="14"/>
  <c r="C25" i="14"/>
  <c r="E24" i="14"/>
  <c r="C24" i="14"/>
  <c r="B24" i="14"/>
  <c r="E23" i="14"/>
  <c r="C23" i="14"/>
  <c r="B23" i="14"/>
  <c r="E22" i="14"/>
  <c r="C22" i="14"/>
  <c r="E21" i="14"/>
  <c r="C21" i="14"/>
  <c r="E20" i="14"/>
  <c r="C20" i="14"/>
  <c r="E19" i="14"/>
  <c r="C19" i="14"/>
  <c r="E18" i="14"/>
  <c r="C18" i="14"/>
  <c r="B18" i="14"/>
  <c r="E17" i="14"/>
  <c r="C17" i="14"/>
  <c r="B17" i="14"/>
  <c r="E16" i="14"/>
  <c r="C16" i="14"/>
  <c r="B16" i="14"/>
  <c r="E15" i="14"/>
  <c r="D15" i="14"/>
  <c r="C15" i="14"/>
  <c r="B15" i="14"/>
  <c r="E14" i="14"/>
  <c r="C14" i="14"/>
  <c r="B14" i="14"/>
  <c r="E13" i="14"/>
  <c r="G13" i="14" s="1"/>
  <c r="G14" i="14" s="1"/>
  <c r="C13" i="14"/>
  <c r="I13" i="14" s="1"/>
  <c r="B13" i="14"/>
  <c r="I17" i="16" l="1"/>
  <c r="G18" i="16"/>
  <c r="D25" i="15"/>
  <c r="D32" i="16"/>
  <c r="D43" i="16"/>
  <c r="D19" i="26"/>
  <c r="D8" i="26" s="1"/>
  <c r="D20" i="26"/>
  <c r="D12" i="26" s="1"/>
  <c r="D27" i="15"/>
  <c r="I14" i="14"/>
  <c r="G17" i="15"/>
  <c r="D23" i="15"/>
  <c r="D16" i="16"/>
  <c r="D17" i="16"/>
  <c r="D14" i="14" s="1"/>
  <c r="D20" i="16"/>
  <c r="D17" i="14" s="1"/>
  <c r="D36" i="16"/>
  <c r="B27" i="14"/>
  <c r="D21" i="15"/>
  <c r="D24" i="16"/>
  <c r="G15" i="14"/>
  <c r="G16" i="14" s="1"/>
  <c r="G17" i="14" s="1"/>
  <c r="G18" i="14" s="1"/>
  <c r="F17" i="15"/>
  <c r="H16" i="15"/>
  <c r="J16" i="15" s="1"/>
  <c r="K16" i="15" s="1"/>
  <c r="I17" i="15"/>
  <c r="G18" i="15"/>
  <c r="E38" i="15"/>
  <c r="E34" i="14"/>
  <c r="I16" i="14"/>
  <c r="D28" i="15"/>
  <c r="D25" i="14" s="1"/>
  <c r="D24" i="15"/>
  <c r="D21" i="14" s="1"/>
  <c r="B21" i="14"/>
  <c r="B25" i="14"/>
  <c r="B29" i="14"/>
  <c r="B33" i="14"/>
  <c r="D22" i="15"/>
  <c r="D26" i="15"/>
  <c r="D30" i="15"/>
  <c r="C38" i="15"/>
  <c r="B37" i="15"/>
  <c r="D21" i="16"/>
  <c r="D18" i="14" s="1"/>
  <c r="D25" i="16"/>
  <c r="D22" i="14" s="1"/>
  <c r="D29" i="16"/>
  <c r="D26" i="14" s="1"/>
  <c r="D56" i="16"/>
  <c r="D54" i="16"/>
  <c r="D52" i="16"/>
  <c r="D50" i="16"/>
  <c r="D48" i="16"/>
  <c r="D46" i="16"/>
  <c r="D44" i="16"/>
  <c r="D42" i="16"/>
  <c r="D40" i="16"/>
  <c r="D38" i="16"/>
  <c r="D35" i="16"/>
  <c r="D31" i="16"/>
  <c r="D27" i="16"/>
  <c r="D24" i="14" s="1"/>
  <c r="D23" i="16"/>
  <c r="D20" i="14" s="1"/>
  <c r="D34" i="16"/>
  <c r="D30" i="16"/>
  <c r="D26" i="16"/>
  <c r="D22" i="16"/>
  <c r="D33" i="16"/>
  <c r="D37" i="16"/>
  <c r="D39" i="16"/>
  <c r="D47" i="16"/>
  <c r="D55" i="16"/>
  <c r="D19" i="16"/>
  <c r="D16" i="14" s="1"/>
  <c r="D45" i="16"/>
  <c r="D53" i="16"/>
  <c r="I17" i="14" l="1"/>
  <c r="F16" i="16"/>
  <c r="D13" i="14"/>
  <c r="F13" i="14" s="1"/>
  <c r="I18" i="16"/>
  <c r="G19" i="16"/>
  <c r="D23" i="14"/>
  <c r="D19" i="14"/>
  <c r="I15" i="14"/>
  <c r="B34" i="14"/>
  <c r="F18" i="15"/>
  <c r="H17" i="15"/>
  <c r="J17" i="15" s="1"/>
  <c r="K17" i="15" s="1"/>
  <c r="G19" i="14"/>
  <c r="I18" i="14"/>
  <c r="D27" i="14"/>
  <c r="I18" i="15"/>
  <c r="G19" i="15"/>
  <c r="C39" i="15"/>
  <c r="B38" i="15"/>
  <c r="C35" i="14"/>
  <c r="E39" i="15"/>
  <c r="E35" i="14"/>
  <c r="L16" i="15"/>
  <c r="H16" i="16" l="1"/>
  <c r="J16" i="16" s="1"/>
  <c r="K16" i="16" s="1"/>
  <c r="F17" i="16"/>
  <c r="F14" i="14"/>
  <c r="H13" i="14"/>
  <c r="J13" i="14" s="1"/>
  <c r="G20" i="16"/>
  <c r="I19" i="16"/>
  <c r="L17" i="15"/>
  <c r="I19" i="15"/>
  <c r="G20" i="15"/>
  <c r="C40" i="15"/>
  <c r="B39" i="15"/>
  <c r="C36" i="14"/>
  <c r="B35" i="14"/>
  <c r="F19" i="15"/>
  <c r="H18" i="15"/>
  <c r="J18" i="15" s="1"/>
  <c r="K18" i="15" s="1"/>
  <c r="E40" i="15"/>
  <c r="E36" i="14"/>
  <c r="G20" i="14"/>
  <c r="I19" i="14"/>
  <c r="F15" i="14" l="1"/>
  <c r="H14" i="14"/>
  <c r="J14" i="14" s="1"/>
  <c r="F18" i="16"/>
  <c r="H17" i="16"/>
  <c r="J17" i="16" s="1"/>
  <c r="K17" i="16" s="1"/>
  <c r="G21" i="16"/>
  <c r="I20" i="16"/>
  <c r="L16" i="16"/>
  <c r="K13" i="14"/>
  <c r="L13" i="14" s="1"/>
  <c r="L18" i="15"/>
  <c r="H19" i="15"/>
  <c r="J19" i="15" s="1"/>
  <c r="K19" i="15" s="1"/>
  <c r="F20" i="15"/>
  <c r="C41" i="15"/>
  <c r="B40" i="15"/>
  <c r="C37" i="14"/>
  <c r="B36" i="14"/>
  <c r="I20" i="15"/>
  <c r="G21" i="15"/>
  <c r="G21" i="14"/>
  <c r="I20" i="14"/>
  <c r="E41" i="15"/>
  <c r="E37" i="14"/>
  <c r="L17" i="16" l="1"/>
  <c r="K14" i="14"/>
  <c r="L14" i="14" s="1"/>
  <c r="H18" i="16"/>
  <c r="J18" i="16" s="1"/>
  <c r="K18" i="16" s="1"/>
  <c r="F19" i="16"/>
  <c r="I21" i="16"/>
  <c r="G22" i="16"/>
  <c r="H15" i="14"/>
  <c r="J15" i="14" s="1"/>
  <c r="F16" i="14"/>
  <c r="L19" i="15"/>
  <c r="G22" i="15"/>
  <c r="I21" i="15"/>
  <c r="C42" i="15"/>
  <c r="B41" i="15"/>
  <c r="C38" i="14"/>
  <c r="G22" i="14"/>
  <c r="I21" i="14"/>
  <c r="B37" i="14"/>
  <c r="H20" i="15"/>
  <c r="J20" i="15" s="1"/>
  <c r="K20" i="15" s="1"/>
  <c r="F21" i="15"/>
  <c r="E42" i="15"/>
  <c r="E38" i="14"/>
  <c r="H16" i="14" l="1"/>
  <c r="J16" i="14" s="1"/>
  <c r="F17" i="14"/>
  <c r="H19" i="16"/>
  <c r="J19" i="16" s="1"/>
  <c r="K19" i="16" s="1"/>
  <c r="F20" i="16"/>
  <c r="L18" i="16"/>
  <c r="K15" i="14"/>
  <c r="L15" i="14" s="1"/>
  <c r="I22" i="16"/>
  <c r="G23" i="16"/>
  <c r="B38" i="14"/>
  <c r="G23" i="14"/>
  <c r="I22" i="14"/>
  <c r="B42" i="15"/>
  <c r="C39" i="14"/>
  <c r="C43" i="15"/>
  <c r="L20" i="15"/>
  <c r="E39" i="14"/>
  <c r="E43" i="15"/>
  <c r="F22" i="15"/>
  <c r="H21" i="15"/>
  <c r="J21" i="15" s="1"/>
  <c r="K21" i="15" s="1"/>
  <c r="G23" i="15"/>
  <c r="I22" i="15"/>
  <c r="I23" i="16" l="1"/>
  <c r="G24" i="16"/>
  <c r="F21" i="16"/>
  <c r="H20" i="16"/>
  <c r="J20" i="16" s="1"/>
  <c r="K20" i="16" s="1"/>
  <c r="L19" i="16"/>
  <c r="K16" i="14"/>
  <c r="L16" i="14" s="1"/>
  <c r="H17" i="14"/>
  <c r="J17" i="14" s="1"/>
  <c r="F18" i="14"/>
  <c r="L21" i="15"/>
  <c r="G24" i="15"/>
  <c r="I23" i="15"/>
  <c r="E44" i="15"/>
  <c r="E40" i="14"/>
  <c r="D56" i="15"/>
  <c r="D53" i="14" s="1"/>
  <c r="D52" i="15"/>
  <c r="D49" i="14" s="1"/>
  <c r="D48" i="15"/>
  <c r="D45" i="14" s="1"/>
  <c r="D47" i="15"/>
  <c r="D44" i="14" s="1"/>
  <c r="D43" i="15"/>
  <c r="D40" i="14" s="1"/>
  <c r="D39" i="15"/>
  <c r="D36" i="14" s="1"/>
  <c r="D36" i="15"/>
  <c r="D33" i="14" s="1"/>
  <c r="D32" i="15"/>
  <c r="D29" i="14" s="1"/>
  <c r="D55" i="15"/>
  <c r="D52" i="14" s="1"/>
  <c r="D54" i="15"/>
  <c r="D51" i="14" s="1"/>
  <c r="D53" i="15"/>
  <c r="D50" i="14" s="1"/>
  <c r="D38" i="15"/>
  <c r="D35" i="14" s="1"/>
  <c r="D37" i="15"/>
  <c r="D34" i="14" s="1"/>
  <c r="D33" i="15"/>
  <c r="D30" i="14" s="1"/>
  <c r="D51" i="15"/>
  <c r="D48" i="14" s="1"/>
  <c r="D50" i="15"/>
  <c r="D47" i="14" s="1"/>
  <c r="D49" i="15"/>
  <c r="D46" i="14" s="1"/>
  <c r="D34" i="15"/>
  <c r="D31" i="14" s="1"/>
  <c r="D46" i="15"/>
  <c r="D43" i="14" s="1"/>
  <c r="D45" i="15"/>
  <c r="D42" i="14" s="1"/>
  <c r="D44" i="15"/>
  <c r="D41" i="14" s="1"/>
  <c r="D35" i="15"/>
  <c r="D32" i="14" s="1"/>
  <c r="D31" i="15"/>
  <c r="D28" i="14" s="1"/>
  <c r="D42" i="15"/>
  <c r="D39" i="14" s="1"/>
  <c r="D40" i="15"/>
  <c r="D37" i="14" s="1"/>
  <c r="D41" i="15"/>
  <c r="D38" i="14" s="1"/>
  <c r="B39" i="14"/>
  <c r="F23" i="15"/>
  <c r="H22" i="15"/>
  <c r="J22" i="15" s="1"/>
  <c r="K22" i="15" s="1"/>
  <c r="B43" i="15"/>
  <c r="C44" i="15"/>
  <c r="C40" i="14"/>
  <c r="I23" i="14"/>
  <c r="G24" i="14"/>
  <c r="F19" i="14" l="1"/>
  <c r="H18" i="14"/>
  <c r="J18" i="14" s="1"/>
  <c r="L20" i="16"/>
  <c r="K17" i="14"/>
  <c r="L17" i="14" s="1"/>
  <c r="F22" i="16"/>
  <c r="H21" i="16"/>
  <c r="J21" i="16" s="1"/>
  <c r="K21" i="16" s="1"/>
  <c r="I24" i="16"/>
  <c r="G25" i="16"/>
  <c r="E41" i="14"/>
  <c r="E45" i="15"/>
  <c r="B44" i="15"/>
  <c r="C45" i="15"/>
  <c r="C41" i="14"/>
  <c r="B40" i="14"/>
  <c r="L22" i="15"/>
  <c r="G25" i="14"/>
  <c r="I24" i="14"/>
  <c r="F24" i="15"/>
  <c r="H23" i="15"/>
  <c r="J23" i="15" s="1"/>
  <c r="K23" i="15" s="1"/>
  <c r="I24" i="15"/>
  <c r="G25" i="15"/>
  <c r="G26" i="16" l="1"/>
  <c r="I25" i="16"/>
  <c r="L21" i="16"/>
  <c r="K18" i="14"/>
  <c r="L18" i="14" s="1"/>
  <c r="H22" i="16"/>
  <c r="J22" i="16" s="1"/>
  <c r="K22" i="16" s="1"/>
  <c r="F23" i="16"/>
  <c r="F20" i="14"/>
  <c r="H19" i="14"/>
  <c r="J19" i="14" s="1"/>
  <c r="L23" i="15"/>
  <c r="F25" i="15"/>
  <c r="H24" i="15"/>
  <c r="B41" i="14"/>
  <c r="G26" i="15"/>
  <c r="I25" i="15"/>
  <c r="E46" i="15"/>
  <c r="E42" i="14"/>
  <c r="J24" i="15"/>
  <c r="K24" i="15" s="1"/>
  <c r="G26" i="14"/>
  <c r="I25" i="14"/>
  <c r="C46" i="15"/>
  <c r="B45" i="15"/>
  <c r="C42" i="14"/>
  <c r="C10" i="3" s="1"/>
  <c r="F21" i="14" l="1"/>
  <c r="H20" i="14"/>
  <c r="J20" i="14" s="1"/>
  <c r="C42" i="3"/>
  <c r="C26" i="3"/>
  <c r="H23" i="16"/>
  <c r="J23" i="16" s="1"/>
  <c r="K23" i="16" s="1"/>
  <c r="F24" i="16"/>
  <c r="L22" i="16"/>
  <c r="K19" i="14"/>
  <c r="L19" i="14" s="1"/>
  <c r="I26" i="16"/>
  <c r="G27" i="16"/>
  <c r="L24" i="15"/>
  <c r="G27" i="15"/>
  <c r="I26" i="15"/>
  <c r="C43" i="14"/>
  <c r="D10" i="3" s="1"/>
  <c r="C47" i="15"/>
  <c r="B46" i="15"/>
  <c r="B42" i="14"/>
  <c r="E47" i="15"/>
  <c r="E43" i="14"/>
  <c r="G27" i="14"/>
  <c r="I26" i="14"/>
  <c r="F26" i="15"/>
  <c r="H25" i="15"/>
  <c r="J25" i="15" s="1"/>
  <c r="K25" i="15" s="1"/>
  <c r="L23" i="16" l="1"/>
  <c r="K20" i="14"/>
  <c r="L20" i="14" s="1"/>
  <c r="F22" i="14"/>
  <c r="H21" i="14"/>
  <c r="J21" i="14" s="1"/>
  <c r="C42" i="18"/>
  <c r="D42" i="3"/>
  <c r="D26" i="3"/>
  <c r="C42" i="19"/>
  <c r="I27" i="16"/>
  <c r="G28" i="16"/>
  <c r="F25" i="16"/>
  <c r="H24" i="16"/>
  <c r="J24" i="16" s="1"/>
  <c r="K24" i="16" s="1"/>
  <c r="L25" i="15"/>
  <c r="G28" i="14"/>
  <c r="I27" i="14"/>
  <c r="C44" i="14"/>
  <c r="E10" i="3" s="1"/>
  <c r="C48" i="15"/>
  <c r="B47" i="15"/>
  <c r="B43" i="14"/>
  <c r="G28" i="15"/>
  <c r="I27" i="15"/>
  <c r="F27" i="15"/>
  <c r="H26" i="15"/>
  <c r="J26" i="15" s="1"/>
  <c r="K26" i="15" s="1"/>
  <c r="E44" i="14"/>
  <c r="E48" i="15"/>
  <c r="G29" i="16" l="1"/>
  <c r="I28" i="16"/>
  <c r="D42" i="18"/>
  <c r="D42" i="19"/>
  <c r="L24" i="16"/>
  <c r="K21" i="14"/>
  <c r="L21" i="14" s="1"/>
  <c r="H22" i="14"/>
  <c r="J22" i="14" s="1"/>
  <c r="F23" i="14"/>
  <c r="E26" i="3"/>
  <c r="E42" i="3"/>
  <c r="F26" i="16"/>
  <c r="H25" i="16"/>
  <c r="J25" i="16" s="1"/>
  <c r="K25" i="16" s="1"/>
  <c r="C10" i="19"/>
  <c r="L26" i="15"/>
  <c r="C49" i="15"/>
  <c r="B48" i="15"/>
  <c r="C45" i="14"/>
  <c r="F10" i="3" s="1"/>
  <c r="F28" i="15"/>
  <c r="H27" i="15"/>
  <c r="J27" i="15" s="1"/>
  <c r="K27" i="15" s="1"/>
  <c r="E49" i="15"/>
  <c r="E45" i="14"/>
  <c r="I28" i="15"/>
  <c r="G29" i="15"/>
  <c r="B44" i="14"/>
  <c r="G29" i="14"/>
  <c r="I28" i="14"/>
  <c r="E42" i="18" l="1"/>
  <c r="L25" i="16"/>
  <c r="K22" i="14"/>
  <c r="L22" i="14" s="1"/>
  <c r="F26" i="3"/>
  <c r="F42" i="3"/>
  <c r="F27" i="16"/>
  <c r="H26" i="16"/>
  <c r="J26" i="16" s="1"/>
  <c r="K26" i="16" s="1"/>
  <c r="H23" i="14"/>
  <c r="J23" i="14" s="1"/>
  <c r="F24" i="14"/>
  <c r="D10" i="19"/>
  <c r="E42" i="19"/>
  <c r="G30" i="16"/>
  <c r="I29" i="16"/>
  <c r="L27" i="15"/>
  <c r="G30" i="14"/>
  <c r="I29" i="14"/>
  <c r="E50" i="15"/>
  <c r="E46" i="14"/>
  <c r="B45" i="14"/>
  <c r="G30" i="15"/>
  <c r="I29" i="15"/>
  <c r="C50" i="15"/>
  <c r="B49" i="15"/>
  <c r="C46" i="14"/>
  <c r="G10" i="3" s="1"/>
  <c r="J28" i="15"/>
  <c r="K28" i="15" s="1"/>
  <c r="F29" i="15"/>
  <c r="H28" i="15"/>
  <c r="G31" i="16" l="1"/>
  <c r="I30" i="16"/>
  <c r="H27" i="16"/>
  <c r="J27" i="16" s="1"/>
  <c r="K27" i="16" s="1"/>
  <c r="F28" i="16"/>
  <c r="G42" i="3"/>
  <c r="G26" i="3"/>
  <c r="E10" i="19"/>
  <c r="H24" i="14"/>
  <c r="J24" i="14" s="1"/>
  <c r="F25" i="14"/>
  <c r="F42" i="19"/>
  <c r="L26" i="16"/>
  <c r="K23" i="14"/>
  <c r="L23" i="14" s="1"/>
  <c r="F42" i="18"/>
  <c r="L28" i="15"/>
  <c r="G31" i="15"/>
  <c r="I30" i="15"/>
  <c r="G31" i="14"/>
  <c r="I30" i="14"/>
  <c r="B46" i="14"/>
  <c r="F30" i="15"/>
  <c r="H29" i="15"/>
  <c r="J29" i="15" s="1"/>
  <c r="K29" i="15" s="1"/>
  <c r="C51" i="15"/>
  <c r="B50" i="15"/>
  <c r="C47" i="14"/>
  <c r="H10" i="3" s="1"/>
  <c r="E51" i="15"/>
  <c r="E47" i="14"/>
  <c r="F26" i="14" l="1"/>
  <c r="H25" i="14"/>
  <c r="J25" i="14" s="1"/>
  <c r="G42" i="18"/>
  <c r="L27" i="16"/>
  <c r="K24" i="14"/>
  <c r="L24" i="14" s="1"/>
  <c r="H26" i="3"/>
  <c r="H42" i="3"/>
  <c r="G42" i="19"/>
  <c r="I31" i="16"/>
  <c r="G32" i="16"/>
  <c r="F10" i="19"/>
  <c r="F29" i="16"/>
  <c r="H28" i="16"/>
  <c r="J28" i="16" s="1"/>
  <c r="K28" i="16" s="1"/>
  <c r="L29" i="15"/>
  <c r="G32" i="15"/>
  <c r="I31" i="15"/>
  <c r="F31" i="15"/>
  <c r="H30" i="15"/>
  <c r="E52" i="15"/>
  <c r="E48" i="14"/>
  <c r="B47" i="14"/>
  <c r="B51" i="15"/>
  <c r="C52" i="15"/>
  <c r="C48" i="14"/>
  <c r="I10" i="3" s="1"/>
  <c r="G32" i="14"/>
  <c r="I31" i="14"/>
  <c r="J30" i="15"/>
  <c r="K30" i="15" s="1"/>
  <c r="H42" i="18" l="1"/>
  <c r="G10" i="19"/>
  <c r="I26" i="3"/>
  <c r="I42" i="3"/>
  <c r="L28" i="16"/>
  <c r="K25" i="14"/>
  <c r="L25" i="14" s="1"/>
  <c r="G33" i="16"/>
  <c r="I32" i="16"/>
  <c r="H29" i="16"/>
  <c r="J29" i="16" s="1"/>
  <c r="K29" i="16" s="1"/>
  <c r="F30" i="16"/>
  <c r="H42" i="19"/>
  <c r="F27" i="14"/>
  <c r="H26" i="14"/>
  <c r="J26" i="14" s="1"/>
  <c r="B52" i="15"/>
  <c r="C53" i="15"/>
  <c r="C49" i="14"/>
  <c r="J10" i="3" s="1"/>
  <c r="F32" i="15"/>
  <c r="H31" i="15"/>
  <c r="J31" i="15"/>
  <c r="K31" i="15" s="1"/>
  <c r="B48" i="14"/>
  <c r="E53" i="15"/>
  <c r="E49" i="14"/>
  <c r="L30" i="15"/>
  <c r="I32" i="15"/>
  <c r="G33" i="15"/>
  <c r="G33" i="14"/>
  <c r="I32" i="14"/>
  <c r="H10" i="19" l="1"/>
  <c r="G34" i="16"/>
  <c r="I33" i="16"/>
  <c r="I42" i="19"/>
  <c r="H30" i="16"/>
  <c r="J30" i="16" s="1"/>
  <c r="K30" i="16" s="1"/>
  <c r="F31" i="16"/>
  <c r="I42" i="18"/>
  <c r="J42" i="3"/>
  <c r="J26" i="3"/>
  <c r="F28" i="14"/>
  <c r="H27" i="14"/>
  <c r="J27" i="14" s="1"/>
  <c r="L29" i="16"/>
  <c r="K26" i="14"/>
  <c r="L26" i="14" s="1"/>
  <c r="G34" i="15"/>
  <c r="I33" i="15"/>
  <c r="G34" i="14"/>
  <c r="I33" i="14"/>
  <c r="E54" i="15"/>
  <c r="E50" i="14"/>
  <c r="L31" i="15"/>
  <c r="B53" i="15"/>
  <c r="C54" i="15"/>
  <c r="C50" i="14"/>
  <c r="K10" i="3" s="1"/>
  <c r="F33" i="15"/>
  <c r="H32" i="15"/>
  <c r="J32" i="15" s="1"/>
  <c r="K32" i="15" s="1"/>
  <c r="B49" i="14"/>
  <c r="J42" i="19" l="1"/>
  <c r="L30" i="16"/>
  <c r="K27" i="14"/>
  <c r="L27" i="14" s="1"/>
  <c r="I34" i="16"/>
  <c r="G35" i="16"/>
  <c r="H28" i="14"/>
  <c r="J28" i="14" s="1"/>
  <c r="F29" i="14"/>
  <c r="J42" i="18"/>
  <c r="I10" i="19"/>
  <c r="K42" i="3"/>
  <c r="K26" i="3"/>
  <c r="H31" i="16"/>
  <c r="J31" i="16" s="1"/>
  <c r="K31" i="16" s="1"/>
  <c r="F32" i="16"/>
  <c r="L32" i="15"/>
  <c r="C55" i="15"/>
  <c r="B54" i="15"/>
  <c r="C51" i="14"/>
  <c r="L10" i="3" s="1"/>
  <c r="E55" i="15"/>
  <c r="E51" i="14"/>
  <c r="F34" i="15"/>
  <c r="H33" i="15"/>
  <c r="J33" i="15" s="1"/>
  <c r="K33" i="15" s="1"/>
  <c r="G35" i="14"/>
  <c r="I34" i="14"/>
  <c r="B50" i="14"/>
  <c r="G35" i="15"/>
  <c r="I34" i="15"/>
  <c r="K42" i="18" l="1"/>
  <c r="F30" i="14"/>
  <c r="H29" i="14"/>
  <c r="J29" i="14" s="1"/>
  <c r="L42" i="3"/>
  <c r="L26" i="3"/>
  <c r="K42" i="19"/>
  <c r="F33" i="16"/>
  <c r="H32" i="16"/>
  <c r="J32" i="16" s="1"/>
  <c r="K32" i="16" s="1"/>
  <c r="I35" i="16"/>
  <c r="G36" i="16"/>
  <c r="L31" i="16"/>
  <c r="K28" i="14"/>
  <c r="L28" i="14" s="1"/>
  <c r="J10" i="19"/>
  <c r="E56" i="15"/>
  <c r="E53" i="14" s="1"/>
  <c r="E52" i="14"/>
  <c r="C56" i="15"/>
  <c r="C52" i="14"/>
  <c r="M10" i="3" s="1"/>
  <c r="B55" i="15"/>
  <c r="L33" i="15"/>
  <c r="G36" i="15"/>
  <c r="I35" i="15"/>
  <c r="F35" i="15"/>
  <c r="H34" i="15"/>
  <c r="J34" i="15" s="1"/>
  <c r="K34" i="15" s="1"/>
  <c r="G36" i="14"/>
  <c r="I35" i="14"/>
  <c r="B51" i="14"/>
  <c r="M42" i="3" l="1"/>
  <c r="M26" i="3"/>
  <c r="L32" i="16"/>
  <c r="K29" i="14"/>
  <c r="L29" i="14" s="1"/>
  <c r="H30" i="14"/>
  <c r="J30" i="14" s="1"/>
  <c r="F31" i="14"/>
  <c r="L42" i="18"/>
  <c r="H33" i="16"/>
  <c r="J33" i="16" s="1"/>
  <c r="K33" i="16" s="1"/>
  <c r="F34" i="16"/>
  <c r="G37" i="16"/>
  <c r="I36" i="16"/>
  <c r="K10" i="19"/>
  <c r="L42" i="19"/>
  <c r="G37" i="14"/>
  <c r="I36" i="14"/>
  <c r="F36" i="15"/>
  <c r="H35" i="15"/>
  <c r="J35" i="15"/>
  <c r="K35" i="15" s="1"/>
  <c r="I36" i="15"/>
  <c r="G37" i="15"/>
  <c r="B52" i="14"/>
  <c r="L34" i="15"/>
  <c r="C53" i="14"/>
  <c r="N10" i="3" s="1"/>
  <c r="B56" i="15"/>
  <c r="G38" i="16" l="1"/>
  <c r="I37" i="16"/>
  <c r="N42" i="3"/>
  <c r="N26" i="3"/>
  <c r="F35" i="16"/>
  <c r="H34" i="16"/>
  <c r="J34" i="16" s="1"/>
  <c r="K34" i="16" s="1"/>
  <c r="F32" i="14"/>
  <c r="H31" i="14"/>
  <c r="J31" i="14" s="1"/>
  <c r="M42" i="18"/>
  <c r="L33" i="16"/>
  <c r="K30" i="14"/>
  <c r="L30" i="14" s="1"/>
  <c r="L10" i="19"/>
  <c r="M42" i="19"/>
  <c r="B53" i="14"/>
  <c r="L35" i="15"/>
  <c r="G38" i="15"/>
  <c r="I37" i="15"/>
  <c r="F37" i="15"/>
  <c r="H36" i="15"/>
  <c r="J36" i="15" s="1"/>
  <c r="K36" i="15" s="1"/>
  <c r="G38" i="14"/>
  <c r="I37" i="14"/>
  <c r="M10" i="19" l="1"/>
  <c r="H32" i="14"/>
  <c r="J32" i="14" s="1"/>
  <c r="F33" i="14"/>
  <c r="L34" i="16"/>
  <c r="K31" i="14"/>
  <c r="L31" i="14" s="1"/>
  <c r="N42" i="19"/>
  <c r="H35" i="16"/>
  <c r="J35" i="16" s="1"/>
  <c r="K35" i="16" s="1"/>
  <c r="F36" i="16"/>
  <c r="N42" i="18"/>
  <c r="G39" i="16"/>
  <c r="I38" i="16"/>
  <c r="L36" i="15"/>
  <c r="G39" i="14"/>
  <c r="I38" i="14"/>
  <c r="F38" i="15"/>
  <c r="H37" i="15"/>
  <c r="J37" i="15" s="1"/>
  <c r="K37" i="15" s="1"/>
  <c r="G39" i="15"/>
  <c r="I38" i="15"/>
  <c r="N10" i="19" l="1"/>
  <c r="F34" i="14"/>
  <c r="H33" i="14"/>
  <c r="J33" i="14" s="1"/>
  <c r="H36" i="16"/>
  <c r="J36" i="16" s="1"/>
  <c r="K36" i="16" s="1"/>
  <c r="F37" i="16"/>
  <c r="G40" i="16"/>
  <c r="I39" i="16"/>
  <c r="L35" i="16"/>
  <c r="K32" i="14"/>
  <c r="L32" i="14" s="1"/>
  <c r="L37" i="15"/>
  <c r="F39" i="15"/>
  <c r="H38" i="15"/>
  <c r="J38" i="15" s="1"/>
  <c r="K38" i="15" s="1"/>
  <c r="G40" i="15"/>
  <c r="I39" i="15"/>
  <c r="G40" i="14"/>
  <c r="I39" i="14"/>
  <c r="H34" i="14" l="1"/>
  <c r="J34" i="14" s="1"/>
  <c r="F35" i="14"/>
  <c r="I40" i="16"/>
  <c r="G41" i="16"/>
  <c r="F38" i="16"/>
  <c r="H37" i="16"/>
  <c r="J37" i="16" s="1"/>
  <c r="K37" i="16" s="1"/>
  <c r="L36" i="16"/>
  <c r="K33" i="14"/>
  <c r="L33" i="14" s="1"/>
  <c r="G41" i="14"/>
  <c r="I40" i="14"/>
  <c r="G41" i="15"/>
  <c r="I40" i="15"/>
  <c r="L38" i="15"/>
  <c r="F40" i="15"/>
  <c r="H39" i="15"/>
  <c r="J39" i="15" s="1"/>
  <c r="K39" i="15" s="1"/>
  <c r="G42" i="16" l="1"/>
  <c r="I41" i="16"/>
  <c r="L37" i="16"/>
  <c r="K34" i="14"/>
  <c r="L34" i="14" s="1"/>
  <c r="F36" i="14"/>
  <c r="H35" i="14"/>
  <c r="J35" i="14" s="1"/>
  <c r="F39" i="16"/>
  <c r="H38" i="16"/>
  <c r="J38" i="16" s="1"/>
  <c r="K38" i="16" s="1"/>
  <c r="L39" i="15"/>
  <c r="G42" i="15"/>
  <c r="I41" i="15"/>
  <c r="F41" i="15"/>
  <c r="H40" i="15"/>
  <c r="J40" i="15" s="1"/>
  <c r="K40" i="15" s="1"/>
  <c r="G42" i="14"/>
  <c r="C11" i="3" s="1"/>
  <c r="I41" i="14"/>
  <c r="L38" i="16" l="1"/>
  <c r="K35" i="14"/>
  <c r="L35" i="14" s="1"/>
  <c r="H39" i="16"/>
  <c r="J39" i="16" s="1"/>
  <c r="K39" i="16" s="1"/>
  <c r="F40" i="16"/>
  <c r="C27" i="3"/>
  <c r="C43" i="3"/>
  <c r="F37" i="14"/>
  <c r="H36" i="14"/>
  <c r="J36" i="14" s="1"/>
  <c r="I42" i="16"/>
  <c r="G43" i="16"/>
  <c r="L40" i="15"/>
  <c r="F42" i="15"/>
  <c r="H41" i="15"/>
  <c r="J41" i="15" s="1"/>
  <c r="K41" i="15" s="1"/>
  <c r="G43" i="15"/>
  <c r="I42" i="15"/>
  <c r="G43" i="14"/>
  <c r="D11" i="3" s="1"/>
  <c r="I42" i="14"/>
  <c r="F41" i="16" l="1"/>
  <c r="H40" i="16"/>
  <c r="J40" i="16" s="1"/>
  <c r="K40" i="16" s="1"/>
  <c r="F38" i="14"/>
  <c r="H37" i="14"/>
  <c r="J37" i="14" s="1"/>
  <c r="L39" i="16"/>
  <c r="K36" i="14"/>
  <c r="L36" i="14" s="1"/>
  <c r="G44" i="16"/>
  <c r="I43" i="16"/>
  <c r="C43" i="19"/>
  <c r="D43" i="3"/>
  <c r="D27" i="3"/>
  <c r="C43" i="18"/>
  <c r="L41" i="15"/>
  <c r="G44" i="15"/>
  <c r="I43" i="15"/>
  <c r="F43" i="15"/>
  <c r="H42" i="15"/>
  <c r="J42" i="15" s="1"/>
  <c r="K42" i="15" s="1"/>
  <c r="G44" i="14"/>
  <c r="E11" i="3" s="1"/>
  <c r="I43" i="14"/>
  <c r="F42" i="16" l="1"/>
  <c r="H41" i="16"/>
  <c r="J41" i="16" s="1"/>
  <c r="K41" i="16" s="1"/>
  <c r="D43" i="18"/>
  <c r="D43" i="19"/>
  <c r="G45" i="16"/>
  <c r="I44" i="16"/>
  <c r="H38" i="14"/>
  <c r="J38" i="14" s="1"/>
  <c r="F39" i="14"/>
  <c r="E43" i="3"/>
  <c r="E27" i="3"/>
  <c r="L40" i="16"/>
  <c r="K37" i="14"/>
  <c r="L37" i="14" s="1"/>
  <c r="L42" i="15"/>
  <c r="G45" i="14"/>
  <c r="F11" i="3" s="1"/>
  <c r="I44" i="14"/>
  <c r="F44" i="15"/>
  <c r="H43" i="15"/>
  <c r="J43" i="15" s="1"/>
  <c r="K43" i="15" s="1"/>
  <c r="G45" i="15"/>
  <c r="I44" i="15"/>
  <c r="E43" i="19" l="1"/>
  <c r="G46" i="16"/>
  <c r="I45" i="16"/>
  <c r="H39" i="14"/>
  <c r="J39" i="14" s="1"/>
  <c r="F40" i="14"/>
  <c r="L41" i="16"/>
  <c r="K38" i="14"/>
  <c r="L38" i="14" s="1"/>
  <c r="F43" i="16"/>
  <c r="H42" i="16"/>
  <c r="J42" i="16" s="1"/>
  <c r="K42" i="16" s="1"/>
  <c r="F27" i="3"/>
  <c r="F43" i="3"/>
  <c r="E43" i="18"/>
  <c r="L43" i="15"/>
  <c r="G46" i="15"/>
  <c r="I45" i="15"/>
  <c r="F45" i="15"/>
  <c r="H44" i="15"/>
  <c r="J44" i="15" s="1"/>
  <c r="K44" i="15" s="1"/>
  <c r="G46" i="14"/>
  <c r="G11" i="3" s="1"/>
  <c r="I45" i="14"/>
  <c r="F43" i="18" l="1"/>
  <c r="L42" i="16"/>
  <c r="K39" i="14"/>
  <c r="L39" i="14" s="1"/>
  <c r="G47" i="16"/>
  <c r="I46" i="16"/>
  <c r="F44" i="16"/>
  <c r="H43" i="16"/>
  <c r="J43" i="16" s="1"/>
  <c r="K43" i="16" s="1"/>
  <c r="F41" i="14"/>
  <c r="H40" i="14"/>
  <c r="J40" i="14" s="1"/>
  <c r="G27" i="3"/>
  <c r="G43" i="3"/>
  <c r="F43" i="19"/>
  <c r="L44" i="15"/>
  <c r="F46" i="15"/>
  <c r="H45" i="15"/>
  <c r="J45" i="15" s="1"/>
  <c r="K45" i="15" s="1"/>
  <c r="G47" i="14"/>
  <c r="H11" i="3" s="1"/>
  <c r="I46" i="14"/>
  <c r="G47" i="15"/>
  <c r="I46" i="15"/>
  <c r="L43" i="16" l="1"/>
  <c r="K40" i="14"/>
  <c r="L40" i="14" s="1"/>
  <c r="G43" i="18"/>
  <c r="F45" i="16"/>
  <c r="H44" i="16"/>
  <c r="J44" i="16" s="1"/>
  <c r="K44" i="16" s="1"/>
  <c r="G43" i="19"/>
  <c r="H43" i="3"/>
  <c r="H27" i="3"/>
  <c r="F42" i="14"/>
  <c r="H41" i="14"/>
  <c r="J41" i="14" s="1"/>
  <c r="G48" i="16"/>
  <c r="I47" i="16"/>
  <c r="L45" i="15"/>
  <c r="G48" i="15"/>
  <c r="I47" i="15"/>
  <c r="F47" i="15"/>
  <c r="H46" i="15"/>
  <c r="J46" i="15" s="1"/>
  <c r="K46" i="15" s="1"/>
  <c r="G48" i="14"/>
  <c r="I11" i="3" s="1"/>
  <c r="I47" i="14"/>
  <c r="I48" i="16" l="1"/>
  <c r="G49" i="16"/>
  <c r="H43" i="18"/>
  <c r="H43" i="19"/>
  <c r="L44" i="16"/>
  <c r="K41" i="14"/>
  <c r="L41" i="14" s="1"/>
  <c r="I27" i="3"/>
  <c r="I43" i="3"/>
  <c r="F43" i="14"/>
  <c r="H42" i="14"/>
  <c r="J42" i="14" s="1"/>
  <c r="F46" i="16"/>
  <c r="H45" i="16"/>
  <c r="J45" i="16" s="1"/>
  <c r="K45" i="16" s="1"/>
  <c r="L46" i="15"/>
  <c r="G49" i="14"/>
  <c r="J11" i="3" s="1"/>
  <c r="I48" i="14"/>
  <c r="F48" i="15"/>
  <c r="H47" i="15"/>
  <c r="J47" i="15" s="1"/>
  <c r="K47" i="15" s="1"/>
  <c r="G49" i="15"/>
  <c r="I48" i="15"/>
  <c r="L45" i="16" l="1"/>
  <c r="K42" i="14"/>
  <c r="J27" i="3"/>
  <c r="J43" i="3"/>
  <c r="H46" i="16"/>
  <c r="J46" i="16" s="1"/>
  <c r="K46" i="16" s="1"/>
  <c r="F47" i="16"/>
  <c r="I43" i="19"/>
  <c r="G50" i="16"/>
  <c r="I49" i="16"/>
  <c r="I43" i="18"/>
  <c r="F44" i="14"/>
  <c r="H43" i="14"/>
  <c r="J43" i="14" s="1"/>
  <c r="L47" i="15"/>
  <c r="G50" i="15"/>
  <c r="I49" i="15"/>
  <c r="F49" i="15"/>
  <c r="H48" i="15"/>
  <c r="J48" i="15" s="1"/>
  <c r="K48" i="15" s="1"/>
  <c r="G50" i="14"/>
  <c r="K11" i="3" s="1"/>
  <c r="I49" i="14"/>
  <c r="J43" i="19" l="1"/>
  <c r="F45" i="14"/>
  <c r="H44" i="14"/>
  <c r="J44" i="14" s="1"/>
  <c r="F48" i="16"/>
  <c r="H47" i="16"/>
  <c r="J47" i="16" s="1"/>
  <c r="K47" i="16" s="1"/>
  <c r="J43" i="18"/>
  <c r="G51" i="16"/>
  <c r="I50" i="16"/>
  <c r="L46" i="16"/>
  <c r="K43" i="14"/>
  <c r="L42" i="14"/>
  <c r="C12" i="3"/>
  <c r="K43" i="3"/>
  <c r="K27" i="3"/>
  <c r="F50" i="15"/>
  <c r="H49" i="15"/>
  <c r="J49" i="15" s="1"/>
  <c r="K49" i="15" s="1"/>
  <c r="L48" i="15"/>
  <c r="G51" i="15"/>
  <c r="I50" i="15"/>
  <c r="G51" i="14"/>
  <c r="L11" i="3" s="1"/>
  <c r="I50" i="14"/>
  <c r="K43" i="19" l="1"/>
  <c r="F46" i="14"/>
  <c r="H45" i="14"/>
  <c r="J45" i="14" s="1"/>
  <c r="L47" i="16"/>
  <c r="K44" i="14"/>
  <c r="L43" i="3"/>
  <c r="L27" i="3"/>
  <c r="F49" i="16"/>
  <c r="H48" i="16"/>
  <c r="J48" i="16" s="1"/>
  <c r="K48" i="16" s="1"/>
  <c r="C44" i="3"/>
  <c r="C28" i="3"/>
  <c r="G52" i="16"/>
  <c r="I51" i="16"/>
  <c r="K43" i="18"/>
  <c r="L43" i="14"/>
  <c r="D12" i="3"/>
  <c r="L49" i="15"/>
  <c r="G52" i="14"/>
  <c r="M11" i="3" s="1"/>
  <c r="I51" i="14"/>
  <c r="G52" i="15"/>
  <c r="I51" i="15"/>
  <c r="F51" i="15"/>
  <c r="H50" i="15"/>
  <c r="J50" i="15" s="1"/>
  <c r="K50" i="15" s="1"/>
  <c r="D44" i="3" l="1"/>
  <c r="D28" i="3"/>
  <c r="D13" i="3"/>
  <c r="C44" i="19"/>
  <c r="C45" i="19" s="1"/>
  <c r="C45" i="3"/>
  <c r="L43" i="18"/>
  <c r="L48" i="16"/>
  <c r="K45" i="14"/>
  <c r="L43" i="19"/>
  <c r="F47" i="14"/>
  <c r="H46" i="14"/>
  <c r="J46" i="14" s="1"/>
  <c r="M43" i="3"/>
  <c r="M27" i="3"/>
  <c r="G53" i="16"/>
  <c r="I52" i="16"/>
  <c r="F50" i="16"/>
  <c r="H49" i="16"/>
  <c r="J49" i="16" s="1"/>
  <c r="K49" i="16" s="1"/>
  <c r="L44" i="14"/>
  <c r="E12" i="3"/>
  <c r="C44" i="18"/>
  <c r="C29" i="3"/>
  <c r="F52" i="15"/>
  <c r="H51" i="15"/>
  <c r="J51" i="15" s="1"/>
  <c r="K51" i="15" s="1"/>
  <c r="G53" i="14"/>
  <c r="I52" i="14"/>
  <c r="L50" i="15"/>
  <c r="G53" i="15"/>
  <c r="I52" i="15"/>
  <c r="G54" i="16" l="1"/>
  <c r="I53" i="16"/>
  <c r="I53" i="14"/>
  <c r="N11" i="3"/>
  <c r="L49" i="16"/>
  <c r="K46" i="14"/>
  <c r="F48" i="14"/>
  <c r="H47" i="14"/>
  <c r="J47" i="14" s="1"/>
  <c r="C48" i="19"/>
  <c r="F51" i="16"/>
  <c r="H50" i="16"/>
  <c r="J50" i="16" s="1"/>
  <c r="K50" i="16" s="1"/>
  <c r="M43" i="18"/>
  <c r="E44" i="3"/>
  <c r="E28" i="3"/>
  <c r="E13" i="3"/>
  <c r="M43" i="19"/>
  <c r="D44" i="18"/>
  <c r="D29" i="3"/>
  <c r="L45" i="14"/>
  <c r="F12" i="3"/>
  <c r="D44" i="19"/>
  <c r="D45" i="19" s="1"/>
  <c r="D45" i="3"/>
  <c r="L51" i="15"/>
  <c r="F53" i="15"/>
  <c r="H52" i="15"/>
  <c r="J52" i="15" s="1"/>
  <c r="K52" i="15" s="1"/>
  <c r="G54" i="15"/>
  <c r="I53" i="15"/>
  <c r="L50" i="16" l="1"/>
  <c r="K47" i="14"/>
  <c r="N43" i="3"/>
  <c r="N27" i="3"/>
  <c r="E44" i="18"/>
  <c r="E29" i="3"/>
  <c r="E44" i="19"/>
  <c r="E45" i="19" s="1"/>
  <c r="E48" i="19" s="1"/>
  <c r="E45" i="3"/>
  <c r="F52" i="16"/>
  <c r="H51" i="16"/>
  <c r="J51" i="16" s="1"/>
  <c r="K51" i="16" s="1"/>
  <c r="H48" i="14"/>
  <c r="J48" i="14" s="1"/>
  <c r="F49" i="14"/>
  <c r="D48" i="19"/>
  <c r="F28" i="3"/>
  <c r="F44" i="3"/>
  <c r="F13" i="3"/>
  <c r="L46" i="14"/>
  <c r="G12" i="3"/>
  <c r="G55" i="16"/>
  <c r="I54" i="16"/>
  <c r="L52" i="15"/>
  <c r="J53" i="15"/>
  <c r="K53" i="15" s="1"/>
  <c r="F54" i="15"/>
  <c r="H53" i="15"/>
  <c r="G55" i="15"/>
  <c r="I54" i="15"/>
  <c r="F44" i="18" l="1"/>
  <c r="F29" i="3"/>
  <c r="N43" i="18"/>
  <c r="G56" i="16"/>
  <c r="I56" i="16" s="1"/>
  <c r="I55" i="16"/>
  <c r="L51" i="16"/>
  <c r="K48" i="14"/>
  <c r="N43" i="19"/>
  <c r="G28" i="3"/>
  <c r="G44" i="3"/>
  <c r="G13" i="3"/>
  <c r="F53" i="16"/>
  <c r="H52" i="16"/>
  <c r="J52" i="16" s="1"/>
  <c r="K52" i="16" s="1"/>
  <c r="L47" i="14"/>
  <c r="H12" i="3"/>
  <c r="F44" i="19"/>
  <c r="F45" i="19" s="1"/>
  <c r="F45" i="3"/>
  <c r="F50" i="14"/>
  <c r="H49" i="14"/>
  <c r="J49" i="14" s="1"/>
  <c r="L53" i="15"/>
  <c r="G56" i="15"/>
  <c r="I56" i="15" s="1"/>
  <c r="I55" i="15"/>
  <c r="F55" i="15"/>
  <c r="H54" i="15"/>
  <c r="J54" i="15" s="1"/>
  <c r="K54" i="15" s="1"/>
  <c r="G44" i="19" l="1"/>
  <c r="G45" i="19" s="1"/>
  <c r="G45" i="3"/>
  <c r="L52" i="16"/>
  <c r="K49" i="14"/>
  <c r="G44" i="18"/>
  <c r="G29" i="3"/>
  <c r="F51" i="14"/>
  <c r="H50" i="14"/>
  <c r="J50" i="14" s="1"/>
  <c r="L48" i="14"/>
  <c r="I12" i="3"/>
  <c r="F48" i="19"/>
  <c r="H53" i="16"/>
  <c r="J53" i="16" s="1"/>
  <c r="K53" i="16" s="1"/>
  <c r="F54" i="16"/>
  <c r="H28" i="3"/>
  <c r="H44" i="3"/>
  <c r="H13" i="3"/>
  <c r="L54" i="15"/>
  <c r="F56" i="15"/>
  <c r="H56" i="15" s="1"/>
  <c r="J56" i="15" s="1"/>
  <c r="H55" i="15"/>
  <c r="J55" i="15" s="1"/>
  <c r="K55" i="15" s="1"/>
  <c r="L49" i="14" l="1"/>
  <c r="J12" i="3"/>
  <c r="H44" i="18"/>
  <c r="H29" i="3"/>
  <c r="H51" i="14"/>
  <c r="J51" i="14" s="1"/>
  <c r="F52" i="14"/>
  <c r="H44" i="19"/>
  <c r="H45" i="19" s="1"/>
  <c r="H48" i="19" s="1"/>
  <c r="H45" i="3"/>
  <c r="F55" i="16"/>
  <c r="H54" i="16"/>
  <c r="J54" i="16" s="1"/>
  <c r="K54" i="16" s="1"/>
  <c r="I28" i="3"/>
  <c r="I44" i="3"/>
  <c r="I13" i="3"/>
  <c r="L53" i="16"/>
  <c r="K50" i="14"/>
  <c r="G48" i="19"/>
  <c r="L55" i="15"/>
  <c r="K56" i="15"/>
  <c r="I44" i="18" l="1"/>
  <c r="I29" i="3"/>
  <c r="J44" i="3"/>
  <c r="J28" i="3"/>
  <c r="J13" i="3"/>
  <c r="I44" i="19"/>
  <c r="I45" i="19" s="1"/>
  <c r="I45" i="3"/>
  <c r="L50" i="14"/>
  <c r="K12" i="3"/>
  <c r="L54" i="16"/>
  <c r="K51" i="14"/>
  <c r="F53" i="14"/>
  <c r="H53" i="14" s="1"/>
  <c r="J53" i="14" s="1"/>
  <c r="H52" i="14"/>
  <c r="J52" i="14" s="1"/>
  <c r="H55" i="16"/>
  <c r="J55" i="16" s="1"/>
  <c r="K55" i="16" s="1"/>
  <c r="F56" i="16"/>
  <c r="H56" i="16" s="1"/>
  <c r="J56" i="16" s="1"/>
  <c r="K56" i="16" s="1"/>
  <c r="L56" i="16" s="1"/>
  <c r="L56" i="15"/>
  <c r="L51" i="14" l="1"/>
  <c r="L12" i="3"/>
  <c r="J44" i="19"/>
  <c r="J45" i="19" s="1"/>
  <c r="J48" i="19" s="1"/>
  <c r="J45" i="3"/>
  <c r="L55" i="16"/>
  <c r="K52" i="14"/>
  <c r="I48" i="19"/>
  <c r="J44" i="18"/>
  <c r="J29" i="3"/>
  <c r="K53" i="14"/>
  <c r="K28" i="3"/>
  <c r="K44" i="3"/>
  <c r="K13" i="3"/>
  <c r="C13" i="3"/>
  <c r="C4" i="3"/>
  <c r="D15" i="13"/>
  <c r="D20" i="13" s="1"/>
  <c r="E16" i="13"/>
  <c r="E17" i="13" s="1"/>
  <c r="C20" i="13"/>
  <c r="D21" i="13"/>
  <c r="C3" i="19" l="1"/>
  <c r="C3" i="18"/>
  <c r="L53" i="14"/>
  <c r="N12" i="3"/>
  <c r="K44" i="18"/>
  <c r="K29" i="3"/>
  <c r="L28" i="3"/>
  <c r="L44" i="3"/>
  <c r="L13" i="3"/>
  <c r="L52" i="14"/>
  <c r="M12" i="3"/>
  <c r="C3" i="3"/>
  <c r="D46" i="3" s="1"/>
  <c r="D47" i="3" s="1"/>
  <c r="K44" i="19"/>
  <c r="K45" i="19" s="1"/>
  <c r="K45" i="3"/>
  <c r="H46" i="3"/>
  <c r="H47" i="3" s="1"/>
  <c r="H49" i="3" s="1"/>
  <c r="H51" i="3" s="1"/>
  <c r="H53" i="3" s="1"/>
  <c r="F30" i="3"/>
  <c r="F31" i="3" s="1"/>
  <c r="C46" i="3"/>
  <c r="C47" i="3" s="1"/>
  <c r="C49" i="3" s="1"/>
  <c r="C51" i="3" s="1"/>
  <c r="C53" i="3" s="1"/>
  <c r="N46" i="3"/>
  <c r="L30" i="3"/>
  <c r="H30" i="3"/>
  <c r="H31" i="3" s="1"/>
  <c r="H48" i="3"/>
  <c r="E48" i="3"/>
  <c r="D48" i="3"/>
  <c r="K48" i="3"/>
  <c r="G32" i="3"/>
  <c r="E32" i="3"/>
  <c r="F32" i="3"/>
  <c r="H32" i="3"/>
  <c r="D32" i="3"/>
  <c r="F48" i="3"/>
  <c r="J32" i="3"/>
  <c r="G48" i="3"/>
  <c r="I48" i="3"/>
  <c r="K32" i="3"/>
  <c r="C48" i="3"/>
  <c r="J48" i="3"/>
  <c r="C32" i="3"/>
  <c r="I32" i="3"/>
  <c r="H14" i="3"/>
  <c r="H15" i="3" s="1"/>
  <c r="N14" i="3"/>
  <c r="I14" i="3"/>
  <c r="I15" i="3" s="1"/>
  <c r="D16" i="3"/>
  <c r="J16" i="3"/>
  <c r="L16" i="3"/>
  <c r="K16" i="3"/>
  <c r="I16" i="3"/>
  <c r="G16" i="3"/>
  <c r="F16" i="3"/>
  <c r="E16" i="3"/>
  <c r="H16" i="3"/>
  <c r="C16" i="3"/>
  <c r="E20" i="13"/>
  <c r="C21" i="13"/>
  <c r="C17" i="13"/>
  <c r="M14" i="3" l="1"/>
  <c r="M15" i="3" s="1"/>
  <c r="D14" i="3"/>
  <c r="D15" i="3" s="1"/>
  <c r="L14" i="3"/>
  <c r="L15" i="3" s="1"/>
  <c r="L17" i="3" s="1"/>
  <c r="L19" i="3" s="1"/>
  <c r="L21" i="3" s="1"/>
  <c r="K30" i="3"/>
  <c r="K31" i="3" s="1"/>
  <c r="I46" i="3"/>
  <c r="I47" i="3" s="1"/>
  <c r="E30" i="3"/>
  <c r="E31" i="3" s="1"/>
  <c r="G46" i="3"/>
  <c r="G47" i="3" s="1"/>
  <c r="G49" i="3" s="1"/>
  <c r="G51" i="3" s="1"/>
  <c r="G53" i="3" s="1"/>
  <c r="G57" i="3" s="1"/>
  <c r="J30" i="3"/>
  <c r="J31" i="3" s="1"/>
  <c r="L46" i="3"/>
  <c r="M44" i="3"/>
  <c r="M28" i="3"/>
  <c r="M13" i="3"/>
  <c r="M16" i="3" s="1"/>
  <c r="L44" i="18"/>
  <c r="L29" i="3"/>
  <c r="L32" i="3" s="1"/>
  <c r="L31" i="3"/>
  <c r="N44" i="3"/>
  <c r="N28" i="3"/>
  <c r="N13" i="3"/>
  <c r="N16" i="3" s="1"/>
  <c r="C14" i="3"/>
  <c r="C15" i="3" s="1"/>
  <c r="C17" i="3" s="1"/>
  <c r="C19" i="3" s="1"/>
  <c r="C21" i="3" s="1"/>
  <c r="F14" i="3"/>
  <c r="F15" i="3" s="1"/>
  <c r="G14" i="3"/>
  <c r="G15" i="3" s="1"/>
  <c r="G17" i="3" s="1"/>
  <c r="G19" i="3" s="1"/>
  <c r="G21" i="3" s="1"/>
  <c r="G30" i="3"/>
  <c r="G31" i="3" s="1"/>
  <c r="G33" i="3" s="1"/>
  <c r="G35" i="3" s="1"/>
  <c r="G37" i="3" s="1"/>
  <c r="E46" i="3"/>
  <c r="E47" i="3" s="1"/>
  <c r="F46" i="3"/>
  <c r="F47" i="3" s="1"/>
  <c r="F49" i="3" s="1"/>
  <c r="F51" i="3" s="1"/>
  <c r="F53" i="3" s="1"/>
  <c r="I30" i="3"/>
  <c r="I31" i="3" s="1"/>
  <c r="K46" i="3"/>
  <c r="K47" i="3" s="1"/>
  <c r="K49" i="3" s="1"/>
  <c r="K51" i="3" s="1"/>
  <c r="K53" i="3" s="1"/>
  <c r="N30" i="3"/>
  <c r="M14" i="18"/>
  <c r="N14" i="18"/>
  <c r="E14" i="18"/>
  <c r="J46" i="18"/>
  <c r="F30" i="18"/>
  <c r="M30" i="18"/>
  <c r="H46" i="18"/>
  <c r="D30" i="18"/>
  <c r="G30" i="18"/>
  <c r="L14" i="18"/>
  <c r="F46" i="18"/>
  <c r="I30" i="18"/>
  <c r="D46" i="18"/>
  <c r="C14" i="18"/>
  <c r="C46" i="18"/>
  <c r="I14" i="18"/>
  <c r="M46" i="18"/>
  <c r="K30" i="18"/>
  <c r="F14" i="18"/>
  <c r="J14" i="18"/>
  <c r="N46" i="18"/>
  <c r="J30" i="18"/>
  <c r="E46" i="18"/>
  <c r="L46" i="18"/>
  <c r="H30" i="18"/>
  <c r="K14" i="18"/>
  <c r="H14" i="18"/>
  <c r="K46" i="18"/>
  <c r="C30" i="18"/>
  <c r="N30" i="18"/>
  <c r="I46" i="18"/>
  <c r="E30" i="18"/>
  <c r="L30" i="18"/>
  <c r="G14" i="18"/>
  <c r="D14" i="18"/>
  <c r="G46" i="18"/>
  <c r="N15" i="3"/>
  <c r="N17" i="3" s="1"/>
  <c r="N19" i="3" s="1"/>
  <c r="N21" i="3" s="1"/>
  <c r="L44" i="19"/>
  <c r="L45" i="19" s="1"/>
  <c r="L45" i="3"/>
  <c r="L48" i="3" s="1"/>
  <c r="E14" i="3"/>
  <c r="E15" i="3" s="1"/>
  <c r="E17" i="3" s="1"/>
  <c r="E19" i="3" s="1"/>
  <c r="E21" i="3" s="1"/>
  <c r="J14" i="3"/>
  <c r="J15" i="3" s="1"/>
  <c r="J17" i="3" s="1"/>
  <c r="J19" i="3" s="1"/>
  <c r="J21" i="3" s="1"/>
  <c r="K14" i="3"/>
  <c r="K15" i="3" s="1"/>
  <c r="K17" i="3" s="1"/>
  <c r="K19" i="3" s="1"/>
  <c r="K21" i="3" s="1"/>
  <c r="M46" i="3"/>
  <c r="D30" i="3"/>
  <c r="D31" i="3" s="1"/>
  <c r="D33" i="3" s="1"/>
  <c r="D35" i="3" s="1"/>
  <c r="D37" i="3" s="1"/>
  <c r="D57" i="3" s="1"/>
  <c r="J46" i="3"/>
  <c r="J47" i="3" s="1"/>
  <c r="J49" i="3" s="1"/>
  <c r="J51" i="3" s="1"/>
  <c r="J53" i="3" s="1"/>
  <c r="M30" i="3"/>
  <c r="C30" i="3"/>
  <c r="C31" i="3" s="1"/>
  <c r="C33" i="3" s="1"/>
  <c r="C35" i="3" s="1"/>
  <c r="C37" i="3" s="1"/>
  <c r="K48" i="19"/>
  <c r="N46" i="19"/>
  <c r="K46" i="19"/>
  <c r="K47" i="19" s="1"/>
  <c r="K49" i="19" s="1"/>
  <c r="K51" i="19" s="1"/>
  <c r="K53" i="19" s="1"/>
  <c r="K60" i="19" s="1"/>
  <c r="C30" i="19"/>
  <c r="G14" i="19"/>
  <c r="C46" i="19"/>
  <c r="C47" i="19" s="1"/>
  <c r="C49" i="19" s="1"/>
  <c r="C51" i="19" s="1"/>
  <c r="C53" i="19" s="1"/>
  <c r="K30" i="19"/>
  <c r="G30" i="19"/>
  <c r="K14" i="19"/>
  <c r="G46" i="19"/>
  <c r="G47" i="19" s="1"/>
  <c r="G49" i="19" s="1"/>
  <c r="G51" i="19" s="1"/>
  <c r="G53" i="19" s="1"/>
  <c r="C14" i="19"/>
  <c r="H14" i="19"/>
  <c r="L30" i="19"/>
  <c r="E14" i="19"/>
  <c r="I30" i="19"/>
  <c r="M46" i="19"/>
  <c r="F30" i="19"/>
  <c r="J46" i="19"/>
  <c r="J47" i="19" s="1"/>
  <c r="J49" i="19" s="1"/>
  <c r="J51" i="19" s="1"/>
  <c r="J53" i="19" s="1"/>
  <c r="J60" i="19" s="1"/>
  <c r="L14" i="19"/>
  <c r="D46" i="19"/>
  <c r="D47" i="19" s="1"/>
  <c r="D49" i="19" s="1"/>
  <c r="D51" i="19" s="1"/>
  <c r="D53" i="19" s="1"/>
  <c r="I14" i="19"/>
  <c r="M30" i="19"/>
  <c r="F14" i="19"/>
  <c r="J30" i="19"/>
  <c r="D14" i="19"/>
  <c r="H30" i="19"/>
  <c r="L46" i="19"/>
  <c r="E30" i="19"/>
  <c r="I46" i="19"/>
  <c r="I47" i="19" s="1"/>
  <c r="I49" i="19" s="1"/>
  <c r="I51" i="19" s="1"/>
  <c r="I53" i="19" s="1"/>
  <c r="N14" i="19"/>
  <c r="F46" i="19"/>
  <c r="F47" i="19" s="1"/>
  <c r="F49" i="19" s="1"/>
  <c r="F51" i="19" s="1"/>
  <c r="F53" i="19" s="1"/>
  <c r="F60" i="19" s="1"/>
  <c r="D30" i="19"/>
  <c r="H46" i="19"/>
  <c r="H47" i="19" s="1"/>
  <c r="H49" i="19" s="1"/>
  <c r="H51" i="19" s="1"/>
  <c r="H53" i="19" s="1"/>
  <c r="H60" i="19" s="1"/>
  <c r="M14" i="19"/>
  <c r="E46" i="19"/>
  <c r="E47" i="19" s="1"/>
  <c r="E49" i="19" s="1"/>
  <c r="E51" i="19" s="1"/>
  <c r="E53" i="19" s="1"/>
  <c r="E60" i="19" s="1"/>
  <c r="J14" i="19"/>
  <c r="N30" i="19"/>
  <c r="E49" i="3"/>
  <c r="E51" i="3" s="1"/>
  <c r="E53" i="3" s="1"/>
  <c r="C55" i="3"/>
  <c r="F33" i="3"/>
  <c r="F35" i="3" s="1"/>
  <c r="F37" i="3" s="1"/>
  <c r="I33" i="3"/>
  <c r="I35" i="3" s="1"/>
  <c r="I37" i="3" s="1"/>
  <c r="D49" i="3"/>
  <c r="D51" i="3" s="1"/>
  <c r="D53" i="3" s="1"/>
  <c r="H33" i="3"/>
  <c r="H35" i="3" s="1"/>
  <c r="H37" i="3" s="1"/>
  <c r="K33" i="3"/>
  <c r="K35" i="3" s="1"/>
  <c r="K37" i="3" s="1"/>
  <c r="I49" i="3"/>
  <c r="I51" i="3" s="1"/>
  <c r="I53" i="3" s="1"/>
  <c r="E33" i="3"/>
  <c r="E35" i="3" s="1"/>
  <c r="E37" i="3" s="1"/>
  <c r="E57" i="3" s="1"/>
  <c r="J33" i="3"/>
  <c r="J35" i="3" s="1"/>
  <c r="J37" i="3" s="1"/>
  <c r="J57" i="3" s="1"/>
  <c r="I17" i="3"/>
  <c r="I19" i="3" s="1"/>
  <c r="I21" i="3" s="1"/>
  <c r="H17" i="3"/>
  <c r="H19" i="3" s="1"/>
  <c r="H21" i="3" s="1"/>
  <c r="F17" i="3"/>
  <c r="F19" i="3" s="1"/>
  <c r="F21" i="3" s="1"/>
  <c r="M17" i="3"/>
  <c r="M19" i="3" s="1"/>
  <c r="M21" i="3" s="1"/>
  <c r="D17" i="3"/>
  <c r="D19" i="3" s="1"/>
  <c r="D21" i="3" s="1"/>
  <c r="C22" i="13"/>
  <c r="E21" i="13"/>
  <c r="E22" i="13" s="1"/>
  <c r="G60" i="19" l="1"/>
  <c r="C60" i="19"/>
  <c r="J55" i="19"/>
  <c r="E55" i="19"/>
  <c r="K55" i="19"/>
  <c r="F55" i="19"/>
  <c r="F61" i="19" s="1"/>
  <c r="G55" i="19"/>
  <c r="D55" i="19"/>
  <c r="I55" i="19"/>
  <c r="H55" i="19"/>
  <c r="C55" i="19"/>
  <c r="C61" i="19" s="1"/>
  <c r="L47" i="19"/>
  <c r="L48" i="19"/>
  <c r="L33" i="3"/>
  <c r="L35" i="3" s="1"/>
  <c r="L37" i="3" s="1"/>
  <c r="L57" i="3" s="1"/>
  <c r="M44" i="19"/>
  <c r="M45" i="19" s="1"/>
  <c r="M48" i="19" s="1"/>
  <c r="M45" i="3"/>
  <c r="M48" i="3" s="1"/>
  <c r="M47" i="3"/>
  <c r="M44" i="18"/>
  <c r="M29" i="3"/>
  <c r="M32" i="3" s="1"/>
  <c r="I60" i="19"/>
  <c r="N44" i="18"/>
  <c r="N29" i="3"/>
  <c r="N32" i="3" s="1"/>
  <c r="L47" i="3"/>
  <c r="L49" i="3" s="1"/>
  <c r="L51" i="3" s="1"/>
  <c r="L53" i="3" s="1"/>
  <c r="J55" i="3"/>
  <c r="I55" i="3"/>
  <c r="K57" i="3"/>
  <c r="D55" i="3"/>
  <c r="D60" i="19"/>
  <c r="M47" i="19"/>
  <c r="M49" i="19" s="1"/>
  <c r="M51" i="19" s="1"/>
  <c r="M53" i="19" s="1"/>
  <c r="N31" i="3"/>
  <c r="N33" i="3" s="1"/>
  <c r="N35" i="3" s="1"/>
  <c r="N37" i="3" s="1"/>
  <c r="N44" i="19"/>
  <c r="N45" i="19" s="1"/>
  <c r="N45" i="3"/>
  <c r="C39" i="3"/>
  <c r="C57" i="3"/>
  <c r="I39" i="3"/>
  <c r="L39" i="3"/>
  <c r="J39" i="3"/>
  <c r="F39" i="3"/>
  <c r="D39" i="3"/>
  <c r="H39" i="3"/>
  <c r="K39" i="3"/>
  <c r="G39" i="3"/>
  <c r="E39" i="3"/>
  <c r="H57" i="3"/>
  <c r="F57" i="3"/>
  <c r="H55" i="3"/>
  <c r="I57" i="3"/>
  <c r="G55" i="3"/>
  <c r="L55" i="3"/>
  <c r="F55" i="3"/>
  <c r="K55" i="3"/>
  <c r="E55" i="3"/>
  <c r="N23" i="3"/>
  <c r="K23" i="3"/>
  <c r="L23" i="3"/>
  <c r="J23" i="3"/>
  <c r="M23" i="3"/>
  <c r="G23" i="3"/>
  <c r="E23" i="3"/>
  <c r="F23" i="3"/>
  <c r="I23" i="3"/>
  <c r="H23" i="3"/>
  <c r="C23" i="3"/>
  <c r="D23" i="3"/>
  <c r="E33" i="10"/>
  <c r="D11" i="26" s="1"/>
  <c r="D13" i="26" s="1"/>
  <c r="C13" i="1" s="1"/>
  <c r="D14" i="1" s="1"/>
  <c r="B36" i="12"/>
  <c r="B37" i="12" s="1"/>
  <c r="B38" i="12" s="1"/>
  <c r="B39" i="12" s="1"/>
  <c r="B40" i="12" s="1"/>
  <c r="B41" i="12" s="1"/>
  <c r="B42" i="12" s="1"/>
  <c r="B35" i="12"/>
  <c r="B33" i="12"/>
  <c r="B32" i="12"/>
  <c r="B31" i="12"/>
  <c r="B29" i="12"/>
  <c r="B28" i="12"/>
  <c r="B27" i="12"/>
  <c r="B25" i="12"/>
  <c r="E21" i="10"/>
  <c r="B24" i="12"/>
  <c r="B23" i="12"/>
  <c r="B22" i="12"/>
  <c r="B21" i="12"/>
  <c r="B20" i="12"/>
  <c r="B19" i="12"/>
  <c r="B18" i="12"/>
  <c r="B17" i="12"/>
  <c r="H16" i="12"/>
  <c r="F16" i="12"/>
  <c r="F17" i="12" s="1"/>
  <c r="F18" i="12" s="1"/>
  <c r="G16" i="12"/>
  <c r="I16" i="12" s="1"/>
  <c r="B16" i="12"/>
  <c r="B38" i="11"/>
  <c r="B39" i="11" s="1"/>
  <c r="B37" i="11"/>
  <c r="B36" i="11"/>
  <c r="B34" i="11"/>
  <c r="B33" i="11"/>
  <c r="B28" i="10" s="1"/>
  <c r="B32" i="11"/>
  <c r="D30" i="11" s="1"/>
  <c r="B30" i="11"/>
  <c r="B29" i="11"/>
  <c r="B24" i="10" s="1"/>
  <c r="B28" i="11"/>
  <c r="D27" i="11"/>
  <c r="B26" i="11"/>
  <c r="B24" i="11"/>
  <c r="B22" i="11"/>
  <c r="B20" i="11"/>
  <c r="E14" i="10"/>
  <c r="B19" i="11"/>
  <c r="F18" i="11"/>
  <c r="F19" i="11" s="1"/>
  <c r="F20" i="11" s="1"/>
  <c r="F21" i="11" s="1"/>
  <c r="F22" i="11" s="1"/>
  <c r="F23" i="11" s="1"/>
  <c r="F24" i="11" s="1"/>
  <c r="F25" i="11" s="1"/>
  <c r="F26" i="11" s="1"/>
  <c r="G18" i="11"/>
  <c r="I18" i="11" s="1"/>
  <c r="B18" i="11"/>
  <c r="L9" i="11"/>
  <c r="C33" i="10"/>
  <c r="E32" i="10"/>
  <c r="C32" i="10"/>
  <c r="B32" i="10"/>
  <c r="E31" i="10"/>
  <c r="E30" i="10"/>
  <c r="C30" i="10"/>
  <c r="E29" i="10"/>
  <c r="C29" i="10"/>
  <c r="E28" i="10"/>
  <c r="C28" i="10"/>
  <c r="E27" i="10"/>
  <c r="C27" i="10"/>
  <c r="E26" i="10"/>
  <c r="C26" i="10"/>
  <c r="C25" i="10"/>
  <c r="E24" i="10"/>
  <c r="C24" i="10"/>
  <c r="E23" i="10"/>
  <c r="E22" i="10"/>
  <c r="C22" i="10"/>
  <c r="D21" i="10"/>
  <c r="C21" i="10"/>
  <c r="E20" i="10"/>
  <c r="D20" i="10"/>
  <c r="E19" i="10"/>
  <c r="D19" i="10"/>
  <c r="C19" i="10"/>
  <c r="E18" i="10"/>
  <c r="D18" i="10"/>
  <c r="C18" i="10"/>
  <c r="E17" i="10"/>
  <c r="D17" i="10"/>
  <c r="C17" i="10"/>
  <c r="E16" i="10"/>
  <c r="D16" i="10"/>
  <c r="E15" i="10"/>
  <c r="D15" i="10"/>
  <c r="C15" i="10"/>
  <c r="D14" i="10"/>
  <c r="C14" i="10"/>
  <c r="E13" i="10"/>
  <c r="G13" i="10" s="1"/>
  <c r="D13" i="10"/>
  <c r="F13" i="10" s="1"/>
  <c r="C13" i="10"/>
  <c r="I58" i="3" l="1"/>
  <c r="N48" i="19"/>
  <c r="N47" i="19"/>
  <c r="N49" i="19" s="1"/>
  <c r="N51" i="19" s="1"/>
  <c r="N53" i="19" s="1"/>
  <c r="N60" i="19" s="1"/>
  <c r="K61" i="19"/>
  <c r="B34" i="10"/>
  <c r="B40" i="11"/>
  <c r="I61" i="19"/>
  <c r="D48" i="12"/>
  <c r="D44" i="12"/>
  <c r="D32" i="12"/>
  <c r="D55" i="12"/>
  <c r="D43" i="12"/>
  <c r="D39" i="12"/>
  <c r="D54" i="12"/>
  <c r="D50" i="12"/>
  <c r="D38" i="12"/>
  <c r="D34" i="12"/>
  <c r="D45" i="12"/>
  <c r="D41" i="12"/>
  <c r="B43" i="12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N57" i="3"/>
  <c r="M49" i="3"/>
  <c r="M51" i="3" s="1"/>
  <c r="M53" i="3" s="1"/>
  <c r="M55" i="3" s="1"/>
  <c r="L49" i="19"/>
  <c r="L51" i="19" s="1"/>
  <c r="L53" i="19" s="1"/>
  <c r="H61" i="19"/>
  <c r="D61" i="19"/>
  <c r="E61" i="19"/>
  <c r="N48" i="3"/>
  <c r="N47" i="3"/>
  <c r="N49" i="3" s="1"/>
  <c r="N51" i="3" s="1"/>
  <c r="N53" i="3" s="1"/>
  <c r="N39" i="3"/>
  <c r="M60" i="19"/>
  <c r="M31" i="3"/>
  <c r="M33" i="3" s="1"/>
  <c r="M35" i="3" s="1"/>
  <c r="M37" i="3" s="1"/>
  <c r="G61" i="19"/>
  <c r="J61" i="19"/>
  <c r="G17" i="12"/>
  <c r="B17" i="10"/>
  <c r="B19" i="10"/>
  <c r="J16" i="12"/>
  <c r="K16" i="12" s="1"/>
  <c r="L16" i="12" s="1"/>
  <c r="B13" i="10"/>
  <c r="H17" i="12"/>
  <c r="B15" i="10"/>
  <c r="D31" i="11"/>
  <c r="D29" i="11"/>
  <c r="F14" i="10"/>
  <c r="F15" i="10" s="1"/>
  <c r="F16" i="10" s="1"/>
  <c r="F17" i="10" s="1"/>
  <c r="F18" i="10" s="1"/>
  <c r="F19" i="10" s="1"/>
  <c r="F20" i="10" s="1"/>
  <c r="F21" i="10" s="1"/>
  <c r="B21" i="10"/>
  <c r="G14" i="10"/>
  <c r="G15" i="10" s="1"/>
  <c r="G16" i="10" s="1"/>
  <c r="G17" i="10" s="1"/>
  <c r="G18" i="10" s="1"/>
  <c r="G19" i="10" s="1"/>
  <c r="H13" i="10"/>
  <c r="H18" i="11"/>
  <c r="J18" i="11" s="1"/>
  <c r="K18" i="11" s="1"/>
  <c r="D32" i="11"/>
  <c r="I14" i="10"/>
  <c r="I13" i="10"/>
  <c r="J13" i="10" s="1"/>
  <c r="D28" i="11"/>
  <c r="D58" i="3"/>
  <c r="L58" i="3"/>
  <c r="G58" i="3"/>
  <c r="F58" i="3"/>
  <c r="K58" i="3"/>
  <c r="J58" i="3"/>
  <c r="E58" i="3"/>
  <c r="H58" i="3"/>
  <c r="C58" i="3"/>
  <c r="F27" i="11"/>
  <c r="H22" i="11"/>
  <c r="H26" i="11"/>
  <c r="B14" i="10"/>
  <c r="B25" i="10"/>
  <c r="B33" i="10"/>
  <c r="H19" i="11"/>
  <c r="B31" i="11"/>
  <c r="B35" i="11"/>
  <c r="E25" i="10"/>
  <c r="E55" i="10" s="1"/>
  <c r="B21" i="11"/>
  <c r="B25" i="11"/>
  <c r="G18" i="12"/>
  <c r="I17" i="12"/>
  <c r="J17" i="12" s="1"/>
  <c r="B34" i="12"/>
  <c r="C31" i="10"/>
  <c r="B29" i="10"/>
  <c r="G19" i="11"/>
  <c r="G20" i="11" s="1"/>
  <c r="B26" i="12"/>
  <c r="B58" i="12" s="1"/>
  <c r="C23" i="10"/>
  <c r="C16" i="10"/>
  <c r="C20" i="10"/>
  <c r="B23" i="11"/>
  <c r="H24" i="11"/>
  <c r="B27" i="11"/>
  <c r="H20" i="11"/>
  <c r="F19" i="12"/>
  <c r="F20" i="12" s="1"/>
  <c r="H18" i="12"/>
  <c r="B30" i="12"/>
  <c r="D56" i="12" s="1"/>
  <c r="B41" i="11" l="1"/>
  <c r="B35" i="10"/>
  <c r="M39" i="3"/>
  <c r="M58" i="3" s="1"/>
  <c r="M57" i="3"/>
  <c r="L60" i="19"/>
  <c r="M55" i="19"/>
  <c r="M61" i="19" s="1"/>
  <c r="N55" i="19"/>
  <c r="L55" i="19"/>
  <c r="L61" i="19" s="1"/>
  <c r="D33" i="12"/>
  <c r="D49" i="12"/>
  <c r="D42" i="12"/>
  <c r="D31" i="12"/>
  <c r="D47" i="12"/>
  <c r="D36" i="12"/>
  <c r="D52" i="12"/>
  <c r="D37" i="12"/>
  <c r="D53" i="12"/>
  <c r="D46" i="12"/>
  <c r="D35" i="12"/>
  <c r="D51" i="12"/>
  <c r="D40" i="12"/>
  <c r="N55" i="3"/>
  <c r="N58" i="3" s="1"/>
  <c r="K17" i="12"/>
  <c r="L17" i="12" s="1"/>
  <c r="I15" i="10"/>
  <c r="H19" i="10"/>
  <c r="H14" i="10"/>
  <c r="J14" i="10" s="1"/>
  <c r="F28" i="11"/>
  <c r="H28" i="11" s="1"/>
  <c r="H15" i="10"/>
  <c r="H17" i="10"/>
  <c r="H21" i="10"/>
  <c r="I17" i="10"/>
  <c r="I16" i="10"/>
  <c r="I18" i="10"/>
  <c r="L18" i="11"/>
  <c r="K13" i="10"/>
  <c r="L13" i="10" s="1"/>
  <c r="I19" i="11"/>
  <c r="J19" i="11" s="1"/>
  <c r="K19" i="11" s="1"/>
  <c r="K14" i="10" s="1"/>
  <c r="B26" i="10"/>
  <c r="H19" i="12"/>
  <c r="F21" i="12"/>
  <c r="H20" i="12"/>
  <c r="B22" i="10"/>
  <c r="H27" i="11"/>
  <c r="H23" i="11"/>
  <c r="B18" i="10"/>
  <c r="H18" i="10" s="1"/>
  <c r="H25" i="11"/>
  <c r="B20" i="10"/>
  <c r="H20" i="10" s="1"/>
  <c r="C55" i="10"/>
  <c r="D29" i="12"/>
  <c r="D26" i="10" s="1"/>
  <c r="D25" i="12"/>
  <c r="D28" i="12"/>
  <c r="D25" i="10" s="1"/>
  <c r="D26" i="12"/>
  <c r="D23" i="10" s="1"/>
  <c r="D30" i="12"/>
  <c r="D27" i="10" s="1"/>
  <c r="D27" i="12"/>
  <c r="D24" i="10" s="1"/>
  <c r="B27" i="10"/>
  <c r="L19" i="11"/>
  <c r="B23" i="10"/>
  <c r="H21" i="11"/>
  <c r="B16" i="10"/>
  <c r="H16" i="10" s="1"/>
  <c r="B30" i="10"/>
  <c r="G20" i="10"/>
  <c r="G21" i="10" s="1"/>
  <c r="I19" i="10"/>
  <c r="J19" i="10" s="1"/>
  <c r="G21" i="11"/>
  <c r="I20" i="11"/>
  <c r="J20" i="11" s="1"/>
  <c r="B31" i="10"/>
  <c r="G19" i="12"/>
  <c r="I18" i="12"/>
  <c r="J18" i="12" s="1"/>
  <c r="K18" i="12" s="1"/>
  <c r="L18" i="12" s="1"/>
  <c r="N61" i="19" l="1"/>
  <c r="B42" i="11"/>
  <c r="B36" i="10"/>
  <c r="J15" i="10"/>
  <c r="D58" i="12"/>
  <c r="J16" i="10"/>
  <c r="F29" i="11"/>
  <c r="F30" i="11" s="1"/>
  <c r="J17" i="10"/>
  <c r="J18" i="10"/>
  <c r="L14" i="10"/>
  <c r="K20" i="11"/>
  <c r="L20" i="11" s="1"/>
  <c r="G22" i="10"/>
  <c r="I21" i="10"/>
  <c r="I20" i="10"/>
  <c r="J20" i="10" s="1"/>
  <c r="B55" i="10"/>
  <c r="G20" i="12"/>
  <c r="I19" i="12"/>
  <c r="J19" i="12" s="1"/>
  <c r="K19" i="12" s="1"/>
  <c r="L19" i="12" s="1"/>
  <c r="G22" i="11"/>
  <c r="I21" i="11"/>
  <c r="J21" i="11" s="1"/>
  <c r="D22" i="10"/>
  <c r="F22" i="12"/>
  <c r="H21" i="12"/>
  <c r="B43" i="11" l="1"/>
  <c r="B37" i="10"/>
  <c r="H29" i="11"/>
  <c r="K21" i="11"/>
  <c r="K15" i="10"/>
  <c r="L15" i="10" s="1"/>
  <c r="K16" i="10"/>
  <c r="L21" i="11"/>
  <c r="G23" i="11"/>
  <c r="I22" i="11"/>
  <c r="J22" i="11" s="1"/>
  <c r="K22" i="11" s="1"/>
  <c r="J21" i="10"/>
  <c r="F23" i="12"/>
  <c r="H22" i="12"/>
  <c r="F22" i="10"/>
  <c r="I20" i="12"/>
  <c r="J20" i="12" s="1"/>
  <c r="K20" i="12" s="1"/>
  <c r="L20" i="12" s="1"/>
  <c r="G21" i="12"/>
  <c r="G23" i="10"/>
  <c r="I22" i="10"/>
  <c r="F31" i="11"/>
  <c r="H30" i="11"/>
  <c r="B44" i="11" l="1"/>
  <c r="B38" i="10"/>
  <c r="L16" i="10"/>
  <c r="F32" i="11"/>
  <c r="H31" i="11"/>
  <c r="G24" i="10"/>
  <c r="I23" i="10"/>
  <c r="G22" i="12"/>
  <c r="I21" i="12"/>
  <c r="J21" i="12" s="1"/>
  <c r="K21" i="12" s="1"/>
  <c r="L21" i="12" s="1"/>
  <c r="L22" i="11"/>
  <c r="K17" i="10"/>
  <c r="L17" i="10" s="1"/>
  <c r="F24" i="12"/>
  <c r="H23" i="12"/>
  <c r="G24" i="11"/>
  <c r="I23" i="11"/>
  <c r="J23" i="11" s="1"/>
  <c r="K23" i="11" s="1"/>
  <c r="F23" i="10"/>
  <c r="H22" i="10"/>
  <c r="J22" i="10" s="1"/>
  <c r="B45" i="11" l="1"/>
  <c r="D58" i="11"/>
  <c r="D53" i="10" s="1"/>
  <c r="D54" i="11"/>
  <c r="D49" i="10" s="1"/>
  <c r="D50" i="11"/>
  <c r="D45" i="10" s="1"/>
  <c r="D46" i="11"/>
  <c r="D41" i="10" s="1"/>
  <c r="D41" i="11"/>
  <c r="D36" i="10" s="1"/>
  <c r="D37" i="11"/>
  <c r="D32" i="10" s="1"/>
  <c r="D33" i="11"/>
  <c r="D28" i="10" s="1"/>
  <c r="D57" i="11"/>
  <c r="D52" i="10" s="1"/>
  <c r="D53" i="11"/>
  <c r="D48" i="10" s="1"/>
  <c r="D49" i="11"/>
  <c r="D44" i="10" s="1"/>
  <c r="D45" i="11"/>
  <c r="D40" i="10" s="1"/>
  <c r="D44" i="11"/>
  <c r="D39" i="10" s="1"/>
  <c r="D40" i="11"/>
  <c r="D35" i="10" s="1"/>
  <c r="D36" i="11"/>
  <c r="D31" i="10" s="1"/>
  <c r="B39" i="10"/>
  <c r="D56" i="11"/>
  <c r="D51" i="10" s="1"/>
  <c r="D52" i="11"/>
  <c r="D47" i="10" s="1"/>
  <c r="D48" i="11"/>
  <c r="D43" i="10" s="1"/>
  <c r="D43" i="11"/>
  <c r="D38" i="10" s="1"/>
  <c r="D39" i="11"/>
  <c r="D34" i="10" s="1"/>
  <c r="D35" i="11"/>
  <c r="D30" i="10" s="1"/>
  <c r="D55" i="11"/>
  <c r="D50" i="10" s="1"/>
  <c r="D51" i="11"/>
  <c r="D46" i="10" s="1"/>
  <c r="D47" i="11"/>
  <c r="D42" i="10" s="1"/>
  <c r="D42" i="11"/>
  <c r="D37" i="10" s="1"/>
  <c r="D38" i="11"/>
  <c r="D33" i="10" s="1"/>
  <c r="D34" i="11"/>
  <c r="D29" i="10" s="1"/>
  <c r="H32" i="11"/>
  <c r="F33" i="11"/>
  <c r="L23" i="11"/>
  <c r="K18" i="10"/>
  <c r="L18" i="10" s="1"/>
  <c r="H24" i="12"/>
  <c r="F25" i="12"/>
  <c r="G23" i="12"/>
  <c r="I22" i="12"/>
  <c r="J22" i="12" s="1"/>
  <c r="K22" i="12" s="1"/>
  <c r="L22" i="12" s="1"/>
  <c r="G25" i="11"/>
  <c r="I24" i="11"/>
  <c r="J24" i="11" s="1"/>
  <c r="K24" i="11" s="1"/>
  <c r="G25" i="10"/>
  <c r="I24" i="10"/>
  <c r="F24" i="10"/>
  <c r="H23" i="10"/>
  <c r="J23" i="10" s="1"/>
  <c r="B46" i="11" l="1"/>
  <c r="B40" i="10"/>
  <c r="D55" i="10"/>
  <c r="G26" i="11"/>
  <c r="I25" i="11"/>
  <c r="J25" i="11" s="1"/>
  <c r="K25" i="11" s="1"/>
  <c r="L24" i="11"/>
  <c r="K19" i="10"/>
  <c r="L19" i="10" s="1"/>
  <c r="F25" i="10"/>
  <c r="H24" i="10"/>
  <c r="J24" i="10" s="1"/>
  <c r="F26" i="12"/>
  <c r="H25" i="12"/>
  <c r="F34" i="11"/>
  <c r="H33" i="11"/>
  <c r="G26" i="10"/>
  <c r="I25" i="10"/>
  <c r="G24" i="12"/>
  <c r="I23" i="12"/>
  <c r="J23" i="12" s="1"/>
  <c r="K23" i="12" s="1"/>
  <c r="L23" i="12" s="1"/>
  <c r="B47" i="11" l="1"/>
  <c r="B41" i="10"/>
  <c r="I24" i="12"/>
  <c r="G25" i="12"/>
  <c r="F35" i="11"/>
  <c r="H34" i="11"/>
  <c r="F26" i="10"/>
  <c r="H25" i="10"/>
  <c r="J25" i="10" s="1"/>
  <c r="K20" i="10"/>
  <c r="L20" i="10" s="1"/>
  <c r="L25" i="11"/>
  <c r="G27" i="10"/>
  <c r="I26" i="10"/>
  <c r="F27" i="12"/>
  <c r="H26" i="12"/>
  <c r="I26" i="11"/>
  <c r="G27" i="11"/>
  <c r="B48" i="11" l="1"/>
  <c r="B42" i="10"/>
  <c r="G28" i="11"/>
  <c r="I27" i="11"/>
  <c r="J27" i="11" s="1"/>
  <c r="F36" i="11"/>
  <c r="H35" i="11"/>
  <c r="J26" i="11"/>
  <c r="K26" i="11" s="1"/>
  <c r="I27" i="10"/>
  <c r="G28" i="10"/>
  <c r="I25" i="12"/>
  <c r="J25" i="12" s="1"/>
  <c r="G26" i="12"/>
  <c r="F27" i="10"/>
  <c r="H26" i="10"/>
  <c r="J26" i="10" s="1"/>
  <c r="H27" i="12"/>
  <c r="F28" i="12"/>
  <c r="J24" i="12"/>
  <c r="K24" i="12" s="1"/>
  <c r="B49" i="11" l="1"/>
  <c r="B43" i="10"/>
  <c r="K25" i="12"/>
  <c r="L25" i="12" s="1"/>
  <c r="K27" i="11"/>
  <c r="L27" i="11" s="1"/>
  <c r="F29" i="12"/>
  <c r="H28" i="12"/>
  <c r="G27" i="12"/>
  <c r="I26" i="12"/>
  <c r="J26" i="12" s="1"/>
  <c r="L26" i="11"/>
  <c r="K21" i="10"/>
  <c r="F28" i="10"/>
  <c r="H27" i="10"/>
  <c r="J27" i="10" s="1"/>
  <c r="H36" i="11"/>
  <c r="F37" i="11"/>
  <c r="G29" i="11"/>
  <c r="I28" i="11"/>
  <c r="J28" i="11" s="1"/>
  <c r="L24" i="12"/>
  <c r="G29" i="10"/>
  <c r="I28" i="10"/>
  <c r="B50" i="11" l="1"/>
  <c r="B44" i="10"/>
  <c r="K26" i="12"/>
  <c r="L26" i="12" s="1"/>
  <c r="K22" i="10"/>
  <c r="K28" i="11"/>
  <c r="K23" i="10" s="1"/>
  <c r="L23" i="10" s="1"/>
  <c r="G28" i="12"/>
  <c r="I27" i="12"/>
  <c r="J27" i="12" s="1"/>
  <c r="K27" i="12" s="1"/>
  <c r="L27" i="12" s="1"/>
  <c r="G30" i="10"/>
  <c r="I29" i="10"/>
  <c r="I29" i="11"/>
  <c r="J29" i="11" s="1"/>
  <c r="G30" i="11"/>
  <c r="L21" i="10"/>
  <c r="L22" i="10"/>
  <c r="F38" i="11"/>
  <c r="F39" i="11" s="1"/>
  <c r="H37" i="11"/>
  <c r="F29" i="10"/>
  <c r="H28" i="10"/>
  <c r="J28" i="10" s="1"/>
  <c r="F30" i="12"/>
  <c r="H29" i="12"/>
  <c r="H39" i="11" l="1"/>
  <c r="F40" i="11"/>
  <c r="B51" i="11"/>
  <c r="B45" i="10"/>
  <c r="L28" i="11"/>
  <c r="K29" i="11"/>
  <c r="K24" i="10" s="1"/>
  <c r="L24" i="10" s="1"/>
  <c r="F30" i="10"/>
  <c r="H29" i="10"/>
  <c r="J29" i="10" s="1"/>
  <c r="G31" i="10"/>
  <c r="I30" i="10"/>
  <c r="I30" i="11"/>
  <c r="J30" i="11" s="1"/>
  <c r="K30" i="11" s="1"/>
  <c r="G31" i="11"/>
  <c r="F31" i="12"/>
  <c r="H30" i="12"/>
  <c r="H38" i="11"/>
  <c r="G29" i="12"/>
  <c r="I28" i="12"/>
  <c r="J28" i="12" s="1"/>
  <c r="K28" i="12" s="1"/>
  <c r="L28" i="12" s="1"/>
  <c r="B52" i="11" l="1"/>
  <c r="B46" i="10"/>
  <c r="F41" i="11"/>
  <c r="H40" i="11"/>
  <c r="L29" i="11"/>
  <c r="G32" i="11"/>
  <c r="I31" i="11"/>
  <c r="J31" i="11" s="1"/>
  <c r="K31" i="11" s="1"/>
  <c r="L30" i="11"/>
  <c r="K25" i="10"/>
  <c r="L25" i="10" s="1"/>
  <c r="F31" i="10"/>
  <c r="H30" i="10"/>
  <c r="J30" i="10" s="1"/>
  <c r="H31" i="12"/>
  <c r="F32" i="12"/>
  <c r="I29" i="12"/>
  <c r="J29" i="12" s="1"/>
  <c r="K29" i="12" s="1"/>
  <c r="L29" i="12" s="1"/>
  <c r="G30" i="12"/>
  <c r="G32" i="10"/>
  <c r="I31" i="10"/>
  <c r="H41" i="11" l="1"/>
  <c r="F42" i="11"/>
  <c r="B53" i="11"/>
  <c r="B47" i="10"/>
  <c r="G33" i="10"/>
  <c r="G34" i="10" s="1"/>
  <c r="I32" i="10"/>
  <c r="F33" i="12"/>
  <c r="H32" i="12"/>
  <c r="G31" i="12"/>
  <c r="I30" i="12"/>
  <c r="J30" i="12" s="1"/>
  <c r="K30" i="12" s="1"/>
  <c r="L30" i="12" s="1"/>
  <c r="L31" i="11"/>
  <c r="K26" i="10"/>
  <c r="L26" i="10" s="1"/>
  <c r="F32" i="10"/>
  <c r="H31" i="10"/>
  <c r="J31" i="10" s="1"/>
  <c r="G33" i="11"/>
  <c r="I32" i="11"/>
  <c r="J32" i="11" s="1"/>
  <c r="K32" i="11" s="1"/>
  <c r="B54" i="11" l="1"/>
  <c r="B48" i="10"/>
  <c r="G35" i="10"/>
  <c r="I34" i="10"/>
  <c r="H42" i="11"/>
  <c r="F43" i="11"/>
  <c r="F33" i="10"/>
  <c r="F34" i="10" s="1"/>
  <c r="H32" i="10"/>
  <c r="J32" i="10" s="1"/>
  <c r="K27" i="10"/>
  <c r="L27" i="10" s="1"/>
  <c r="L32" i="11"/>
  <c r="G32" i="12"/>
  <c r="I31" i="12"/>
  <c r="J31" i="12" s="1"/>
  <c r="K31" i="12" s="1"/>
  <c r="L31" i="12" s="1"/>
  <c r="I33" i="10"/>
  <c r="G55" i="10"/>
  <c r="I33" i="11"/>
  <c r="J33" i="11" s="1"/>
  <c r="K33" i="11" s="1"/>
  <c r="G34" i="11"/>
  <c r="F34" i="12"/>
  <c r="H33" i="12"/>
  <c r="G36" i="10" l="1"/>
  <c r="I35" i="10"/>
  <c r="F44" i="11"/>
  <c r="H43" i="11"/>
  <c r="F35" i="10"/>
  <c r="H34" i="10"/>
  <c r="J34" i="10" s="1"/>
  <c r="B55" i="11"/>
  <c r="B49" i="10"/>
  <c r="I34" i="11"/>
  <c r="J34" i="11" s="1"/>
  <c r="K34" i="11" s="1"/>
  <c r="G35" i="11"/>
  <c r="L33" i="11"/>
  <c r="K28" i="10"/>
  <c r="L28" i="10" s="1"/>
  <c r="G33" i="12"/>
  <c r="I32" i="12"/>
  <c r="J32" i="12" s="1"/>
  <c r="K32" i="12" s="1"/>
  <c r="L32" i="12" s="1"/>
  <c r="F55" i="10"/>
  <c r="H33" i="10"/>
  <c r="H55" i="10" s="1"/>
  <c r="F35" i="12"/>
  <c r="H34" i="12"/>
  <c r="I55" i="10"/>
  <c r="B56" i="11" l="1"/>
  <c r="B50" i="10"/>
  <c r="F45" i="11"/>
  <c r="H44" i="11"/>
  <c r="F36" i="10"/>
  <c r="H35" i="10"/>
  <c r="J35" i="10" s="1"/>
  <c r="G37" i="10"/>
  <c r="I36" i="10"/>
  <c r="J55" i="10"/>
  <c r="J33" i="10"/>
  <c r="G36" i="11"/>
  <c r="I35" i="11"/>
  <c r="J35" i="11" s="1"/>
  <c r="K35" i="11" s="1"/>
  <c r="F36" i="12"/>
  <c r="H35" i="12"/>
  <c r="I33" i="12"/>
  <c r="J33" i="12" s="1"/>
  <c r="K33" i="12" s="1"/>
  <c r="L33" i="12" s="1"/>
  <c r="G34" i="12"/>
  <c r="L34" i="11"/>
  <c r="K29" i="10"/>
  <c r="L29" i="10" s="1"/>
  <c r="F37" i="10" l="1"/>
  <c r="H36" i="10"/>
  <c r="J36" i="10" s="1"/>
  <c r="G38" i="10"/>
  <c r="I37" i="10"/>
  <c r="F46" i="11"/>
  <c r="H45" i="11"/>
  <c r="B57" i="11"/>
  <c r="B51" i="10"/>
  <c r="F58" i="12"/>
  <c r="F37" i="12"/>
  <c r="H36" i="12"/>
  <c r="H58" i="12" s="1"/>
  <c r="G35" i="12"/>
  <c r="I34" i="12"/>
  <c r="J34" i="12" s="1"/>
  <c r="K34" i="12" s="1"/>
  <c r="L34" i="12" s="1"/>
  <c r="K30" i="10"/>
  <c r="L30" i="10" s="1"/>
  <c r="L35" i="11"/>
  <c r="G37" i="11"/>
  <c r="I36" i="11"/>
  <c r="J36" i="11" s="1"/>
  <c r="K36" i="11" s="1"/>
  <c r="F47" i="11" l="1"/>
  <c r="H46" i="11"/>
  <c r="G39" i="10"/>
  <c r="I38" i="10"/>
  <c r="B58" i="11"/>
  <c r="B53" i="10" s="1"/>
  <c r="B52" i="10"/>
  <c r="F38" i="10"/>
  <c r="H37" i="10"/>
  <c r="J37" i="10" s="1"/>
  <c r="H37" i="12"/>
  <c r="F38" i="12"/>
  <c r="G38" i="11"/>
  <c r="G39" i="11" s="1"/>
  <c r="I37" i="11"/>
  <c r="J37" i="11" s="1"/>
  <c r="K37" i="11" s="1"/>
  <c r="G36" i="12"/>
  <c r="I35" i="12"/>
  <c r="J35" i="12" s="1"/>
  <c r="K35" i="12" s="1"/>
  <c r="L35" i="12" s="1"/>
  <c r="K31" i="10"/>
  <c r="L31" i="10" s="1"/>
  <c r="L36" i="11"/>
  <c r="G58" i="12" l="1"/>
  <c r="G37" i="12"/>
  <c r="G40" i="10"/>
  <c r="I39" i="10"/>
  <c r="I39" i="11"/>
  <c r="J39" i="11" s="1"/>
  <c r="G40" i="11"/>
  <c r="F39" i="10"/>
  <c r="H38" i="10"/>
  <c r="J38" i="10" s="1"/>
  <c r="F48" i="11"/>
  <c r="H47" i="11"/>
  <c r="H38" i="12"/>
  <c r="F39" i="12"/>
  <c r="I36" i="12"/>
  <c r="I58" i="12" s="1"/>
  <c r="J58" i="12" s="1"/>
  <c r="L37" i="11"/>
  <c r="K32" i="10"/>
  <c r="L32" i="10" s="1"/>
  <c r="I38" i="11"/>
  <c r="F49" i="11" l="1"/>
  <c r="H48" i="11"/>
  <c r="G41" i="11"/>
  <c r="I40" i="11"/>
  <c r="J40" i="11" s="1"/>
  <c r="G41" i="10"/>
  <c r="I40" i="10"/>
  <c r="F40" i="10"/>
  <c r="H39" i="10"/>
  <c r="J39" i="10" s="1"/>
  <c r="I37" i="12"/>
  <c r="J37" i="12" s="1"/>
  <c r="G38" i="12"/>
  <c r="F40" i="12"/>
  <c r="H39" i="12"/>
  <c r="J38" i="11"/>
  <c r="J36" i="12"/>
  <c r="G39" i="12" l="1"/>
  <c r="I38" i="12"/>
  <c r="J38" i="12" s="1"/>
  <c r="G42" i="11"/>
  <c r="I41" i="11"/>
  <c r="J41" i="11" s="1"/>
  <c r="G42" i="10"/>
  <c r="I41" i="10"/>
  <c r="F50" i="11"/>
  <c r="H49" i="11"/>
  <c r="F41" i="10"/>
  <c r="H40" i="10"/>
  <c r="J40" i="10" s="1"/>
  <c r="K36" i="12"/>
  <c r="K58" i="12" s="1"/>
  <c r="F41" i="12"/>
  <c r="H40" i="12"/>
  <c r="K38" i="11"/>
  <c r="K39" i="11" s="1"/>
  <c r="C27" i="19" l="1"/>
  <c r="G43" i="10"/>
  <c r="I42" i="10"/>
  <c r="I42" i="11"/>
  <c r="J42" i="11" s="1"/>
  <c r="G43" i="11"/>
  <c r="K33" i="10"/>
  <c r="L33" i="10" s="1"/>
  <c r="F42" i="10"/>
  <c r="H41" i="10"/>
  <c r="J41" i="10" s="1"/>
  <c r="L38" i="11"/>
  <c r="F51" i="11"/>
  <c r="H50" i="11"/>
  <c r="G40" i="12"/>
  <c r="I39" i="12"/>
  <c r="J39" i="12" s="1"/>
  <c r="L36" i="12"/>
  <c r="F42" i="12"/>
  <c r="H41" i="12"/>
  <c r="K37" i="12"/>
  <c r="K34" i="10" s="1"/>
  <c r="L34" i="10" s="1"/>
  <c r="L39" i="11"/>
  <c r="K40" i="11"/>
  <c r="K55" i="10"/>
  <c r="D27" i="19" l="1"/>
  <c r="G44" i="10"/>
  <c r="I43" i="10"/>
  <c r="I43" i="11"/>
  <c r="J43" i="11" s="1"/>
  <c r="G44" i="11"/>
  <c r="G41" i="12"/>
  <c r="I40" i="12"/>
  <c r="J40" i="12" s="1"/>
  <c r="K35" i="10"/>
  <c r="L35" i="10" s="1"/>
  <c r="F43" i="10"/>
  <c r="H42" i="10"/>
  <c r="J42" i="10" s="1"/>
  <c r="C11" i="19"/>
  <c r="F52" i="11"/>
  <c r="H51" i="11"/>
  <c r="L37" i="12"/>
  <c r="K38" i="12"/>
  <c r="F43" i="12"/>
  <c r="H42" i="12"/>
  <c r="L40" i="11"/>
  <c r="K41" i="11"/>
  <c r="E33" i="7"/>
  <c r="D7" i="26" s="1"/>
  <c r="D9" i="26" s="1"/>
  <c r="C10" i="1" s="1"/>
  <c r="D11" i="1" s="1"/>
  <c r="B36" i="9"/>
  <c r="B35" i="9"/>
  <c r="C31" i="7"/>
  <c r="B33" i="9"/>
  <c r="B32" i="9"/>
  <c r="B31" i="9"/>
  <c r="B29" i="9"/>
  <c r="B28" i="9"/>
  <c r="B27" i="9"/>
  <c r="E58" i="9"/>
  <c r="B25" i="9"/>
  <c r="E21" i="7"/>
  <c r="B24" i="9"/>
  <c r="B23" i="9"/>
  <c r="B21" i="9"/>
  <c r="E17" i="7"/>
  <c r="B20" i="9"/>
  <c r="B19" i="9"/>
  <c r="E15" i="7"/>
  <c r="B18" i="9"/>
  <c r="B17" i="9"/>
  <c r="F16" i="9"/>
  <c r="F17" i="9" s="1"/>
  <c r="H17" i="9" s="1"/>
  <c r="G16" i="9"/>
  <c r="G17" i="9" s="1"/>
  <c r="B16" i="9"/>
  <c r="B38" i="8"/>
  <c r="B39" i="8" s="1"/>
  <c r="B37" i="8"/>
  <c r="B32" i="7" s="1"/>
  <c r="B36" i="8"/>
  <c r="B34" i="8"/>
  <c r="B33" i="8"/>
  <c r="D32" i="8"/>
  <c r="B32" i="8"/>
  <c r="D29" i="8" s="1"/>
  <c r="D30" i="8"/>
  <c r="B30" i="8"/>
  <c r="B29" i="8"/>
  <c r="B28" i="8"/>
  <c r="D27" i="8"/>
  <c r="D26" i="8"/>
  <c r="B26" i="8"/>
  <c r="B25" i="8"/>
  <c r="B20" i="7" s="1"/>
  <c r="D24" i="8"/>
  <c r="B24" i="8"/>
  <c r="D23" i="8"/>
  <c r="D22" i="8"/>
  <c r="D17" i="7" s="1"/>
  <c r="B22" i="8"/>
  <c r="B17" i="7" s="1"/>
  <c r="B21" i="8"/>
  <c r="B20" i="8"/>
  <c r="B19" i="8"/>
  <c r="B14" i="7" s="1"/>
  <c r="G18" i="8"/>
  <c r="G19" i="8" s="1"/>
  <c r="G20" i="8" s="1"/>
  <c r="G21" i="8" s="1"/>
  <c r="F18" i="8"/>
  <c r="F19" i="8" s="1"/>
  <c r="F20" i="8" s="1"/>
  <c r="F21" i="8" s="1"/>
  <c r="F22" i="8" s="1"/>
  <c r="B18" i="8"/>
  <c r="L9" i="8"/>
  <c r="C33" i="7"/>
  <c r="B33" i="7"/>
  <c r="E32" i="7"/>
  <c r="C32" i="7"/>
  <c r="E31" i="7"/>
  <c r="E30" i="7"/>
  <c r="C30" i="7"/>
  <c r="E29" i="7"/>
  <c r="C29" i="7"/>
  <c r="B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C21" i="7"/>
  <c r="E20" i="7"/>
  <c r="C20" i="7"/>
  <c r="E19" i="7"/>
  <c r="E18" i="7"/>
  <c r="C18" i="7"/>
  <c r="C17" i="7"/>
  <c r="E16" i="7"/>
  <c r="D16" i="7"/>
  <c r="C16" i="7"/>
  <c r="D15" i="7"/>
  <c r="E14" i="7"/>
  <c r="D14" i="7"/>
  <c r="C14" i="7"/>
  <c r="E13" i="7"/>
  <c r="G13" i="7" s="1"/>
  <c r="G14" i="7" s="1"/>
  <c r="D13" i="7"/>
  <c r="F13" i="7" s="1"/>
  <c r="F14" i="7" s="1"/>
  <c r="C13" i="7"/>
  <c r="D27" i="9" l="1"/>
  <c r="F53" i="11"/>
  <c r="H52" i="11"/>
  <c r="G42" i="12"/>
  <c r="I41" i="12"/>
  <c r="J41" i="12" s="1"/>
  <c r="F23" i="8"/>
  <c r="B25" i="7"/>
  <c r="B40" i="8"/>
  <c r="D22" i="9"/>
  <c r="F44" i="10"/>
  <c r="H43" i="10"/>
  <c r="J43" i="10" s="1"/>
  <c r="E27" i="19"/>
  <c r="G45" i="10"/>
  <c r="I44" i="10"/>
  <c r="H16" i="9"/>
  <c r="G45" i="11"/>
  <c r="I44" i="11"/>
  <c r="J44" i="11" s="1"/>
  <c r="D11" i="19"/>
  <c r="B24" i="7"/>
  <c r="B37" i="9"/>
  <c r="B38" i="9" s="1"/>
  <c r="B39" i="9" s="1"/>
  <c r="B40" i="9" s="1"/>
  <c r="B41" i="9" s="1"/>
  <c r="B42" i="9" s="1"/>
  <c r="F44" i="12"/>
  <c r="H43" i="12"/>
  <c r="L38" i="12"/>
  <c r="K39" i="12"/>
  <c r="K36" i="10" s="1"/>
  <c r="L36" i="10" s="1"/>
  <c r="L41" i="11"/>
  <c r="K42" i="11"/>
  <c r="F18" i="9"/>
  <c r="F19" i="9" s="1"/>
  <c r="F20" i="9" s="1"/>
  <c r="H20" i="9" s="1"/>
  <c r="B28" i="7"/>
  <c r="I16" i="9"/>
  <c r="J16" i="9" s="1"/>
  <c r="K16" i="9" s="1"/>
  <c r="L16" i="9" s="1"/>
  <c r="B21" i="7"/>
  <c r="D19" i="7"/>
  <c r="D23" i="9"/>
  <c r="D26" i="9"/>
  <c r="H18" i="8"/>
  <c r="D28" i="8"/>
  <c r="D23" i="7" s="1"/>
  <c r="D31" i="8"/>
  <c r="I13" i="7"/>
  <c r="F24" i="8"/>
  <c r="H24" i="8" s="1"/>
  <c r="B16" i="7"/>
  <c r="I14" i="7"/>
  <c r="D24" i="7"/>
  <c r="B13" i="7"/>
  <c r="H13" i="7" s="1"/>
  <c r="F15" i="7"/>
  <c r="F16" i="7" s="1"/>
  <c r="F17" i="7" s="1"/>
  <c r="H17" i="7" s="1"/>
  <c r="H14" i="7"/>
  <c r="J14" i="7" s="1"/>
  <c r="I21" i="8"/>
  <c r="G22" i="8"/>
  <c r="G23" i="8" s="1"/>
  <c r="G24" i="8" s="1"/>
  <c r="B15" i="7"/>
  <c r="H20" i="8"/>
  <c r="G18" i="9"/>
  <c r="I17" i="9"/>
  <c r="J17" i="9" s="1"/>
  <c r="G15" i="7"/>
  <c r="G16" i="7" s="1"/>
  <c r="B23" i="8"/>
  <c r="H19" i="9"/>
  <c r="B22" i="9"/>
  <c r="I19" i="8"/>
  <c r="C15" i="7"/>
  <c r="C19" i="7"/>
  <c r="B35" i="8"/>
  <c r="B26" i="9"/>
  <c r="I20" i="8"/>
  <c r="H22" i="8"/>
  <c r="B27" i="8"/>
  <c r="B31" i="8"/>
  <c r="H19" i="8"/>
  <c r="D29" i="9"/>
  <c r="D26" i="7" s="1"/>
  <c r="D25" i="9"/>
  <c r="D21" i="9"/>
  <c r="D18" i="7" s="1"/>
  <c r="D28" i="9"/>
  <c r="D25" i="7" s="1"/>
  <c r="D24" i="9"/>
  <c r="D21" i="7" s="1"/>
  <c r="B34" i="9"/>
  <c r="I18" i="8"/>
  <c r="H21" i="8"/>
  <c r="B30" i="9"/>
  <c r="D53" i="9" s="1"/>
  <c r="C58" i="9"/>
  <c r="D25" i="8"/>
  <c r="D20" i="7" s="1"/>
  <c r="D51" i="9" l="1"/>
  <c r="D47" i="9"/>
  <c r="D56" i="9"/>
  <c r="D46" i="9"/>
  <c r="B41" i="8"/>
  <c r="B35" i="7"/>
  <c r="D55" i="9"/>
  <c r="D44" i="9"/>
  <c r="D45" i="9"/>
  <c r="D50" i="9"/>
  <c r="F45" i="10"/>
  <c r="H44" i="10"/>
  <c r="J44" i="10" s="1"/>
  <c r="B34" i="7"/>
  <c r="F54" i="11"/>
  <c r="H53" i="11"/>
  <c r="D43" i="9"/>
  <c r="D48" i="9"/>
  <c r="D49" i="9"/>
  <c r="D54" i="9"/>
  <c r="F27" i="19"/>
  <c r="G46" i="10"/>
  <c r="I45" i="10"/>
  <c r="D42" i="9"/>
  <c r="D38" i="9"/>
  <c r="D34" i="9"/>
  <c r="D41" i="9"/>
  <c r="D37" i="9"/>
  <c r="D33" i="9"/>
  <c r="D40" i="9"/>
  <c r="D36" i="9"/>
  <c r="D32" i="9"/>
  <c r="D31" i="9"/>
  <c r="D35" i="9"/>
  <c r="D39" i="9"/>
  <c r="B43" i="9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D52" i="9"/>
  <c r="G46" i="11"/>
  <c r="I45" i="11"/>
  <c r="J45" i="11" s="1"/>
  <c r="E11" i="19"/>
  <c r="G43" i="12"/>
  <c r="I42" i="12"/>
  <c r="J42" i="12" s="1"/>
  <c r="L39" i="12"/>
  <c r="K40" i="12"/>
  <c r="K37" i="10" s="1"/>
  <c r="L37" i="10" s="1"/>
  <c r="F45" i="12"/>
  <c r="H44" i="12"/>
  <c r="L42" i="11"/>
  <c r="K43" i="11"/>
  <c r="H18" i="9"/>
  <c r="K17" i="9"/>
  <c r="L17" i="9" s="1"/>
  <c r="H15" i="7"/>
  <c r="J18" i="8"/>
  <c r="K18" i="8" s="1"/>
  <c r="J13" i="7"/>
  <c r="I15" i="7"/>
  <c r="J15" i="7" s="1"/>
  <c r="I22" i="8"/>
  <c r="J22" i="8" s="1"/>
  <c r="I23" i="8"/>
  <c r="I18" i="9"/>
  <c r="J18" i="9" s="1"/>
  <c r="K18" i="9" s="1"/>
  <c r="L18" i="9" s="1"/>
  <c r="G19" i="9"/>
  <c r="D22" i="7"/>
  <c r="B30" i="7"/>
  <c r="H23" i="8"/>
  <c r="J23" i="8" s="1"/>
  <c r="B18" i="7"/>
  <c r="B31" i="7"/>
  <c r="J20" i="8"/>
  <c r="J19" i="8"/>
  <c r="K19" i="8" s="1"/>
  <c r="F25" i="8"/>
  <c r="J21" i="8"/>
  <c r="B27" i="7"/>
  <c r="D30" i="9"/>
  <c r="D27" i="7" s="1"/>
  <c r="B22" i="7"/>
  <c r="B23" i="7"/>
  <c r="B58" i="9"/>
  <c r="G17" i="7"/>
  <c r="I16" i="7"/>
  <c r="F18" i="7"/>
  <c r="F19" i="7" s="1"/>
  <c r="F20" i="7" s="1"/>
  <c r="L18" i="8"/>
  <c r="K13" i="7"/>
  <c r="L13" i="7" s="1"/>
  <c r="B26" i="7"/>
  <c r="B19" i="7"/>
  <c r="H16" i="7"/>
  <c r="F21" i="9"/>
  <c r="G25" i="8"/>
  <c r="I24" i="8"/>
  <c r="J24" i="8" s="1"/>
  <c r="F55" i="11" l="1"/>
  <c r="H54" i="11"/>
  <c r="B42" i="8"/>
  <c r="B36" i="7"/>
  <c r="G44" i="12"/>
  <c r="I43" i="12"/>
  <c r="J43" i="12" s="1"/>
  <c r="G47" i="11"/>
  <c r="I46" i="11"/>
  <c r="J46" i="11" s="1"/>
  <c r="G27" i="19"/>
  <c r="G47" i="10"/>
  <c r="I46" i="10"/>
  <c r="K38" i="10"/>
  <c r="L38" i="10" s="1"/>
  <c r="F11" i="19"/>
  <c r="F46" i="10"/>
  <c r="H45" i="10"/>
  <c r="J45" i="10" s="1"/>
  <c r="F46" i="12"/>
  <c r="H45" i="12"/>
  <c r="L40" i="12"/>
  <c r="K41" i="12"/>
  <c r="L43" i="11"/>
  <c r="K44" i="11"/>
  <c r="H19" i="7"/>
  <c r="K20" i="8"/>
  <c r="L20" i="8" s="1"/>
  <c r="I25" i="8"/>
  <c r="G26" i="8"/>
  <c r="G18" i="7"/>
  <c r="I17" i="7"/>
  <c r="J17" i="7" s="1"/>
  <c r="F26" i="8"/>
  <c r="H25" i="8"/>
  <c r="H18" i="7"/>
  <c r="G20" i="9"/>
  <c r="I19" i="9"/>
  <c r="J19" i="9" s="1"/>
  <c r="K19" i="9" s="1"/>
  <c r="L19" i="9" s="1"/>
  <c r="F22" i="9"/>
  <c r="H21" i="9"/>
  <c r="F21" i="7"/>
  <c r="H20" i="7"/>
  <c r="L19" i="8"/>
  <c r="K14" i="7"/>
  <c r="L14" i="7" s="1"/>
  <c r="D58" i="9"/>
  <c r="J16" i="7"/>
  <c r="F47" i="10" l="1"/>
  <c r="H46" i="10"/>
  <c r="J46" i="10" s="1"/>
  <c r="G11" i="19"/>
  <c r="G45" i="12"/>
  <c r="I44" i="12"/>
  <c r="J44" i="12" s="1"/>
  <c r="F56" i="11"/>
  <c r="H55" i="11"/>
  <c r="G48" i="11"/>
  <c r="I47" i="11"/>
  <c r="J47" i="11" s="1"/>
  <c r="H27" i="19"/>
  <c r="G48" i="10"/>
  <c r="I47" i="10"/>
  <c r="B43" i="8"/>
  <c r="B37" i="7"/>
  <c r="L41" i="12"/>
  <c r="K42" i="12"/>
  <c r="K39" i="10" s="1"/>
  <c r="L39" i="10" s="1"/>
  <c r="F47" i="12"/>
  <c r="H46" i="12"/>
  <c r="L44" i="11"/>
  <c r="K45" i="11"/>
  <c r="J25" i="8"/>
  <c r="K15" i="7"/>
  <c r="L15" i="7" s="1"/>
  <c r="K21" i="8"/>
  <c r="K22" i="8" s="1"/>
  <c r="F23" i="9"/>
  <c r="H22" i="9"/>
  <c r="F27" i="8"/>
  <c r="H26" i="8"/>
  <c r="F22" i="7"/>
  <c r="H21" i="7"/>
  <c r="I20" i="9"/>
  <c r="J20" i="9" s="1"/>
  <c r="K20" i="9" s="1"/>
  <c r="L20" i="9" s="1"/>
  <c r="G21" i="9"/>
  <c r="I26" i="8"/>
  <c r="G27" i="8"/>
  <c r="G19" i="7"/>
  <c r="I18" i="7"/>
  <c r="J18" i="7" s="1"/>
  <c r="I27" i="19" l="1"/>
  <c r="G49" i="10"/>
  <c r="I48" i="10"/>
  <c r="H11" i="19"/>
  <c r="F57" i="11"/>
  <c r="H56" i="11"/>
  <c r="B44" i="8"/>
  <c r="B38" i="7"/>
  <c r="G46" i="12"/>
  <c r="I45" i="12"/>
  <c r="J45" i="12" s="1"/>
  <c r="K17" i="7"/>
  <c r="G49" i="11"/>
  <c r="I48" i="11"/>
  <c r="J48" i="11" s="1"/>
  <c r="F48" i="10"/>
  <c r="H47" i="10"/>
  <c r="J47" i="10" s="1"/>
  <c r="F48" i="12"/>
  <c r="H47" i="12"/>
  <c r="L42" i="12"/>
  <c r="K43" i="12"/>
  <c r="K40" i="10" s="1"/>
  <c r="L40" i="10" s="1"/>
  <c r="L45" i="11"/>
  <c r="K46" i="11"/>
  <c r="L22" i="8"/>
  <c r="K16" i="7"/>
  <c r="L16" i="7" s="1"/>
  <c r="K23" i="8"/>
  <c r="K24" i="8" s="1"/>
  <c r="L21" i="8"/>
  <c r="G28" i="8"/>
  <c r="I27" i="8"/>
  <c r="F28" i="8"/>
  <c r="H27" i="8"/>
  <c r="G20" i="7"/>
  <c r="I19" i="7"/>
  <c r="J19" i="7" s="1"/>
  <c r="L23" i="8"/>
  <c r="J26" i="8"/>
  <c r="I21" i="9"/>
  <c r="J21" i="9" s="1"/>
  <c r="K21" i="9" s="1"/>
  <c r="L21" i="9" s="1"/>
  <c r="G22" i="9"/>
  <c r="F23" i="7"/>
  <c r="H22" i="7"/>
  <c r="F24" i="9"/>
  <c r="H23" i="9"/>
  <c r="F49" i="10" l="1"/>
  <c r="H48" i="10"/>
  <c r="J48" i="10" s="1"/>
  <c r="B45" i="8"/>
  <c r="D56" i="8"/>
  <c r="D51" i="7" s="1"/>
  <c r="D52" i="8"/>
  <c r="D47" i="7" s="1"/>
  <c r="D48" i="8"/>
  <c r="D43" i="7" s="1"/>
  <c r="D44" i="8"/>
  <c r="D39" i="7" s="1"/>
  <c r="D40" i="8"/>
  <c r="D35" i="7" s="1"/>
  <c r="D36" i="8"/>
  <c r="D31" i="7" s="1"/>
  <c r="D55" i="8"/>
  <c r="D50" i="7" s="1"/>
  <c r="D51" i="8"/>
  <c r="D46" i="7" s="1"/>
  <c r="D47" i="8"/>
  <c r="D42" i="7" s="1"/>
  <c r="D43" i="8"/>
  <c r="D38" i="7" s="1"/>
  <c r="D39" i="8"/>
  <c r="D34" i="7" s="1"/>
  <c r="D35" i="8"/>
  <c r="D30" i="7" s="1"/>
  <c r="D58" i="8"/>
  <c r="D53" i="7" s="1"/>
  <c r="D54" i="8"/>
  <c r="D49" i="7" s="1"/>
  <c r="D50" i="8"/>
  <c r="D45" i="7" s="1"/>
  <c r="D46" i="8"/>
  <c r="D41" i="7" s="1"/>
  <c r="D42" i="8"/>
  <c r="D37" i="7" s="1"/>
  <c r="D38" i="8"/>
  <c r="D33" i="7" s="1"/>
  <c r="D34" i="8"/>
  <c r="D29" i="7" s="1"/>
  <c r="D45" i="8"/>
  <c r="D40" i="7" s="1"/>
  <c r="D49" i="8"/>
  <c r="D44" i="7" s="1"/>
  <c r="D33" i="8"/>
  <c r="D28" i="7" s="1"/>
  <c r="D57" i="8"/>
  <c r="D52" i="7" s="1"/>
  <c r="D41" i="8"/>
  <c r="D36" i="7" s="1"/>
  <c r="D53" i="8"/>
  <c r="D48" i="7" s="1"/>
  <c r="D37" i="8"/>
  <c r="D32" i="7" s="1"/>
  <c r="B39" i="7"/>
  <c r="K18" i="7"/>
  <c r="L18" i="7" s="1"/>
  <c r="G47" i="12"/>
  <c r="I46" i="12"/>
  <c r="J46" i="12" s="1"/>
  <c r="J27" i="19"/>
  <c r="G50" i="10"/>
  <c r="I49" i="10"/>
  <c r="G50" i="11"/>
  <c r="I49" i="11"/>
  <c r="J49" i="11" s="1"/>
  <c r="I11" i="19"/>
  <c r="F58" i="11"/>
  <c r="H58" i="11" s="1"/>
  <c r="H57" i="11"/>
  <c r="L43" i="12"/>
  <c r="K44" i="12"/>
  <c r="K41" i="10" s="1"/>
  <c r="L41" i="10" s="1"/>
  <c r="F49" i="12"/>
  <c r="H48" i="12"/>
  <c r="L46" i="11"/>
  <c r="K47" i="11"/>
  <c r="J27" i="8"/>
  <c r="L17" i="7"/>
  <c r="F24" i="7"/>
  <c r="H23" i="7"/>
  <c r="F29" i="8"/>
  <c r="H28" i="8"/>
  <c r="F25" i="9"/>
  <c r="H24" i="9"/>
  <c r="G23" i="9"/>
  <c r="I22" i="9"/>
  <c r="J22" i="9" s="1"/>
  <c r="K22" i="9" s="1"/>
  <c r="L22" i="9" s="1"/>
  <c r="L24" i="8"/>
  <c r="K25" i="8"/>
  <c r="K26" i="8" s="1"/>
  <c r="G21" i="7"/>
  <c r="I20" i="7"/>
  <c r="J20" i="7" s="1"/>
  <c r="G29" i="8"/>
  <c r="I28" i="8"/>
  <c r="K27" i="19" l="1"/>
  <c r="G51" i="10"/>
  <c r="I50" i="10"/>
  <c r="G48" i="12"/>
  <c r="I47" i="12"/>
  <c r="J47" i="12" s="1"/>
  <c r="B46" i="8"/>
  <c r="B40" i="7"/>
  <c r="J11" i="19"/>
  <c r="G51" i="11"/>
  <c r="I50" i="11"/>
  <c r="J50" i="11" s="1"/>
  <c r="F50" i="10"/>
  <c r="H49" i="10"/>
  <c r="J49" i="10" s="1"/>
  <c r="F50" i="12"/>
  <c r="H49" i="12"/>
  <c r="L44" i="12"/>
  <c r="K45" i="12"/>
  <c r="K42" i="10" s="1"/>
  <c r="L47" i="11"/>
  <c r="K48" i="11"/>
  <c r="K27" i="8"/>
  <c r="J28" i="8"/>
  <c r="G22" i="7"/>
  <c r="I21" i="7"/>
  <c r="L27" i="8"/>
  <c r="F26" i="9"/>
  <c r="H25" i="9"/>
  <c r="L26" i="8"/>
  <c r="L25" i="8"/>
  <c r="I29" i="8"/>
  <c r="G30" i="8"/>
  <c r="K19" i="7"/>
  <c r="L19" i="7" s="1"/>
  <c r="G24" i="9"/>
  <c r="I23" i="9"/>
  <c r="J23" i="9" s="1"/>
  <c r="K23" i="9" s="1"/>
  <c r="L23" i="9" s="1"/>
  <c r="F25" i="7"/>
  <c r="H24" i="7"/>
  <c r="F30" i="8"/>
  <c r="H29" i="8"/>
  <c r="L42" i="10" l="1"/>
  <c r="C28" i="19"/>
  <c r="G52" i="11"/>
  <c r="I51" i="11"/>
  <c r="J51" i="11" s="1"/>
  <c r="K11" i="19"/>
  <c r="G49" i="12"/>
  <c r="I48" i="12"/>
  <c r="J48" i="12" s="1"/>
  <c r="F51" i="10"/>
  <c r="H50" i="10"/>
  <c r="J50" i="10"/>
  <c r="B47" i="8"/>
  <c r="B41" i="7"/>
  <c r="L27" i="19"/>
  <c r="G52" i="10"/>
  <c r="I51" i="10"/>
  <c r="L45" i="12"/>
  <c r="K46" i="12"/>
  <c r="K43" i="10" s="1"/>
  <c r="F51" i="12"/>
  <c r="H50" i="12"/>
  <c r="L48" i="11"/>
  <c r="K49" i="11"/>
  <c r="K28" i="8"/>
  <c r="F26" i="7"/>
  <c r="H25" i="7"/>
  <c r="I30" i="8"/>
  <c r="G31" i="8"/>
  <c r="L28" i="8"/>
  <c r="J21" i="7"/>
  <c r="F31" i="8"/>
  <c r="H30" i="8"/>
  <c r="J29" i="8"/>
  <c r="K29" i="8" s="1"/>
  <c r="F27" i="9"/>
  <c r="H26" i="9"/>
  <c r="G23" i="7"/>
  <c r="I22" i="7"/>
  <c r="J22" i="7" s="1"/>
  <c r="I24" i="9"/>
  <c r="G25" i="9"/>
  <c r="K20" i="7"/>
  <c r="L20" i="7" s="1"/>
  <c r="D28" i="19" l="1"/>
  <c r="L43" i="10"/>
  <c r="G50" i="12"/>
  <c r="I49" i="12"/>
  <c r="J49" i="12" s="1"/>
  <c r="M27" i="19"/>
  <c r="G53" i="10"/>
  <c r="I52" i="10"/>
  <c r="B48" i="8"/>
  <c r="B42" i="7"/>
  <c r="G53" i="11"/>
  <c r="I52" i="11"/>
  <c r="J52" i="11" s="1"/>
  <c r="L11" i="19"/>
  <c r="F52" i="10"/>
  <c r="H51" i="10"/>
  <c r="J51" i="10" s="1"/>
  <c r="C12" i="19"/>
  <c r="C13" i="19" s="1"/>
  <c r="C29" i="19"/>
  <c r="F52" i="12"/>
  <c r="H51" i="12"/>
  <c r="L46" i="12"/>
  <c r="K47" i="12"/>
  <c r="K44" i="10" s="1"/>
  <c r="L49" i="11"/>
  <c r="K50" i="11"/>
  <c r="J30" i="8"/>
  <c r="K30" i="8" s="1"/>
  <c r="L29" i="8"/>
  <c r="I25" i="9"/>
  <c r="J25" i="9" s="1"/>
  <c r="G26" i="9"/>
  <c r="G24" i="7"/>
  <c r="I23" i="7"/>
  <c r="J23" i="7" s="1"/>
  <c r="F32" i="8"/>
  <c r="H31" i="8"/>
  <c r="F27" i="7"/>
  <c r="H26" i="7"/>
  <c r="J24" i="9"/>
  <c r="K24" i="9" s="1"/>
  <c r="H27" i="9"/>
  <c r="F28" i="9"/>
  <c r="G32" i="8"/>
  <c r="I31" i="8"/>
  <c r="L44" i="10" l="1"/>
  <c r="E28" i="19"/>
  <c r="C31" i="19"/>
  <c r="C33" i="19" s="1"/>
  <c r="C35" i="19" s="1"/>
  <c r="C37" i="19" s="1"/>
  <c r="C32" i="19"/>
  <c r="F53" i="10"/>
  <c r="H53" i="10" s="1"/>
  <c r="H52" i="10"/>
  <c r="G54" i="11"/>
  <c r="I53" i="11"/>
  <c r="J53" i="11" s="1"/>
  <c r="J52" i="10"/>
  <c r="G51" i="12"/>
  <c r="I50" i="12"/>
  <c r="J50" i="12" s="1"/>
  <c r="C15" i="19"/>
  <c r="C16" i="19"/>
  <c r="C17" i="19" s="1"/>
  <c r="C19" i="19" s="1"/>
  <c r="C21" i="19" s="1"/>
  <c r="I53" i="10"/>
  <c r="N27" i="19"/>
  <c r="M11" i="19"/>
  <c r="B49" i="8"/>
  <c r="B43" i="7"/>
  <c r="D12" i="19"/>
  <c r="D13" i="19" s="1"/>
  <c r="D29" i="19"/>
  <c r="L47" i="12"/>
  <c r="K48" i="12"/>
  <c r="K45" i="10" s="1"/>
  <c r="F53" i="12"/>
  <c r="H52" i="12"/>
  <c r="L50" i="11"/>
  <c r="K51" i="11"/>
  <c r="J31" i="8"/>
  <c r="K31" i="8" s="1"/>
  <c r="L31" i="8" s="1"/>
  <c r="F28" i="7"/>
  <c r="H27" i="7"/>
  <c r="G25" i="7"/>
  <c r="I24" i="7"/>
  <c r="J24" i="7" s="1"/>
  <c r="L24" i="9"/>
  <c r="K21" i="7"/>
  <c r="G27" i="9"/>
  <c r="I26" i="9"/>
  <c r="J26" i="9" s="1"/>
  <c r="G33" i="8"/>
  <c r="I32" i="8"/>
  <c r="F33" i="8"/>
  <c r="H32" i="8"/>
  <c r="K25" i="9"/>
  <c r="F29" i="9"/>
  <c r="H28" i="9"/>
  <c r="L30" i="8"/>
  <c r="L45" i="10" l="1"/>
  <c r="F28" i="19"/>
  <c r="D16" i="19"/>
  <c r="D15" i="19"/>
  <c r="J53" i="10"/>
  <c r="C21" i="1"/>
  <c r="D22" i="1" s="1"/>
  <c r="C23" i="19"/>
  <c r="G55" i="11"/>
  <c r="I54" i="11"/>
  <c r="J54" i="11" s="1"/>
  <c r="C39" i="19"/>
  <c r="C58" i="19" s="1"/>
  <c r="C57" i="19"/>
  <c r="J32" i="8"/>
  <c r="G52" i="12"/>
  <c r="I51" i="12"/>
  <c r="J51" i="12" s="1"/>
  <c r="E12" i="19"/>
  <c r="E13" i="19" s="1"/>
  <c r="E29" i="19"/>
  <c r="D32" i="19"/>
  <c r="D31" i="19"/>
  <c r="B50" i="8"/>
  <c r="B44" i="7"/>
  <c r="N11" i="19"/>
  <c r="F54" i="12"/>
  <c r="H53" i="12"/>
  <c r="L48" i="12"/>
  <c r="K49" i="12"/>
  <c r="K46" i="10" s="1"/>
  <c r="L51" i="11"/>
  <c r="K52" i="11"/>
  <c r="K32" i="8"/>
  <c r="G28" i="9"/>
  <c r="I27" i="9"/>
  <c r="J27" i="9" s="1"/>
  <c r="F30" i="9"/>
  <c r="H29" i="9"/>
  <c r="L32" i="8"/>
  <c r="F29" i="7"/>
  <c r="H28" i="7"/>
  <c r="I33" i="8"/>
  <c r="G34" i="8"/>
  <c r="K26" i="9"/>
  <c r="G26" i="7"/>
  <c r="I25" i="7"/>
  <c r="J25" i="7" s="1"/>
  <c r="F34" i="8"/>
  <c r="H33" i="8"/>
  <c r="L21" i="7"/>
  <c r="L25" i="9"/>
  <c r="K22" i="7"/>
  <c r="L22" i="7" s="1"/>
  <c r="G28" i="19" l="1"/>
  <c r="L46" i="10"/>
  <c r="B51" i="8"/>
  <c r="B45" i="7"/>
  <c r="E16" i="19"/>
  <c r="E15" i="19"/>
  <c r="E17" i="19" s="1"/>
  <c r="E19" i="19" s="1"/>
  <c r="E21" i="19" s="1"/>
  <c r="D33" i="19"/>
  <c r="D35" i="19" s="1"/>
  <c r="D37" i="19" s="1"/>
  <c r="G53" i="12"/>
  <c r="I52" i="12"/>
  <c r="J52" i="12" s="1"/>
  <c r="F12" i="19"/>
  <c r="F13" i="19" s="1"/>
  <c r="F29" i="19"/>
  <c r="E31" i="19"/>
  <c r="E32" i="19"/>
  <c r="G56" i="11"/>
  <c r="I55" i="11"/>
  <c r="J55" i="11" s="1"/>
  <c r="D17" i="19"/>
  <c r="D19" i="19" s="1"/>
  <c r="D21" i="19" s="1"/>
  <c r="F55" i="12"/>
  <c r="H54" i="12"/>
  <c r="L49" i="12"/>
  <c r="K50" i="12"/>
  <c r="K47" i="10" s="1"/>
  <c r="L52" i="11"/>
  <c r="K53" i="11"/>
  <c r="G27" i="7"/>
  <c r="I26" i="7"/>
  <c r="J26" i="7" s="1"/>
  <c r="L26" i="9"/>
  <c r="K23" i="7"/>
  <c r="L23" i="7" s="1"/>
  <c r="F30" i="7"/>
  <c r="H29" i="7"/>
  <c r="F31" i="9"/>
  <c r="H30" i="9"/>
  <c r="F35" i="8"/>
  <c r="H34" i="8"/>
  <c r="I34" i="8"/>
  <c r="G35" i="8"/>
  <c r="K27" i="9"/>
  <c r="J33" i="8"/>
  <c r="K33" i="8" s="1"/>
  <c r="G29" i="9"/>
  <c r="I28" i="9"/>
  <c r="J28" i="9" s="1"/>
  <c r="L47" i="10" l="1"/>
  <c r="H28" i="19"/>
  <c r="E23" i="19"/>
  <c r="D23" i="19"/>
  <c r="E33" i="19"/>
  <c r="E35" i="19" s="1"/>
  <c r="E37" i="19" s="1"/>
  <c r="E57" i="19" s="1"/>
  <c r="G54" i="12"/>
  <c r="I53" i="12"/>
  <c r="J53" i="12" s="1"/>
  <c r="F32" i="19"/>
  <c r="F31" i="19"/>
  <c r="B52" i="8"/>
  <c r="B46" i="7"/>
  <c r="G57" i="11"/>
  <c r="I56" i="11"/>
  <c r="J56" i="11" s="1"/>
  <c r="F15" i="19"/>
  <c r="F16" i="19"/>
  <c r="D57" i="19"/>
  <c r="E39" i="19"/>
  <c r="E58" i="19" s="1"/>
  <c r="D39" i="19"/>
  <c r="D58" i="19" s="1"/>
  <c r="G12" i="19"/>
  <c r="G13" i="19" s="1"/>
  <c r="G29" i="19"/>
  <c r="F56" i="12"/>
  <c r="H56" i="12" s="1"/>
  <c r="H55" i="12"/>
  <c r="L50" i="12"/>
  <c r="K51" i="12"/>
  <c r="K48" i="10" s="1"/>
  <c r="L53" i="11"/>
  <c r="K54" i="11"/>
  <c r="L33" i="8"/>
  <c r="H31" i="9"/>
  <c r="F32" i="9"/>
  <c r="L27" i="9"/>
  <c r="K24" i="7"/>
  <c r="L24" i="7" s="1"/>
  <c r="F36" i="8"/>
  <c r="H35" i="8"/>
  <c r="K28" i="9"/>
  <c r="G36" i="8"/>
  <c r="I35" i="8"/>
  <c r="F31" i="7"/>
  <c r="H30" i="7"/>
  <c r="I29" i="9"/>
  <c r="J29" i="9" s="1"/>
  <c r="G30" i="9"/>
  <c r="J34" i="8"/>
  <c r="K34" i="8" s="1"/>
  <c r="G28" i="7"/>
  <c r="I27" i="7"/>
  <c r="J27" i="7" s="1"/>
  <c r="I28" i="19" l="1"/>
  <c r="L48" i="10"/>
  <c r="K29" i="9"/>
  <c r="K26" i="7" s="1"/>
  <c r="L26" i="7" s="1"/>
  <c r="G16" i="19"/>
  <c r="G15" i="19"/>
  <c r="G17" i="19" s="1"/>
  <c r="G19" i="19" s="1"/>
  <c r="G21" i="19" s="1"/>
  <c r="G58" i="11"/>
  <c r="I58" i="11" s="1"/>
  <c r="J58" i="11" s="1"/>
  <c r="I57" i="11"/>
  <c r="J57" i="11" s="1"/>
  <c r="B53" i="8"/>
  <c r="B47" i="7"/>
  <c r="G55" i="12"/>
  <c r="I54" i="12"/>
  <c r="J54" i="12" s="1"/>
  <c r="F17" i="19"/>
  <c r="F19" i="19" s="1"/>
  <c r="F21" i="19" s="1"/>
  <c r="F33" i="19"/>
  <c r="F35" i="19" s="1"/>
  <c r="F37" i="19" s="1"/>
  <c r="H12" i="19"/>
  <c r="H13" i="19" s="1"/>
  <c r="H29" i="19"/>
  <c r="G32" i="19"/>
  <c r="G31" i="19"/>
  <c r="G33" i="19" s="1"/>
  <c r="G35" i="19" s="1"/>
  <c r="G37" i="19" s="1"/>
  <c r="G57" i="19" s="1"/>
  <c r="L51" i="12"/>
  <c r="K52" i="12"/>
  <c r="K49" i="10" s="1"/>
  <c r="L54" i="11"/>
  <c r="K55" i="11"/>
  <c r="J35" i="8"/>
  <c r="K35" i="8" s="1"/>
  <c r="L35" i="8" s="1"/>
  <c r="G31" i="9"/>
  <c r="I30" i="9"/>
  <c r="J30" i="9" s="1"/>
  <c r="H36" i="8"/>
  <c r="F37" i="8"/>
  <c r="L29" i="9"/>
  <c r="G37" i="8"/>
  <c r="I36" i="8"/>
  <c r="G29" i="7"/>
  <c r="I28" i="7"/>
  <c r="J28" i="7" s="1"/>
  <c r="L28" i="9"/>
  <c r="K25" i="7"/>
  <c r="L25" i="7" s="1"/>
  <c r="L34" i="8"/>
  <c r="F32" i="7"/>
  <c r="H31" i="7"/>
  <c r="F33" i="9"/>
  <c r="H32" i="9"/>
  <c r="L49" i="10" l="1"/>
  <c r="J28" i="19"/>
  <c r="F57" i="19"/>
  <c r="G39" i="19"/>
  <c r="F39" i="19"/>
  <c r="G56" i="12"/>
  <c r="I56" i="12" s="1"/>
  <c r="J56" i="12" s="1"/>
  <c r="I55" i="12"/>
  <c r="J55" i="12" s="1"/>
  <c r="I12" i="19"/>
  <c r="I13" i="19" s="1"/>
  <c r="I29" i="19"/>
  <c r="K30" i="9"/>
  <c r="G23" i="19"/>
  <c r="F23" i="19"/>
  <c r="H32" i="19"/>
  <c r="H31" i="19"/>
  <c r="H16" i="19"/>
  <c r="H15" i="19"/>
  <c r="B54" i="8"/>
  <c r="B48" i="7"/>
  <c r="L52" i="12"/>
  <c r="K53" i="12"/>
  <c r="K50" i="10" s="1"/>
  <c r="L55" i="11"/>
  <c r="K56" i="11"/>
  <c r="J36" i="8"/>
  <c r="K36" i="8" s="1"/>
  <c r="L36" i="8" s="1"/>
  <c r="F33" i="7"/>
  <c r="F34" i="7" s="1"/>
  <c r="H32" i="7"/>
  <c r="L30" i="9"/>
  <c r="K27" i="7"/>
  <c r="L27" i="7" s="1"/>
  <c r="G38" i="8"/>
  <c r="G39" i="8" s="1"/>
  <c r="I37" i="8"/>
  <c r="G32" i="9"/>
  <c r="I31" i="9"/>
  <c r="J31" i="9" s="1"/>
  <c r="K31" i="9" s="1"/>
  <c r="F34" i="9"/>
  <c r="H33" i="9"/>
  <c r="F38" i="8"/>
  <c r="F39" i="8" s="1"/>
  <c r="H37" i="8"/>
  <c r="G30" i="7"/>
  <c r="I29" i="7"/>
  <c r="J29" i="7" s="1"/>
  <c r="L50" i="10" l="1"/>
  <c r="K28" i="19"/>
  <c r="G40" i="8"/>
  <c r="I39" i="8"/>
  <c r="B55" i="8"/>
  <c r="B49" i="7"/>
  <c r="I16" i="19"/>
  <c r="I15" i="19"/>
  <c r="I17" i="19" s="1"/>
  <c r="I19" i="19" s="1"/>
  <c r="I21" i="19" s="1"/>
  <c r="F58" i="19"/>
  <c r="H17" i="19"/>
  <c r="H19" i="19" s="1"/>
  <c r="H21" i="19" s="1"/>
  <c r="F40" i="8"/>
  <c r="H39" i="8"/>
  <c r="J12" i="19"/>
  <c r="J13" i="19" s="1"/>
  <c r="J29" i="19"/>
  <c r="H33" i="19"/>
  <c r="H35" i="19" s="1"/>
  <c r="H37" i="19" s="1"/>
  <c r="I32" i="19"/>
  <c r="I31" i="19"/>
  <c r="I33" i="19" s="1"/>
  <c r="I35" i="19" s="1"/>
  <c r="I37" i="19" s="1"/>
  <c r="I57" i="19" s="1"/>
  <c r="G58" i="19"/>
  <c r="L53" i="12"/>
  <c r="K54" i="12"/>
  <c r="K51" i="10" s="1"/>
  <c r="L56" i="11"/>
  <c r="K57" i="11"/>
  <c r="F35" i="7"/>
  <c r="H34" i="7"/>
  <c r="J37" i="8"/>
  <c r="K37" i="8" s="1"/>
  <c r="H38" i="8"/>
  <c r="F35" i="9"/>
  <c r="H34" i="9"/>
  <c r="H33" i="7"/>
  <c r="G31" i="7"/>
  <c r="I30" i="7"/>
  <c r="J30" i="7" s="1"/>
  <c r="G33" i="9"/>
  <c r="I32" i="9"/>
  <c r="J32" i="9" s="1"/>
  <c r="K32" i="9" s="1"/>
  <c r="I38" i="8"/>
  <c r="L31" i="9"/>
  <c r="K28" i="7"/>
  <c r="L28" i="7" s="1"/>
  <c r="L51" i="10" l="1"/>
  <c r="L28" i="19"/>
  <c r="K52" i="10"/>
  <c r="J31" i="19"/>
  <c r="J32" i="19"/>
  <c r="F41" i="8"/>
  <c r="H40" i="8"/>
  <c r="J39" i="8"/>
  <c r="J16" i="19"/>
  <c r="J15" i="19"/>
  <c r="H57" i="19"/>
  <c r="H23" i="19"/>
  <c r="I23" i="19"/>
  <c r="G41" i="8"/>
  <c r="I40" i="8"/>
  <c r="K12" i="19"/>
  <c r="K13" i="19" s="1"/>
  <c r="K29" i="19"/>
  <c r="I39" i="19"/>
  <c r="I58" i="19" s="1"/>
  <c r="H39" i="19"/>
  <c r="H58" i="19" s="1"/>
  <c r="B56" i="8"/>
  <c r="B50" i="7"/>
  <c r="L54" i="12"/>
  <c r="K55" i="12"/>
  <c r="L57" i="11"/>
  <c r="K58" i="11"/>
  <c r="F36" i="7"/>
  <c r="H35" i="7"/>
  <c r="J38" i="8"/>
  <c r="G32" i="7"/>
  <c r="I31" i="7"/>
  <c r="J31" i="7" s="1"/>
  <c r="F36" i="9"/>
  <c r="F37" i="9" s="1"/>
  <c r="H35" i="9"/>
  <c r="L32" i="9"/>
  <c r="K29" i="7"/>
  <c r="L29" i="7" s="1"/>
  <c r="I33" i="9"/>
  <c r="J33" i="9" s="1"/>
  <c r="K33" i="9" s="1"/>
  <c r="G34" i="9"/>
  <c r="L37" i="8"/>
  <c r="K15" i="19" l="1"/>
  <c r="K16" i="19"/>
  <c r="L58" i="11"/>
  <c r="J40" i="8"/>
  <c r="J33" i="19"/>
  <c r="J35" i="19" s="1"/>
  <c r="J37" i="19" s="1"/>
  <c r="G42" i="8"/>
  <c r="I41" i="8"/>
  <c r="M28" i="19"/>
  <c r="L52" i="10"/>
  <c r="B57" i="8"/>
  <c r="B51" i="7"/>
  <c r="K32" i="19"/>
  <c r="K31" i="19"/>
  <c r="K33" i="19" s="1"/>
  <c r="K35" i="19" s="1"/>
  <c r="K37" i="19" s="1"/>
  <c r="J17" i="19"/>
  <c r="J19" i="19" s="1"/>
  <c r="J21" i="19" s="1"/>
  <c r="F42" i="8"/>
  <c r="H41" i="8"/>
  <c r="L12" i="19"/>
  <c r="L13" i="19" s="1"/>
  <c r="L29" i="19"/>
  <c r="L55" i="12"/>
  <c r="K56" i="12"/>
  <c r="L56" i="12" s="1"/>
  <c r="F37" i="7"/>
  <c r="H36" i="7"/>
  <c r="H37" i="9"/>
  <c r="F38" i="9"/>
  <c r="K38" i="8"/>
  <c r="K39" i="8" s="1"/>
  <c r="G33" i="7"/>
  <c r="G34" i="7" s="1"/>
  <c r="I32" i="7"/>
  <c r="J32" i="7" s="1"/>
  <c r="G35" i="9"/>
  <c r="I34" i="9"/>
  <c r="J34" i="9" s="1"/>
  <c r="K34" i="9" s="1"/>
  <c r="L33" i="9"/>
  <c r="K30" i="7"/>
  <c r="L30" i="7" s="1"/>
  <c r="H36" i="9"/>
  <c r="H58" i="9" s="1"/>
  <c r="F58" i="9"/>
  <c r="F43" i="8" l="1"/>
  <c r="H42" i="8"/>
  <c r="M12" i="19"/>
  <c r="M13" i="19" s="1"/>
  <c r="M29" i="19"/>
  <c r="L32" i="19"/>
  <c r="L31" i="19"/>
  <c r="L33" i="19" s="1"/>
  <c r="L35" i="19" s="1"/>
  <c r="L37" i="19" s="1"/>
  <c r="J57" i="19"/>
  <c r="J23" i="19"/>
  <c r="J41" i="8"/>
  <c r="K53" i="10"/>
  <c r="L16" i="19"/>
  <c r="L15" i="19"/>
  <c r="B58" i="8"/>
  <c r="B52" i="7"/>
  <c r="G43" i="8"/>
  <c r="I42" i="8"/>
  <c r="J42" i="8" s="1"/>
  <c r="L58" i="12"/>
  <c r="K39" i="19"/>
  <c r="J39" i="19"/>
  <c r="K17" i="19"/>
  <c r="K19" i="19" s="1"/>
  <c r="K21" i="19" s="1"/>
  <c r="K57" i="19" s="1"/>
  <c r="G35" i="7"/>
  <c r="I34" i="7"/>
  <c r="J34" i="7" s="1"/>
  <c r="F38" i="7"/>
  <c r="H37" i="7"/>
  <c r="F39" i="9"/>
  <c r="H38" i="9"/>
  <c r="L39" i="8"/>
  <c r="K40" i="8"/>
  <c r="L38" i="8"/>
  <c r="G36" i="9"/>
  <c r="G37" i="9" s="1"/>
  <c r="I35" i="9"/>
  <c r="J35" i="9" s="1"/>
  <c r="K35" i="9" s="1"/>
  <c r="I33" i="7"/>
  <c r="L34" i="9"/>
  <c r="K31" i="7"/>
  <c r="L31" i="7" s="1"/>
  <c r="M32" i="19" l="1"/>
  <c r="M31" i="19"/>
  <c r="I37" i="9"/>
  <c r="J37" i="9" s="1"/>
  <c r="G38" i="9"/>
  <c r="J58" i="19"/>
  <c r="M16" i="19"/>
  <c r="M15" i="19"/>
  <c r="B53" i="7"/>
  <c r="L53" i="10"/>
  <c r="L55" i="10" s="1"/>
  <c r="N28" i="19"/>
  <c r="L39" i="19"/>
  <c r="G44" i="8"/>
  <c r="I43" i="8"/>
  <c r="L17" i="19"/>
  <c r="L19" i="19" s="1"/>
  <c r="L21" i="19" s="1"/>
  <c r="L23" i="19" s="1"/>
  <c r="K23" i="19"/>
  <c r="K58" i="19" s="1"/>
  <c r="F44" i="8"/>
  <c r="H43" i="8"/>
  <c r="G36" i="7"/>
  <c r="I35" i="7"/>
  <c r="J35" i="7" s="1"/>
  <c r="F39" i="7"/>
  <c r="H38" i="7"/>
  <c r="F40" i="9"/>
  <c r="H39" i="9"/>
  <c r="L40" i="8"/>
  <c r="K41" i="8"/>
  <c r="J33" i="7"/>
  <c r="L35" i="9"/>
  <c r="K32" i="7"/>
  <c r="L32" i="7" s="1"/>
  <c r="I36" i="9"/>
  <c r="G58" i="9"/>
  <c r="G45" i="8" l="1"/>
  <c r="I44" i="8"/>
  <c r="L58" i="19"/>
  <c r="M17" i="19"/>
  <c r="M19" i="19" s="1"/>
  <c r="M21" i="19" s="1"/>
  <c r="M23" i="19" s="1"/>
  <c r="G39" i="9"/>
  <c r="I38" i="9"/>
  <c r="J38" i="9" s="1"/>
  <c r="F45" i="8"/>
  <c r="H44" i="8"/>
  <c r="J43" i="8"/>
  <c r="L57" i="19"/>
  <c r="M33" i="19"/>
  <c r="M35" i="19" s="1"/>
  <c r="M37" i="19" s="1"/>
  <c r="N12" i="19"/>
  <c r="N13" i="19" s="1"/>
  <c r="N29" i="19"/>
  <c r="G37" i="7"/>
  <c r="I36" i="7"/>
  <c r="J36" i="7" s="1"/>
  <c r="F40" i="7"/>
  <c r="H39" i="7"/>
  <c r="F41" i="9"/>
  <c r="H40" i="9"/>
  <c r="L41" i="8"/>
  <c r="K42" i="8"/>
  <c r="J36" i="9"/>
  <c r="I58" i="9"/>
  <c r="J58" i="9" s="1"/>
  <c r="F46" i="8" l="1"/>
  <c r="H45" i="8"/>
  <c r="N32" i="19"/>
  <c r="N31" i="19"/>
  <c r="N16" i="19"/>
  <c r="N15" i="19"/>
  <c r="N17" i="19" s="1"/>
  <c r="N19" i="19" s="1"/>
  <c r="N21" i="19" s="1"/>
  <c r="N23" i="19" s="1"/>
  <c r="G40" i="9"/>
  <c r="I39" i="9"/>
  <c r="J39" i="9" s="1"/>
  <c r="J44" i="8"/>
  <c r="M57" i="19"/>
  <c r="M39" i="19"/>
  <c r="M58" i="19" s="1"/>
  <c r="G46" i="8"/>
  <c r="I45" i="8"/>
  <c r="J45" i="8" s="1"/>
  <c r="G38" i="7"/>
  <c r="I37" i="7"/>
  <c r="J37" i="7" s="1"/>
  <c r="F41" i="7"/>
  <c r="H40" i="7"/>
  <c r="K36" i="9"/>
  <c r="L36" i="9" s="1"/>
  <c r="F42" i="9"/>
  <c r="H41" i="9"/>
  <c r="L42" i="8"/>
  <c r="K43" i="8"/>
  <c r="G41" i="9" l="1"/>
  <c r="I40" i="9"/>
  <c r="J40" i="9" s="1"/>
  <c r="K33" i="7"/>
  <c r="G47" i="8"/>
  <c r="I46" i="8"/>
  <c r="K37" i="9"/>
  <c r="K34" i="7" s="1"/>
  <c r="L34" i="7" s="1"/>
  <c r="N33" i="19"/>
  <c r="N35" i="19" s="1"/>
  <c r="N37" i="19" s="1"/>
  <c r="F47" i="8"/>
  <c r="H46" i="8"/>
  <c r="G39" i="7"/>
  <c r="I38" i="7"/>
  <c r="J38" i="7" s="1"/>
  <c r="F42" i="7"/>
  <c r="H41" i="7"/>
  <c r="L37" i="9"/>
  <c r="K58" i="9"/>
  <c r="F43" i="9"/>
  <c r="H42" i="9"/>
  <c r="L43" i="8"/>
  <c r="K44" i="8"/>
  <c r="L33" i="7"/>
  <c r="F48" i="8" l="1"/>
  <c r="H47" i="8"/>
  <c r="J46" i="8"/>
  <c r="K38" i="9"/>
  <c r="K35" i="7" s="1"/>
  <c r="L35" i="7" s="1"/>
  <c r="N57" i="19"/>
  <c r="N39" i="19"/>
  <c r="N58" i="19" s="1"/>
  <c r="G48" i="8"/>
  <c r="I47" i="8"/>
  <c r="J47" i="8" s="1"/>
  <c r="G42" i="9"/>
  <c r="I41" i="9"/>
  <c r="J41" i="9" s="1"/>
  <c r="G40" i="7"/>
  <c r="I39" i="7"/>
  <c r="J39" i="7" s="1"/>
  <c r="F43" i="7"/>
  <c r="H42" i="7"/>
  <c r="K39" i="9"/>
  <c r="K36" i="7" s="1"/>
  <c r="L36" i="7" s="1"/>
  <c r="F44" i="9"/>
  <c r="H43" i="9"/>
  <c r="L44" i="8"/>
  <c r="K45" i="8"/>
  <c r="F49" i="8" l="1"/>
  <c r="H48" i="8"/>
  <c r="G43" i="9"/>
  <c r="I42" i="9"/>
  <c r="J42" i="9" s="1"/>
  <c r="L38" i="9"/>
  <c r="G49" i="8"/>
  <c r="I48" i="8"/>
  <c r="F44" i="7"/>
  <c r="H43" i="7"/>
  <c r="G41" i="7"/>
  <c r="I40" i="7"/>
  <c r="J40" i="7" s="1"/>
  <c r="F45" i="9"/>
  <c r="H44" i="9"/>
  <c r="L39" i="9"/>
  <c r="K40" i="9"/>
  <c r="K37" i="7" s="1"/>
  <c r="L37" i="7" s="1"/>
  <c r="L45" i="8"/>
  <c r="K46" i="8"/>
  <c r="G50" i="8" l="1"/>
  <c r="I49" i="8"/>
  <c r="G44" i="9"/>
  <c r="I43" i="9"/>
  <c r="J43" i="9" s="1"/>
  <c r="F50" i="8"/>
  <c r="H49" i="8"/>
  <c r="J48" i="8"/>
  <c r="G42" i="7"/>
  <c r="C27" i="18" s="1"/>
  <c r="I41" i="7"/>
  <c r="J41" i="7" s="1"/>
  <c r="F45" i="7"/>
  <c r="H44" i="7"/>
  <c r="F46" i="9"/>
  <c r="H45" i="9"/>
  <c r="L40" i="9"/>
  <c r="K41" i="9"/>
  <c r="K38" i="7" s="1"/>
  <c r="L38" i="7" s="1"/>
  <c r="L46" i="8"/>
  <c r="K47" i="8"/>
  <c r="F51" i="8" l="1"/>
  <c r="H50" i="8"/>
  <c r="G45" i="9"/>
  <c r="I44" i="9"/>
  <c r="J44" i="9" s="1"/>
  <c r="J49" i="8"/>
  <c r="G51" i="8"/>
  <c r="I50" i="8"/>
  <c r="J50" i="8" s="1"/>
  <c r="F46" i="7"/>
  <c r="H45" i="7"/>
  <c r="G43" i="7"/>
  <c r="D27" i="18" s="1"/>
  <c r="I42" i="7"/>
  <c r="J42" i="7" s="1"/>
  <c r="L41" i="9"/>
  <c r="K42" i="9"/>
  <c r="K39" i="7" s="1"/>
  <c r="L39" i="7" s="1"/>
  <c r="F47" i="9"/>
  <c r="H46" i="9"/>
  <c r="L47" i="8"/>
  <c r="K48" i="8"/>
  <c r="G52" i="8" l="1"/>
  <c r="I51" i="8"/>
  <c r="G46" i="9"/>
  <c r="I45" i="9"/>
  <c r="J45" i="9" s="1"/>
  <c r="F52" i="8"/>
  <c r="H51" i="8"/>
  <c r="G44" i="7"/>
  <c r="E27" i="18" s="1"/>
  <c r="I43" i="7"/>
  <c r="J43" i="7" s="1"/>
  <c r="F47" i="7"/>
  <c r="H46" i="7"/>
  <c r="F48" i="9"/>
  <c r="H47" i="9"/>
  <c r="L42" i="9"/>
  <c r="K43" i="9"/>
  <c r="K40" i="7" s="1"/>
  <c r="L40" i="7" s="1"/>
  <c r="L48" i="8"/>
  <c r="K49" i="8"/>
  <c r="F53" i="8" l="1"/>
  <c r="H52" i="8"/>
  <c r="G47" i="9"/>
  <c r="I46" i="9"/>
  <c r="J46" i="9" s="1"/>
  <c r="J51" i="8"/>
  <c r="G53" i="8"/>
  <c r="I52" i="8"/>
  <c r="J52" i="8" s="1"/>
  <c r="F48" i="7"/>
  <c r="H47" i="7"/>
  <c r="G45" i="7"/>
  <c r="F27" i="18" s="1"/>
  <c r="I44" i="7"/>
  <c r="J44" i="7" s="1"/>
  <c r="L43" i="9"/>
  <c r="K44" i="9"/>
  <c r="K41" i="7" s="1"/>
  <c r="L41" i="7" s="1"/>
  <c r="F49" i="9"/>
  <c r="H48" i="9"/>
  <c r="L49" i="8"/>
  <c r="K50" i="8"/>
  <c r="G54" i="8" l="1"/>
  <c r="I53" i="8"/>
  <c r="G48" i="9"/>
  <c r="I47" i="9"/>
  <c r="J47" i="9" s="1"/>
  <c r="F54" i="8"/>
  <c r="H53" i="8"/>
  <c r="G46" i="7"/>
  <c r="G27" i="18" s="1"/>
  <c r="I45" i="7"/>
  <c r="J45" i="7" s="1"/>
  <c r="F49" i="7"/>
  <c r="H48" i="7"/>
  <c r="L44" i="9"/>
  <c r="K45" i="9"/>
  <c r="K42" i="7" s="1"/>
  <c r="F50" i="9"/>
  <c r="H49" i="9"/>
  <c r="L50" i="8"/>
  <c r="K51" i="8"/>
  <c r="G49" i="9" l="1"/>
  <c r="I48" i="9"/>
  <c r="J48" i="9" s="1"/>
  <c r="F55" i="8"/>
  <c r="H54" i="8"/>
  <c r="C28" i="18"/>
  <c r="L42" i="7"/>
  <c r="J53" i="8"/>
  <c r="G55" i="8"/>
  <c r="I54" i="8"/>
  <c r="J54" i="8" s="1"/>
  <c r="F50" i="7"/>
  <c r="H49" i="7"/>
  <c r="G47" i="7"/>
  <c r="H27" i="18" s="1"/>
  <c r="I46" i="7"/>
  <c r="J46" i="7" s="1"/>
  <c r="L45" i="9"/>
  <c r="K46" i="9"/>
  <c r="K43" i="7" s="1"/>
  <c r="F51" i="9"/>
  <c r="H50" i="9"/>
  <c r="L51" i="8"/>
  <c r="K52" i="8"/>
  <c r="G50" i="9" l="1"/>
  <c r="I49" i="9"/>
  <c r="J49" i="9" s="1"/>
  <c r="G56" i="8"/>
  <c r="I55" i="8"/>
  <c r="L43" i="7"/>
  <c r="D28" i="18"/>
  <c r="F56" i="8"/>
  <c r="H55" i="8"/>
  <c r="G48" i="7"/>
  <c r="I27" i="18" s="1"/>
  <c r="I47" i="7"/>
  <c r="J47" i="7" s="1"/>
  <c r="F51" i="7"/>
  <c r="H50" i="7"/>
  <c r="F52" i="9"/>
  <c r="H51" i="9"/>
  <c r="L46" i="9"/>
  <c r="K47" i="9"/>
  <c r="K44" i="7" s="1"/>
  <c r="L52" i="8"/>
  <c r="K53" i="8"/>
  <c r="G57" i="8" l="1"/>
  <c r="I56" i="8"/>
  <c r="L44" i="7"/>
  <c r="E28" i="18"/>
  <c r="G51" i="9"/>
  <c r="I50" i="9"/>
  <c r="J50" i="9" s="1"/>
  <c r="F57" i="8"/>
  <c r="H56" i="8"/>
  <c r="J55" i="8"/>
  <c r="F52" i="7"/>
  <c r="H51" i="7"/>
  <c r="G49" i="7"/>
  <c r="J27" i="18" s="1"/>
  <c r="I48" i="7"/>
  <c r="J48" i="7" s="1"/>
  <c r="F53" i="9"/>
  <c r="H52" i="9"/>
  <c r="L47" i="9"/>
  <c r="K48" i="9"/>
  <c r="K45" i="7" s="1"/>
  <c r="L53" i="8"/>
  <c r="K54" i="8"/>
  <c r="L45" i="7" l="1"/>
  <c r="F28" i="18"/>
  <c r="G52" i="9"/>
  <c r="I51" i="9"/>
  <c r="J51" i="9" s="1"/>
  <c r="J56" i="8"/>
  <c r="F58" i="8"/>
  <c r="H58" i="8" s="1"/>
  <c r="H57" i="8"/>
  <c r="G58" i="8"/>
  <c r="I58" i="8" s="1"/>
  <c r="J58" i="8" s="1"/>
  <c r="I57" i="8"/>
  <c r="J57" i="8" s="1"/>
  <c r="G50" i="7"/>
  <c r="K27" i="18" s="1"/>
  <c r="I49" i="7"/>
  <c r="J49" i="7" s="1"/>
  <c r="F53" i="7"/>
  <c r="H53" i="7" s="1"/>
  <c r="H52" i="7"/>
  <c r="L48" i="9"/>
  <c r="K49" i="9"/>
  <c r="K46" i="7" s="1"/>
  <c r="F54" i="9"/>
  <c r="H53" i="9"/>
  <c r="L54" i="8"/>
  <c r="K55" i="8"/>
  <c r="G53" i="9" l="1"/>
  <c r="I52" i="9"/>
  <c r="J52" i="9" s="1"/>
  <c r="G28" i="18"/>
  <c r="L46" i="7"/>
  <c r="G51" i="7"/>
  <c r="L27" i="18" s="1"/>
  <c r="I50" i="7"/>
  <c r="J50" i="7" s="1"/>
  <c r="F55" i="9"/>
  <c r="H54" i="9"/>
  <c r="L49" i="9"/>
  <c r="K50" i="9"/>
  <c r="K47" i="7" s="1"/>
  <c r="L55" i="8"/>
  <c r="K56" i="8"/>
  <c r="L47" i="7" l="1"/>
  <c r="H28" i="18"/>
  <c r="G54" i="9"/>
  <c r="I53" i="9"/>
  <c r="J53" i="9" s="1"/>
  <c r="G52" i="7"/>
  <c r="M27" i="18" s="1"/>
  <c r="I51" i="7"/>
  <c r="J51" i="7" s="1"/>
  <c r="F56" i="9"/>
  <c r="H56" i="9" s="1"/>
  <c r="H55" i="9"/>
  <c r="L50" i="9"/>
  <c r="K51" i="9"/>
  <c r="K48" i="7" s="1"/>
  <c r="L56" i="8"/>
  <c r="K57" i="8"/>
  <c r="G55" i="9" l="1"/>
  <c r="I54" i="9"/>
  <c r="J54" i="9" s="1"/>
  <c r="L48" i="7"/>
  <c r="I28" i="18"/>
  <c r="G53" i="7"/>
  <c r="I52" i="7"/>
  <c r="J52" i="7" s="1"/>
  <c r="L51" i="9"/>
  <c r="K52" i="9"/>
  <c r="K49" i="7" s="1"/>
  <c r="L57" i="8"/>
  <c r="K58" i="8"/>
  <c r="L58" i="8" l="1"/>
  <c r="I53" i="7"/>
  <c r="J53" i="7" s="1"/>
  <c r="N27" i="18"/>
  <c r="L49" i="7"/>
  <c r="J28" i="18"/>
  <c r="G56" i="9"/>
  <c r="I56" i="9" s="1"/>
  <c r="J56" i="9" s="1"/>
  <c r="I55" i="9"/>
  <c r="J55" i="9" s="1"/>
  <c r="L52" i="9"/>
  <c r="K53" i="9"/>
  <c r="K50" i="7" s="1"/>
  <c r="K28" i="18" l="1"/>
  <c r="L50" i="7"/>
  <c r="L53" i="9"/>
  <c r="K54" i="9"/>
  <c r="K51" i="7" s="1"/>
  <c r="L51" i="7" l="1"/>
  <c r="L28" i="18"/>
  <c r="L54" i="9"/>
  <c r="K55" i="9"/>
  <c r="K52" i="7" s="1"/>
  <c r="L52" i="7" l="1"/>
  <c r="M28" i="18"/>
  <c r="L55" i="9"/>
  <c r="K56" i="9"/>
  <c r="L56" i="9" l="1"/>
  <c r="K53" i="7"/>
  <c r="L58" i="9"/>
  <c r="L53" i="7" l="1"/>
  <c r="N28" i="18"/>
  <c r="C45" i="18"/>
  <c r="C48" i="18" s="1"/>
  <c r="C47" i="18" l="1"/>
  <c r="C49" i="18"/>
  <c r="C51" i="18" s="1"/>
  <c r="C53" i="18" s="1"/>
  <c r="C60" i="18" s="1"/>
  <c r="D45" i="18"/>
  <c r="E45" i="18"/>
  <c r="E47" i="18" s="1"/>
  <c r="F45" i="18"/>
  <c r="F47" i="18" s="1"/>
  <c r="G45" i="18"/>
  <c r="G48" i="18" s="1"/>
  <c r="H45" i="18"/>
  <c r="I45" i="18"/>
  <c r="I47" i="18" s="1"/>
  <c r="J45" i="18"/>
  <c r="J47" i="18" s="1"/>
  <c r="K45" i="18"/>
  <c r="K48" i="18" s="1"/>
  <c r="L45" i="18"/>
  <c r="M45" i="18"/>
  <c r="M47" i="18" s="1"/>
  <c r="N45" i="18"/>
  <c r="N47" i="18" s="1"/>
  <c r="K47" i="18"/>
  <c r="K49" i="18" s="1"/>
  <c r="K51" i="18" s="1"/>
  <c r="K53" i="18" s="1"/>
  <c r="K60" i="18" s="1"/>
  <c r="J48" i="18"/>
  <c r="J49" i="18" s="1"/>
  <c r="J51" i="18" s="1"/>
  <c r="J53" i="18" s="1"/>
  <c r="J60" i="18" s="1"/>
  <c r="C55" i="18" l="1"/>
  <c r="C61" i="18" s="1"/>
  <c r="N48" i="18"/>
  <c r="N49" i="18" s="1"/>
  <c r="N51" i="18" s="1"/>
  <c r="N53" i="18" s="1"/>
  <c r="N60" i="18" s="1"/>
  <c r="I48" i="18"/>
  <c r="I49" i="18" s="1"/>
  <c r="I51" i="18" s="1"/>
  <c r="I53" i="18" s="1"/>
  <c r="I60" i="18" s="1"/>
  <c r="E48" i="18"/>
  <c r="E49" i="18" s="1"/>
  <c r="E51" i="18" s="1"/>
  <c r="E53" i="18" s="1"/>
  <c r="E60" i="18" s="1"/>
  <c r="M48" i="18"/>
  <c r="M49" i="18" s="1"/>
  <c r="M51" i="18" s="1"/>
  <c r="M53" i="18" s="1"/>
  <c r="M60" i="18" s="1"/>
  <c r="L47" i="18"/>
  <c r="L48" i="18"/>
  <c r="H47" i="18"/>
  <c r="H48" i="18"/>
  <c r="D47" i="18"/>
  <c r="D48" i="18"/>
  <c r="F48" i="18"/>
  <c r="F49" i="18" s="1"/>
  <c r="F51" i="18" s="1"/>
  <c r="F53" i="18" s="1"/>
  <c r="F60" i="18" s="1"/>
  <c r="G47" i="18"/>
  <c r="G49" i="18" s="1"/>
  <c r="G51" i="18" s="1"/>
  <c r="G53" i="18" s="1"/>
  <c r="G60" i="18" s="1"/>
  <c r="H49" i="18" l="1"/>
  <c r="H51" i="18" s="1"/>
  <c r="H53" i="18" s="1"/>
  <c r="H60" i="18" s="1"/>
  <c r="D49" i="18"/>
  <c r="D51" i="18" s="1"/>
  <c r="D53" i="18" s="1"/>
  <c r="D60" i="18" s="1"/>
  <c r="L49" i="18"/>
  <c r="L51" i="18" s="1"/>
  <c r="L53" i="18" s="1"/>
  <c r="L60" i="18" s="1"/>
  <c r="E55" i="18" l="1"/>
  <c r="E61" i="18" s="1"/>
  <c r="J55" i="18"/>
  <c r="J61" i="18" s="1"/>
  <c r="F55" i="18"/>
  <c r="F61" i="18" s="1"/>
  <c r="L55" i="18"/>
  <c r="L61" i="18" s="1"/>
  <c r="H55" i="18"/>
  <c r="H61" i="18" s="1"/>
  <c r="M55" i="18"/>
  <c r="M61" i="18" s="1"/>
  <c r="N55" i="18"/>
  <c r="N61" i="18" s="1"/>
  <c r="D55" i="18"/>
  <c r="D61" i="18" s="1"/>
  <c r="I55" i="18"/>
  <c r="I61" i="18" s="1"/>
  <c r="G55" i="18"/>
  <c r="G61" i="18" s="1"/>
  <c r="K55" i="18"/>
  <c r="K61" i="18" s="1"/>
  <c r="C10" i="18"/>
  <c r="C11" i="18"/>
  <c r="C12" i="18"/>
  <c r="C29" i="18"/>
  <c r="C31" i="18" s="1"/>
  <c r="C13" i="18" l="1"/>
  <c r="C16" i="18" s="1"/>
  <c r="C32" i="18"/>
  <c r="C33" i="18" s="1"/>
  <c r="C35" i="18" s="1"/>
  <c r="C37" i="18" s="1"/>
  <c r="C39" i="18" s="1"/>
  <c r="C15" i="18"/>
  <c r="C17" i="18" s="1"/>
  <c r="C19" i="18" s="1"/>
  <c r="C21" i="18" s="1"/>
  <c r="C18" i="1" s="1"/>
  <c r="D19" i="1" s="1"/>
  <c r="C23" i="18" l="1"/>
  <c r="C58" i="18" s="1"/>
  <c r="C57" i="18"/>
  <c r="D10" i="18"/>
  <c r="E10" i="18"/>
  <c r="F10" i="18"/>
  <c r="G10" i="18"/>
  <c r="H10" i="18"/>
  <c r="I10" i="18"/>
  <c r="J10" i="18"/>
  <c r="K10" i="18"/>
  <c r="L10" i="18"/>
  <c r="M10" i="18"/>
  <c r="N10" i="18"/>
  <c r="D11" i="18"/>
  <c r="E11" i="18"/>
  <c r="F11" i="18"/>
  <c r="G11" i="18"/>
  <c r="H11" i="18"/>
  <c r="I11" i="18"/>
  <c r="J11" i="18"/>
  <c r="K11" i="18"/>
  <c r="L11" i="18"/>
  <c r="M11" i="18"/>
  <c r="N11" i="18"/>
  <c r="D12" i="18"/>
  <c r="D13" i="18" s="1"/>
  <c r="D16" i="18" s="1"/>
  <c r="E12" i="18"/>
  <c r="F12" i="18"/>
  <c r="G12" i="18"/>
  <c r="H12" i="18"/>
  <c r="I12" i="18"/>
  <c r="J12" i="18"/>
  <c r="K12" i="18"/>
  <c r="L12" i="18"/>
  <c r="M12" i="18"/>
  <c r="N12" i="18"/>
  <c r="D29" i="18"/>
  <c r="D32" i="18" s="1"/>
  <c r="E29" i="18"/>
  <c r="E31" i="18" s="1"/>
  <c r="F29" i="18"/>
  <c r="F32" i="18" s="1"/>
  <c r="G29" i="18"/>
  <c r="G31" i="18" s="1"/>
  <c r="H29" i="18"/>
  <c r="H32" i="18" s="1"/>
  <c r="I29" i="18"/>
  <c r="I31" i="18" s="1"/>
  <c r="J29" i="18"/>
  <c r="J32" i="18" s="1"/>
  <c r="K29" i="18"/>
  <c r="K32" i="18" s="1"/>
  <c r="L29" i="18"/>
  <c r="L32" i="18" s="1"/>
  <c r="M29" i="18"/>
  <c r="M31" i="18" s="1"/>
  <c r="N29" i="18"/>
  <c r="N32" i="18" s="1"/>
  <c r="L31" i="18"/>
  <c r="I32" i="18"/>
  <c r="H31" i="18" l="1"/>
  <c r="K13" i="18"/>
  <c r="G13" i="18"/>
  <c r="G16" i="18" s="1"/>
  <c r="N13" i="18"/>
  <c r="J13" i="18"/>
  <c r="F13" i="18"/>
  <c r="M13" i="18"/>
  <c r="M16" i="18" s="1"/>
  <c r="I13" i="18"/>
  <c r="E13" i="18"/>
  <c r="L13" i="18"/>
  <c r="L15" i="18" s="1"/>
  <c r="H13" i="18"/>
  <c r="H16" i="18" s="1"/>
  <c r="I33" i="18"/>
  <c r="I35" i="18" s="1"/>
  <c r="I37" i="18" s="1"/>
  <c r="H33" i="18"/>
  <c r="H35" i="18" s="1"/>
  <c r="H37" i="18" s="1"/>
  <c r="M32" i="18"/>
  <c r="M33" i="18" s="1"/>
  <c r="M35" i="18" s="1"/>
  <c r="M37" i="18" s="1"/>
  <c r="E32" i="18"/>
  <c r="E33" i="18" s="1"/>
  <c r="E35" i="18" s="1"/>
  <c r="E37" i="18" s="1"/>
  <c r="D31" i="18"/>
  <c r="D33" i="18" s="1"/>
  <c r="D35" i="18" s="1"/>
  <c r="D37" i="18" s="1"/>
  <c r="L33" i="18"/>
  <c r="L35" i="18" s="1"/>
  <c r="L37" i="18" s="1"/>
  <c r="K16" i="18"/>
  <c r="K15" i="18"/>
  <c r="G15" i="18"/>
  <c r="N15" i="18"/>
  <c r="N16" i="18"/>
  <c r="J15" i="18"/>
  <c r="J16" i="18"/>
  <c r="F15" i="18"/>
  <c r="F16" i="18"/>
  <c r="M15" i="18"/>
  <c r="I16" i="18"/>
  <c r="I15" i="18"/>
  <c r="E15" i="18"/>
  <c r="E16" i="18"/>
  <c r="K31" i="18"/>
  <c r="K33" i="18" s="1"/>
  <c r="K35" i="18" s="1"/>
  <c r="K37" i="18" s="1"/>
  <c r="H15" i="18"/>
  <c r="H17" i="18" s="1"/>
  <c r="H19" i="18" s="1"/>
  <c r="H21" i="18" s="1"/>
  <c r="D15" i="18"/>
  <c r="D17" i="18" s="1"/>
  <c r="D19" i="18" s="1"/>
  <c r="D21" i="18" s="1"/>
  <c r="G32" i="18"/>
  <c r="G33" i="18" s="1"/>
  <c r="G35" i="18" s="1"/>
  <c r="G37" i="18" s="1"/>
  <c r="N31" i="18"/>
  <c r="N33" i="18" s="1"/>
  <c r="N35" i="18" s="1"/>
  <c r="N37" i="18" s="1"/>
  <c r="J31" i="18"/>
  <c r="J33" i="18" s="1"/>
  <c r="J35" i="18" s="1"/>
  <c r="J37" i="18" s="1"/>
  <c r="F31" i="18"/>
  <c r="F33" i="18" s="1"/>
  <c r="F35" i="18" s="1"/>
  <c r="F37" i="18" s="1"/>
  <c r="E39" i="18" l="1"/>
  <c r="L16" i="18"/>
  <c r="L17" i="18" s="1"/>
  <c r="L19" i="18" s="1"/>
  <c r="L21" i="18" s="1"/>
  <c r="L57" i="18" s="1"/>
  <c r="H57" i="18"/>
  <c r="I17" i="18"/>
  <c r="I19" i="18" s="1"/>
  <c r="I21" i="18" s="1"/>
  <c r="I57" i="18" s="1"/>
  <c r="K17" i="18"/>
  <c r="K19" i="18" s="1"/>
  <c r="K21" i="18" s="1"/>
  <c r="D39" i="18"/>
  <c r="K57" i="18"/>
  <c r="M17" i="18"/>
  <c r="M19" i="18" s="1"/>
  <c r="M21" i="18" s="1"/>
  <c r="M57" i="18" s="1"/>
  <c r="G17" i="18"/>
  <c r="G19" i="18" s="1"/>
  <c r="G21" i="18" s="1"/>
  <c r="G57" i="18" s="1"/>
  <c r="D23" i="18"/>
  <c r="D58" i="18" s="1"/>
  <c r="M39" i="18"/>
  <c r="J39" i="18"/>
  <c r="E17" i="18"/>
  <c r="E19" i="18" s="1"/>
  <c r="E21" i="18" s="1"/>
  <c r="E57" i="18" s="1"/>
  <c r="J17" i="18"/>
  <c r="J19" i="18" s="1"/>
  <c r="J21" i="18" s="1"/>
  <c r="J57" i="18" s="1"/>
  <c r="D57" i="18"/>
  <c r="F39" i="18"/>
  <c r="I39" i="18"/>
  <c r="K39" i="18"/>
  <c r="H39" i="18"/>
  <c r="F17" i="18"/>
  <c r="F19" i="18" s="1"/>
  <c r="F21" i="18" s="1"/>
  <c r="F57" i="18" s="1"/>
  <c r="N17" i="18"/>
  <c r="N19" i="18" s="1"/>
  <c r="N21" i="18" s="1"/>
  <c r="N57" i="18" s="1"/>
  <c r="L39" i="18"/>
  <c r="G39" i="18"/>
  <c r="N39" i="18"/>
  <c r="E23" i="18" l="1"/>
  <c r="E58" i="18" s="1"/>
  <c r="G23" i="18"/>
  <c r="G58" i="18" s="1"/>
  <c r="J23" i="18"/>
  <c r="J58" i="18" s="1"/>
  <c r="L23" i="18"/>
  <c r="L58" i="18" s="1"/>
  <c r="M23" i="18"/>
  <c r="M58" i="18" s="1"/>
  <c r="N23" i="18"/>
  <c r="N58" i="18" s="1"/>
  <c r="H23" i="18"/>
  <c r="H58" i="18" s="1"/>
  <c r="I23" i="18"/>
  <c r="I58" i="18" s="1"/>
  <c r="F23" i="18"/>
  <c r="F58" i="18" s="1"/>
  <c r="K23" i="18"/>
  <c r="K58" i="18" s="1"/>
</calcChain>
</file>

<file path=xl/sharedStrings.xml><?xml version="1.0" encoding="utf-8"?>
<sst xmlns="http://schemas.openxmlformats.org/spreadsheetml/2006/main" count="695" uniqueCount="186">
  <si>
    <t>Puget Sound Energy</t>
  </si>
  <si>
    <t>Deferral of Depreciation Expense:</t>
  </si>
  <si>
    <t>Debit</t>
  </si>
  <si>
    <t>Credit</t>
  </si>
  <si>
    <t>Deferral of Return on Investment:</t>
  </si>
  <si>
    <t>FERC 182.3 Other regulatory asset - AMI Dep Exp Deferral - ELECTRIC</t>
  </si>
  <si>
    <t>FERC 407.4 Regulatory credits - AMI Dep Exp Deferral - ELECTRIC</t>
  </si>
  <si>
    <t>FERC 182.3 Other regulatory asset - AMI Dep Exp Deferral - GAS</t>
  </si>
  <si>
    <t>FERC 407.4 Regulatory credits - AMI Dep Exp Deferral - GAS</t>
  </si>
  <si>
    <t>FERC 186 Miscellaneous deferred debits - AMI Return Deferral - ELECTRIC</t>
  </si>
  <si>
    <t>FERC 186 Miscellaneous deferred debits - AMI Return Deferral - GAS</t>
  </si>
  <si>
    <t>AMI plant, depreciation, taxes - AMA COMMON</t>
  </si>
  <si>
    <t>Page 2 of 10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</si>
  <si>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</si>
  <si>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</si>
  <si>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</si>
  <si>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</si>
  <si>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</si>
  <si>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</si>
  <si>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</si>
  <si>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</si>
  <si>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Expense (o)</t>
  </si>
  <si>
    <t>Tax</t>
  </si>
  <si>
    <t>Book</t>
  </si>
  <si>
    <t>Tax (c) = (a)</t>
  </si>
  <si>
    <t>Book Depr</t>
  </si>
  <si>
    <t xml:space="preserve">Book  </t>
  </si>
  <si>
    <t>Book &gt; Tax</t>
  </si>
  <si>
    <t>= - curr mos</t>
  </si>
  <si>
    <t>x Tax Table</t>
  </si>
  <si>
    <t>Expense</t>
  </si>
  <si>
    <t>(e) = prior</t>
  </si>
  <si>
    <t>(f) = prior</t>
  </si>
  <si>
    <t>(j) + prior</t>
  </si>
  <si>
    <t>(a)</t>
  </si>
  <si>
    <t>(b)</t>
  </si>
  <si>
    <t>mos- (c)</t>
  </si>
  <si>
    <t>mos - (d)</t>
  </si>
  <si>
    <t>(g) = (a) + (e)</t>
  </si>
  <si>
    <t>(h) = (b) + (f)</t>
  </si>
  <si>
    <t>(i) = (h) - (g)</t>
  </si>
  <si>
    <t>(j) (Note 1)</t>
  </si>
  <si>
    <t>mos (j)</t>
  </si>
  <si>
    <t>Note 1 - (j) = Δ (i) x tax rate - prior mo (j)</t>
  </si>
  <si>
    <t>3 YR Straightline property</t>
  </si>
  <si>
    <t>Page 5 of 10</t>
  </si>
  <si>
    <t>3 Year Straight line w H/Y Convention</t>
  </si>
  <si>
    <t>Yr 1</t>
  </si>
  <si>
    <t>Yr 2</t>
  </si>
  <si>
    <t>Yr 3</t>
  </si>
  <si>
    <t>Yr 4</t>
  </si>
  <si>
    <t>with Bonus Depreciation (2016 thru 2017)</t>
  </si>
  <si>
    <t>w/o Bonus (2018 Additions)</t>
  </si>
  <si>
    <t>MACRS7 Year property</t>
  </si>
  <si>
    <t>Page 8 of 10</t>
  </si>
  <si>
    <t>7 yr MACRS w H/Y Convention</t>
  </si>
  <si>
    <t>Yr 5</t>
  </si>
  <si>
    <t>Yr 6</t>
  </si>
  <si>
    <t>Yr 7</t>
  </si>
  <si>
    <t>Yr 8</t>
  </si>
  <si>
    <t>AMI plant, depreciation, taxes - AMA GAS</t>
  </si>
  <si>
    <t>AMI plant, depreciation, taxes - AMA ELECTRIC</t>
  </si>
  <si>
    <t>20 YR MACRS PROPERTY</t>
  </si>
  <si>
    <t>20 Year MACRS with H/Y convention</t>
  </si>
  <si>
    <t>Yr 9</t>
  </si>
  <si>
    <t>Yr 10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</si>
  <si>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</si>
  <si>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</si>
  <si>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</si>
  <si>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</si>
  <si>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</si>
  <si>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</si>
  <si>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</si>
  <si>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</si>
  <si>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</si>
  <si>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</si>
  <si>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Yr 21</t>
  </si>
  <si>
    <t>Total</t>
  </si>
  <si>
    <t>5 yr Macrs Property</t>
  </si>
  <si>
    <t>5 yr MACRS w H/Y Convention</t>
  </si>
  <si>
    <t>20 yr MACRS property</t>
  </si>
  <si>
    <t>7 yr MACRS Property</t>
  </si>
  <si>
    <t>Adapted from Attachment A to PSE's 1st Supplemental Response to Staff Data Request No. 039</t>
  </si>
  <si>
    <t>Adapted from Attachment B to PSE's 1st Supplemental Response to Staff Data Request No. 039</t>
  </si>
  <si>
    <t>Adapted from Attachment C to PSE's Response to Staff Data Request No. 039</t>
  </si>
  <si>
    <t>Adapted from Attachment C to PSE's 1st Supplemental Response to Staff Data Request No. 039</t>
  </si>
  <si>
    <t>Description</t>
  </si>
  <si>
    <t>No.</t>
  </si>
  <si>
    <t xml:space="preserve">Line </t>
  </si>
  <si>
    <t>Plant Balance</t>
  </si>
  <si>
    <t>Deferred Income Taxes</t>
  </si>
  <si>
    <t>Net Plant Rate Base</t>
  </si>
  <si>
    <t>Net Operating Income Requirement</t>
  </si>
  <si>
    <t>Tax Benefit of Interest</t>
  </si>
  <si>
    <t>Rate of Return</t>
  </si>
  <si>
    <t>HAVE BEEN HIGHLIGHTED IN GREEN.</t>
  </si>
  <si>
    <t xml:space="preserve">AMOUNTS THAT HAVE CHANGED SINCE UE-170033/UG-170034  &amp; UE-180282/UG-180283 </t>
  </si>
  <si>
    <t>TOTAL AFTER TAX COST OF CAPITAL</t>
  </si>
  <si>
    <t>EQUITY</t>
  </si>
  <si>
    <t>AFTER TAX SHORT AND LONG TERM DEBT</t>
  </si>
  <si>
    <t>TOTAL COST OF CAPITAL</t>
  </si>
  <si>
    <t>SHORT TERM AND LONG TERM DEBT</t>
  </si>
  <si>
    <t>CAPITAL</t>
  </si>
  <si>
    <t>COST %</t>
  </si>
  <si>
    <t>CAPITAL %</t>
  </si>
  <si>
    <t>DESCRIPTION</t>
  </si>
  <si>
    <t>NO.</t>
  </si>
  <si>
    <t>COST OF</t>
  </si>
  <si>
    <t>PRO FORMA</t>
  </si>
  <si>
    <t>LINE</t>
  </si>
  <si>
    <t>UPDATED FOR NEW DEBT ISSUANCES</t>
  </si>
  <si>
    <t>ADJUSTED FOR FEDERAL TAX RATE CHANGE FROM 35% to 21%</t>
  </si>
  <si>
    <t>PRO FORMA COST OF CAPITAL APPROVED IN UE-170033/UG-170034</t>
  </si>
  <si>
    <t>Ref 3.02</t>
  </si>
  <si>
    <t>FOR THE TWELVE MONTHS ENDED JUNE 30, 2018</t>
  </si>
  <si>
    <t>Weighted Average Cost of Debt</t>
  </si>
  <si>
    <t>Federal Tax Rate</t>
  </si>
  <si>
    <t>Subtotal Before Gross-Up</t>
  </si>
  <si>
    <t>Gross Up for Federal Income Tax</t>
  </si>
  <si>
    <t>Amount to Defer</t>
  </si>
  <si>
    <t>Annual Return</t>
  </si>
  <si>
    <t>Convert to Monthly</t>
  </si>
  <si>
    <t>Cumulative Deferral</t>
  </si>
  <si>
    <t>COMMON</t>
  </si>
  <si>
    <t>ELECTRIC</t>
  </si>
  <si>
    <t>GAS</t>
  </si>
  <si>
    <t>Ref 5.07/6.07</t>
  </si>
  <si>
    <t>PUGET SOUND ENERGY-ELECTRIC &amp; GAS</t>
  </si>
  <si>
    <t>ALLOCATION METHODS</t>
  </si>
  <si>
    <t>Method</t>
  </si>
  <si>
    <t>Electric</t>
  </si>
  <si>
    <t>Gas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</si>
  <si>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</si>
  <si>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</si>
  <si>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</si>
  <si>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</si>
  <si>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</si>
  <si>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</si>
  <si>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</si>
  <si>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</si>
  <si>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</si>
  <si>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</si>
  <si>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</si>
  <si>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</si>
  <si>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</si>
  <si>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</si>
  <si>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</si>
  <si>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</si>
  <si>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</si>
  <si>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</si>
  <si>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</si>
  <si>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</si>
  <si>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</si>
  <si>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</si>
  <si>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</si>
  <si>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</si>
  <si>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</si>
  <si>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PUGET SOUND ENERGY-ELECTRIC</t>
  </si>
  <si>
    <t>Electric Four-Factor</t>
  </si>
  <si>
    <t>Gas Four-Factor</t>
  </si>
  <si>
    <t>Check</t>
  </si>
  <si>
    <t>DIRECT ELECTRIC</t>
  </si>
  <si>
    <t>COMMON ALLOCATED TO ELECTRIC</t>
  </si>
  <si>
    <t>TOTAL ELECTRIC</t>
  </si>
  <si>
    <t>DIRECT GAS</t>
  </si>
  <si>
    <t>TOTAL GAS</t>
  </si>
  <si>
    <t>COMMON ALLOCATED TO GAS</t>
  </si>
  <si>
    <t>Example Journal Entries for Deferrals per Settlement Agreement in UE-180899 and UG-180900 for Advanced</t>
  </si>
  <si>
    <t>Metering Infrastructure ("AMI") Investment</t>
  </si>
  <si>
    <t>Determination of Return on Common AMI Plant Based on Amounts from Attachment A to PSE's 1st Supplemental Response to WUTC Staff Data Request No. 039</t>
  </si>
  <si>
    <t>Determination of Return on Gas AMI Plant Based on Amounts from Attachment C to PSE's 1st Supplemental Response to WUTC Staff Data Request No. 039</t>
  </si>
  <si>
    <t>Determination of Return on Electric AMI Plant Based on Amounts from Attachment B to PSE's 1st Supplemental Response to WUTC Staff Data Request No. 039</t>
  </si>
  <si>
    <t>Electric portion of Common</t>
  </si>
  <si>
    <t>Common</t>
  </si>
  <si>
    <t>Total Electric</t>
  </si>
  <si>
    <t>Four-Factor</t>
  </si>
  <si>
    <t>Allocator</t>
  </si>
  <si>
    <t>The below amounts are from PSE's First Supplemental Response to</t>
  </si>
  <si>
    <t>Staff DR 039 which was prepared using amounts reported in PSE's</t>
  </si>
  <si>
    <t>fixed asset software Power Plant. Actual depreciation amounts</t>
  </si>
  <si>
    <t>that will be deferred will be pulled from Power Plant for actual</t>
  </si>
  <si>
    <t>AMI assets for the month</t>
  </si>
  <si>
    <t>Gas portion of Common</t>
  </si>
  <si>
    <t>Total Gas</t>
  </si>
  <si>
    <t>FERC 456 Other electric revenues - AMI Return Deferral - ELECTRIC</t>
  </si>
  <si>
    <t>FERC 495 Other gas revenues - AMI Return Deferral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</si>
</sst>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%"/>
    <numFmt numFmtId="167" formatCode="[$-409]mmmm\ d\,\ yyyy;@"/>
    <numFmt numFmtId="168" formatCode="_(* #,##0.0000_);_(* \(#,##0.0000\);_(* &quot;-&quot;_);_(@_)"/>
    <numFmt numFmtId="169" formatCode="0.0%"/>
    <numFmt numFmtId="170" formatCode="00000"/>
    <numFmt numFmtId="171" formatCode="0.00_)"/>
    <numFmt numFmtId="172" formatCode="0.0000000000000000%"/>
    <numFmt numFmtId="173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name val="Times New Roman"/>
      <family val="1"/>
    </font>
    <font>
      <b/>
      <i/>
      <sz val="10"/>
      <color rgb="FF0066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/>
    <xf numFmtId="38" fontId="7" fillId="3" borderId="0" applyNumberFormat="0" applyBorder="0" applyAlignment="0" applyProtection="0"/>
    <xf numFmtId="10" fontId="7" fillId="4" borderId="18" applyNumberFormat="0" applyBorder="0" applyAlignment="0" applyProtection="0"/>
    <xf numFmtId="37" fontId="11" fillId="0" borderId="0"/>
    <xf numFmtId="171" fontId="12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>
      <alignment horizontal="left" wrapText="1"/>
    </xf>
    <xf numFmtId="0" fontId="4" fillId="0" borderId="0">
      <alignment horizontal="left" wrapText="1"/>
    </xf>
    <xf numFmtId="164" fontId="16" fillId="0" borderId="0">
      <alignment horizontal="left" wrapText="1"/>
    </xf>
  </cellStyleXfs>
  <cellXfs count="1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2" fontId="0" fillId="0" borderId="0" xfId="1" applyNumberFormat="1" applyFont="1"/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0" fillId="0" borderId="0" xfId="0" applyFill="1"/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3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3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42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10" fontId="3" fillId="0" borderId="0" xfId="2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centerContinuous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Continuous" vertical="center"/>
    </xf>
    <xf numFmtId="0" fontId="3" fillId="0" borderId="7" xfId="0" applyNumberFormat="1" applyFont="1" applyFill="1" applyBorder="1" applyAlignment="1">
      <alignment horizontal="centerContinuous" vertical="center"/>
    </xf>
    <xf numFmtId="0" fontId="8" fillId="0" borderId="6" xfId="0" applyNumberFormat="1" applyFont="1" applyFill="1" applyBorder="1" applyAlignment="1">
      <alignment horizontal="right" vertical="center"/>
    </xf>
    <xf numFmtId="10" fontId="9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164" fontId="3" fillId="0" borderId="10" xfId="0" quotePrefix="1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right"/>
    </xf>
    <xf numFmtId="41" fontId="4" fillId="0" borderId="6" xfId="0" applyNumberFormat="1" applyFont="1" applyFill="1" applyBorder="1" applyAlignment="1"/>
    <xf numFmtId="41" fontId="4" fillId="0" borderId="7" xfId="0" applyNumberFormat="1" applyFont="1" applyFill="1" applyBorder="1" applyAlignment="1"/>
    <xf numFmtId="41" fontId="4" fillId="0" borderId="6" xfId="0" applyNumberFormat="1" applyFont="1" applyFill="1" applyBorder="1" applyAlignment="1">
      <alignment horizontal="center"/>
    </xf>
    <xf numFmtId="41" fontId="4" fillId="0" borderId="7" xfId="0" applyNumberFormat="1" applyFont="1" applyFill="1" applyBorder="1" applyAlignment="1">
      <alignment horizontal="left"/>
    </xf>
    <xf numFmtId="41" fontId="4" fillId="0" borderId="5" xfId="0" applyNumberFormat="1" applyFont="1" applyFill="1" applyBorder="1" applyAlignment="1"/>
    <xf numFmtId="165" fontId="4" fillId="0" borderId="7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13" fontId="4" fillId="0" borderId="0" xfId="0" applyNumberFormat="1" applyFont="1" applyFill="1" applyAlignment="1"/>
    <xf numFmtId="167" fontId="4" fillId="0" borderId="11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/>
    <xf numFmtId="41" fontId="4" fillId="0" borderId="13" xfId="0" applyNumberFormat="1" applyFont="1" applyFill="1" applyBorder="1" applyAlignment="1"/>
    <xf numFmtId="41" fontId="4" fillId="0" borderId="11" xfId="0" applyNumberFormat="1" applyFont="1" applyFill="1" applyBorder="1" applyAlignment="1"/>
    <xf numFmtId="41" fontId="4" fillId="0" borderId="14" xfId="0" applyNumberFormat="1" applyFont="1" applyFill="1" applyBorder="1" applyAlignment="1"/>
    <xf numFmtId="41" fontId="4" fillId="2" borderId="15" xfId="0" applyNumberFormat="1" applyFont="1" applyFill="1" applyBorder="1" applyAlignment="1"/>
    <xf numFmtId="41" fontId="4" fillId="0" borderId="15" xfId="0" applyNumberFormat="1" applyFont="1" applyFill="1" applyBorder="1" applyAlignment="1"/>
    <xf numFmtId="41" fontId="4" fillId="0" borderId="16" xfId="0" applyNumberFormat="1" applyFont="1" applyFill="1" applyBorder="1" applyAlignment="1"/>
    <xf numFmtId="41" fontId="4" fillId="2" borderId="17" xfId="0" applyNumberFormat="1" applyFont="1" applyFill="1" applyBorder="1" applyAlignment="1"/>
    <xf numFmtId="41" fontId="4" fillId="0" borderId="17" xfId="0" applyNumberFormat="1" applyFont="1" applyFill="1" applyBorder="1" applyAlignment="1"/>
    <xf numFmtId="168" fontId="4" fillId="0" borderId="0" xfId="0" applyNumberFormat="1" applyFont="1" applyFill="1" applyAlignment="1"/>
    <xf numFmtId="12" fontId="4" fillId="0" borderId="0" xfId="0" applyNumberFormat="1" applyFont="1" applyFill="1" applyAlignment="1"/>
    <xf numFmtId="41" fontId="10" fillId="0" borderId="0" xfId="0" applyNumberFormat="1" applyFont="1" applyFill="1" applyAlignment="1">
      <alignment horizontal="center" wrapText="1"/>
    </xf>
    <xf numFmtId="169" fontId="4" fillId="0" borderId="0" xfId="2" applyNumberFormat="1" applyFont="1" applyFill="1" applyAlignment="1"/>
    <xf numFmtId="0" fontId="3" fillId="0" borderId="19" xfId="0" applyNumberFormat="1" applyFont="1" applyFill="1" applyBorder="1" applyAlignment="1"/>
    <xf numFmtId="0" fontId="3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/>
    <xf numFmtId="166" fontId="3" fillId="0" borderId="2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3" fontId="4" fillId="0" borderId="0" xfId="0" applyNumberFormat="1" applyFont="1" applyFill="1" applyAlignment="1"/>
    <xf numFmtId="166" fontId="0" fillId="0" borderId="0" xfId="0" applyNumberFormat="1"/>
    <xf numFmtId="166" fontId="3" fillId="0" borderId="2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/>
    <xf numFmtId="164" fontId="15" fillId="0" borderId="0" xfId="0" applyNumberFormat="1" applyFont="1" applyFill="1" applyAlignment="1">
      <alignment horizontal="right"/>
    </xf>
    <xf numFmtId="10" fontId="3" fillId="0" borderId="22" xfId="0" applyNumberFormat="1" applyFont="1" applyFill="1" applyBorder="1" applyAlignment="1">
      <alignment horizontal="center"/>
    </xf>
    <xf numFmtId="43" fontId="0" fillId="0" borderId="0" xfId="0" applyNumberFormat="1" applyFill="1"/>
    <xf numFmtId="43" fontId="4" fillId="0" borderId="7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10" fontId="0" fillId="0" borderId="0" xfId="0" applyNumberFormat="1"/>
    <xf numFmtId="0" fontId="16" fillId="0" borderId="0" xfId="66" applyNumberFormat="1" applyAlignment="1"/>
    <xf numFmtId="0" fontId="16" fillId="0" borderId="0" xfId="66" applyNumberFormat="1" applyFont="1" applyAlignment="1"/>
    <xf numFmtId="165" fontId="16" fillId="0" borderId="0" xfId="66" applyNumberFormat="1" applyFont="1" applyAlignment="1"/>
    <xf numFmtId="164" fontId="16" fillId="0" borderId="0" xfId="66">
      <alignment horizontal="left" wrapText="1"/>
    </xf>
    <xf numFmtId="0" fontId="16" fillId="0" borderId="0" xfId="66" applyNumberFormat="1" applyFont="1" applyFill="1" applyAlignment="1"/>
    <xf numFmtId="164" fontId="16" fillId="0" borderId="0" xfId="66" applyFill="1">
      <alignment horizontal="left" wrapText="1"/>
    </xf>
    <xf numFmtId="0" fontId="14" fillId="0" borderId="0" xfId="66" applyNumberFormat="1" applyFont="1" applyFill="1" applyAlignment="1"/>
    <xf numFmtId="0" fontId="17" fillId="0" borderId="0" xfId="66" applyNumberFormat="1" applyFont="1" applyFill="1" applyAlignment="1"/>
    <xf numFmtId="164" fontId="16" fillId="0" borderId="0" xfId="66" applyFont="1" applyFill="1">
      <alignment horizontal="left" wrapText="1"/>
    </xf>
    <xf numFmtId="0" fontId="14" fillId="0" borderId="0" xfId="66" applyNumberFormat="1" applyFont="1" applyFill="1" applyAlignment="1">
      <alignment horizontal="center"/>
    </xf>
    <xf numFmtId="10" fontId="18" fillId="5" borderId="24" xfId="66" applyNumberFormat="1" applyFont="1" applyFill="1" applyBorder="1" applyAlignment="1">
      <alignment horizontal="right" wrapText="1"/>
    </xf>
    <xf numFmtId="0" fontId="14" fillId="0" borderId="24" xfId="66" applyNumberFormat="1" applyFont="1" applyFill="1" applyBorder="1" applyAlignment="1"/>
    <xf numFmtId="10" fontId="14" fillId="0" borderId="24" xfId="66" applyNumberFormat="1" applyFont="1" applyFill="1" applyBorder="1" applyAlignment="1"/>
    <xf numFmtId="10" fontId="14" fillId="0" borderId="0" xfId="66" applyNumberFormat="1" applyFont="1" applyFill="1" applyBorder="1" applyAlignment="1"/>
    <xf numFmtId="10" fontId="14" fillId="0" borderId="0" xfId="66" applyNumberFormat="1" applyFont="1" applyFill="1" applyAlignment="1"/>
    <xf numFmtId="172" fontId="16" fillId="0" borderId="0" xfId="66" applyNumberFormat="1" applyFont="1" applyFill="1" applyAlignment="1"/>
    <xf numFmtId="10" fontId="18" fillId="5" borderId="0" xfId="66" applyNumberFormat="1" applyFont="1" applyFill="1" applyBorder="1" applyAlignment="1">
      <alignment horizontal="right" wrapText="1"/>
    </xf>
    <xf numFmtId="0" fontId="14" fillId="0" borderId="0" xfId="66" applyNumberFormat="1" applyFont="1" applyFill="1" applyBorder="1" applyAlignment="1"/>
    <xf numFmtId="10" fontId="14" fillId="0" borderId="0" xfId="66" applyNumberFormat="1" applyFont="1" applyFill="1" applyAlignment="1" applyProtection="1">
      <alignment horizontal="left" indent="2"/>
    </xf>
    <xf numFmtId="0" fontId="14" fillId="0" borderId="0" xfId="66" applyNumberFormat="1" applyFont="1" applyFill="1" applyAlignment="1">
      <alignment horizontal="fill"/>
    </xf>
    <xf numFmtId="0" fontId="19" fillId="0" borderId="23" xfId="66" applyNumberFormat="1" applyFont="1" applyFill="1" applyBorder="1" applyAlignment="1">
      <alignment horizontal="center" vertical="center"/>
    </xf>
    <xf numFmtId="0" fontId="19" fillId="0" borderId="23" xfId="66" applyNumberFormat="1" applyFont="1" applyFill="1" applyBorder="1" applyAlignment="1">
      <alignment horizontal="left" vertical="center"/>
    </xf>
    <xf numFmtId="0" fontId="19" fillId="0" borderId="0" xfId="66" applyNumberFormat="1" applyFont="1" applyFill="1" applyAlignment="1">
      <alignment horizontal="center"/>
    </xf>
    <xf numFmtId="0" fontId="19" fillId="0" borderId="0" xfId="66" applyNumberFormat="1" applyFont="1" applyFill="1" applyAlignment="1"/>
    <xf numFmtId="0" fontId="19" fillId="0" borderId="0" xfId="66" applyNumberFormat="1" applyFont="1" applyFill="1" applyAlignment="1">
      <alignment horizontal="centerContinuous"/>
    </xf>
    <xf numFmtId="0" fontId="19" fillId="0" borderId="0" xfId="66" applyNumberFormat="1" applyFont="1" applyFill="1" applyAlignment="1" applyProtection="1">
      <alignment horizontal="centerContinuous"/>
      <protection locked="0"/>
    </xf>
    <xf numFmtId="0" fontId="16" fillId="0" borderId="0" xfId="66" applyNumberFormat="1" applyFill="1" applyAlignment="1"/>
    <xf numFmtId="0" fontId="19" fillId="0" borderId="0" xfId="66" quotePrefix="1" applyNumberFormat="1" applyFont="1" applyFill="1" applyBorder="1" applyAlignment="1">
      <alignment horizontal="centerContinuous"/>
    </xf>
    <xf numFmtId="0" fontId="14" fillId="0" borderId="0" xfId="66" applyNumberFormat="1" applyFont="1" applyFill="1" applyAlignment="1">
      <alignment horizontal="centerContinuous"/>
    </xf>
    <xf numFmtId="0" fontId="14" fillId="0" borderId="0" xfId="66" applyNumberFormat="1" applyFont="1" applyFill="1" applyBorder="1" applyAlignment="1">
      <alignment horizontal="centerContinuous"/>
    </xf>
    <xf numFmtId="164" fontId="16" fillId="0" borderId="0" xfId="66" applyFill="1" applyAlignment="1">
      <alignment horizontal="centerContinuous" wrapText="1"/>
    </xf>
    <xf numFmtId="0" fontId="20" fillId="0" borderId="0" xfId="66" applyNumberFormat="1" applyFont="1" applyFill="1" applyAlignment="1">
      <alignment horizontal="centerContinuous"/>
    </xf>
    <xf numFmtId="0" fontId="16" fillId="0" borderId="0" xfId="66" applyNumberFormat="1" applyFill="1" applyBorder="1" applyAlignment="1"/>
    <xf numFmtId="18" fontId="19" fillId="0" borderId="0" xfId="66" applyNumberFormat="1" applyFont="1" applyFill="1" applyAlignment="1">
      <alignment horizontal="centerContinuous"/>
    </xf>
    <xf numFmtId="0" fontId="16" fillId="0" borderId="0" xfId="66" applyNumberFormat="1" applyFill="1" applyAlignment="1">
      <alignment horizontal="centerContinuous"/>
    </xf>
    <xf numFmtId="0" fontId="19" fillId="0" borderId="0" xfId="66" quotePrefix="1" applyNumberFormat="1" applyFont="1" applyFill="1" applyBorder="1" applyAlignment="1">
      <alignment horizontal="right"/>
    </xf>
    <xf numFmtId="164" fontId="19" fillId="0" borderId="0" xfId="66" applyNumberFormat="1" applyFont="1" applyFill="1" applyAlignment="1">
      <alignment horizontal="right"/>
    </xf>
    <xf numFmtId="14" fontId="2" fillId="0" borderId="23" xfId="0" applyNumberFormat="1" applyFont="1" applyBorder="1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24" xfId="0" applyNumberFormat="1" applyBorder="1"/>
    <xf numFmtId="9" fontId="0" fillId="0" borderId="0" xfId="2" applyFont="1"/>
    <xf numFmtId="9" fontId="0" fillId="0" borderId="0" xfId="0" applyNumberFormat="1"/>
    <xf numFmtId="42" fontId="0" fillId="0" borderId="27" xfId="0" applyNumberFormat="1" applyBorder="1"/>
    <xf numFmtId="167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/>
    <xf numFmtId="41" fontId="4" fillId="0" borderId="30" xfId="0" applyNumberFormat="1" applyFont="1" applyFill="1" applyBorder="1" applyAlignment="1"/>
    <xf numFmtId="41" fontId="4" fillId="0" borderId="29" xfId="0" applyNumberFormat="1" applyFont="1" applyFill="1" applyBorder="1" applyAlignment="1">
      <alignment horizontal="center"/>
    </xf>
    <xf numFmtId="41" fontId="4" fillId="0" borderId="30" xfId="0" applyNumberFormat="1" applyFont="1" applyFill="1" applyBorder="1" applyAlignment="1">
      <alignment horizontal="left"/>
    </xf>
    <xf numFmtId="41" fontId="4" fillId="0" borderId="28" xfId="0" applyNumberFormat="1" applyFont="1" applyFill="1" applyBorder="1" applyAlignment="1"/>
    <xf numFmtId="165" fontId="4" fillId="0" borderId="30" xfId="0" applyNumberFormat="1" applyFont="1" applyFill="1" applyBorder="1" applyAlignment="1"/>
    <xf numFmtId="41" fontId="4" fillId="6" borderId="6" xfId="0" applyNumberFormat="1" applyFont="1" applyFill="1" applyBorder="1" applyAlignment="1"/>
    <xf numFmtId="41" fontId="4" fillId="6" borderId="29" xfId="0" applyNumberFormat="1" applyFont="1" applyFill="1" applyBorder="1" applyAlignment="1"/>
    <xf numFmtId="43" fontId="4" fillId="0" borderId="0" xfId="0" applyNumberFormat="1" applyFont="1" applyFill="1" applyBorder="1" applyAlignment="1"/>
    <xf numFmtId="41" fontId="4" fillId="6" borderId="7" xfId="0" applyNumberFormat="1" applyFont="1" applyFill="1" applyBorder="1" applyAlignment="1"/>
    <xf numFmtId="42" fontId="0" fillId="0" borderId="32" xfId="0" applyNumberFormat="1" applyBorder="1"/>
    <xf numFmtId="42" fontId="0" fillId="0" borderId="31" xfId="0" applyNumberFormat="1" applyBorder="1"/>
    <xf numFmtId="0" fontId="21" fillId="0" borderId="0" xfId="0" applyFont="1"/>
    <xf numFmtId="0" fontId="4" fillId="0" borderId="0" xfId="66" applyNumberFormat="1" applyFont="1" applyFill="1" applyAlignment="1"/>
    <xf numFmtId="0" fontId="4" fillId="0" borderId="0" xfId="66" applyNumberFormat="1" applyFont="1" applyFill="1" applyAlignment="1">
      <alignment horizontal="center"/>
    </xf>
    <xf numFmtId="0" fontId="3" fillId="0" borderId="33" xfId="66" applyNumberFormat="1" applyFont="1" applyFill="1" applyBorder="1" applyAlignment="1">
      <alignment horizontal="centerContinuous"/>
    </xf>
    <xf numFmtId="0" fontId="3" fillId="0" borderId="0" xfId="66" applyNumberFormat="1" applyFont="1" applyFill="1" applyAlignment="1">
      <alignment horizontal="centerContinuous" vertical="center"/>
    </xf>
    <xf numFmtId="0" fontId="3" fillId="0" borderId="23" xfId="66" applyNumberFormat="1" applyFont="1" applyFill="1" applyBorder="1" applyAlignment="1">
      <alignment horizontal="center"/>
    </xf>
    <xf numFmtId="0" fontId="10" fillId="0" borderId="0" xfId="66" applyNumberFormat="1" applyFont="1" applyFill="1" applyAlignment="1">
      <alignment horizontal="center"/>
    </xf>
    <xf numFmtId="0" fontId="3" fillId="0" borderId="0" xfId="66" applyNumberFormat="1" applyFont="1" applyFill="1" applyAlignment="1">
      <alignment horizontal="center"/>
    </xf>
    <xf numFmtId="0" fontId="22" fillId="0" borderId="0" xfId="66" applyNumberFormat="1" applyFont="1" applyFill="1" applyAlignment="1"/>
    <xf numFmtId="14" fontId="4" fillId="0" borderId="0" xfId="66" applyNumberFormat="1" applyFont="1" applyFill="1" applyAlignment="1">
      <alignment horizontal="center"/>
    </xf>
    <xf numFmtId="165" fontId="4" fillId="0" borderId="0" xfId="66" applyNumberFormat="1" applyFont="1" applyFill="1" applyAlignment="1"/>
    <xf numFmtId="0" fontId="4" fillId="0" borderId="0" xfId="66" applyNumberFormat="1" applyFont="1" applyFill="1" applyAlignment="1">
      <alignment horizontal="left"/>
    </xf>
    <xf numFmtId="10" fontId="3" fillId="0" borderId="27" xfId="66" applyNumberFormat="1" applyFont="1" applyFill="1" applyBorder="1" applyAlignment="1"/>
    <xf numFmtId="10" fontId="4" fillId="0" borderId="27" xfId="66" applyNumberFormat="1" applyFont="1" applyFill="1" applyBorder="1" applyAlignment="1"/>
    <xf numFmtId="10" fontId="4" fillId="0" borderId="0" xfId="66" applyNumberFormat="1" applyFont="1" applyFill="1" applyAlignment="1"/>
    <xf numFmtId="3" fontId="4" fillId="0" borderId="0" xfId="66" applyNumberFormat="1" applyFont="1" applyFill="1" applyAlignment="1"/>
    <xf numFmtId="0" fontId="4" fillId="0" borderId="0" xfId="66" applyNumberFormat="1" applyFont="1" applyFill="1" applyAlignment="1">
      <alignment horizontal="left" wrapText="1"/>
    </xf>
    <xf numFmtId="41" fontId="4" fillId="0" borderId="0" xfId="66" applyNumberFormat="1" applyFont="1" applyFill="1" applyAlignment="1"/>
    <xf numFmtId="42" fontId="4" fillId="0" borderId="0" xfId="66" applyNumberFormat="1" applyFont="1" applyFill="1" applyAlignment="1"/>
    <xf numFmtId="0" fontId="10" fillId="0" borderId="0" xfId="66" applyNumberFormat="1" applyFont="1" applyFill="1" applyBorder="1" applyAlignment="1">
      <alignment horizontal="center"/>
    </xf>
    <xf numFmtId="42" fontId="4" fillId="0" borderId="34" xfId="66" applyNumberFormat="1" applyFont="1" applyFill="1" applyBorder="1" applyAlignment="1"/>
    <xf numFmtId="10" fontId="4" fillId="0" borderId="34" xfId="66" applyNumberFormat="1" applyFont="1" applyFill="1" applyBorder="1" applyAlignment="1"/>
    <xf numFmtId="173" fontId="4" fillId="0" borderId="0" xfId="66" applyNumberFormat="1" applyFont="1" applyFill="1" applyAlignment="1"/>
    <xf numFmtId="0" fontId="9" fillId="0" borderId="0" xfId="66" applyNumberFormat="1" applyFont="1" applyFill="1" applyAlignment="1">
      <alignment horizontal="center"/>
    </xf>
    <xf numFmtId="14" fontId="10" fillId="0" borderId="0" xfId="66" applyNumberFormat="1" applyFont="1" applyFill="1" applyAlignment="1">
      <alignment horizontal="center"/>
    </xf>
    <xf numFmtId="0" fontId="4" fillId="0" borderId="0" xfId="66" applyNumberFormat="1" applyFont="1" applyFill="1" applyBorder="1" applyAlignment="1"/>
    <xf numFmtId="10" fontId="4" fillId="0" borderId="23" xfId="66" applyNumberFormat="1" applyFont="1" applyFill="1" applyBorder="1" applyAlignment="1"/>
    <xf numFmtId="173" fontId="4" fillId="0" borderId="34" xfId="66" applyNumberFormat="1" applyFont="1" applyFill="1" applyBorder="1" applyAlignment="1"/>
    <xf numFmtId="42" fontId="4" fillId="0" borderId="27" xfId="66" applyNumberFormat="1" applyFont="1" applyFill="1" applyBorder="1" applyAlignment="1"/>
    <xf numFmtId="0" fontId="23" fillId="0" borderId="0" xfId="0" applyFont="1" applyAlignment="1">
      <alignment horizontal="right"/>
    </xf>
    <xf numFmtId="41" fontId="23" fillId="0" borderId="0" xfId="0" applyNumberFormat="1" applyFont="1"/>
    <xf numFmtId="42" fontId="0" fillId="0" borderId="0" xfId="0" applyNumberFormat="1" applyBorder="1"/>
    <xf numFmtId="10" fontId="0" fillId="0" borderId="0" xfId="0" applyNumberFormat="1" applyAlignment="1">
      <alignment horizontal="center"/>
    </xf>
    <xf numFmtId="164" fontId="3" fillId="0" borderId="26" xfId="66" applyFont="1" applyFill="1" applyBorder="1" applyAlignment="1">
      <alignment horizontal="center" vertical="center"/>
    </xf>
    <xf numFmtId="164" fontId="3" fillId="0" borderId="25" xfId="66" applyFont="1" applyFill="1" applyBorder="1" applyAlignment="1">
      <alignment horizontal="center" vertical="center"/>
    </xf>
  </cellXfs>
  <cellStyles count="67">
    <cellStyle name="Comma 10" xfId="3" xr:uid="{00000000-0005-0000-0000-000000000000}"/>
    <cellStyle name="Comma 11" xfId="4" xr:uid="{00000000-0005-0000-0000-000001000000}"/>
    <cellStyle name="Comma 2" xfId="5" xr:uid="{00000000-0005-0000-0000-000002000000}"/>
    <cellStyle name="Comma 3" xfId="6" xr:uid="{00000000-0005-0000-0000-000003000000}"/>
    <cellStyle name="Comma 4" xfId="7" xr:uid="{00000000-0005-0000-0000-000004000000}"/>
    <cellStyle name="Comma 5" xfId="8" xr:uid="{00000000-0005-0000-0000-000005000000}"/>
    <cellStyle name="Comma 6" xfId="9" xr:uid="{00000000-0005-0000-0000-000006000000}"/>
    <cellStyle name="Comma 7" xfId="10" xr:uid="{00000000-0005-0000-0000-000007000000}"/>
    <cellStyle name="Comma 8" xfId="11" xr:uid="{00000000-0005-0000-0000-000008000000}"/>
    <cellStyle name="Comma 9" xfId="12" xr:uid="{00000000-0005-0000-0000-000009000000}"/>
    <cellStyle name="Currency" xfId="1" builtinId="4"/>
    <cellStyle name="Currency 10" xfId="13" xr:uid="{00000000-0005-0000-0000-00000B000000}"/>
    <cellStyle name="Currency 2" xfId="14" xr:uid="{00000000-0005-0000-0000-00000C000000}"/>
    <cellStyle name="Currency 3" xfId="15" xr:uid="{00000000-0005-0000-0000-00000D000000}"/>
    <cellStyle name="Currency 4" xfId="16" xr:uid="{00000000-0005-0000-0000-00000E000000}"/>
    <cellStyle name="Currency 5" xfId="17" xr:uid="{00000000-0005-0000-0000-00000F000000}"/>
    <cellStyle name="Currency 6" xfId="18" xr:uid="{00000000-0005-0000-0000-000010000000}"/>
    <cellStyle name="Currency 7" xfId="19" xr:uid="{00000000-0005-0000-0000-000011000000}"/>
    <cellStyle name="Currency 8" xfId="20" xr:uid="{00000000-0005-0000-0000-000012000000}"/>
    <cellStyle name="Currency 9" xfId="21" xr:uid="{00000000-0005-0000-0000-000013000000}"/>
    <cellStyle name="Entered" xfId="22" xr:uid="{00000000-0005-0000-0000-000014000000}"/>
    <cellStyle name="Grey" xfId="23" xr:uid="{00000000-0005-0000-0000-000015000000}"/>
    <cellStyle name="Input [yellow]" xfId="24" xr:uid="{00000000-0005-0000-0000-000016000000}"/>
    <cellStyle name="no dec" xfId="25" xr:uid="{00000000-0005-0000-0000-000017000000}"/>
    <cellStyle name="Normal" xfId="0" builtinId="0"/>
    <cellStyle name="Normal - Style1" xfId="26" xr:uid="{00000000-0005-0000-0000-000019000000}"/>
    <cellStyle name="Normal 10" xfId="27" xr:uid="{00000000-0005-0000-0000-00001A000000}"/>
    <cellStyle name="Normal 11" xfId="28" xr:uid="{00000000-0005-0000-0000-00001B000000}"/>
    <cellStyle name="Normal 12" xfId="29" xr:uid="{00000000-0005-0000-0000-00001C000000}"/>
    <cellStyle name="Normal 13" xfId="30" xr:uid="{00000000-0005-0000-0000-00001D000000}"/>
    <cellStyle name="Normal 14" xfId="31" xr:uid="{00000000-0005-0000-0000-00001E000000}"/>
    <cellStyle name="Normal 15" xfId="32" xr:uid="{00000000-0005-0000-0000-00001F000000}"/>
    <cellStyle name="Normal 16" xfId="33" xr:uid="{00000000-0005-0000-0000-000020000000}"/>
    <cellStyle name="Normal 17" xfId="34" xr:uid="{00000000-0005-0000-0000-000021000000}"/>
    <cellStyle name="Normal 18" xfId="35" xr:uid="{00000000-0005-0000-0000-000022000000}"/>
    <cellStyle name="Normal 19" xfId="36" xr:uid="{00000000-0005-0000-0000-000023000000}"/>
    <cellStyle name="Normal 2" xfId="37" xr:uid="{00000000-0005-0000-0000-000024000000}"/>
    <cellStyle name="Normal 2 2" xfId="38" xr:uid="{00000000-0005-0000-0000-000025000000}"/>
    <cellStyle name="Normal 2 3" xfId="39" xr:uid="{00000000-0005-0000-0000-000026000000}"/>
    <cellStyle name="Normal 2 4" xfId="40" xr:uid="{00000000-0005-0000-0000-000027000000}"/>
    <cellStyle name="Normal 2 5" xfId="41" xr:uid="{00000000-0005-0000-0000-000028000000}"/>
    <cellStyle name="Normal 2 6" xfId="42" xr:uid="{00000000-0005-0000-0000-000029000000}"/>
    <cellStyle name="Normal 2 7" xfId="43" xr:uid="{00000000-0005-0000-0000-00002A000000}"/>
    <cellStyle name="Normal 2_Lehman_Sempra_TradeDetail" xfId="44" xr:uid="{00000000-0005-0000-0000-00002B000000}"/>
    <cellStyle name="Normal 20" xfId="66" xr:uid="{00000000-0005-0000-0000-00002C000000}"/>
    <cellStyle name="Normal 3" xfId="45" xr:uid="{00000000-0005-0000-0000-00002D000000}"/>
    <cellStyle name="Normal 3 2" xfId="46" xr:uid="{00000000-0005-0000-0000-00002E000000}"/>
    <cellStyle name="Normal 3 3" xfId="47" xr:uid="{00000000-0005-0000-0000-00002F000000}"/>
    <cellStyle name="Normal 3 4" xfId="48" xr:uid="{00000000-0005-0000-0000-000030000000}"/>
    <cellStyle name="Normal 3 5" xfId="49" xr:uid="{00000000-0005-0000-0000-000031000000}"/>
    <cellStyle name="Normal 3_SFAS 157 Disclosures_ Q2 2008" xfId="50" xr:uid="{00000000-0005-0000-0000-000032000000}"/>
    <cellStyle name="Normal 4" xfId="51" xr:uid="{00000000-0005-0000-0000-000033000000}"/>
    <cellStyle name="Normal 4 2" xfId="52" xr:uid="{00000000-0005-0000-0000-000034000000}"/>
    <cellStyle name="Normal 4_SFAS 157 Disclosures_ Q2 2008" xfId="53" xr:uid="{00000000-0005-0000-0000-000035000000}"/>
    <cellStyle name="Normal 5" xfId="54" xr:uid="{00000000-0005-0000-0000-000036000000}"/>
    <cellStyle name="Normal 6" xfId="55" xr:uid="{00000000-0005-0000-0000-000037000000}"/>
    <cellStyle name="Normal 7" xfId="56" xr:uid="{00000000-0005-0000-0000-000038000000}"/>
    <cellStyle name="Normal 7 2" xfId="57" xr:uid="{00000000-0005-0000-0000-000039000000}"/>
    <cellStyle name="Normal 8" xfId="58" xr:uid="{00000000-0005-0000-0000-00003A000000}"/>
    <cellStyle name="Normal 9" xfId="59" xr:uid="{00000000-0005-0000-0000-00003B000000}"/>
    <cellStyle name="Percent" xfId="2" builtinId="5"/>
    <cellStyle name="Percent [2]" xfId="60" xr:uid="{00000000-0005-0000-0000-00003D000000}"/>
    <cellStyle name="Percent 2" xfId="61" xr:uid="{00000000-0005-0000-0000-00003E000000}"/>
    <cellStyle name="Percent 3" xfId="62" xr:uid="{00000000-0005-0000-0000-00003F000000}"/>
    <cellStyle name="Percent 4" xfId="63" xr:uid="{00000000-0005-0000-0000-000040000000}"/>
    <cellStyle name="Style 1" xfId="64" xr:uid="{00000000-0005-0000-0000-000041000000}"/>
    <cellStyle name="Style 1 2" xfId="65" xr:uid="{00000000-0005-0000-0000-000042000000}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17" Type="http://schemas.openxmlformats.org/officeDocument/2006/relationships/theme" Target="theme/theme1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24" Type="http://schemas.openxmlformats.org/officeDocument/2006/relationships/customXml" Target="../customXml/item4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3.xml"/><Relationship Id="rId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5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5"/>
  <sheetViews>
    <sheetView tabSelected="1" workbookViewId="0">
      <selection activeCell="B23" sqref="B23"/>
    </sheetView>
  </sheetViews>
  <sheetFormatPr defaultRowHeight="14.4" x14ac:dyDescent="0.3"/>
  <cols>
    <col min="2" max="2" width="66.6640625" bestFit="1" customWidth="1"/>
    <col min="3" max="4" width="10" bestFit="1" customWidth="1"/>
  </cols>
  <sheetData>
    <row r="1" spans="1:4" x14ac:dyDescent="0.3">
      <c r="A1" s="1" t="s">
        <v>0</v>
      </c>
    </row>
    <row r="2" spans="1:4" x14ac:dyDescent="0.3">
      <c r="A2" s="1" t="s">
        <v>167</v>
      </c>
    </row>
    <row r="3" spans="1:4" x14ac:dyDescent="0.3">
      <c r="A3" s="1" t="s">
        <v>168</v>
      </c>
    </row>
    <row r="4" spans="1:4" x14ac:dyDescent="0.3">
      <c r="A4" s="1"/>
    </row>
    <row r="5" spans="1:4" x14ac:dyDescent="0.3">
      <c r="A5" s="1"/>
    </row>
    <row r="6" spans="1:4" x14ac:dyDescent="0.3">
      <c r="C6" s="86" t="s">
        <v>2</v>
      </c>
      <c r="D6" s="86" t="s">
        <v>3</v>
      </c>
    </row>
    <row r="7" spans="1:4" x14ac:dyDescent="0.3">
      <c r="C7" s="2"/>
      <c r="D7" s="2"/>
    </row>
    <row r="8" spans="1:4" x14ac:dyDescent="0.3">
      <c r="A8" t="s">
        <v>1</v>
      </c>
    </row>
    <row r="9" spans="1:4" x14ac:dyDescent="0.3">
      <c r="C9" s="2"/>
      <c r="D9" s="2"/>
    </row>
    <row r="10" spans="1:4" x14ac:dyDescent="0.3">
      <c r="B10" t="s">
        <v>5</v>
      </c>
      <c r="C10" s="3">
        <f>'Dep Exp'!D9</f>
        <v>380648.60178937501</v>
      </c>
    </row>
    <row r="11" spans="1:4" x14ac:dyDescent="0.3">
      <c r="B11" t="s">
        <v>6</v>
      </c>
      <c r="D11" s="3">
        <f>C10</f>
        <v>380648.60178937501</v>
      </c>
    </row>
    <row r="12" spans="1:4" x14ac:dyDescent="0.3">
      <c r="C12" s="3"/>
    </row>
    <row r="13" spans="1:4" x14ac:dyDescent="0.3">
      <c r="B13" t="s">
        <v>7</v>
      </c>
      <c r="C13" s="127">
        <f>'Dep Exp'!D13</f>
        <v>167781.05261879167</v>
      </c>
      <c r="D13" s="3"/>
    </row>
    <row r="14" spans="1:4" x14ac:dyDescent="0.3">
      <c r="B14" t="s">
        <v>8</v>
      </c>
      <c r="C14" s="3"/>
      <c r="D14" s="127">
        <f>C13</f>
        <v>167781.05261879167</v>
      </c>
    </row>
    <row r="15" spans="1:4" x14ac:dyDescent="0.3">
      <c r="D15" s="3"/>
    </row>
    <row r="16" spans="1:4" x14ac:dyDescent="0.3">
      <c r="A16" t="s">
        <v>4</v>
      </c>
      <c r="C16" s="3"/>
    </row>
    <row r="17" spans="2:4" x14ac:dyDescent="0.3">
      <c r="D17" s="3"/>
    </row>
    <row r="18" spans="2:4" x14ac:dyDescent="0.3">
      <c r="B18" t="s">
        <v>9</v>
      </c>
      <c r="C18" s="3">
        <f>'Return Electric'!C21</f>
        <v>259601.63599445962</v>
      </c>
    </row>
    <row r="19" spans="2:4" x14ac:dyDescent="0.3">
      <c r="B19" t="s">
        <v>184</v>
      </c>
      <c r="D19" s="3">
        <f>C18</f>
        <v>259601.63599445962</v>
      </c>
    </row>
    <row r="20" spans="2:4" x14ac:dyDescent="0.3">
      <c r="C20" s="3"/>
    </row>
    <row r="21" spans="2:4" x14ac:dyDescent="0.3">
      <c r="B21" t="s">
        <v>10</v>
      </c>
      <c r="C21" s="127">
        <f>'Return Gas'!C21</f>
        <v>93174.913747162573</v>
      </c>
      <c r="D21" s="3"/>
    </row>
    <row r="22" spans="2:4" x14ac:dyDescent="0.3">
      <c r="B22" t="s">
        <v>185</v>
      </c>
      <c r="C22" s="3"/>
      <c r="D22" s="127">
        <f>C21</f>
        <v>93174.913747162573</v>
      </c>
    </row>
    <row r="23" spans="2:4" x14ac:dyDescent="0.3">
      <c r="D23" s="3"/>
    </row>
    <row r="24" spans="2:4" x14ac:dyDescent="0.3">
      <c r="C24" s="3"/>
    </row>
    <row r="25" spans="2:4" x14ac:dyDescent="0.3">
      <c r="D25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fitToPage="1"/>
  </sheetPr>
  <dimension ref="A1:W66"/>
  <sheetViews>
    <sheetView zoomScaleNormal="100" workbookViewId="0">
      <pane xSplit="1" ySplit="14" topLeftCell="B29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60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85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 t="s">
        <v>81</v>
      </c>
      <c r="C2" s="12"/>
      <c r="D2" s="13"/>
      <c r="F2" s="14"/>
      <c r="G2" s="15"/>
      <c r="H2" s="15"/>
      <c r="I2" s="16"/>
      <c r="J2" s="5"/>
      <c r="K2" s="5"/>
      <c r="L2" s="7" t="s">
        <v>54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55</v>
      </c>
      <c r="B4" s="72" t="s">
        <v>47</v>
      </c>
      <c r="C4" s="72" t="s">
        <v>48</v>
      </c>
      <c r="D4" s="72" t="s">
        <v>49</v>
      </c>
      <c r="E4" s="72" t="s">
        <v>50</v>
      </c>
      <c r="F4" s="72" t="s">
        <v>56</v>
      </c>
      <c r="G4" s="72" t="s">
        <v>57</v>
      </c>
      <c r="H4" s="72" t="s">
        <v>58</v>
      </c>
      <c r="I4" s="72" t="s">
        <v>59</v>
      </c>
      <c r="J4" s="73"/>
      <c r="K4" s="73"/>
      <c r="L4" s="73"/>
    </row>
    <row r="5" spans="1:23" s="10" customFormat="1" x14ac:dyDescent="0.25">
      <c r="A5" s="74" t="s">
        <v>51</v>
      </c>
      <c r="B5" s="75">
        <v>0.57145000000000001</v>
      </c>
      <c r="C5" s="75">
        <v>0.12245</v>
      </c>
      <c r="D5" s="75">
        <v>8.745E-2</v>
      </c>
      <c r="E5" s="80">
        <v>6.2449999999999999E-2</v>
      </c>
      <c r="F5" s="80">
        <v>4.4650000000000002E-2</v>
      </c>
      <c r="G5" s="80">
        <v>4.4600000000000001E-2</v>
      </c>
      <c r="H5" s="80">
        <v>4.4650000000000002E-2</v>
      </c>
      <c r="I5" s="80">
        <v>2.23E-2</v>
      </c>
      <c r="J5" s="22"/>
      <c r="K5" s="22"/>
      <c r="L5" s="22"/>
    </row>
    <row r="6" spans="1:23" s="10" customFormat="1" ht="14.4" x14ac:dyDescent="0.3">
      <c r="A6" s="20" t="s">
        <v>52</v>
      </c>
      <c r="B6" s="21">
        <v>0.1429</v>
      </c>
      <c r="C6" s="21">
        <v>0.24490000000000001</v>
      </c>
      <c r="D6" s="21">
        <v>0.1749</v>
      </c>
      <c r="E6" s="21">
        <v>0.1249</v>
      </c>
      <c r="F6" s="21">
        <v>8.9300000000000004E-2</v>
      </c>
      <c r="G6" s="21">
        <v>8.9200000000000002E-2</v>
      </c>
      <c r="H6" s="21">
        <v>8.9300000000000004E-2</v>
      </c>
      <c r="I6" s="21">
        <v>4.4600000000000001E-2</v>
      </c>
      <c r="J6" s="22"/>
      <c r="K6" s="77"/>
      <c r="L6" s="77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6"/>
      <c r="C8" s="6"/>
      <c r="D8" s="6"/>
      <c r="E8" s="6"/>
      <c r="I8" s="23"/>
      <c r="J8" s="23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4"/>
    </row>
    <row r="9" spans="1:23" ht="5.0999999999999996" customHeight="1" thickBot="1" x14ac:dyDescent="0.3"/>
    <row r="10" spans="1:23" x14ac:dyDescent="0.25">
      <c r="A10" s="25" t="s">
        <v>13</v>
      </c>
      <c r="B10" s="26" t="s">
        <v>14</v>
      </c>
      <c r="C10" s="27"/>
      <c r="D10" s="26" t="s">
        <v>15</v>
      </c>
      <c r="E10" s="27"/>
      <c r="F10" s="26" t="s">
        <v>16</v>
      </c>
      <c r="G10" s="27"/>
      <c r="H10" s="26" t="s">
        <v>17</v>
      </c>
      <c r="I10" s="27"/>
      <c r="J10" s="28" t="s">
        <v>18</v>
      </c>
      <c r="K10" s="29" t="s">
        <v>19</v>
      </c>
      <c r="L10" s="29" t="s">
        <v>20</v>
      </c>
    </row>
    <row r="11" spans="1:23" x14ac:dyDescent="0.25">
      <c r="A11" s="30"/>
      <c r="B11" s="31"/>
      <c r="C11" s="32"/>
      <c r="D11" s="33"/>
      <c r="E11" s="34"/>
      <c r="F11" s="33"/>
      <c r="G11" s="32"/>
      <c r="H11" s="31"/>
      <c r="I11" s="35"/>
      <c r="J11" s="36"/>
      <c r="K11" s="37"/>
      <c r="L11" s="37" t="s">
        <v>21</v>
      </c>
    </row>
    <row r="12" spans="1:23" x14ac:dyDescent="0.25">
      <c r="A12" s="38"/>
      <c r="B12" s="39" t="s">
        <v>22</v>
      </c>
      <c r="C12" s="35" t="s">
        <v>23</v>
      </c>
      <c r="D12" s="39" t="s">
        <v>24</v>
      </c>
      <c r="E12" s="35" t="s">
        <v>25</v>
      </c>
      <c r="F12" s="39" t="s">
        <v>22</v>
      </c>
      <c r="G12" s="35" t="s">
        <v>23</v>
      </c>
      <c r="H12" s="39" t="s">
        <v>22</v>
      </c>
      <c r="I12" s="35" t="s">
        <v>26</v>
      </c>
      <c r="J12" s="36" t="s">
        <v>27</v>
      </c>
      <c r="K12" s="40">
        <v>0.35</v>
      </c>
      <c r="L12" s="37" t="s">
        <v>28</v>
      </c>
    </row>
    <row r="13" spans="1:23" x14ac:dyDescent="0.25">
      <c r="A13" s="38"/>
      <c r="B13" s="39"/>
      <c r="C13" s="35"/>
      <c r="D13" s="39" t="s">
        <v>29</v>
      </c>
      <c r="E13" s="35" t="s">
        <v>30</v>
      </c>
      <c r="F13" s="39" t="s">
        <v>31</v>
      </c>
      <c r="G13" s="35" t="s">
        <v>32</v>
      </c>
      <c r="H13" s="39"/>
      <c r="I13" s="35"/>
      <c r="J13" s="36" t="s">
        <v>27</v>
      </c>
      <c r="K13" s="40">
        <v>0.21</v>
      </c>
      <c r="L13" s="37" t="s">
        <v>33</v>
      </c>
    </row>
    <row r="14" spans="1:23" x14ac:dyDescent="0.25">
      <c r="A14" s="41"/>
      <c r="B14" s="42" t="s">
        <v>34</v>
      </c>
      <c r="C14" s="43" t="s">
        <v>35</v>
      </c>
      <c r="D14" s="42"/>
      <c r="E14" s="43"/>
      <c r="F14" s="42" t="s">
        <v>36</v>
      </c>
      <c r="G14" s="43" t="s">
        <v>37</v>
      </c>
      <c r="H14" s="42" t="s">
        <v>38</v>
      </c>
      <c r="I14" s="43" t="s">
        <v>39</v>
      </c>
      <c r="J14" s="44" t="s">
        <v>40</v>
      </c>
      <c r="K14" s="45" t="s">
        <v>41</v>
      </c>
      <c r="L14" s="46" t="s">
        <v>42</v>
      </c>
    </row>
    <row r="15" spans="1:23" outlineLevel="1" x14ac:dyDescent="0.25">
      <c r="A15" s="47"/>
      <c r="B15" s="48"/>
      <c r="C15" s="49"/>
      <c r="D15" s="48"/>
      <c r="E15" s="49"/>
      <c r="F15" s="50"/>
      <c r="G15" s="51"/>
      <c r="H15" s="48"/>
      <c r="I15" s="49"/>
      <c r="J15" s="52"/>
      <c r="K15" s="53"/>
      <c r="L15" s="49"/>
    </row>
    <row r="16" spans="1:23" outlineLevel="1" x14ac:dyDescent="0.25">
      <c r="A16" s="47">
        <v>42674</v>
      </c>
      <c r="B16" s="48">
        <f t="shared" ref="B16:B24" si="0">C16</f>
        <v>0</v>
      </c>
      <c r="C16" s="49">
        <v>0</v>
      </c>
      <c r="D16" s="48"/>
      <c r="E16" s="49">
        <v>0</v>
      </c>
      <c r="F16" s="50">
        <f>+F15-D16</f>
        <v>0</v>
      </c>
      <c r="G16" s="51">
        <f t="shared" ref="G16:G31" si="1">+G15-E16</f>
        <v>0</v>
      </c>
      <c r="H16" s="48">
        <f t="shared" ref="H16:I31" si="2">B16+F16</f>
        <v>0</v>
      </c>
      <c r="I16" s="49">
        <f t="shared" si="2"/>
        <v>0</v>
      </c>
      <c r="J16" s="52">
        <f t="shared" ref="J16:J36" si="3">I16-H16</f>
        <v>0</v>
      </c>
      <c r="K16" s="53">
        <f t="shared" ref="K16:K30" si="4">(-(J16-J15)*$K$12)+K15</f>
        <v>0</v>
      </c>
      <c r="L16" s="49">
        <f t="shared" ref="L16:L36" si="5">-K16+K15</f>
        <v>0</v>
      </c>
    </row>
    <row r="17" spans="1:20" outlineLevel="1" x14ac:dyDescent="0.25">
      <c r="A17" s="47">
        <v>42704</v>
      </c>
      <c r="B17" s="48">
        <f t="shared" si="0"/>
        <v>0</v>
      </c>
      <c r="C17" s="49">
        <v>0</v>
      </c>
      <c r="D17" s="48"/>
      <c r="E17" s="49">
        <v>0</v>
      </c>
      <c r="F17" s="50">
        <f t="shared" ref="F17:G32" si="6">+F16-D17</f>
        <v>0</v>
      </c>
      <c r="G17" s="51">
        <f t="shared" si="1"/>
        <v>0</v>
      </c>
      <c r="H17" s="48">
        <f t="shared" si="2"/>
        <v>0</v>
      </c>
      <c r="I17" s="49">
        <f t="shared" si="2"/>
        <v>0</v>
      </c>
      <c r="J17" s="52">
        <f t="shared" si="3"/>
        <v>0</v>
      </c>
      <c r="K17" s="53">
        <f t="shared" si="4"/>
        <v>0</v>
      </c>
      <c r="L17" s="49">
        <f t="shared" si="5"/>
        <v>0</v>
      </c>
    </row>
    <row r="18" spans="1:20" outlineLevel="1" x14ac:dyDescent="0.25">
      <c r="A18" s="47">
        <v>42735</v>
      </c>
      <c r="B18" s="48">
        <f t="shared" si="0"/>
        <v>0</v>
      </c>
      <c r="C18" s="49">
        <v>0</v>
      </c>
      <c r="D18" s="48"/>
      <c r="E18" s="49">
        <v>0</v>
      </c>
      <c r="F18" s="50">
        <f t="shared" si="6"/>
        <v>0</v>
      </c>
      <c r="G18" s="51">
        <f t="shared" si="1"/>
        <v>0</v>
      </c>
      <c r="H18" s="48">
        <f t="shared" si="2"/>
        <v>0</v>
      </c>
      <c r="I18" s="49">
        <f t="shared" si="2"/>
        <v>0</v>
      </c>
      <c r="J18" s="52">
        <f t="shared" si="3"/>
        <v>0</v>
      </c>
      <c r="K18" s="53">
        <f t="shared" si="4"/>
        <v>0</v>
      </c>
      <c r="L18" s="49">
        <f t="shared" si="5"/>
        <v>0</v>
      </c>
    </row>
    <row r="19" spans="1:20" outlineLevel="1" x14ac:dyDescent="0.25">
      <c r="A19" s="47">
        <v>42766</v>
      </c>
      <c r="B19" s="48">
        <f t="shared" si="0"/>
        <v>0</v>
      </c>
      <c r="C19" s="49">
        <v>0</v>
      </c>
      <c r="D19" s="48"/>
      <c r="E19" s="49">
        <v>0</v>
      </c>
      <c r="F19" s="50">
        <f t="shared" si="6"/>
        <v>0</v>
      </c>
      <c r="G19" s="51">
        <f t="shared" si="1"/>
        <v>0</v>
      </c>
      <c r="H19" s="48">
        <f t="shared" si="2"/>
        <v>0</v>
      </c>
      <c r="I19" s="49">
        <f t="shared" si="2"/>
        <v>0</v>
      </c>
      <c r="J19" s="52">
        <f t="shared" si="3"/>
        <v>0</v>
      </c>
      <c r="K19" s="53">
        <f t="shared" si="4"/>
        <v>0</v>
      </c>
      <c r="L19" s="49">
        <f t="shared" si="5"/>
        <v>0</v>
      </c>
    </row>
    <row r="20" spans="1:20" outlineLevel="1" x14ac:dyDescent="0.25">
      <c r="A20" s="47">
        <v>42794</v>
      </c>
      <c r="B20" s="48">
        <f t="shared" si="0"/>
        <v>0</v>
      </c>
      <c r="C20" s="49">
        <v>0</v>
      </c>
      <c r="D20" s="48"/>
      <c r="E20" s="49">
        <v>0</v>
      </c>
      <c r="F20" s="50">
        <f t="shared" si="6"/>
        <v>0</v>
      </c>
      <c r="G20" s="51">
        <f t="shared" si="1"/>
        <v>0</v>
      </c>
      <c r="H20" s="48">
        <f t="shared" si="2"/>
        <v>0</v>
      </c>
      <c r="I20" s="49">
        <f t="shared" si="2"/>
        <v>0</v>
      </c>
      <c r="J20" s="52">
        <f t="shared" si="3"/>
        <v>0</v>
      </c>
      <c r="K20" s="53">
        <f t="shared" si="4"/>
        <v>0</v>
      </c>
      <c r="L20" s="49">
        <f t="shared" si="5"/>
        <v>0</v>
      </c>
    </row>
    <row r="21" spans="1:20" outlineLevel="1" x14ac:dyDescent="0.25">
      <c r="A21" s="47">
        <v>42825</v>
      </c>
      <c r="B21" s="48">
        <f t="shared" si="0"/>
        <v>0</v>
      </c>
      <c r="C21" s="49">
        <v>0</v>
      </c>
      <c r="D21" s="48"/>
      <c r="E21" s="49">
        <v>0</v>
      </c>
      <c r="F21" s="50">
        <f t="shared" si="6"/>
        <v>0</v>
      </c>
      <c r="G21" s="51">
        <f t="shared" si="1"/>
        <v>0</v>
      </c>
      <c r="H21" s="48">
        <f t="shared" si="2"/>
        <v>0</v>
      </c>
      <c r="I21" s="49">
        <f t="shared" si="2"/>
        <v>0</v>
      </c>
      <c r="J21" s="52">
        <f t="shared" si="3"/>
        <v>0</v>
      </c>
      <c r="K21" s="53">
        <f t="shared" si="4"/>
        <v>0</v>
      </c>
      <c r="L21" s="49">
        <f t="shared" si="5"/>
        <v>0</v>
      </c>
    </row>
    <row r="22" spans="1:20" outlineLevel="1" x14ac:dyDescent="0.25">
      <c r="A22" s="47">
        <v>42855</v>
      </c>
      <c r="B22" s="48">
        <f t="shared" si="0"/>
        <v>0</v>
      </c>
      <c r="C22" s="49">
        <v>0</v>
      </c>
      <c r="D22" s="48"/>
      <c r="E22" s="49">
        <v>0</v>
      </c>
      <c r="F22" s="50">
        <f t="shared" si="6"/>
        <v>0</v>
      </c>
      <c r="G22" s="51">
        <f t="shared" si="1"/>
        <v>0</v>
      </c>
      <c r="H22" s="48">
        <f t="shared" si="2"/>
        <v>0</v>
      </c>
      <c r="I22" s="49">
        <f t="shared" si="2"/>
        <v>0</v>
      </c>
      <c r="J22" s="52">
        <f t="shared" si="3"/>
        <v>0</v>
      </c>
      <c r="K22" s="53">
        <f t="shared" si="4"/>
        <v>0</v>
      </c>
      <c r="L22" s="49">
        <f t="shared" si="5"/>
        <v>0</v>
      </c>
    </row>
    <row r="23" spans="1:20" outlineLevel="1" x14ac:dyDescent="0.25">
      <c r="A23" s="47">
        <v>42886</v>
      </c>
      <c r="B23" s="48">
        <f t="shared" si="0"/>
        <v>0</v>
      </c>
      <c r="C23" s="49">
        <v>0</v>
      </c>
      <c r="D23" s="48"/>
      <c r="E23" s="49">
        <v>0</v>
      </c>
      <c r="F23" s="50">
        <f t="shared" si="6"/>
        <v>0</v>
      </c>
      <c r="G23" s="51">
        <f t="shared" si="1"/>
        <v>0</v>
      </c>
      <c r="H23" s="48">
        <f t="shared" si="2"/>
        <v>0</v>
      </c>
      <c r="I23" s="49">
        <f t="shared" si="2"/>
        <v>0</v>
      </c>
      <c r="J23" s="52">
        <f t="shared" si="3"/>
        <v>0</v>
      </c>
      <c r="K23" s="53">
        <f t="shared" si="4"/>
        <v>0</v>
      </c>
      <c r="L23" s="49">
        <f t="shared" si="5"/>
        <v>0</v>
      </c>
    </row>
    <row r="24" spans="1:20" outlineLevel="1" x14ac:dyDescent="0.25">
      <c r="A24" s="47">
        <v>42916</v>
      </c>
      <c r="B24" s="48">
        <f t="shared" si="0"/>
        <v>0</v>
      </c>
      <c r="C24" s="49">
        <v>0</v>
      </c>
      <c r="D24" s="48"/>
      <c r="E24" s="49">
        <v>0</v>
      </c>
      <c r="F24" s="50">
        <f t="shared" si="6"/>
        <v>0</v>
      </c>
      <c r="G24" s="51">
        <f t="shared" si="1"/>
        <v>0</v>
      </c>
      <c r="H24" s="48">
        <f t="shared" si="2"/>
        <v>0</v>
      </c>
      <c r="I24" s="49">
        <f t="shared" si="2"/>
        <v>0</v>
      </c>
      <c r="J24" s="52">
        <f t="shared" si="3"/>
        <v>0</v>
      </c>
      <c r="K24" s="53">
        <f t="shared" si="4"/>
        <v>0</v>
      </c>
      <c r="L24" s="49">
        <f t="shared" si="5"/>
        <v>0</v>
      </c>
    </row>
    <row r="25" spans="1:20" x14ac:dyDescent="0.25">
      <c r="A25" s="47">
        <v>42947</v>
      </c>
      <c r="B25" s="48">
        <f>C25</f>
        <v>10023.52</v>
      </c>
      <c r="C25" s="49">
        <v>10023.52</v>
      </c>
      <c r="D25" s="48">
        <f t="shared" ref="D25:D30" si="7">+($B$30*$B$5/6)</f>
        <v>4049.6166168333343</v>
      </c>
      <c r="E25" s="49">
        <v>20.882333333333335</v>
      </c>
      <c r="F25" s="50">
        <f t="shared" si="6"/>
        <v>-4049.6166168333343</v>
      </c>
      <c r="G25" s="51">
        <f t="shared" si="1"/>
        <v>-20.882333333333335</v>
      </c>
      <c r="H25" s="48">
        <f t="shared" si="2"/>
        <v>5973.9033831666657</v>
      </c>
      <c r="I25" s="49">
        <f t="shared" si="2"/>
        <v>10002.637666666667</v>
      </c>
      <c r="J25" s="52">
        <f t="shared" si="3"/>
        <v>4028.7342835000018</v>
      </c>
      <c r="K25" s="53">
        <f t="shared" si="4"/>
        <v>-1410.0569992250005</v>
      </c>
      <c r="L25" s="49">
        <f t="shared" si="5"/>
        <v>1410.0569992250005</v>
      </c>
    </row>
    <row r="26" spans="1:20" x14ac:dyDescent="0.25">
      <c r="A26" s="47">
        <v>42978</v>
      </c>
      <c r="B26" s="48">
        <f t="shared" ref="B26:B36" si="8">C26</f>
        <v>10023.52</v>
      </c>
      <c r="C26" s="49">
        <v>10023.52</v>
      </c>
      <c r="D26" s="48">
        <f t="shared" si="7"/>
        <v>4049.6166168333343</v>
      </c>
      <c r="E26" s="49">
        <v>41.76466666666667</v>
      </c>
      <c r="F26" s="50">
        <f t="shared" si="6"/>
        <v>-8099.2332336666686</v>
      </c>
      <c r="G26" s="51">
        <f t="shared" si="1"/>
        <v>-62.647000000000006</v>
      </c>
      <c r="H26" s="48">
        <f t="shared" si="2"/>
        <v>1924.2867663333318</v>
      </c>
      <c r="I26" s="49">
        <f t="shared" si="2"/>
        <v>9960.8729999999996</v>
      </c>
      <c r="J26" s="52">
        <f t="shared" si="3"/>
        <v>8036.5862336666678</v>
      </c>
      <c r="K26" s="53">
        <f t="shared" si="4"/>
        <v>-2812.8051817833334</v>
      </c>
      <c r="L26" s="49">
        <f t="shared" si="5"/>
        <v>1402.7481825583329</v>
      </c>
    </row>
    <row r="27" spans="1:20" ht="14.4" x14ac:dyDescent="0.3">
      <c r="A27" s="47">
        <v>43008</v>
      </c>
      <c r="B27" s="48">
        <f t="shared" si="8"/>
        <v>10023.52</v>
      </c>
      <c r="C27" s="49">
        <v>10023.52</v>
      </c>
      <c r="D27" s="48">
        <f t="shared" si="7"/>
        <v>4049.6166168333343</v>
      </c>
      <c r="E27" s="49">
        <v>41.76466666666667</v>
      </c>
      <c r="F27" s="50">
        <f t="shared" si="6"/>
        <v>-12148.849850500003</v>
      </c>
      <c r="G27" s="51">
        <f t="shared" si="1"/>
        <v>-104.41166666666668</v>
      </c>
      <c r="H27" s="48">
        <f t="shared" si="2"/>
        <v>-2125.3298505000021</v>
      </c>
      <c r="I27" s="49">
        <f t="shared" si="2"/>
        <v>9919.1083333333336</v>
      </c>
      <c r="J27" s="52">
        <f t="shared" si="3"/>
        <v>12044.438183833336</v>
      </c>
      <c r="K27" s="53">
        <f t="shared" si="4"/>
        <v>-4215.5533643416675</v>
      </c>
      <c r="L27" s="49">
        <f t="shared" si="5"/>
        <v>1402.7481825583341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43039</v>
      </c>
      <c r="B28" s="48">
        <f t="shared" si="8"/>
        <v>10023.52</v>
      </c>
      <c r="C28" s="49">
        <v>10023.52</v>
      </c>
      <c r="D28" s="48">
        <f t="shared" si="7"/>
        <v>4049.6166168333343</v>
      </c>
      <c r="E28" s="49">
        <v>41.76466666666667</v>
      </c>
      <c r="F28" s="50">
        <f t="shared" si="6"/>
        <v>-16198.466467333337</v>
      </c>
      <c r="G28" s="51">
        <f t="shared" si="1"/>
        <v>-146.17633333333333</v>
      </c>
      <c r="H28" s="48">
        <f t="shared" si="2"/>
        <v>-6174.9464673333368</v>
      </c>
      <c r="I28" s="49">
        <f t="shared" si="2"/>
        <v>9877.3436666666676</v>
      </c>
      <c r="J28" s="52">
        <f t="shared" si="3"/>
        <v>16052.290134000004</v>
      </c>
      <c r="K28" s="53">
        <f t="shared" si="4"/>
        <v>-5618.301546900002</v>
      </c>
      <c r="L28" s="49">
        <f t="shared" si="5"/>
        <v>1402.7481825583345</v>
      </c>
      <c r="M28" s="6"/>
      <c r="N28" s="54"/>
      <c r="O28" s="54"/>
      <c r="P28" s="54"/>
      <c r="Q28" s="54"/>
      <c r="R28" s="54"/>
      <c r="S28" s="54"/>
      <c r="T28" s="54"/>
    </row>
    <row r="29" spans="1:20" ht="14.4" x14ac:dyDescent="0.3">
      <c r="A29" s="47">
        <v>43069</v>
      </c>
      <c r="B29" s="48">
        <f t="shared" si="8"/>
        <v>10023.52</v>
      </c>
      <c r="C29" s="49">
        <v>10023.52</v>
      </c>
      <c r="D29" s="48">
        <f t="shared" si="7"/>
        <v>4049.6166168333343</v>
      </c>
      <c r="E29" s="49">
        <v>41.76466666666667</v>
      </c>
      <c r="F29" s="50">
        <f t="shared" si="6"/>
        <v>-20248.083084166672</v>
      </c>
      <c r="G29" s="51">
        <f t="shared" si="1"/>
        <v>-187.941</v>
      </c>
      <c r="H29" s="48">
        <f t="shared" si="2"/>
        <v>-10224.563084166672</v>
      </c>
      <c r="I29" s="49">
        <f t="shared" si="2"/>
        <v>9835.5789999999997</v>
      </c>
      <c r="J29" s="52">
        <f t="shared" si="3"/>
        <v>20060.14208416667</v>
      </c>
      <c r="K29" s="53">
        <f t="shared" si="4"/>
        <v>-7021.0497294583347</v>
      </c>
      <c r="L29" s="49">
        <f t="shared" si="5"/>
        <v>1402.7481825583327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43100</v>
      </c>
      <c r="B30" s="48">
        <f t="shared" si="8"/>
        <v>42519.380000000005</v>
      </c>
      <c r="C30" s="49">
        <v>42519.380000000005</v>
      </c>
      <c r="D30" s="48">
        <f t="shared" si="7"/>
        <v>4049.6166168333343</v>
      </c>
      <c r="E30" s="49">
        <v>312.56349999999998</v>
      </c>
      <c r="F30" s="50">
        <f t="shared" si="6"/>
        <v>-24297.699701000005</v>
      </c>
      <c r="G30" s="51">
        <f t="shared" si="1"/>
        <v>-500.50450000000001</v>
      </c>
      <c r="H30" s="48">
        <f t="shared" si="2"/>
        <v>18221.680299</v>
      </c>
      <c r="I30" s="49">
        <f t="shared" si="2"/>
        <v>42018.875500000002</v>
      </c>
      <c r="J30" s="52">
        <f t="shared" si="3"/>
        <v>23797.195201000002</v>
      </c>
      <c r="K30" s="53">
        <f t="shared" si="4"/>
        <v>-8329.0183203500019</v>
      </c>
      <c r="L30" s="49">
        <f t="shared" si="5"/>
        <v>1307.9685908916672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43131</v>
      </c>
      <c r="B31" s="48">
        <f t="shared" si="8"/>
        <v>42519.380000000005</v>
      </c>
      <c r="C31" s="49">
        <v>42519.380000000005</v>
      </c>
      <c r="D31" s="140">
        <f>+((($B$42-$B$30)*$B$6/12)+($B$30*$C$5/12))</f>
        <v>14205.985591333336</v>
      </c>
      <c r="E31" s="49">
        <v>583.36233333333337</v>
      </c>
      <c r="F31" s="50">
        <f t="shared" si="6"/>
        <v>-38503.685292333343</v>
      </c>
      <c r="G31" s="51">
        <f t="shared" si="1"/>
        <v>-1083.8668333333335</v>
      </c>
      <c r="H31" s="48">
        <f t="shared" si="2"/>
        <v>4015.694707666662</v>
      </c>
      <c r="I31" s="49">
        <f t="shared" si="2"/>
        <v>41435.513166666671</v>
      </c>
      <c r="J31" s="52">
        <f t="shared" si="3"/>
        <v>37419.818459000009</v>
      </c>
      <c r="K31" s="53">
        <f>(-(J31-J30)*$K$13)+K30</f>
        <v>-11189.769204530003</v>
      </c>
      <c r="L31" s="49">
        <f t="shared" si="5"/>
        <v>2860.7508841800009</v>
      </c>
      <c r="M31" s="6"/>
      <c r="N31" s="54"/>
      <c r="O31" s="54"/>
      <c r="P31" s="54"/>
      <c r="Q31" s="54"/>
      <c r="R31" s="54"/>
      <c r="S31" s="54"/>
      <c r="T31" s="54"/>
    </row>
    <row r="32" spans="1:20" x14ac:dyDescent="0.25">
      <c r="A32" s="47">
        <v>43159</v>
      </c>
      <c r="B32" s="48">
        <f t="shared" si="8"/>
        <v>42519.380000000005</v>
      </c>
      <c r="C32" s="49">
        <v>42519.380000000005</v>
      </c>
      <c r="D32" s="140">
        <f t="shared" ref="D32:D42" si="9">+((($B$42-$B$30)*$B$6/12)+($B$30*$C$5/12))</f>
        <v>14205.985591333336</v>
      </c>
      <c r="E32" s="49">
        <v>583.36233333333337</v>
      </c>
      <c r="F32" s="50">
        <f t="shared" si="6"/>
        <v>-52709.67088366668</v>
      </c>
      <c r="G32" s="51">
        <f t="shared" si="6"/>
        <v>-1667.229166666667</v>
      </c>
      <c r="H32" s="48">
        <f t="shared" ref="H32:I36" si="10">B32+F32</f>
        <v>-10190.290883666676</v>
      </c>
      <c r="I32" s="49">
        <f t="shared" si="10"/>
        <v>40852.15083333334</v>
      </c>
      <c r="J32" s="52">
        <f t="shared" si="3"/>
        <v>51042.441717000016</v>
      </c>
      <c r="K32" s="53">
        <f t="shared" ref="K32:K36" si="11">(-(J32-J31)*$K$13)+K31</f>
        <v>-14050.520088710004</v>
      </c>
      <c r="L32" s="49">
        <f t="shared" si="5"/>
        <v>2860.7508841800009</v>
      </c>
      <c r="M32" s="55"/>
      <c r="N32" s="54"/>
      <c r="O32" s="54"/>
      <c r="P32" s="54"/>
      <c r="Q32" s="54"/>
      <c r="R32" s="54"/>
      <c r="S32" s="54"/>
      <c r="T32" s="54"/>
    </row>
    <row r="33" spans="1:20" x14ac:dyDescent="0.25">
      <c r="A33" s="47">
        <v>43190</v>
      </c>
      <c r="B33" s="48">
        <f t="shared" si="8"/>
        <v>42519.380000000005</v>
      </c>
      <c r="C33" s="49">
        <v>42519.380000000005</v>
      </c>
      <c r="D33" s="140">
        <f t="shared" si="9"/>
        <v>14205.985591333336</v>
      </c>
      <c r="E33" s="49">
        <v>583.36233333333337</v>
      </c>
      <c r="F33" s="50">
        <f t="shared" ref="F33:G36" si="12">+F32-D33</f>
        <v>-66915.656475000011</v>
      </c>
      <c r="G33" s="51">
        <f t="shared" si="12"/>
        <v>-2250.5915000000005</v>
      </c>
      <c r="H33" s="48">
        <f t="shared" si="10"/>
        <v>-24396.276475000006</v>
      </c>
      <c r="I33" s="49">
        <f t="shared" si="10"/>
        <v>40268.788500000002</v>
      </c>
      <c r="J33" s="52">
        <f t="shared" si="3"/>
        <v>64665.064975000008</v>
      </c>
      <c r="K33" s="53">
        <f t="shared" si="11"/>
        <v>-16911.270972890001</v>
      </c>
      <c r="L33" s="49">
        <f t="shared" si="5"/>
        <v>2860.7508841799972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43220</v>
      </c>
      <c r="B34" s="48">
        <f t="shared" si="8"/>
        <v>42519.380000000005</v>
      </c>
      <c r="C34" s="49">
        <v>42519.380000000005</v>
      </c>
      <c r="D34" s="140">
        <f t="shared" si="9"/>
        <v>14205.985591333336</v>
      </c>
      <c r="E34" s="49">
        <v>583.36233333333337</v>
      </c>
      <c r="F34" s="50">
        <f t="shared" si="12"/>
        <v>-81121.642066333341</v>
      </c>
      <c r="G34" s="51">
        <f t="shared" si="12"/>
        <v>-2833.9538333333339</v>
      </c>
      <c r="H34" s="48">
        <f t="shared" si="10"/>
        <v>-38602.262066333336</v>
      </c>
      <c r="I34" s="49">
        <f t="shared" si="10"/>
        <v>39685.426166666672</v>
      </c>
      <c r="J34" s="52">
        <f t="shared" si="3"/>
        <v>78287.688233000008</v>
      </c>
      <c r="K34" s="53">
        <f t="shared" si="11"/>
        <v>-19772.021857070002</v>
      </c>
      <c r="L34" s="49">
        <f t="shared" si="5"/>
        <v>2860.7508841800009</v>
      </c>
      <c r="M34" s="55"/>
      <c r="N34" s="56"/>
      <c r="O34" s="54"/>
      <c r="P34" s="54"/>
      <c r="Q34" s="54"/>
      <c r="R34" s="54"/>
      <c r="S34" s="54"/>
      <c r="T34" s="54"/>
    </row>
    <row r="35" spans="1:20" x14ac:dyDescent="0.25">
      <c r="A35" s="47">
        <v>43251</v>
      </c>
      <c r="B35" s="48">
        <f t="shared" si="8"/>
        <v>42519.380000000005</v>
      </c>
      <c r="C35" s="49">
        <v>42519.380000000005</v>
      </c>
      <c r="D35" s="140">
        <f t="shared" si="9"/>
        <v>14205.985591333336</v>
      </c>
      <c r="E35" s="49">
        <v>583.36233333333337</v>
      </c>
      <c r="F35" s="50">
        <f t="shared" si="12"/>
        <v>-95327.627657666671</v>
      </c>
      <c r="G35" s="51">
        <f t="shared" si="12"/>
        <v>-3417.3161666666674</v>
      </c>
      <c r="H35" s="48">
        <f t="shared" si="10"/>
        <v>-52808.247657666667</v>
      </c>
      <c r="I35" s="49">
        <f t="shared" si="10"/>
        <v>39102.063833333334</v>
      </c>
      <c r="J35" s="52">
        <f t="shared" si="3"/>
        <v>91910.311491</v>
      </c>
      <c r="K35" s="53">
        <f t="shared" si="11"/>
        <v>-22632.772741249999</v>
      </c>
      <c r="L35" s="49">
        <f t="shared" si="5"/>
        <v>2860.7508841799972</v>
      </c>
      <c r="M35" s="55"/>
      <c r="N35" s="54"/>
      <c r="O35" s="54"/>
      <c r="P35" s="54"/>
      <c r="Q35" s="54"/>
      <c r="R35" s="54"/>
      <c r="S35" s="54"/>
      <c r="T35" s="54"/>
    </row>
    <row r="36" spans="1:20" ht="13.8" thickBot="1" x14ac:dyDescent="0.3">
      <c r="A36" s="133">
        <v>43281</v>
      </c>
      <c r="B36" s="134">
        <f t="shared" si="8"/>
        <v>1199029.7300000002</v>
      </c>
      <c r="C36" s="135">
        <v>1199029.7300000002</v>
      </c>
      <c r="D36" s="141">
        <f t="shared" si="9"/>
        <v>14205.985591333336</v>
      </c>
      <c r="E36" s="135">
        <v>3797.4973477083331</v>
      </c>
      <c r="F36" s="136">
        <f t="shared" si="12"/>
        <v>-109533.613249</v>
      </c>
      <c r="G36" s="137">
        <f t="shared" si="12"/>
        <v>-7214.8135143750005</v>
      </c>
      <c r="H36" s="134">
        <f t="shared" si="10"/>
        <v>1089496.1167510003</v>
      </c>
      <c r="I36" s="135">
        <f t="shared" si="10"/>
        <v>1191814.9164856253</v>
      </c>
      <c r="J36" s="138">
        <f t="shared" si="3"/>
        <v>102318.79973462503</v>
      </c>
      <c r="K36" s="139">
        <f t="shared" si="11"/>
        <v>-24818.555272411257</v>
      </c>
      <c r="L36" s="135">
        <f t="shared" si="5"/>
        <v>2185.7825311612578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43312</v>
      </c>
      <c r="B37" s="48">
        <f>B36</f>
        <v>1199029.7300000002</v>
      </c>
      <c r="C37" s="49">
        <f>C36</f>
        <v>1199029.7300000002</v>
      </c>
      <c r="D37" s="48">
        <f t="shared" si="9"/>
        <v>14205.985591333336</v>
      </c>
      <c r="E37" s="49">
        <f>E36</f>
        <v>3797.4973477083331</v>
      </c>
      <c r="F37" s="50">
        <f t="shared" ref="F37" si="13">+F36-D37</f>
        <v>-123739.59884033333</v>
      </c>
      <c r="G37" s="51">
        <f t="shared" ref="G37" si="14">+G36-E37</f>
        <v>-11012.310862083334</v>
      </c>
      <c r="H37" s="48">
        <f t="shared" ref="H37" si="15">B37+F37</f>
        <v>1075290.1311596669</v>
      </c>
      <c r="I37" s="49">
        <f t="shared" ref="I37" si="16">C37+G37</f>
        <v>1188017.419137917</v>
      </c>
      <c r="J37" s="52">
        <f t="shared" ref="J37" si="17">I37-H37</f>
        <v>112727.28797825007</v>
      </c>
      <c r="K37" s="53">
        <f t="shared" ref="K37" si="18">(-(J37-J36)*$K$13)+K36</f>
        <v>-27004.337803572515</v>
      </c>
      <c r="L37" s="49">
        <f t="shared" ref="L37" si="19">-K37+K36</f>
        <v>2185.7825311612578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43343</v>
      </c>
      <c r="B38" s="48">
        <f t="shared" ref="B38:B56" si="20">B37</f>
        <v>1199029.7300000002</v>
      </c>
      <c r="C38" s="49">
        <f t="shared" ref="C38:C56" si="21">C37</f>
        <v>1199029.7300000002</v>
      </c>
      <c r="D38" s="48">
        <f t="shared" si="9"/>
        <v>14205.985591333336</v>
      </c>
      <c r="E38" s="49">
        <f t="shared" ref="E38:E56" si="22">E37</f>
        <v>3797.4973477083331</v>
      </c>
      <c r="F38" s="50">
        <f t="shared" ref="F38:F56" si="23">+F37-D38</f>
        <v>-137945.58443166668</v>
      </c>
      <c r="G38" s="51">
        <f t="shared" ref="G38:G56" si="24">+G37-E38</f>
        <v>-14809.808209791667</v>
      </c>
      <c r="H38" s="48">
        <f t="shared" ref="H38:H56" si="25">B38+F38</f>
        <v>1061084.1455683336</v>
      </c>
      <c r="I38" s="49">
        <f t="shared" ref="I38:I56" si="26">C38+G38</f>
        <v>1184219.9217902084</v>
      </c>
      <c r="J38" s="52">
        <f t="shared" ref="J38:J56" si="27">I38-H38</f>
        <v>123135.77622187487</v>
      </c>
      <c r="K38" s="53">
        <f t="shared" ref="K38:K56" si="28">(-(J38-J37)*$K$13)+K37</f>
        <v>-29190.120334733721</v>
      </c>
      <c r="L38" s="49">
        <f t="shared" ref="L38:L56" si="29">-K38+K37</f>
        <v>2185.7825311612069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43373</v>
      </c>
      <c r="B39" s="48">
        <f t="shared" si="20"/>
        <v>1199029.7300000002</v>
      </c>
      <c r="C39" s="49">
        <f t="shared" si="21"/>
        <v>1199029.7300000002</v>
      </c>
      <c r="D39" s="48">
        <f t="shared" si="9"/>
        <v>14205.985591333336</v>
      </c>
      <c r="E39" s="49">
        <f t="shared" si="22"/>
        <v>3797.4973477083331</v>
      </c>
      <c r="F39" s="50">
        <f t="shared" si="23"/>
        <v>-152151.57002300001</v>
      </c>
      <c r="G39" s="51">
        <f t="shared" si="24"/>
        <v>-18607.3055575</v>
      </c>
      <c r="H39" s="48">
        <f t="shared" si="25"/>
        <v>1046878.1599770002</v>
      </c>
      <c r="I39" s="49">
        <f t="shared" si="26"/>
        <v>1180422.4244425001</v>
      </c>
      <c r="J39" s="52">
        <f t="shared" si="27"/>
        <v>133544.2644654999</v>
      </c>
      <c r="K39" s="53">
        <f t="shared" si="28"/>
        <v>-31375.902865894979</v>
      </c>
      <c r="L39" s="49">
        <f t="shared" si="29"/>
        <v>2185.7825311612578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43404</v>
      </c>
      <c r="B40" s="48">
        <f t="shared" si="20"/>
        <v>1199029.7300000002</v>
      </c>
      <c r="C40" s="49">
        <f t="shared" si="21"/>
        <v>1199029.7300000002</v>
      </c>
      <c r="D40" s="48">
        <f t="shared" si="9"/>
        <v>14205.985591333336</v>
      </c>
      <c r="E40" s="49">
        <f t="shared" si="22"/>
        <v>3797.4973477083331</v>
      </c>
      <c r="F40" s="50">
        <f t="shared" si="23"/>
        <v>-166357.55561433334</v>
      </c>
      <c r="G40" s="51">
        <f t="shared" si="24"/>
        <v>-22404.802905208333</v>
      </c>
      <c r="H40" s="48">
        <f t="shared" si="25"/>
        <v>1032672.1743856668</v>
      </c>
      <c r="I40" s="49">
        <f t="shared" si="26"/>
        <v>1176624.9270947918</v>
      </c>
      <c r="J40" s="52">
        <f t="shared" si="27"/>
        <v>143952.75270912494</v>
      </c>
      <c r="K40" s="53">
        <f t="shared" si="28"/>
        <v>-33561.685397056237</v>
      </c>
      <c r="L40" s="49">
        <f t="shared" si="29"/>
        <v>2185.7825311612578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43434</v>
      </c>
      <c r="B41" s="48">
        <f t="shared" si="20"/>
        <v>1199029.7300000002</v>
      </c>
      <c r="C41" s="49">
        <f t="shared" si="21"/>
        <v>1199029.7300000002</v>
      </c>
      <c r="D41" s="48">
        <f t="shared" si="9"/>
        <v>14205.985591333336</v>
      </c>
      <c r="E41" s="49">
        <f t="shared" si="22"/>
        <v>3797.4973477083331</v>
      </c>
      <c r="F41" s="50">
        <f t="shared" si="23"/>
        <v>-180563.54120566667</v>
      </c>
      <c r="G41" s="51">
        <f t="shared" si="24"/>
        <v>-26202.300252916666</v>
      </c>
      <c r="H41" s="48">
        <f t="shared" si="25"/>
        <v>1018466.1887943335</v>
      </c>
      <c r="I41" s="49">
        <f t="shared" si="26"/>
        <v>1172827.4297470835</v>
      </c>
      <c r="J41" s="52">
        <f t="shared" si="27"/>
        <v>154361.24095274997</v>
      </c>
      <c r="K41" s="53">
        <f t="shared" si="28"/>
        <v>-35747.467928217491</v>
      </c>
      <c r="L41" s="49">
        <f t="shared" si="29"/>
        <v>2185.7825311612542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43465</v>
      </c>
      <c r="B42" s="48">
        <f t="shared" si="20"/>
        <v>1199029.7300000002</v>
      </c>
      <c r="C42" s="49">
        <f t="shared" si="21"/>
        <v>1199029.7300000002</v>
      </c>
      <c r="D42" s="48">
        <f t="shared" si="9"/>
        <v>14205.985591333336</v>
      </c>
      <c r="E42" s="49">
        <f t="shared" si="22"/>
        <v>3797.4973477083331</v>
      </c>
      <c r="F42" s="50">
        <f t="shared" si="23"/>
        <v>-194769.526797</v>
      </c>
      <c r="G42" s="51">
        <f t="shared" si="24"/>
        <v>-29999.797600624999</v>
      </c>
      <c r="H42" s="48">
        <f t="shared" si="25"/>
        <v>1004260.2032030002</v>
      </c>
      <c r="I42" s="49">
        <f t="shared" si="26"/>
        <v>1169029.9323993751</v>
      </c>
      <c r="J42" s="52">
        <f t="shared" si="27"/>
        <v>164769.72919637489</v>
      </c>
      <c r="K42" s="53">
        <f t="shared" si="28"/>
        <v>-37933.250459378723</v>
      </c>
      <c r="L42" s="49">
        <f t="shared" si="29"/>
        <v>2185.7825311612323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43496</v>
      </c>
      <c r="B43" s="48">
        <f t="shared" si="20"/>
        <v>1199029.7300000002</v>
      </c>
      <c r="C43" s="49">
        <f t="shared" si="21"/>
        <v>1199029.7300000002</v>
      </c>
      <c r="D43" s="48">
        <f>+((($B$42-$B$30)*$C$6/12)+($B$30*$D$5/12))</f>
        <v>23912.308708000004</v>
      </c>
      <c r="E43" s="49">
        <f t="shared" si="22"/>
        <v>3797.4973477083331</v>
      </c>
      <c r="F43" s="50">
        <f t="shared" si="23"/>
        <v>-218681.835505</v>
      </c>
      <c r="G43" s="51">
        <f t="shared" si="24"/>
        <v>-33797.294948333336</v>
      </c>
      <c r="H43" s="48">
        <f t="shared" si="25"/>
        <v>980347.89449500025</v>
      </c>
      <c r="I43" s="49">
        <f t="shared" si="26"/>
        <v>1165232.4350516668</v>
      </c>
      <c r="J43" s="52">
        <f t="shared" si="27"/>
        <v>184884.54055666656</v>
      </c>
      <c r="K43" s="53">
        <f t="shared" si="28"/>
        <v>-42157.360845039977</v>
      </c>
      <c r="L43" s="49">
        <f t="shared" si="29"/>
        <v>4224.1103856612535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43524</v>
      </c>
      <c r="B44" s="48">
        <f t="shared" si="20"/>
        <v>1199029.7300000002</v>
      </c>
      <c r="C44" s="49">
        <f t="shared" si="21"/>
        <v>1199029.7300000002</v>
      </c>
      <c r="D44" s="48">
        <f t="shared" ref="D44:D54" si="30">+((($B$42-$B$30)*$C$6/12)+($B$30*$D$5/12))</f>
        <v>23912.308708000004</v>
      </c>
      <c r="E44" s="49">
        <f t="shared" si="22"/>
        <v>3797.4973477083331</v>
      </c>
      <c r="F44" s="50">
        <f t="shared" si="23"/>
        <v>-242594.14421299999</v>
      </c>
      <c r="G44" s="51">
        <f t="shared" si="24"/>
        <v>-37594.792296041669</v>
      </c>
      <c r="H44" s="48">
        <f t="shared" si="25"/>
        <v>956435.58578700025</v>
      </c>
      <c r="I44" s="49">
        <f t="shared" si="26"/>
        <v>1161434.9377039585</v>
      </c>
      <c r="J44" s="52">
        <f t="shared" si="27"/>
        <v>204999.35191695823</v>
      </c>
      <c r="K44" s="53">
        <f t="shared" si="28"/>
        <v>-46381.471230701231</v>
      </c>
      <c r="L44" s="49">
        <f t="shared" si="29"/>
        <v>4224.1103856612535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43555</v>
      </c>
      <c r="B45" s="48">
        <f t="shared" si="20"/>
        <v>1199029.7300000002</v>
      </c>
      <c r="C45" s="49">
        <f t="shared" si="21"/>
        <v>1199029.7300000002</v>
      </c>
      <c r="D45" s="48">
        <f t="shared" si="30"/>
        <v>23912.308708000004</v>
      </c>
      <c r="E45" s="49">
        <f t="shared" si="22"/>
        <v>3797.4973477083331</v>
      </c>
      <c r="F45" s="50">
        <f t="shared" si="23"/>
        <v>-266506.45292100002</v>
      </c>
      <c r="G45" s="51">
        <f t="shared" si="24"/>
        <v>-41392.289643750002</v>
      </c>
      <c r="H45" s="48">
        <f t="shared" si="25"/>
        <v>932523.27707900014</v>
      </c>
      <c r="I45" s="49">
        <f t="shared" si="26"/>
        <v>1157637.4403562502</v>
      </c>
      <c r="J45" s="52">
        <f t="shared" si="27"/>
        <v>225114.16327725002</v>
      </c>
      <c r="K45" s="53">
        <f t="shared" si="28"/>
        <v>-50605.581616362506</v>
      </c>
      <c r="L45" s="49">
        <f t="shared" si="29"/>
        <v>4224.1103856612754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43585</v>
      </c>
      <c r="B46" s="48">
        <f t="shared" si="20"/>
        <v>1199029.7300000002</v>
      </c>
      <c r="C46" s="49">
        <f t="shared" si="21"/>
        <v>1199029.7300000002</v>
      </c>
      <c r="D46" s="48">
        <f t="shared" si="30"/>
        <v>23912.308708000004</v>
      </c>
      <c r="E46" s="49">
        <f t="shared" si="22"/>
        <v>3797.4973477083331</v>
      </c>
      <c r="F46" s="50">
        <f t="shared" si="23"/>
        <v>-290418.76162900002</v>
      </c>
      <c r="G46" s="51">
        <f t="shared" si="24"/>
        <v>-45189.786991458335</v>
      </c>
      <c r="H46" s="48">
        <f t="shared" si="25"/>
        <v>908610.96837100014</v>
      </c>
      <c r="I46" s="49">
        <f t="shared" si="26"/>
        <v>1153839.9430085418</v>
      </c>
      <c r="J46" s="52">
        <f t="shared" si="27"/>
        <v>245228.97463754169</v>
      </c>
      <c r="K46" s="53">
        <f t="shared" si="28"/>
        <v>-54829.692002023759</v>
      </c>
      <c r="L46" s="49">
        <f t="shared" si="29"/>
        <v>4224.1103856612535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43616</v>
      </c>
      <c r="B47" s="48">
        <f t="shared" si="20"/>
        <v>1199029.7300000002</v>
      </c>
      <c r="C47" s="49">
        <f t="shared" si="21"/>
        <v>1199029.7300000002</v>
      </c>
      <c r="D47" s="48">
        <f t="shared" si="30"/>
        <v>23912.308708000004</v>
      </c>
      <c r="E47" s="49">
        <f t="shared" si="22"/>
        <v>3797.4973477083331</v>
      </c>
      <c r="F47" s="50">
        <f t="shared" si="23"/>
        <v>-314331.07033700001</v>
      </c>
      <c r="G47" s="51">
        <f t="shared" si="24"/>
        <v>-48987.284339166668</v>
      </c>
      <c r="H47" s="48">
        <f t="shared" si="25"/>
        <v>884698.65966300014</v>
      </c>
      <c r="I47" s="49">
        <f t="shared" si="26"/>
        <v>1150042.4456608335</v>
      </c>
      <c r="J47" s="52">
        <f t="shared" si="27"/>
        <v>265343.78599783336</v>
      </c>
      <c r="K47" s="53">
        <f t="shared" si="28"/>
        <v>-59053.802387685013</v>
      </c>
      <c r="L47" s="49">
        <f t="shared" si="29"/>
        <v>4224.1103856612535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43646</v>
      </c>
      <c r="B48" s="48">
        <f t="shared" si="20"/>
        <v>1199029.7300000002</v>
      </c>
      <c r="C48" s="49">
        <f t="shared" si="21"/>
        <v>1199029.7300000002</v>
      </c>
      <c r="D48" s="48">
        <f t="shared" si="30"/>
        <v>23912.308708000004</v>
      </c>
      <c r="E48" s="49">
        <f t="shared" si="22"/>
        <v>3797.4973477083331</v>
      </c>
      <c r="F48" s="50">
        <f t="shared" si="23"/>
        <v>-338243.37904500001</v>
      </c>
      <c r="G48" s="51">
        <f t="shared" si="24"/>
        <v>-52784.781686875001</v>
      </c>
      <c r="H48" s="48">
        <f t="shared" si="25"/>
        <v>860786.35095500015</v>
      </c>
      <c r="I48" s="49">
        <f t="shared" si="26"/>
        <v>1146244.9483131252</v>
      </c>
      <c r="J48" s="52">
        <f t="shared" si="27"/>
        <v>285458.59735812503</v>
      </c>
      <c r="K48" s="53">
        <f t="shared" si="28"/>
        <v>-63277.912773346266</v>
      </c>
      <c r="L48" s="49">
        <f t="shared" si="29"/>
        <v>4224.1103856612535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43677</v>
      </c>
      <c r="B49" s="48">
        <f t="shared" si="20"/>
        <v>1199029.7300000002</v>
      </c>
      <c r="C49" s="49">
        <f t="shared" si="21"/>
        <v>1199029.7300000002</v>
      </c>
      <c r="D49" s="48">
        <f t="shared" si="30"/>
        <v>23912.308708000004</v>
      </c>
      <c r="E49" s="49">
        <f t="shared" si="22"/>
        <v>3797.4973477083331</v>
      </c>
      <c r="F49" s="50">
        <f t="shared" si="23"/>
        <v>-362155.68775300001</v>
      </c>
      <c r="G49" s="51">
        <f t="shared" si="24"/>
        <v>-56582.279034583335</v>
      </c>
      <c r="H49" s="48">
        <f t="shared" si="25"/>
        <v>836874.04224700015</v>
      </c>
      <c r="I49" s="49">
        <f t="shared" si="26"/>
        <v>1142447.4509654169</v>
      </c>
      <c r="J49" s="52">
        <f t="shared" si="27"/>
        <v>305573.4087184167</v>
      </c>
      <c r="K49" s="53">
        <f t="shared" si="28"/>
        <v>-67502.023159007513</v>
      </c>
      <c r="L49" s="49">
        <f t="shared" si="29"/>
        <v>4224.1103856612463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43708</v>
      </c>
      <c r="B50" s="48">
        <f t="shared" si="20"/>
        <v>1199029.7300000002</v>
      </c>
      <c r="C50" s="49">
        <f t="shared" si="21"/>
        <v>1199029.7300000002</v>
      </c>
      <c r="D50" s="48">
        <f t="shared" si="30"/>
        <v>23912.308708000004</v>
      </c>
      <c r="E50" s="49">
        <f t="shared" si="22"/>
        <v>3797.4973477083331</v>
      </c>
      <c r="F50" s="50">
        <f t="shared" si="23"/>
        <v>-386067.996461</v>
      </c>
      <c r="G50" s="51">
        <f t="shared" si="24"/>
        <v>-60379.776382291668</v>
      </c>
      <c r="H50" s="48">
        <f t="shared" si="25"/>
        <v>812961.73353900015</v>
      </c>
      <c r="I50" s="49">
        <f t="shared" si="26"/>
        <v>1138649.9536177085</v>
      </c>
      <c r="J50" s="52">
        <f t="shared" si="27"/>
        <v>325688.22007870837</v>
      </c>
      <c r="K50" s="53">
        <f t="shared" si="28"/>
        <v>-71726.133544668759</v>
      </c>
      <c r="L50" s="49">
        <f t="shared" si="29"/>
        <v>4224.1103856612463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43738</v>
      </c>
      <c r="B51" s="48">
        <f t="shared" si="20"/>
        <v>1199029.7300000002</v>
      </c>
      <c r="C51" s="49">
        <f t="shared" si="21"/>
        <v>1199029.7300000002</v>
      </c>
      <c r="D51" s="48">
        <f t="shared" si="30"/>
        <v>23912.308708000004</v>
      </c>
      <c r="E51" s="49">
        <f t="shared" si="22"/>
        <v>3797.4973477083331</v>
      </c>
      <c r="F51" s="50">
        <f t="shared" si="23"/>
        <v>-409980.305169</v>
      </c>
      <c r="G51" s="51">
        <f t="shared" si="24"/>
        <v>-64177.273730000001</v>
      </c>
      <c r="H51" s="48">
        <f t="shared" si="25"/>
        <v>789049.42483100016</v>
      </c>
      <c r="I51" s="49">
        <f t="shared" si="26"/>
        <v>1134852.4562700002</v>
      </c>
      <c r="J51" s="52">
        <f t="shared" si="27"/>
        <v>345803.03143900004</v>
      </c>
      <c r="K51" s="53">
        <f t="shared" si="28"/>
        <v>-75950.243930330005</v>
      </c>
      <c r="L51" s="49">
        <f t="shared" si="29"/>
        <v>4224.1103856612463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43769</v>
      </c>
      <c r="B52" s="48">
        <f t="shared" si="20"/>
        <v>1199029.7300000002</v>
      </c>
      <c r="C52" s="49">
        <f t="shared" si="21"/>
        <v>1199029.7300000002</v>
      </c>
      <c r="D52" s="48">
        <f t="shared" si="30"/>
        <v>23912.308708000004</v>
      </c>
      <c r="E52" s="49">
        <f t="shared" si="22"/>
        <v>3797.4973477083331</v>
      </c>
      <c r="F52" s="50">
        <f t="shared" si="23"/>
        <v>-433892.613877</v>
      </c>
      <c r="G52" s="51">
        <f t="shared" si="24"/>
        <v>-67974.771077708341</v>
      </c>
      <c r="H52" s="48">
        <f t="shared" si="25"/>
        <v>765137.11612300016</v>
      </c>
      <c r="I52" s="49">
        <f t="shared" si="26"/>
        <v>1131054.9589222919</v>
      </c>
      <c r="J52" s="52">
        <f t="shared" si="27"/>
        <v>365917.84279929171</v>
      </c>
      <c r="K52" s="53">
        <f t="shared" si="28"/>
        <v>-80174.354315991251</v>
      </c>
      <c r="L52" s="49">
        <f t="shared" si="29"/>
        <v>4224.1103856612463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43799</v>
      </c>
      <c r="B53" s="48">
        <f t="shared" si="20"/>
        <v>1199029.7300000002</v>
      </c>
      <c r="C53" s="49">
        <f t="shared" si="21"/>
        <v>1199029.7300000002</v>
      </c>
      <c r="D53" s="48">
        <f t="shared" si="30"/>
        <v>23912.308708000004</v>
      </c>
      <c r="E53" s="49">
        <f t="shared" si="22"/>
        <v>3797.4973477083331</v>
      </c>
      <c r="F53" s="50">
        <f t="shared" si="23"/>
        <v>-457804.92258499999</v>
      </c>
      <c r="G53" s="51">
        <f t="shared" si="24"/>
        <v>-71772.268425416667</v>
      </c>
      <c r="H53" s="48">
        <f t="shared" si="25"/>
        <v>741224.80741500016</v>
      </c>
      <c r="I53" s="49">
        <f t="shared" si="26"/>
        <v>1127257.4615745835</v>
      </c>
      <c r="J53" s="52">
        <f t="shared" si="27"/>
        <v>386032.65415958338</v>
      </c>
      <c r="K53" s="53">
        <f t="shared" si="28"/>
        <v>-84398.464701652498</v>
      </c>
      <c r="L53" s="49">
        <f t="shared" si="29"/>
        <v>4224.1103856612463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43830</v>
      </c>
      <c r="B54" s="48">
        <f t="shared" si="20"/>
        <v>1199029.7300000002</v>
      </c>
      <c r="C54" s="49">
        <f t="shared" si="21"/>
        <v>1199029.7300000002</v>
      </c>
      <c r="D54" s="48">
        <f t="shared" si="30"/>
        <v>23912.308708000004</v>
      </c>
      <c r="E54" s="49">
        <f t="shared" si="22"/>
        <v>3797.4973477083331</v>
      </c>
      <c r="F54" s="50">
        <f t="shared" si="23"/>
        <v>-481717.23129299999</v>
      </c>
      <c r="G54" s="51">
        <f t="shared" si="24"/>
        <v>-75569.765773124993</v>
      </c>
      <c r="H54" s="48">
        <f t="shared" si="25"/>
        <v>717312.49870700017</v>
      </c>
      <c r="I54" s="49">
        <f t="shared" si="26"/>
        <v>1123459.9642268752</v>
      </c>
      <c r="J54" s="52">
        <f t="shared" si="27"/>
        <v>406147.46551987506</v>
      </c>
      <c r="K54" s="53">
        <f t="shared" si="28"/>
        <v>-88622.575087313744</v>
      </c>
      <c r="L54" s="49">
        <f t="shared" si="29"/>
        <v>4224.1103856612463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43861</v>
      </c>
      <c r="B55" s="48">
        <f t="shared" si="20"/>
        <v>1199029.7300000002</v>
      </c>
      <c r="C55" s="49">
        <f t="shared" si="21"/>
        <v>1199029.7300000002</v>
      </c>
      <c r="D55" s="48">
        <f>+((($B$42-$B$30)*$D$6/12)+($B$30*$E$5/12))</f>
        <v>17077.416291333335</v>
      </c>
      <c r="E55" s="49">
        <f t="shared" si="22"/>
        <v>3797.4973477083331</v>
      </c>
      <c r="F55" s="50">
        <f t="shared" si="23"/>
        <v>-498794.64758433332</v>
      </c>
      <c r="G55" s="51">
        <f t="shared" si="24"/>
        <v>-79367.263120833319</v>
      </c>
      <c r="H55" s="48">
        <f t="shared" si="25"/>
        <v>700235.0824156669</v>
      </c>
      <c r="I55" s="49">
        <f t="shared" si="26"/>
        <v>1119662.4668791669</v>
      </c>
      <c r="J55" s="52">
        <f t="shared" si="27"/>
        <v>419427.3844635</v>
      </c>
      <c r="K55" s="53">
        <f t="shared" si="28"/>
        <v>-91411.358065474982</v>
      </c>
      <c r="L55" s="49">
        <f t="shared" si="29"/>
        <v>2788.7829781612381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43890</v>
      </c>
      <c r="B56" s="48">
        <f t="shared" si="20"/>
        <v>1199029.7300000002</v>
      </c>
      <c r="C56" s="49">
        <f t="shared" si="21"/>
        <v>1199029.7300000002</v>
      </c>
      <c r="D56" s="48">
        <f>+((($B$42-$B$30)*$D$6/12)+($B$30*$E$5/12))</f>
        <v>17077.416291333335</v>
      </c>
      <c r="E56" s="49">
        <f t="shared" si="22"/>
        <v>3797.4973477083331</v>
      </c>
      <c r="F56" s="50">
        <f t="shared" si="23"/>
        <v>-515872.06387566664</v>
      </c>
      <c r="G56" s="51">
        <f t="shared" si="24"/>
        <v>-83164.760468541645</v>
      </c>
      <c r="H56" s="48">
        <f t="shared" si="25"/>
        <v>683157.66612433363</v>
      </c>
      <c r="I56" s="49">
        <f t="shared" si="26"/>
        <v>1115864.9695314586</v>
      </c>
      <c r="J56" s="52">
        <f t="shared" si="27"/>
        <v>432707.30340712494</v>
      </c>
      <c r="K56" s="53">
        <f t="shared" si="28"/>
        <v>-94200.14104363622</v>
      </c>
      <c r="L56" s="49">
        <f t="shared" si="29"/>
        <v>2788.7829781612381</v>
      </c>
      <c r="M56" s="55"/>
      <c r="N56" s="54"/>
      <c r="O56" s="54"/>
      <c r="P56" s="54"/>
      <c r="Q56" s="54"/>
      <c r="R56" s="54"/>
      <c r="S56" s="54"/>
      <c r="T56" s="54"/>
    </row>
    <row r="57" spans="1:20" ht="13.8" thickBot="1" x14ac:dyDescent="0.3">
      <c r="A57" s="57"/>
      <c r="B57" s="58"/>
      <c r="C57" s="59"/>
      <c r="D57" s="58"/>
      <c r="E57" s="59"/>
      <c r="F57" s="58"/>
      <c r="G57" s="59"/>
      <c r="H57" s="58"/>
      <c r="I57" s="59"/>
      <c r="J57" s="60"/>
      <c r="K57" s="59"/>
      <c r="L57" s="59"/>
      <c r="M57" s="55"/>
      <c r="N57" s="54"/>
      <c r="O57" s="54"/>
      <c r="P57" s="54"/>
      <c r="Q57" s="54"/>
      <c r="R57" s="54"/>
      <c r="S57" s="54"/>
      <c r="T57" s="54"/>
    </row>
    <row r="58" spans="1:20" ht="13.8" thickBot="1" x14ac:dyDescent="0.3">
      <c r="A58" s="61"/>
      <c r="B58" s="61">
        <f>(B24+B36+SUM(B25:B35)*2)/24</f>
        <v>75395.728750000009</v>
      </c>
      <c r="C58" s="63">
        <f>(C24+C36+SUM(C25:C35)*2)/24</f>
        <v>75395.728750000009</v>
      </c>
      <c r="D58" s="61">
        <f>SUM(D25:D57)</f>
        <v>515872.06387566664</v>
      </c>
      <c r="E58" s="63">
        <f>SUM(E25:E57)</f>
        <v>83164.760468541645</v>
      </c>
      <c r="F58" s="61">
        <f>(F24+F36+SUM(F25:F35)*2)/24</f>
        <v>-39532.253162750007</v>
      </c>
      <c r="G58" s="63">
        <f>(G24+G36+SUM(G25:G35)*2)/24</f>
        <v>-1323.577257543403</v>
      </c>
      <c r="H58" s="61">
        <f t="shared" ref="H58:K58" si="31">(H24+H36+SUM(H25:H35)*2)/24</f>
        <v>35863.47558725001</v>
      </c>
      <c r="I58" s="63">
        <f t="shared" si="31"/>
        <v>74072.151492456615</v>
      </c>
      <c r="J58" s="64">
        <f t="shared" ref="J58" si="32">I58-H58</f>
        <v>38208.675905206605</v>
      </c>
      <c r="K58" s="66">
        <f t="shared" si="31"/>
        <v>-10531.0348035595</v>
      </c>
      <c r="L58" s="66">
        <f>SUM(L25:L57)</f>
        <v>94200.14104363622</v>
      </c>
      <c r="M58" s="55"/>
      <c r="N58" s="67"/>
      <c r="O58" s="68"/>
      <c r="P58" s="54"/>
      <c r="Q58" s="54"/>
      <c r="R58" s="54"/>
      <c r="S58" s="54"/>
      <c r="T58" s="54"/>
    </row>
    <row r="59" spans="1:20" ht="13.8" thickTop="1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4"/>
      <c r="O59" s="54"/>
      <c r="P59" s="54"/>
      <c r="Q59" s="54"/>
      <c r="R59" s="54"/>
      <c r="S59" s="54"/>
      <c r="T59" s="54"/>
    </row>
    <row r="60" spans="1:20" x14ac:dyDescent="0.25">
      <c r="A60" s="54"/>
      <c r="B60" s="54"/>
      <c r="C60" s="69"/>
      <c r="D60" s="54"/>
      <c r="E60" s="54"/>
      <c r="F60" s="70"/>
      <c r="G60" s="69"/>
      <c r="H60" s="54"/>
      <c r="I60" s="69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5">
      <c r="A61" s="54"/>
      <c r="B61" s="54"/>
      <c r="C61" s="54"/>
      <c r="D61" s="54"/>
      <c r="E61" s="54"/>
      <c r="F61" s="78"/>
      <c r="G61" s="54"/>
      <c r="H61" s="78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5">
      <c r="A62" s="18" t="s">
        <v>43</v>
      </c>
      <c r="B62" s="54"/>
      <c r="C62" s="54"/>
      <c r="D62" s="54"/>
      <c r="E62" s="54"/>
      <c r="F62" s="54"/>
      <c r="G62" s="54"/>
      <c r="H62" s="78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4.4" x14ac:dyDescent="0.3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"/>
      <c r="N63" s="6"/>
      <c r="O63" s="6"/>
    </row>
    <row r="64" spans="1:20" ht="14.4" x14ac:dyDescent="0.3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6"/>
      <c r="N64" s="6"/>
      <c r="O64" s="6"/>
      <c r="P64" s="6"/>
    </row>
    <row r="65" spans="2:12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92D050"/>
  </sheetPr>
  <dimension ref="A1:N58"/>
  <sheetViews>
    <sheetView workbookViewId="0">
      <pane xSplit="2" ySplit="7" topLeftCell="C8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4.4" x14ac:dyDescent="0.3"/>
  <cols>
    <col min="1" max="1" width="5.109375" bestFit="1" customWidth="1"/>
    <col min="2" max="2" width="33.44140625" bestFit="1" customWidth="1"/>
    <col min="3" max="14" width="12.5546875" bestFit="1" customWidth="1"/>
  </cols>
  <sheetData>
    <row r="1" spans="1:14" x14ac:dyDescent="0.3">
      <c r="A1" s="1" t="s">
        <v>169</v>
      </c>
    </row>
    <row r="2" spans="1:14" x14ac:dyDescent="0.3">
      <c r="A2" s="1"/>
    </row>
    <row r="3" spans="1:14" x14ac:dyDescent="0.3">
      <c r="B3" t="s">
        <v>94</v>
      </c>
      <c r="C3" s="88">
        <f>'ERF ROR'!E17</f>
        <v>7.4899999999999994E-2</v>
      </c>
      <c r="E3" t="s">
        <v>158</v>
      </c>
      <c r="G3" s="88">
        <f>'Alloc Methds ERF'!E35</f>
        <v>0.65449999999999997</v>
      </c>
    </row>
    <row r="4" spans="1:14" x14ac:dyDescent="0.3">
      <c r="B4" t="s">
        <v>115</v>
      </c>
      <c r="C4" s="88">
        <f>'ERF ROR'!E15</f>
        <v>2.8799999999999999E-2</v>
      </c>
      <c r="E4" t="s">
        <v>159</v>
      </c>
      <c r="G4" s="88">
        <f>'Alloc Methds ERF'!F35</f>
        <v>0.34549999999999997</v>
      </c>
    </row>
    <row r="5" spans="1:14" x14ac:dyDescent="0.3">
      <c r="B5" t="s">
        <v>116</v>
      </c>
      <c r="C5" s="130">
        <v>0.21</v>
      </c>
    </row>
    <row r="6" spans="1:14" x14ac:dyDescent="0.3">
      <c r="A6" s="86" t="s">
        <v>88</v>
      </c>
    </row>
    <row r="7" spans="1:14" x14ac:dyDescent="0.3">
      <c r="A7" s="87" t="s">
        <v>87</v>
      </c>
      <c r="B7" s="87" t="s">
        <v>86</v>
      </c>
      <c r="C7" s="126">
        <v>43555</v>
      </c>
      <c r="D7" s="126">
        <v>43585</v>
      </c>
      <c r="E7" s="126">
        <v>43616</v>
      </c>
      <c r="F7" s="126">
        <v>43646</v>
      </c>
      <c r="G7" s="126">
        <v>43677</v>
      </c>
      <c r="H7" s="126">
        <v>43708</v>
      </c>
      <c r="I7" s="126">
        <v>43738</v>
      </c>
      <c r="J7" s="126">
        <v>43769</v>
      </c>
      <c r="K7" s="126">
        <v>43799</v>
      </c>
      <c r="L7" s="126">
        <v>43830</v>
      </c>
      <c r="M7" s="126">
        <v>43861</v>
      </c>
      <c r="N7" s="126">
        <v>43890</v>
      </c>
    </row>
    <row r="9" spans="1:14" x14ac:dyDescent="0.3">
      <c r="A9">
        <v>1</v>
      </c>
      <c r="B9" s="146" t="s">
        <v>123</v>
      </c>
    </row>
    <row r="10" spans="1:14" x14ac:dyDescent="0.3">
      <c r="A10">
        <v>2</v>
      </c>
      <c r="B10" t="s">
        <v>89</v>
      </c>
      <c r="C10" s="127">
        <f>VLOOKUP(C$7,'Common AMA-Combined'!$A$42:$L$53,3,FALSE)</f>
        <v>43117076.839999996</v>
      </c>
      <c r="D10" s="127">
        <f>VLOOKUP(D$7,'Common AMA-Combined'!$A$42:$L$53,3,FALSE)</f>
        <v>43117076.839999996</v>
      </c>
      <c r="E10" s="127">
        <f>VLOOKUP(E$7,'Common AMA-Combined'!$A$42:$L$53,3,FALSE)</f>
        <v>43117076.839999996</v>
      </c>
      <c r="F10" s="127">
        <f>VLOOKUP(F$7,'Common AMA-Combined'!$A$42:$L$53,3,FALSE)</f>
        <v>43117076.839999996</v>
      </c>
      <c r="G10" s="127">
        <f>VLOOKUP(G$7,'Common AMA-Combined'!$A$42:$L$53,3,FALSE)</f>
        <v>43117076.839999996</v>
      </c>
      <c r="H10" s="127">
        <f>VLOOKUP(H$7,'Common AMA-Combined'!$A$42:$L$53,3,FALSE)</f>
        <v>43117076.839999996</v>
      </c>
      <c r="I10" s="127">
        <f>VLOOKUP(I$7,'Common AMA-Combined'!$A$42:$L$53,3,FALSE)</f>
        <v>43117076.839999996</v>
      </c>
      <c r="J10" s="127">
        <f>VLOOKUP(J$7,'Common AMA-Combined'!$A$42:$L$53,3,FALSE)</f>
        <v>43117076.839999996</v>
      </c>
      <c r="K10" s="127">
        <f>VLOOKUP(K$7,'Common AMA-Combined'!$A$42:$L$53,3,FALSE)</f>
        <v>43117076.839999996</v>
      </c>
      <c r="L10" s="127">
        <f>VLOOKUP(L$7,'Common AMA-Combined'!$A$42:$L$53,3,FALSE)</f>
        <v>43117076.839999996</v>
      </c>
      <c r="M10" s="127">
        <f>VLOOKUP(M$7,'Common AMA-Combined'!$A$42:$L$53,3,FALSE)</f>
        <v>43117076.839999996</v>
      </c>
      <c r="N10" s="127">
        <f>VLOOKUP(N$7,'Common AMA-Combined'!$A$42:$L$53,3,FALSE)</f>
        <v>43117076.839999996</v>
      </c>
    </row>
    <row r="11" spans="1:14" x14ac:dyDescent="0.3">
      <c r="A11">
        <v>3</v>
      </c>
      <c r="B11" t="s">
        <v>16</v>
      </c>
      <c r="C11" s="128">
        <f>VLOOKUP(C$7,'Common AMA-Combined'!$A$42:$L$53,7,FALSE)</f>
        <v>-6723816.5897222506</v>
      </c>
      <c r="D11" s="128">
        <f>VLOOKUP(D$7,'Common AMA-Combined'!$A$42:$L$53,7,FALSE)</f>
        <v>-7194933.459555584</v>
      </c>
      <c r="E11" s="128">
        <f>VLOOKUP(E$7,'Common AMA-Combined'!$A$42:$L$53,7,FALSE)</f>
        <v>-7666050.3293889174</v>
      </c>
      <c r="F11" s="128">
        <f>VLOOKUP(F$7,'Common AMA-Combined'!$A$42:$L$53,7,FALSE)</f>
        <v>-8137167.1992222508</v>
      </c>
      <c r="G11" s="128">
        <f>VLOOKUP(G$7,'Common AMA-Combined'!$A$42:$L$53,7,FALSE)</f>
        <v>-8608284.0690555833</v>
      </c>
      <c r="H11" s="128">
        <f>VLOOKUP(H$7,'Common AMA-Combined'!$A$42:$L$53,7,FALSE)</f>
        <v>-9079400.9388889167</v>
      </c>
      <c r="I11" s="128">
        <f>VLOOKUP(I$7,'Common AMA-Combined'!$A$42:$L$53,7,FALSE)</f>
        <v>-9550517.8087222502</v>
      </c>
      <c r="J11" s="128">
        <f>VLOOKUP(J$7,'Common AMA-Combined'!$A$42:$L$53,7,FALSE)</f>
        <v>-10021634.678555584</v>
      </c>
      <c r="K11" s="128">
        <f>VLOOKUP(K$7,'Common AMA-Combined'!$A$42:$L$53,7,FALSE)</f>
        <v>-10492751.548388917</v>
      </c>
      <c r="L11" s="128">
        <f>VLOOKUP(L$7,'Common AMA-Combined'!$A$42:$L$53,7,FALSE)</f>
        <v>-10963868.41822225</v>
      </c>
      <c r="M11" s="128">
        <f>VLOOKUP(M$7,'Common AMA-Combined'!$A$42:$L$53,7,FALSE)</f>
        <v>-11434985.288055584</v>
      </c>
      <c r="N11" s="128">
        <f>VLOOKUP(N$7,'Common AMA-Combined'!$A$42:$L$53,7,FALSE)</f>
        <v>-11906102.157888917</v>
      </c>
    </row>
    <row r="12" spans="1:14" x14ac:dyDescent="0.3">
      <c r="A12">
        <v>4</v>
      </c>
      <c r="B12" t="s">
        <v>90</v>
      </c>
      <c r="C12" s="128">
        <f>VLOOKUP(C$7,'Common AMA-Combined'!$A$42:$L$53,11,FALSE)</f>
        <v>-3488179.6103650234</v>
      </c>
      <c r="D12" s="128">
        <f>VLOOKUP(D$7,'Common AMA-Combined'!$A$42:$L$53,11,FALSE)</f>
        <v>-3574555.5796694737</v>
      </c>
      <c r="E12" s="128">
        <f>VLOOKUP(E$7,'Common AMA-Combined'!$A$42:$L$53,11,FALSE)</f>
        <v>-3660931.5489739226</v>
      </c>
      <c r="F12" s="128">
        <f>VLOOKUP(F$7,'Common AMA-Combined'!$A$42:$L$53,11,FALSE)</f>
        <v>-3747307.5182783729</v>
      </c>
      <c r="G12" s="128">
        <f>VLOOKUP(G$7,'Common AMA-Combined'!$A$42:$L$53,11,FALSE)</f>
        <v>-3833683.4875828233</v>
      </c>
      <c r="H12" s="128">
        <f>VLOOKUP(H$7,'Common AMA-Combined'!$A$42:$L$53,11,FALSE)</f>
        <v>-3920059.4568872722</v>
      </c>
      <c r="I12" s="128">
        <f>VLOOKUP(I$7,'Common AMA-Combined'!$A$42:$L$53,11,FALSE)</f>
        <v>-4006435.426191722</v>
      </c>
      <c r="J12" s="128">
        <f>VLOOKUP(J$7,'Common AMA-Combined'!$A$42:$L$53,11,FALSE)</f>
        <v>-4092811.3954961724</v>
      </c>
      <c r="K12" s="128">
        <f>VLOOKUP(K$7,'Common AMA-Combined'!$A$42:$L$53,11,FALSE)</f>
        <v>-4179187.3648006227</v>
      </c>
      <c r="L12" s="128">
        <f>VLOOKUP(L$7,'Common AMA-Combined'!$A$42:$L$53,11,FALSE)</f>
        <v>-4265563.3341050725</v>
      </c>
      <c r="M12" s="128">
        <f>VLOOKUP(M$7,'Common AMA-Combined'!$A$42:$L$53,11,FALSE)</f>
        <v>-4328464.0963199688</v>
      </c>
      <c r="N12" s="128">
        <f>VLOOKUP(N$7,'Common AMA-Combined'!$A$42:$L$53,11,FALSE)</f>
        <v>-4391364.8585348651</v>
      </c>
    </row>
    <row r="13" spans="1:14" x14ac:dyDescent="0.3">
      <c r="A13">
        <v>5</v>
      </c>
      <c r="B13" t="s">
        <v>91</v>
      </c>
      <c r="C13" s="129">
        <f>SUM(C10:C12)</f>
        <v>32905080.639912721</v>
      </c>
      <c r="D13" s="129">
        <f>SUM(D10:D12)</f>
        <v>32347587.800774939</v>
      </c>
      <c r="E13" s="129">
        <f t="shared" ref="E13:N13" si="0">SUM(E10:E12)</f>
        <v>31790094.961637158</v>
      </c>
      <c r="F13" s="129">
        <f t="shared" si="0"/>
        <v>31232602.122499373</v>
      </c>
      <c r="G13" s="129">
        <f t="shared" si="0"/>
        <v>30675109.283361591</v>
      </c>
      <c r="H13" s="129">
        <f t="shared" si="0"/>
        <v>30117616.44422381</v>
      </c>
      <c r="I13" s="129">
        <f t="shared" si="0"/>
        <v>29560123.605086025</v>
      </c>
      <c r="J13" s="129">
        <f t="shared" si="0"/>
        <v>29002630.76594824</v>
      </c>
      <c r="K13" s="129">
        <f t="shared" si="0"/>
        <v>28445137.926810458</v>
      </c>
      <c r="L13" s="129">
        <f t="shared" si="0"/>
        <v>27887645.087672673</v>
      </c>
      <c r="M13" s="129">
        <f t="shared" si="0"/>
        <v>27353627.455624443</v>
      </c>
      <c r="N13" s="129">
        <f t="shared" si="0"/>
        <v>26819609.823576212</v>
      </c>
    </row>
    <row r="14" spans="1:14" x14ac:dyDescent="0.3">
      <c r="A14">
        <v>6</v>
      </c>
      <c r="B14" t="s">
        <v>94</v>
      </c>
      <c r="C14" s="88">
        <f>$C$3</f>
        <v>7.4899999999999994E-2</v>
      </c>
      <c r="D14" s="88">
        <f>$C$3</f>
        <v>7.4899999999999994E-2</v>
      </c>
      <c r="E14" s="88">
        <f t="shared" ref="E14:N14" si="1">$C$3</f>
        <v>7.4899999999999994E-2</v>
      </c>
      <c r="F14" s="88">
        <f t="shared" si="1"/>
        <v>7.4899999999999994E-2</v>
      </c>
      <c r="G14" s="88">
        <f t="shared" si="1"/>
        <v>7.4899999999999994E-2</v>
      </c>
      <c r="H14" s="88">
        <f t="shared" si="1"/>
        <v>7.4899999999999994E-2</v>
      </c>
      <c r="I14" s="88">
        <f t="shared" si="1"/>
        <v>7.4899999999999994E-2</v>
      </c>
      <c r="J14" s="88">
        <f t="shared" si="1"/>
        <v>7.4899999999999994E-2</v>
      </c>
      <c r="K14" s="88">
        <f t="shared" si="1"/>
        <v>7.4899999999999994E-2</v>
      </c>
      <c r="L14" s="88">
        <f t="shared" si="1"/>
        <v>7.4899999999999994E-2</v>
      </c>
      <c r="M14" s="88">
        <f t="shared" si="1"/>
        <v>7.4899999999999994E-2</v>
      </c>
      <c r="N14" s="88">
        <f t="shared" si="1"/>
        <v>7.4899999999999994E-2</v>
      </c>
    </row>
    <row r="15" spans="1:14" x14ac:dyDescent="0.3">
      <c r="A15">
        <v>7</v>
      </c>
      <c r="B15" t="s">
        <v>92</v>
      </c>
      <c r="C15" s="128">
        <f>C13*C14</f>
        <v>2464590.5399294626</v>
      </c>
      <c r="D15" s="128">
        <f>D13*D14</f>
        <v>2422834.326278043</v>
      </c>
      <c r="E15" s="128">
        <f t="shared" ref="E15:N15" si="2">E13*E14</f>
        <v>2381078.1126266229</v>
      </c>
      <c r="F15" s="128">
        <f t="shared" si="2"/>
        <v>2339321.8989752028</v>
      </c>
      <c r="G15" s="128">
        <f t="shared" si="2"/>
        <v>2297565.6853237832</v>
      </c>
      <c r="H15" s="128">
        <f t="shared" si="2"/>
        <v>2255809.4716723631</v>
      </c>
      <c r="I15" s="128">
        <f t="shared" si="2"/>
        <v>2214053.258020943</v>
      </c>
      <c r="J15" s="128">
        <f t="shared" si="2"/>
        <v>2172297.0443695229</v>
      </c>
      <c r="K15" s="128">
        <f t="shared" si="2"/>
        <v>2130540.8307181033</v>
      </c>
      <c r="L15" s="128">
        <f t="shared" si="2"/>
        <v>2088784.617066683</v>
      </c>
      <c r="M15" s="128">
        <f t="shared" si="2"/>
        <v>2048786.6964262705</v>
      </c>
      <c r="N15" s="128">
        <f t="shared" si="2"/>
        <v>2008788.775785858</v>
      </c>
    </row>
    <row r="16" spans="1:14" x14ac:dyDescent="0.3">
      <c r="A16">
        <v>8</v>
      </c>
      <c r="B16" t="s">
        <v>93</v>
      </c>
      <c r="C16" s="128">
        <f>-C13*$C$4*$C$5</f>
        <v>-199009.92771019213</v>
      </c>
      <c r="D16" s="128">
        <f>-D13*$C$4*$C$5</f>
        <v>-195638.21101908683</v>
      </c>
      <c r="E16" s="128">
        <f t="shared" ref="E16:N16" si="3">-E13*$C$4*$C$5</f>
        <v>-192266.49432798152</v>
      </c>
      <c r="F16" s="128">
        <f t="shared" si="3"/>
        <v>-188894.77763687618</v>
      </c>
      <c r="G16" s="128">
        <f t="shared" si="3"/>
        <v>-185523.06094577088</v>
      </c>
      <c r="H16" s="128">
        <f t="shared" si="3"/>
        <v>-182151.3442546656</v>
      </c>
      <c r="I16" s="128">
        <f t="shared" si="3"/>
        <v>-178779.62756356027</v>
      </c>
      <c r="J16" s="128">
        <f t="shared" si="3"/>
        <v>-175407.91087245493</v>
      </c>
      <c r="K16" s="128">
        <f t="shared" si="3"/>
        <v>-172036.19418134965</v>
      </c>
      <c r="L16" s="128">
        <f t="shared" si="3"/>
        <v>-168664.47749024432</v>
      </c>
      <c r="M16" s="128">
        <f t="shared" si="3"/>
        <v>-165434.73885161662</v>
      </c>
      <c r="N16" s="128">
        <f t="shared" si="3"/>
        <v>-162205.00021298893</v>
      </c>
    </row>
    <row r="17" spans="1:14" x14ac:dyDescent="0.3">
      <c r="A17">
        <v>9</v>
      </c>
      <c r="B17" t="s">
        <v>117</v>
      </c>
      <c r="C17" s="129">
        <f>SUM(C15:C16)</f>
        <v>2265580.6122192703</v>
      </c>
      <c r="D17" s="129">
        <f>SUM(D15:D16)</f>
        <v>2227196.1152589563</v>
      </c>
      <c r="E17" s="129">
        <f t="shared" ref="E17:N17" si="4">SUM(E15:E16)</f>
        <v>2188811.6182986414</v>
      </c>
      <c r="F17" s="129">
        <f t="shared" si="4"/>
        <v>2150427.1213383265</v>
      </c>
      <c r="G17" s="129">
        <f t="shared" si="4"/>
        <v>2112042.6243780125</v>
      </c>
      <c r="H17" s="129">
        <f t="shared" si="4"/>
        <v>2073658.1274176976</v>
      </c>
      <c r="I17" s="129">
        <f t="shared" si="4"/>
        <v>2035273.6304573826</v>
      </c>
      <c r="J17" s="129">
        <f t="shared" si="4"/>
        <v>1996889.133497068</v>
      </c>
      <c r="K17" s="129">
        <f t="shared" si="4"/>
        <v>1958504.6365367537</v>
      </c>
      <c r="L17" s="129">
        <f t="shared" si="4"/>
        <v>1920120.1395764388</v>
      </c>
      <c r="M17" s="129">
        <f t="shared" si="4"/>
        <v>1883351.9575746539</v>
      </c>
      <c r="N17" s="129">
        <f t="shared" si="4"/>
        <v>1846583.775572869</v>
      </c>
    </row>
    <row r="18" spans="1:14" x14ac:dyDescent="0.3">
      <c r="A18">
        <v>10</v>
      </c>
      <c r="B18" t="s">
        <v>118</v>
      </c>
      <c r="C18" s="131">
        <f>1-$C$5</f>
        <v>0.79</v>
      </c>
      <c r="D18" s="131">
        <f>1-$C$5</f>
        <v>0.79</v>
      </c>
      <c r="E18" s="131">
        <f t="shared" ref="E18:N18" si="5">1-$C$5</f>
        <v>0.79</v>
      </c>
      <c r="F18" s="131">
        <f t="shared" si="5"/>
        <v>0.79</v>
      </c>
      <c r="G18" s="131">
        <f t="shared" si="5"/>
        <v>0.79</v>
      </c>
      <c r="H18" s="131">
        <f t="shared" si="5"/>
        <v>0.79</v>
      </c>
      <c r="I18" s="131">
        <f t="shared" si="5"/>
        <v>0.79</v>
      </c>
      <c r="J18" s="131">
        <f t="shared" si="5"/>
        <v>0.79</v>
      </c>
      <c r="K18" s="131">
        <f t="shared" si="5"/>
        <v>0.79</v>
      </c>
      <c r="L18" s="131">
        <f t="shared" si="5"/>
        <v>0.79</v>
      </c>
      <c r="M18" s="131">
        <f t="shared" si="5"/>
        <v>0.79</v>
      </c>
      <c r="N18" s="131">
        <f t="shared" si="5"/>
        <v>0.79</v>
      </c>
    </row>
    <row r="19" spans="1:14" x14ac:dyDescent="0.3">
      <c r="A19">
        <v>11</v>
      </c>
      <c r="B19" t="s">
        <v>120</v>
      </c>
      <c r="C19" s="129">
        <f>C17/C18</f>
        <v>2867823.5597712281</v>
      </c>
      <c r="D19" s="129">
        <f>D17/D18</f>
        <v>2819235.5889353878</v>
      </c>
      <c r="E19" s="129">
        <f t="shared" ref="E19:N19" si="6">E17/E18</f>
        <v>2770647.6180995461</v>
      </c>
      <c r="F19" s="129">
        <f t="shared" si="6"/>
        <v>2722059.6472637043</v>
      </c>
      <c r="G19" s="129">
        <f t="shared" si="6"/>
        <v>2673471.676427864</v>
      </c>
      <c r="H19" s="129">
        <f t="shared" si="6"/>
        <v>2624883.7055920223</v>
      </c>
      <c r="I19" s="129">
        <f t="shared" si="6"/>
        <v>2576295.7347561806</v>
      </c>
      <c r="J19" s="129">
        <f t="shared" si="6"/>
        <v>2527707.7639203393</v>
      </c>
      <c r="K19" s="129">
        <f t="shared" si="6"/>
        <v>2479119.7930844985</v>
      </c>
      <c r="L19" s="129">
        <f t="shared" si="6"/>
        <v>2430531.8222486568</v>
      </c>
      <c r="M19" s="129">
        <f t="shared" si="6"/>
        <v>2383989.8197147516</v>
      </c>
      <c r="N19" s="129">
        <f t="shared" si="6"/>
        <v>2337447.8171808468</v>
      </c>
    </row>
    <row r="20" spans="1:14" x14ac:dyDescent="0.3">
      <c r="A20">
        <v>12</v>
      </c>
      <c r="B20" t="s">
        <v>121</v>
      </c>
      <c r="C20" s="128">
        <v>12</v>
      </c>
      <c r="D20" s="128">
        <v>12</v>
      </c>
      <c r="E20" s="128">
        <v>12</v>
      </c>
      <c r="F20" s="128">
        <v>12</v>
      </c>
      <c r="G20" s="128">
        <v>12</v>
      </c>
      <c r="H20" s="128">
        <v>12</v>
      </c>
      <c r="I20" s="128">
        <v>12</v>
      </c>
      <c r="J20" s="128">
        <v>12</v>
      </c>
      <c r="K20" s="128">
        <v>12</v>
      </c>
      <c r="L20" s="128">
        <v>12</v>
      </c>
      <c r="M20" s="128">
        <v>12</v>
      </c>
      <c r="N20" s="128">
        <v>12</v>
      </c>
    </row>
    <row r="21" spans="1:14" ht="15" thickBot="1" x14ac:dyDescent="0.35">
      <c r="A21">
        <v>13</v>
      </c>
      <c r="B21" t="s">
        <v>119</v>
      </c>
      <c r="C21" s="132">
        <f>C19/C20</f>
        <v>238985.29664760234</v>
      </c>
      <c r="D21" s="132">
        <f>D19/D20</f>
        <v>234936.29907794899</v>
      </c>
      <c r="E21" s="132">
        <f t="shared" ref="E21:N21" si="7">E19/E20</f>
        <v>230887.3015082955</v>
      </c>
      <c r="F21" s="132">
        <f t="shared" si="7"/>
        <v>226838.30393864203</v>
      </c>
      <c r="G21" s="132">
        <f t="shared" si="7"/>
        <v>222789.30636898868</v>
      </c>
      <c r="H21" s="132">
        <f t="shared" si="7"/>
        <v>218740.30879933518</v>
      </c>
      <c r="I21" s="132">
        <f t="shared" si="7"/>
        <v>214691.31122968171</v>
      </c>
      <c r="J21" s="132">
        <f t="shared" si="7"/>
        <v>210642.31366002827</v>
      </c>
      <c r="K21" s="132">
        <f t="shared" si="7"/>
        <v>206593.31609037486</v>
      </c>
      <c r="L21" s="132">
        <f t="shared" si="7"/>
        <v>202544.3185207214</v>
      </c>
      <c r="M21" s="132">
        <f t="shared" si="7"/>
        <v>198665.81830956263</v>
      </c>
      <c r="N21" s="132">
        <f t="shared" si="7"/>
        <v>194787.31809840389</v>
      </c>
    </row>
    <row r="22" spans="1:14" ht="15" thickTop="1" x14ac:dyDescent="0.3">
      <c r="A22">
        <v>14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4" ht="15" thickBot="1" x14ac:dyDescent="0.35">
      <c r="A23">
        <v>15</v>
      </c>
      <c r="B23" t="s">
        <v>122</v>
      </c>
      <c r="C23" s="145">
        <f>SUM($C21:C21)</f>
        <v>238985.29664760234</v>
      </c>
      <c r="D23" s="145">
        <f>SUM($C21:D21)</f>
        <v>473921.59572555136</v>
      </c>
      <c r="E23" s="145">
        <f>SUM($C21:E21)</f>
        <v>704808.89723384683</v>
      </c>
      <c r="F23" s="145">
        <f>SUM($C21:F21)</f>
        <v>931647.20117248886</v>
      </c>
      <c r="G23" s="145">
        <f>SUM($C21:G21)</f>
        <v>1154436.5075414774</v>
      </c>
      <c r="H23" s="145">
        <f>SUM($C21:H21)</f>
        <v>1373176.8163408127</v>
      </c>
      <c r="I23" s="145">
        <f>SUM($C21:I21)</f>
        <v>1587868.1275704945</v>
      </c>
      <c r="J23" s="145">
        <f>SUM($C21:J21)</f>
        <v>1798510.4412305229</v>
      </c>
      <c r="K23" s="145">
        <f>SUM($C21:K21)</f>
        <v>2005103.7573208979</v>
      </c>
      <c r="L23" s="145">
        <f>SUM($C21:L21)</f>
        <v>2207648.0758416192</v>
      </c>
      <c r="M23" s="145">
        <f>SUM($C21:M21)</f>
        <v>2406313.8941511819</v>
      </c>
      <c r="N23" s="145">
        <f>SUM($C21:N21)</f>
        <v>2601101.2122495859</v>
      </c>
    </row>
    <row r="24" spans="1:14" ht="15" thickTop="1" x14ac:dyDescent="0.3">
      <c r="A24">
        <v>16</v>
      </c>
    </row>
    <row r="25" spans="1:14" x14ac:dyDescent="0.3">
      <c r="A25">
        <v>17</v>
      </c>
      <c r="B25" s="146" t="s">
        <v>124</v>
      </c>
    </row>
    <row r="26" spans="1:14" x14ac:dyDescent="0.3">
      <c r="A26">
        <v>18</v>
      </c>
      <c r="B26" t="s">
        <v>89</v>
      </c>
      <c r="C26" s="127">
        <f>C$10*$G$3</f>
        <v>28220126.791779995</v>
      </c>
      <c r="D26" s="127">
        <f t="shared" ref="D26:N26" si="8">D10*$G$3</f>
        <v>28220126.791779995</v>
      </c>
      <c r="E26" s="127">
        <f t="shared" si="8"/>
        <v>28220126.791779995</v>
      </c>
      <c r="F26" s="127">
        <f t="shared" si="8"/>
        <v>28220126.791779995</v>
      </c>
      <c r="G26" s="127">
        <f t="shared" si="8"/>
        <v>28220126.791779995</v>
      </c>
      <c r="H26" s="127">
        <f t="shared" si="8"/>
        <v>28220126.791779995</v>
      </c>
      <c r="I26" s="127">
        <f t="shared" si="8"/>
        <v>28220126.791779995</v>
      </c>
      <c r="J26" s="127">
        <f t="shared" si="8"/>
        <v>28220126.791779995</v>
      </c>
      <c r="K26" s="127">
        <f t="shared" si="8"/>
        <v>28220126.791779995</v>
      </c>
      <c r="L26" s="127">
        <f t="shared" si="8"/>
        <v>28220126.791779995</v>
      </c>
      <c r="M26" s="127">
        <f t="shared" si="8"/>
        <v>28220126.791779995</v>
      </c>
      <c r="N26" s="127">
        <f t="shared" si="8"/>
        <v>28220126.791779995</v>
      </c>
    </row>
    <row r="27" spans="1:14" x14ac:dyDescent="0.3">
      <c r="A27">
        <v>19</v>
      </c>
      <c r="B27" t="s">
        <v>16</v>
      </c>
      <c r="C27" s="128">
        <f>C$11*$G$3</f>
        <v>-4400737.9579732129</v>
      </c>
      <c r="D27" s="128">
        <f t="shared" ref="D27:N27" si="9">D11*$G$3</f>
        <v>-4709083.9492791295</v>
      </c>
      <c r="E27" s="128">
        <f t="shared" si="9"/>
        <v>-5017429.9405850461</v>
      </c>
      <c r="F27" s="128">
        <f t="shared" si="9"/>
        <v>-5325775.9318909626</v>
      </c>
      <c r="G27" s="128">
        <f t="shared" si="9"/>
        <v>-5634121.9231968792</v>
      </c>
      <c r="H27" s="128">
        <f t="shared" si="9"/>
        <v>-5942467.9145027958</v>
      </c>
      <c r="I27" s="128">
        <f t="shared" si="9"/>
        <v>-6250813.9058087124</v>
      </c>
      <c r="J27" s="128">
        <f t="shared" si="9"/>
        <v>-6559159.8971146289</v>
      </c>
      <c r="K27" s="128">
        <f t="shared" si="9"/>
        <v>-6867505.8884205455</v>
      </c>
      <c r="L27" s="128">
        <f t="shared" si="9"/>
        <v>-7175851.879726463</v>
      </c>
      <c r="M27" s="128">
        <f t="shared" si="9"/>
        <v>-7484197.8710323796</v>
      </c>
      <c r="N27" s="128">
        <f t="shared" si="9"/>
        <v>-7792543.8623382961</v>
      </c>
    </row>
    <row r="28" spans="1:14" x14ac:dyDescent="0.3">
      <c r="A28">
        <v>20</v>
      </c>
      <c r="B28" t="s">
        <v>90</v>
      </c>
      <c r="C28" s="128">
        <f>C$12*$G$3</f>
        <v>-2283013.5549839078</v>
      </c>
      <c r="D28" s="128">
        <f t="shared" ref="D28:N28" si="10">D12*$G$3</f>
        <v>-2339546.6268936703</v>
      </c>
      <c r="E28" s="128">
        <f t="shared" si="10"/>
        <v>-2396079.6988034323</v>
      </c>
      <c r="F28" s="128">
        <f t="shared" si="10"/>
        <v>-2452612.7707131952</v>
      </c>
      <c r="G28" s="128">
        <f t="shared" si="10"/>
        <v>-2509145.8426229577</v>
      </c>
      <c r="H28" s="128">
        <f t="shared" si="10"/>
        <v>-2565678.9145327196</v>
      </c>
      <c r="I28" s="128">
        <f t="shared" si="10"/>
        <v>-2622211.9864424821</v>
      </c>
      <c r="J28" s="128">
        <f t="shared" si="10"/>
        <v>-2678745.0583522446</v>
      </c>
      <c r="K28" s="128">
        <f t="shared" si="10"/>
        <v>-2735278.1302620075</v>
      </c>
      <c r="L28" s="128">
        <f t="shared" si="10"/>
        <v>-2791811.2021717699</v>
      </c>
      <c r="M28" s="128">
        <f t="shared" si="10"/>
        <v>-2832979.7510414193</v>
      </c>
      <c r="N28" s="128">
        <f t="shared" si="10"/>
        <v>-2874148.2999110692</v>
      </c>
    </row>
    <row r="29" spans="1:14" x14ac:dyDescent="0.3">
      <c r="A29">
        <v>21</v>
      </c>
      <c r="B29" t="s">
        <v>91</v>
      </c>
      <c r="C29" s="129">
        <f>SUM(C26:C28)</f>
        <v>21536375.278822877</v>
      </c>
      <c r="D29" s="129">
        <f t="shared" ref="D29:N29" si="11">SUM(D26:D28)</f>
        <v>21171496.215607196</v>
      </c>
      <c r="E29" s="129">
        <f t="shared" si="11"/>
        <v>20806617.152391516</v>
      </c>
      <c r="F29" s="129">
        <f t="shared" si="11"/>
        <v>20441738.089175835</v>
      </c>
      <c r="G29" s="129">
        <f t="shared" si="11"/>
        <v>20076859.025960159</v>
      </c>
      <c r="H29" s="129">
        <f t="shared" si="11"/>
        <v>19711979.962744478</v>
      </c>
      <c r="I29" s="129">
        <f t="shared" si="11"/>
        <v>19347100.899528801</v>
      </c>
      <c r="J29" s="129">
        <f t="shared" si="11"/>
        <v>18982221.836313125</v>
      </c>
      <c r="K29" s="129">
        <f t="shared" si="11"/>
        <v>18617342.773097444</v>
      </c>
      <c r="L29" s="129">
        <f t="shared" si="11"/>
        <v>18252463.709881764</v>
      </c>
      <c r="M29" s="129">
        <f t="shared" si="11"/>
        <v>17902949.169706196</v>
      </c>
      <c r="N29" s="129">
        <f t="shared" si="11"/>
        <v>17553434.629530627</v>
      </c>
    </row>
    <row r="30" spans="1:14" x14ac:dyDescent="0.3">
      <c r="A30">
        <v>22</v>
      </c>
      <c r="B30" t="s">
        <v>94</v>
      </c>
      <c r="C30" s="88">
        <f>$C$3</f>
        <v>7.4899999999999994E-2</v>
      </c>
      <c r="D30" s="88">
        <f t="shared" ref="D30:N30" si="12">$C$3</f>
        <v>7.4899999999999994E-2</v>
      </c>
      <c r="E30" s="88">
        <f t="shared" si="12"/>
        <v>7.4899999999999994E-2</v>
      </c>
      <c r="F30" s="88">
        <f t="shared" si="12"/>
        <v>7.4899999999999994E-2</v>
      </c>
      <c r="G30" s="88">
        <f t="shared" si="12"/>
        <v>7.4899999999999994E-2</v>
      </c>
      <c r="H30" s="88">
        <f t="shared" si="12"/>
        <v>7.4899999999999994E-2</v>
      </c>
      <c r="I30" s="88">
        <f t="shared" si="12"/>
        <v>7.4899999999999994E-2</v>
      </c>
      <c r="J30" s="88">
        <f t="shared" si="12"/>
        <v>7.4899999999999994E-2</v>
      </c>
      <c r="K30" s="88">
        <f t="shared" si="12"/>
        <v>7.4899999999999994E-2</v>
      </c>
      <c r="L30" s="88">
        <f t="shared" si="12"/>
        <v>7.4899999999999994E-2</v>
      </c>
      <c r="M30" s="88">
        <f t="shared" si="12"/>
        <v>7.4899999999999994E-2</v>
      </c>
      <c r="N30" s="88">
        <f t="shared" si="12"/>
        <v>7.4899999999999994E-2</v>
      </c>
    </row>
    <row r="31" spans="1:14" x14ac:dyDescent="0.3">
      <c r="A31">
        <v>23</v>
      </c>
      <c r="B31" t="s">
        <v>92</v>
      </c>
      <c r="C31" s="128">
        <f>C29*C30</f>
        <v>1613074.5083838333</v>
      </c>
      <c r="D31" s="128">
        <f t="shared" ref="D31:N31" si="13">D29*D30</f>
        <v>1585745.0665489789</v>
      </c>
      <c r="E31" s="128">
        <f t="shared" si="13"/>
        <v>1558415.6247141245</v>
      </c>
      <c r="F31" s="128">
        <f t="shared" si="13"/>
        <v>1531086.1828792701</v>
      </c>
      <c r="G31" s="128">
        <f t="shared" si="13"/>
        <v>1503756.7410444159</v>
      </c>
      <c r="H31" s="128">
        <f t="shared" si="13"/>
        <v>1476427.2992095612</v>
      </c>
      <c r="I31" s="128">
        <f t="shared" si="13"/>
        <v>1449097.857374707</v>
      </c>
      <c r="J31" s="128">
        <f t="shared" si="13"/>
        <v>1421768.415539853</v>
      </c>
      <c r="K31" s="128">
        <f t="shared" si="13"/>
        <v>1394438.9737049984</v>
      </c>
      <c r="L31" s="128">
        <f t="shared" si="13"/>
        <v>1367109.531870144</v>
      </c>
      <c r="M31" s="128">
        <f t="shared" si="13"/>
        <v>1340930.8928109941</v>
      </c>
      <c r="N31" s="128">
        <f t="shared" si="13"/>
        <v>1314752.2537518439</v>
      </c>
    </row>
    <row r="32" spans="1:14" x14ac:dyDescent="0.3">
      <c r="A32">
        <v>24</v>
      </c>
      <c r="B32" t="s">
        <v>93</v>
      </c>
      <c r="C32" s="128">
        <f>-C29*$C$4*$C$5</f>
        <v>-130251.99768632076</v>
      </c>
      <c r="D32" s="128">
        <f t="shared" ref="D32:N32" si="14">-D29*$C$4*$C$5</f>
        <v>-128045.20911199233</v>
      </c>
      <c r="E32" s="128">
        <f t="shared" si="14"/>
        <v>-125838.42053766387</v>
      </c>
      <c r="F32" s="128">
        <f t="shared" si="14"/>
        <v>-123631.63196333544</v>
      </c>
      <c r="G32" s="128">
        <f t="shared" si="14"/>
        <v>-121424.84338900704</v>
      </c>
      <c r="H32" s="128">
        <f t="shared" si="14"/>
        <v>-119218.05481467859</v>
      </c>
      <c r="I32" s="128">
        <f t="shared" si="14"/>
        <v>-117011.26624035019</v>
      </c>
      <c r="J32" s="128">
        <f t="shared" si="14"/>
        <v>-114804.47766602176</v>
      </c>
      <c r="K32" s="128">
        <f t="shared" si="14"/>
        <v>-112597.68909169333</v>
      </c>
      <c r="L32" s="128">
        <f t="shared" si="14"/>
        <v>-110390.90051736491</v>
      </c>
      <c r="M32" s="128">
        <f t="shared" si="14"/>
        <v>-108277.03657838306</v>
      </c>
      <c r="N32" s="128">
        <f t="shared" si="14"/>
        <v>-106163.17263940122</v>
      </c>
    </row>
    <row r="33" spans="1:14" x14ac:dyDescent="0.3">
      <c r="A33">
        <v>25</v>
      </c>
      <c r="B33" t="s">
        <v>117</v>
      </c>
      <c r="C33" s="129">
        <f>SUM(C31:C32)</f>
        <v>1482822.5106975127</v>
      </c>
      <c r="D33" s="129">
        <f t="shared" ref="D33:N33" si="15">SUM(D31:D32)</f>
        <v>1457699.8574369866</v>
      </c>
      <c r="E33" s="129">
        <f t="shared" si="15"/>
        <v>1432577.2041764606</v>
      </c>
      <c r="F33" s="129">
        <f t="shared" si="15"/>
        <v>1407454.5509159346</v>
      </c>
      <c r="G33" s="129">
        <f t="shared" si="15"/>
        <v>1382331.8976554088</v>
      </c>
      <c r="H33" s="129">
        <f t="shared" si="15"/>
        <v>1357209.2443948826</v>
      </c>
      <c r="I33" s="129">
        <f t="shared" si="15"/>
        <v>1332086.5911343568</v>
      </c>
      <c r="J33" s="129">
        <f t="shared" si="15"/>
        <v>1306963.9378738313</v>
      </c>
      <c r="K33" s="129">
        <f t="shared" si="15"/>
        <v>1281841.284613305</v>
      </c>
      <c r="L33" s="129">
        <f t="shared" si="15"/>
        <v>1256718.631352779</v>
      </c>
      <c r="M33" s="129">
        <f t="shared" si="15"/>
        <v>1232653.856232611</v>
      </c>
      <c r="N33" s="129">
        <f t="shared" si="15"/>
        <v>1208589.0811124428</v>
      </c>
    </row>
    <row r="34" spans="1:14" x14ac:dyDescent="0.3">
      <c r="A34">
        <v>26</v>
      </c>
      <c r="B34" t="s">
        <v>118</v>
      </c>
      <c r="C34" s="131">
        <f>1-$C$5</f>
        <v>0.79</v>
      </c>
      <c r="D34" s="131">
        <f t="shared" ref="D34:N34" si="16">1-$C$5</f>
        <v>0.79</v>
      </c>
      <c r="E34" s="131">
        <f t="shared" si="16"/>
        <v>0.79</v>
      </c>
      <c r="F34" s="131">
        <f t="shared" si="16"/>
        <v>0.79</v>
      </c>
      <c r="G34" s="131">
        <f t="shared" si="16"/>
        <v>0.79</v>
      </c>
      <c r="H34" s="131">
        <f t="shared" si="16"/>
        <v>0.79</v>
      </c>
      <c r="I34" s="131">
        <f t="shared" si="16"/>
        <v>0.79</v>
      </c>
      <c r="J34" s="131">
        <f t="shared" si="16"/>
        <v>0.79</v>
      </c>
      <c r="K34" s="131">
        <f t="shared" si="16"/>
        <v>0.79</v>
      </c>
      <c r="L34" s="131">
        <f t="shared" si="16"/>
        <v>0.79</v>
      </c>
      <c r="M34" s="131">
        <f t="shared" si="16"/>
        <v>0.79</v>
      </c>
      <c r="N34" s="131">
        <f t="shared" si="16"/>
        <v>0.79</v>
      </c>
    </row>
    <row r="35" spans="1:14" x14ac:dyDescent="0.3">
      <c r="A35">
        <v>27</v>
      </c>
      <c r="B35" t="s">
        <v>120</v>
      </c>
      <c r="C35" s="129">
        <f>C33/C34</f>
        <v>1876990.5198702691</v>
      </c>
      <c r="D35" s="129">
        <f t="shared" ref="D35:N35" si="17">D33/D34</f>
        <v>1845189.6929582108</v>
      </c>
      <c r="E35" s="129">
        <f t="shared" si="17"/>
        <v>1813388.8660461525</v>
      </c>
      <c r="F35" s="129">
        <f t="shared" si="17"/>
        <v>1781588.0391340943</v>
      </c>
      <c r="G35" s="129">
        <f t="shared" si="17"/>
        <v>1749787.2122220364</v>
      </c>
      <c r="H35" s="129">
        <f t="shared" si="17"/>
        <v>1717986.3853099779</v>
      </c>
      <c r="I35" s="129">
        <f t="shared" si="17"/>
        <v>1686185.5583979199</v>
      </c>
      <c r="J35" s="129">
        <f t="shared" si="17"/>
        <v>1654384.7314858623</v>
      </c>
      <c r="K35" s="129">
        <f t="shared" si="17"/>
        <v>1622583.9045738038</v>
      </c>
      <c r="L35" s="129">
        <f t="shared" si="17"/>
        <v>1590783.0776617455</v>
      </c>
      <c r="M35" s="129">
        <f t="shared" si="17"/>
        <v>1560321.3370033051</v>
      </c>
      <c r="N35" s="129">
        <f t="shared" si="17"/>
        <v>1529859.5963448642</v>
      </c>
    </row>
    <row r="36" spans="1:14" x14ac:dyDescent="0.3">
      <c r="A36">
        <v>28</v>
      </c>
      <c r="B36" t="s">
        <v>121</v>
      </c>
      <c r="C36" s="128">
        <v>12</v>
      </c>
      <c r="D36" s="128">
        <v>12</v>
      </c>
      <c r="E36" s="128">
        <v>12</v>
      </c>
      <c r="F36" s="128">
        <v>12</v>
      </c>
      <c r="G36" s="128">
        <v>12</v>
      </c>
      <c r="H36" s="128">
        <v>12</v>
      </c>
      <c r="I36" s="128">
        <v>12</v>
      </c>
      <c r="J36" s="128">
        <v>12</v>
      </c>
      <c r="K36" s="128">
        <v>12</v>
      </c>
      <c r="L36" s="128">
        <v>12</v>
      </c>
      <c r="M36" s="128">
        <v>12</v>
      </c>
      <c r="N36" s="128">
        <v>12</v>
      </c>
    </row>
    <row r="37" spans="1:14" ht="15" thickBot="1" x14ac:dyDescent="0.35">
      <c r="A37">
        <v>29</v>
      </c>
      <c r="B37" t="s">
        <v>119</v>
      </c>
      <c r="C37" s="132">
        <f>C35/C36</f>
        <v>156415.87665585577</v>
      </c>
      <c r="D37" s="132">
        <f t="shared" ref="D37:N37" si="18">D35/D36</f>
        <v>153765.80774651756</v>
      </c>
      <c r="E37" s="132">
        <f t="shared" si="18"/>
        <v>151115.73883717938</v>
      </c>
      <c r="F37" s="132">
        <f t="shared" si="18"/>
        <v>148465.6699278412</v>
      </c>
      <c r="G37" s="132">
        <f t="shared" si="18"/>
        <v>145815.60101850305</v>
      </c>
      <c r="H37" s="132">
        <f t="shared" si="18"/>
        <v>143165.53210916484</v>
      </c>
      <c r="I37" s="132">
        <f t="shared" si="18"/>
        <v>140515.46319982666</v>
      </c>
      <c r="J37" s="132">
        <f t="shared" si="18"/>
        <v>137865.39429048853</v>
      </c>
      <c r="K37" s="132">
        <f t="shared" si="18"/>
        <v>135215.32538115032</v>
      </c>
      <c r="L37" s="132">
        <f t="shared" si="18"/>
        <v>132565.25647181211</v>
      </c>
      <c r="M37" s="132">
        <f t="shared" si="18"/>
        <v>130026.77808360876</v>
      </c>
      <c r="N37" s="132">
        <f t="shared" si="18"/>
        <v>127488.29969540535</v>
      </c>
    </row>
    <row r="38" spans="1:14" ht="15" thickTop="1" x14ac:dyDescent="0.3">
      <c r="A38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ht="15" thickBot="1" x14ac:dyDescent="0.35">
      <c r="A39">
        <v>31</v>
      </c>
      <c r="B39" t="s">
        <v>122</v>
      </c>
      <c r="C39" s="145">
        <f>SUM($C37:C37)</f>
        <v>156415.87665585577</v>
      </c>
      <c r="D39" s="145">
        <f>SUM($C37:D37)</f>
        <v>310181.68440237333</v>
      </c>
      <c r="E39" s="145">
        <f>SUM($C37:E37)</f>
        <v>461297.42323955271</v>
      </c>
      <c r="F39" s="145">
        <f>SUM($C37:F37)</f>
        <v>609763.09316739393</v>
      </c>
      <c r="G39" s="145">
        <f>SUM($C37:G37)</f>
        <v>755578.69418589701</v>
      </c>
      <c r="H39" s="145">
        <f>SUM($C37:H37)</f>
        <v>898744.22629506188</v>
      </c>
      <c r="I39" s="145">
        <f>SUM($C37:I37)</f>
        <v>1039259.6894948885</v>
      </c>
      <c r="J39" s="145">
        <f>SUM($C37:J37)</f>
        <v>1177125.083785377</v>
      </c>
      <c r="K39" s="145">
        <f>SUM($C37:K37)</f>
        <v>1312340.4091665272</v>
      </c>
      <c r="L39" s="145">
        <f>SUM($C37:L37)</f>
        <v>1444905.6656383392</v>
      </c>
      <c r="M39" s="145">
        <f>SUM($C37:M37)</f>
        <v>1574932.443721948</v>
      </c>
      <c r="N39" s="145">
        <f>SUM($C37:N37)</f>
        <v>1702420.7434173534</v>
      </c>
    </row>
    <row r="40" spans="1:14" ht="15" thickTop="1" x14ac:dyDescent="0.3">
      <c r="A40">
        <v>32</v>
      </c>
    </row>
    <row r="41" spans="1:14" x14ac:dyDescent="0.3">
      <c r="A41">
        <v>33</v>
      </c>
      <c r="B41" s="146" t="s">
        <v>125</v>
      </c>
    </row>
    <row r="42" spans="1:14" x14ac:dyDescent="0.3">
      <c r="A42">
        <v>34</v>
      </c>
      <c r="B42" t="s">
        <v>89</v>
      </c>
      <c r="C42" s="127">
        <f>C$10*$G$4</f>
        <v>14896950.048219997</v>
      </c>
      <c r="D42" s="127">
        <f t="shared" ref="D42:N42" si="19">D$10*$G$4</f>
        <v>14896950.048219997</v>
      </c>
      <c r="E42" s="127">
        <f t="shared" si="19"/>
        <v>14896950.048219997</v>
      </c>
      <c r="F42" s="127">
        <f t="shared" si="19"/>
        <v>14896950.048219997</v>
      </c>
      <c r="G42" s="127">
        <f t="shared" si="19"/>
        <v>14896950.048219997</v>
      </c>
      <c r="H42" s="127">
        <f t="shared" si="19"/>
        <v>14896950.048219997</v>
      </c>
      <c r="I42" s="127">
        <f t="shared" si="19"/>
        <v>14896950.048219997</v>
      </c>
      <c r="J42" s="127">
        <f t="shared" si="19"/>
        <v>14896950.048219997</v>
      </c>
      <c r="K42" s="127">
        <f t="shared" si="19"/>
        <v>14896950.048219997</v>
      </c>
      <c r="L42" s="127">
        <f t="shared" si="19"/>
        <v>14896950.048219997</v>
      </c>
      <c r="M42" s="127">
        <f t="shared" si="19"/>
        <v>14896950.048219997</v>
      </c>
      <c r="N42" s="127">
        <f t="shared" si="19"/>
        <v>14896950.048219997</v>
      </c>
    </row>
    <row r="43" spans="1:14" x14ac:dyDescent="0.3">
      <c r="A43">
        <v>35</v>
      </c>
      <c r="B43" t="s">
        <v>16</v>
      </c>
      <c r="C43" s="128">
        <f>C$11*$G$4</f>
        <v>-2323078.6317490372</v>
      </c>
      <c r="D43" s="128">
        <f t="shared" ref="D43:N43" si="20">D$11*$G$4</f>
        <v>-2485849.510276454</v>
      </c>
      <c r="E43" s="128">
        <f t="shared" si="20"/>
        <v>-2648620.3888038709</v>
      </c>
      <c r="F43" s="128">
        <f t="shared" si="20"/>
        <v>-2811391.2673312873</v>
      </c>
      <c r="G43" s="128">
        <f t="shared" si="20"/>
        <v>-2974162.1458587036</v>
      </c>
      <c r="H43" s="128">
        <f t="shared" si="20"/>
        <v>-3136933.0243861205</v>
      </c>
      <c r="I43" s="128">
        <f t="shared" si="20"/>
        <v>-3299703.9029135373</v>
      </c>
      <c r="J43" s="128">
        <f t="shared" si="20"/>
        <v>-3462474.7814409537</v>
      </c>
      <c r="K43" s="128">
        <f t="shared" si="20"/>
        <v>-3625245.6599683706</v>
      </c>
      <c r="L43" s="128">
        <f t="shared" si="20"/>
        <v>-3788016.5384957874</v>
      </c>
      <c r="M43" s="128">
        <f t="shared" si="20"/>
        <v>-3950787.4170232038</v>
      </c>
      <c r="N43" s="128">
        <f t="shared" si="20"/>
        <v>-4113558.2955506206</v>
      </c>
    </row>
    <row r="44" spans="1:14" x14ac:dyDescent="0.3">
      <c r="A44">
        <v>36</v>
      </c>
      <c r="B44" t="s">
        <v>90</v>
      </c>
      <c r="C44" s="128">
        <f>C$12*$G$4</f>
        <v>-1205166.0553811155</v>
      </c>
      <c r="D44" s="128">
        <f t="shared" ref="D44:N44" si="21">D$12*$G$4</f>
        <v>-1235008.9527758032</v>
      </c>
      <c r="E44" s="128">
        <f t="shared" si="21"/>
        <v>-1264851.8501704901</v>
      </c>
      <c r="F44" s="128">
        <f t="shared" si="21"/>
        <v>-1294694.7475651777</v>
      </c>
      <c r="G44" s="128">
        <f t="shared" si="21"/>
        <v>-1324537.6449598654</v>
      </c>
      <c r="H44" s="128">
        <f t="shared" si="21"/>
        <v>-1354380.5423545525</v>
      </c>
      <c r="I44" s="128">
        <f t="shared" si="21"/>
        <v>-1384223.4397492399</v>
      </c>
      <c r="J44" s="128">
        <f t="shared" si="21"/>
        <v>-1414066.3371439273</v>
      </c>
      <c r="K44" s="128">
        <f t="shared" si="21"/>
        <v>-1443909.234538615</v>
      </c>
      <c r="L44" s="128">
        <f t="shared" si="21"/>
        <v>-1473752.1319333024</v>
      </c>
      <c r="M44" s="128">
        <f t="shared" si="21"/>
        <v>-1495484.345278549</v>
      </c>
      <c r="N44" s="128">
        <f t="shared" si="21"/>
        <v>-1517216.5586237959</v>
      </c>
    </row>
    <row r="45" spans="1:14" x14ac:dyDescent="0.3">
      <c r="A45">
        <v>37</v>
      </c>
      <c r="B45" t="s">
        <v>91</v>
      </c>
      <c r="C45" s="129">
        <f>SUM(C42:C44)</f>
        <v>11368705.361089844</v>
      </c>
      <c r="D45" s="129">
        <f t="shared" ref="D45:N45" si="22">SUM(D42:D44)</f>
        <v>11176091.585167741</v>
      </c>
      <c r="E45" s="129">
        <f t="shared" si="22"/>
        <v>10983477.809245637</v>
      </c>
      <c r="F45" s="129">
        <f t="shared" si="22"/>
        <v>10790864.033323532</v>
      </c>
      <c r="G45" s="129">
        <f t="shared" si="22"/>
        <v>10598250.257401429</v>
      </c>
      <c r="H45" s="129">
        <f t="shared" si="22"/>
        <v>10405636.481479324</v>
      </c>
      <c r="I45" s="129">
        <f t="shared" si="22"/>
        <v>10213022.70555722</v>
      </c>
      <c r="J45" s="129">
        <f t="shared" si="22"/>
        <v>10020408.929635115</v>
      </c>
      <c r="K45" s="129">
        <f t="shared" si="22"/>
        <v>9827795.1537130121</v>
      </c>
      <c r="L45" s="129">
        <f t="shared" si="22"/>
        <v>9635181.3777909093</v>
      </c>
      <c r="M45" s="129">
        <f t="shared" si="22"/>
        <v>9450678.2859182432</v>
      </c>
      <c r="N45" s="129">
        <f t="shared" si="22"/>
        <v>9266175.1940455809</v>
      </c>
    </row>
    <row r="46" spans="1:14" x14ac:dyDescent="0.3">
      <c r="A46">
        <v>38</v>
      </c>
      <c r="B46" t="s">
        <v>94</v>
      </c>
      <c r="C46" s="88">
        <f>$C$3</f>
        <v>7.4899999999999994E-2</v>
      </c>
      <c r="D46" s="88">
        <f t="shared" ref="D46:N46" si="23">$C$3</f>
        <v>7.4899999999999994E-2</v>
      </c>
      <c r="E46" s="88">
        <f t="shared" si="23"/>
        <v>7.4899999999999994E-2</v>
      </c>
      <c r="F46" s="88">
        <f t="shared" si="23"/>
        <v>7.4899999999999994E-2</v>
      </c>
      <c r="G46" s="88">
        <f t="shared" si="23"/>
        <v>7.4899999999999994E-2</v>
      </c>
      <c r="H46" s="88">
        <f t="shared" si="23"/>
        <v>7.4899999999999994E-2</v>
      </c>
      <c r="I46" s="88">
        <f t="shared" si="23"/>
        <v>7.4899999999999994E-2</v>
      </c>
      <c r="J46" s="88">
        <f t="shared" si="23"/>
        <v>7.4899999999999994E-2</v>
      </c>
      <c r="K46" s="88">
        <f t="shared" si="23"/>
        <v>7.4899999999999994E-2</v>
      </c>
      <c r="L46" s="88">
        <f t="shared" si="23"/>
        <v>7.4899999999999994E-2</v>
      </c>
      <c r="M46" s="88">
        <f t="shared" si="23"/>
        <v>7.4899999999999994E-2</v>
      </c>
      <c r="N46" s="88">
        <f t="shared" si="23"/>
        <v>7.4899999999999994E-2</v>
      </c>
    </row>
    <row r="47" spans="1:14" x14ac:dyDescent="0.3">
      <c r="A47">
        <v>39</v>
      </c>
      <c r="B47" t="s">
        <v>92</v>
      </c>
      <c r="C47" s="128">
        <f>C45*C46</f>
        <v>851516.03154562926</v>
      </c>
      <c r="D47" s="128">
        <f t="shared" ref="D47:N47" si="24">D45*D46</f>
        <v>837089.25972906372</v>
      </c>
      <c r="E47" s="128">
        <f t="shared" si="24"/>
        <v>822662.48791249818</v>
      </c>
      <c r="F47" s="128">
        <f t="shared" si="24"/>
        <v>808235.71609593253</v>
      </c>
      <c r="G47" s="128">
        <f t="shared" si="24"/>
        <v>793808.94427936699</v>
      </c>
      <c r="H47" s="128">
        <f t="shared" si="24"/>
        <v>779382.17246280133</v>
      </c>
      <c r="I47" s="128">
        <f t="shared" si="24"/>
        <v>764955.40064623568</v>
      </c>
      <c r="J47" s="128">
        <f t="shared" si="24"/>
        <v>750528.62882967002</v>
      </c>
      <c r="K47" s="128">
        <f t="shared" si="24"/>
        <v>736101.8570131046</v>
      </c>
      <c r="L47" s="128">
        <f t="shared" si="24"/>
        <v>721675.08519653906</v>
      </c>
      <c r="M47" s="128">
        <f t="shared" si="24"/>
        <v>707855.80361527635</v>
      </c>
      <c r="N47" s="128">
        <f t="shared" si="24"/>
        <v>694036.52203401399</v>
      </c>
    </row>
    <row r="48" spans="1:14" x14ac:dyDescent="0.3">
      <c r="A48">
        <v>40</v>
      </c>
      <c r="B48" t="s">
        <v>93</v>
      </c>
      <c r="C48" s="128">
        <f>-C45*$C$4*$C$5</f>
        <v>-68757.930023871362</v>
      </c>
      <c r="D48" s="128">
        <f t="shared" ref="D48:N48" si="25">-D45*$C$4*$C$5</f>
        <v>-67593.001907094498</v>
      </c>
      <c r="E48" s="128">
        <f t="shared" si="25"/>
        <v>-66428.073790317605</v>
      </c>
      <c r="F48" s="128">
        <f t="shared" si="25"/>
        <v>-65263.145673540719</v>
      </c>
      <c r="G48" s="128">
        <f t="shared" si="25"/>
        <v>-64098.217556763833</v>
      </c>
      <c r="H48" s="128">
        <f t="shared" si="25"/>
        <v>-62933.289439986947</v>
      </c>
      <c r="I48" s="128">
        <f t="shared" si="25"/>
        <v>-61768.361323210062</v>
      </c>
      <c r="J48" s="128">
        <f t="shared" si="25"/>
        <v>-60603.433206433176</v>
      </c>
      <c r="K48" s="128">
        <f t="shared" si="25"/>
        <v>-59438.50508965629</v>
      </c>
      <c r="L48" s="128">
        <f t="shared" si="25"/>
        <v>-58273.576972879411</v>
      </c>
      <c r="M48" s="128">
        <f t="shared" si="25"/>
        <v>-57157.702273233532</v>
      </c>
      <c r="N48" s="128">
        <f t="shared" si="25"/>
        <v>-56041.827573587667</v>
      </c>
    </row>
    <row r="49" spans="1:14" x14ac:dyDescent="0.3">
      <c r="A49">
        <v>41</v>
      </c>
      <c r="B49" t="s">
        <v>117</v>
      </c>
      <c r="C49" s="129">
        <f>SUM(C47:C48)</f>
        <v>782758.1015217579</v>
      </c>
      <c r="D49" s="129">
        <f t="shared" ref="D49:N49" si="26">SUM(D47:D48)</f>
        <v>769496.25782196922</v>
      </c>
      <c r="E49" s="129">
        <f t="shared" si="26"/>
        <v>756234.41412218055</v>
      </c>
      <c r="F49" s="129">
        <f t="shared" si="26"/>
        <v>742972.57042239176</v>
      </c>
      <c r="G49" s="129">
        <f t="shared" si="26"/>
        <v>729710.7267226032</v>
      </c>
      <c r="H49" s="129">
        <f t="shared" si="26"/>
        <v>716448.88302281441</v>
      </c>
      <c r="I49" s="129">
        <f t="shared" si="26"/>
        <v>703187.03932302562</v>
      </c>
      <c r="J49" s="129">
        <f t="shared" si="26"/>
        <v>689925.19562323682</v>
      </c>
      <c r="K49" s="129">
        <f t="shared" si="26"/>
        <v>676663.35192344827</v>
      </c>
      <c r="L49" s="129">
        <f t="shared" si="26"/>
        <v>663401.50822365959</v>
      </c>
      <c r="M49" s="129">
        <f t="shared" si="26"/>
        <v>650698.10134204279</v>
      </c>
      <c r="N49" s="129">
        <f t="shared" si="26"/>
        <v>637994.69446042634</v>
      </c>
    </row>
    <row r="50" spans="1:14" x14ac:dyDescent="0.3">
      <c r="A50">
        <v>42</v>
      </c>
      <c r="B50" t="s">
        <v>118</v>
      </c>
      <c r="C50" s="131">
        <f>1-$C$5</f>
        <v>0.79</v>
      </c>
      <c r="D50" s="131">
        <f t="shared" ref="D50:N50" si="27">1-$C$5</f>
        <v>0.79</v>
      </c>
      <c r="E50" s="131">
        <f t="shared" si="27"/>
        <v>0.79</v>
      </c>
      <c r="F50" s="131">
        <f t="shared" si="27"/>
        <v>0.79</v>
      </c>
      <c r="G50" s="131">
        <f t="shared" si="27"/>
        <v>0.79</v>
      </c>
      <c r="H50" s="131">
        <f t="shared" si="27"/>
        <v>0.79</v>
      </c>
      <c r="I50" s="131">
        <f t="shared" si="27"/>
        <v>0.79</v>
      </c>
      <c r="J50" s="131">
        <f t="shared" si="27"/>
        <v>0.79</v>
      </c>
      <c r="K50" s="131">
        <f t="shared" si="27"/>
        <v>0.79</v>
      </c>
      <c r="L50" s="131">
        <f t="shared" si="27"/>
        <v>0.79</v>
      </c>
      <c r="M50" s="131">
        <f t="shared" si="27"/>
        <v>0.79</v>
      </c>
      <c r="N50" s="131">
        <f t="shared" si="27"/>
        <v>0.79</v>
      </c>
    </row>
    <row r="51" spans="1:14" x14ac:dyDescent="0.3">
      <c r="A51">
        <v>43</v>
      </c>
      <c r="B51" t="s">
        <v>120</v>
      </c>
      <c r="C51" s="129">
        <f>C49/C50</f>
        <v>990833.03990095935</v>
      </c>
      <c r="D51" s="129">
        <f t="shared" ref="D51:N51" si="28">D49/D50</f>
        <v>974045.89597717614</v>
      </c>
      <c r="E51" s="129">
        <f t="shared" si="28"/>
        <v>957258.75205339305</v>
      </c>
      <c r="F51" s="129">
        <f t="shared" si="28"/>
        <v>940471.60812960973</v>
      </c>
      <c r="G51" s="129">
        <f t="shared" si="28"/>
        <v>923684.46420582675</v>
      </c>
      <c r="H51" s="129">
        <f t="shared" si="28"/>
        <v>906897.32028204354</v>
      </c>
      <c r="I51" s="129">
        <f t="shared" si="28"/>
        <v>890110.17635826021</v>
      </c>
      <c r="J51" s="129">
        <f t="shared" si="28"/>
        <v>873323.03243447701</v>
      </c>
      <c r="K51" s="129">
        <f t="shared" si="28"/>
        <v>856535.88851069391</v>
      </c>
      <c r="L51" s="129">
        <f t="shared" si="28"/>
        <v>839748.74458691082</v>
      </c>
      <c r="M51" s="129">
        <f t="shared" si="28"/>
        <v>823668.48271144659</v>
      </c>
      <c r="N51" s="129">
        <f t="shared" si="28"/>
        <v>807588.22083598271</v>
      </c>
    </row>
    <row r="52" spans="1:14" x14ac:dyDescent="0.3">
      <c r="A52">
        <v>44</v>
      </c>
      <c r="B52" t="s">
        <v>121</v>
      </c>
      <c r="C52" s="128">
        <v>12</v>
      </c>
      <c r="D52" s="128">
        <v>12</v>
      </c>
      <c r="E52" s="128">
        <v>12</v>
      </c>
      <c r="F52" s="128">
        <v>12</v>
      </c>
      <c r="G52" s="128">
        <v>12</v>
      </c>
      <c r="H52" s="128">
        <v>12</v>
      </c>
      <c r="I52" s="128">
        <v>12</v>
      </c>
      <c r="J52" s="128">
        <v>12</v>
      </c>
      <c r="K52" s="128">
        <v>12</v>
      </c>
      <c r="L52" s="128">
        <v>12</v>
      </c>
      <c r="M52" s="128">
        <v>12</v>
      </c>
      <c r="N52" s="128">
        <v>12</v>
      </c>
    </row>
    <row r="53" spans="1:14" ht="15" thickBot="1" x14ac:dyDescent="0.35">
      <c r="A53">
        <v>45</v>
      </c>
      <c r="B53" t="s">
        <v>119</v>
      </c>
      <c r="C53" s="132">
        <f>C51/C52</f>
        <v>82569.419991746618</v>
      </c>
      <c r="D53" s="132">
        <f t="shared" ref="D53:N53" si="29">D51/D52</f>
        <v>81170.491331431345</v>
      </c>
      <c r="E53" s="132">
        <f t="shared" si="29"/>
        <v>79771.562671116088</v>
      </c>
      <c r="F53" s="132">
        <f t="shared" si="29"/>
        <v>78372.634010800815</v>
      </c>
      <c r="G53" s="132">
        <f t="shared" si="29"/>
        <v>76973.705350485558</v>
      </c>
      <c r="H53" s="132">
        <f t="shared" si="29"/>
        <v>75574.7766901703</v>
      </c>
      <c r="I53" s="132">
        <f t="shared" si="29"/>
        <v>74175.848029855013</v>
      </c>
      <c r="J53" s="132">
        <f t="shared" si="29"/>
        <v>72776.919369539755</v>
      </c>
      <c r="K53" s="132">
        <f t="shared" si="29"/>
        <v>71377.990709224498</v>
      </c>
      <c r="L53" s="132">
        <f t="shared" si="29"/>
        <v>69979.06204890924</v>
      </c>
      <c r="M53" s="132">
        <f t="shared" si="29"/>
        <v>68639.040225953882</v>
      </c>
      <c r="N53" s="132">
        <f t="shared" si="29"/>
        <v>67299.018402998554</v>
      </c>
    </row>
    <row r="54" spans="1:14" ht="15" thickTop="1" x14ac:dyDescent="0.3">
      <c r="A54">
        <v>46</v>
      </c>
      <c r="C54" s="144"/>
    </row>
    <row r="55" spans="1:14" ht="15" thickBot="1" x14ac:dyDescent="0.35">
      <c r="A55">
        <v>47</v>
      </c>
      <c r="B55" t="s">
        <v>122</v>
      </c>
      <c r="C55" s="145">
        <f>SUM($C53:C53)</f>
        <v>82569.419991746618</v>
      </c>
      <c r="D55" s="145">
        <f>SUM($C53:D53)</f>
        <v>163739.91132317798</v>
      </c>
      <c r="E55" s="145">
        <f>SUM($C53:E53)</f>
        <v>243511.47399429407</v>
      </c>
      <c r="F55" s="145">
        <f>SUM($C53:F53)</f>
        <v>321884.10800509487</v>
      </c>
      <c r="G55" s="145">
        <f>SUM($C53:G53)</f>
        <v>398857.81335558044</v>
      </c>
      <c r="H55" s="145">
        <f>SUM($C53:H53)</f>
        <v>474432.59004575072</v>
      </c>
      <c r="I55" s="145">
        <f>SUM($C53:I53)</f>
        <v>548608.43807560578</v>
      </c>
      <c r="J55" s="145">
        <f>SUM($C53:J53)</f>
        <v>621385.35744514549</v>
      </c>
      <c r="K55" s="145">
        <f>SUM($C53:K53)</f>
        <v>692763.34815436997</v>
      </c>
      <c r="L55" s="145">
        <f>SUM($C53:L53)</f>
        <v>762742.41020327923</v>
      </c>
      <c r="M55" s="145">
        <f>SUM($C53:M53)</f>
        <v>831381.45042923314</v>
      </c>
      <c r="N55" s="145">
        <f>SUM($C53:N53)</f>
        <v>898680.46883223171</v>
      </c>
    </row>
    <row r="56" spans="1:14" ht="15" thickTop="1" x14ac:dyDescent="0.3"/>
    <row r="57" spans="1:14" x14ac:dyDescent="0.3">
      <c r="B57" s="175" t="s">
        <v>160</v>
      </c>
      <c r="C57" s="176">
        <f>C37+C53-C21</f>
        <v>0</v>
      </c>
      <c r="D57" s="176">
        <f t="shared" ref="D57:N57" si="30">D37+D53-D21</f>
        <v>0</v>
      </c>
      <c r="E57" s="176">
        <f t="shared" si="30"/>
        <v>0</v>
      </c>
      <c r="F57" s="176">
        <f t="shared" si="30"/>
        <v>0</v>
      </c>
      <c r="G57" s="176">
        <f t="shared" si="30"/>
        <v>0</v>
      </c>
      <c r="H57" s="176">
        <f t="shared" si="30"/>
        <v>0</v>
      </c>
      <c r="I57" s="176">
        <f t="shared" si="30"/>
        <v>0</v>
      </c>
      <c r="J57" s="176">
        <f t="shared" si="30"/>
        <v>0</v>
      </c>
      <c r="K57" s="176">
        <f t="shared" si="30"/>
        <v>0</v>
      </c>
      <c r="L57" s="176">
        <f t="shared" si="30"/>
        <v>0</v>
      </c>
      <c r="M57" s="176">
        <f t="shared" si="30"/>
        <v>0</v>
      </c>
      <c r="N57" s="176">
        <f t="shared" si="30"/>
        <v>0</v>
      </c>
    </row>
    <row r="58" spans="1:14" x14ac:dyDescent="0.3">
      <c r="B58" s="175" t="s">
        <v>160</v>
      </c>
      <c r="C58" s="176">
        <f t="shared" ref="C58:N58" si="31">C39+C55-C23</f>
        <v>0</v>
      </c>
      <c r="D58" s="176">
        <f t="shared" si="31"/>
        <v>0</v>
      </c>
      <c r="E58" s="176">
        <f t="shared" si="31"/>
        <v>0</v>
      </c>
      <c r="F58" s="176">
        <f t="shared" si="31"/>
        <v>0</v>
      </c>
      <c r="G58" s="176">
        <f t="shared" si="31"/>
        <v>0</v>
      </c>
      <c r="H58" s="176">
        <f t="shared" si="31"/>
        <v>0</v>
      </c>
      <c r="I58" s="176">
        <f t="shared" si="31"/>
        <v>0</v>
      </c>
      <c r="J58" s="176">
        <f t="shared" si="31"/>
        <v>0</v>
      </c>
      <c r="K58" s="176">
        <f t="shared" si="31"/>
        <v>0</v>
      </c>
      <c r="L58" s="176">
        <f t="shared" si="31"/>
        <v>0</v>
      </c>
      <c r="M58" s="176">
        <f t="shared" si="31"/>
        <v>0</v>
      </c>
      <c r="N58" s="176">
        <f t="shared" si="31"/>
        <v>0</v>
      </c>
    </row>
  </sheetData>
  <pageMargins left="0.2" right="0.2" top="0.25" bottom="0.25" header="0.3" footer="0"/>
  <pageSetup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W63"/>
  <sheetViews>
    <sheetView zoomScale="80" zoomScaleNormal="80" workbookViewId="0">
      <pane xSplit="1" ySplit="11" topLeftCell="B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3" style="18" bestFit="1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11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82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/>
      <c r="C2" s="12"/>
      <c r="D2" s="13"/>
      <c r="F2" s="14"/>
      <c r="G2" s="15"/>
      <c r="H2" s="15"/>
      <c r="I2" s="16"/>
      <c r="J2" s="5"/>
      <c r="K2" s="5"/>
      <c r="L2" s="7" t="s">
        <v>12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ht="14.4" x14ac:dyDescent="0.3">
      <c r="A4" s="20"/>
      <c r="B4" s="21"/>
      <c r="C4" s="21"/>
      <c r="D4" s="21"/>
      <c r="E4" s="21"/>
      <c r="F4" s="21"/>
      <c r="G4" s="21"/>
      <c r="H4" s="21"/>
      <c r="I4" s="21"/>
      <c r="J4" s="22"/>
      <c r="K4" s="6"/>
      <c r="L4" s="6"/>
      <c r="M4" s="6"/>
      <c r="N4" s="6"/>
      <c r="O4" s="22"/>
      <c r="P4" s="22"/>
    </row>
    <row r="5" spans="1:23" s="10" customFormat="1" ht="14.4" x14ac:dyDescent="0.3">
      <c r="A5" s="20"/>
      <c r="B5" s="6"/>
      <c r="C5" s="6"/>
      <c r="D5" s="6"/>
      <c r="E5" s="6"/>
      <c r="I5" s="23"/>
      <c r="J5" s="23"/>
      <c r="K5" s="6"/>
      <c r="L5" s="6"/>
      <c r="M5" s="6"/>
      <c r="N5" s="6"/>
      <c r="O5" s="23"/>
      <c r="P5" s="23"/>
      <c r="Q5" s="23"/>
      <c r="R5" s="23"/>
      <c r="S5" s="23"/>
      <c r="T5" s="23"/>
      <c r="U5" s="23"/>
      <c r="V5" s="23"/>
      <c r="W5" s="24"/>
    </row>
    <row r="6" spans="1:23" ht="5.0999999999999996" customHeight="1" thickBot="1" x14ac:dyDescent="0.3"/>
    <row r="7" spans="1:23" x14ac:dyDescent="0.25">
      <c r="A7" s="25" t="s">
        <v>13</v>
      </c>
      <c r="B7" s="26" t="s">
        <v>14</v>
      </c>
      <c r="C7" s="27"/>
      <c r="D7" s="26" t="s">
        <v>15</v>
      </c>
      <c r="E7" s="27"/>
      <c r="F7" s="26" t="s">
        <v>16</v>
      </c>
      <c r="G7" s="27"/>
      <c r="H7" s="26" t="s">
        <v>17</v>
      </c>
      <c r="I7" s="27"/>
      <c r="J7" s="28" t="s">
        <v>18</v>
      </c>
      <c r="K7" s="29" t="s">
        <v>19</v>
      </c>
      <c r="L7" s="29" t="s">
        <v>20</v>
      </c>
    </row>
    <row r="8" spans="1:23" x14ac:dyDescent="0.25">
      <c r="A8" s="30"/>
      <c r="B8" s="31"/>
      <c r="C8" s="32"/>
      <c r="D8" s="33"/>
      <c r="E8" s="34"/>
      <c r="F8" s="33"/>
      <c r="G8" s="32"/>
      <c r="H8" s="31"/>
      <c r="I8" s="35"/>
      <c r="J8" s="36"/>
      <c r="K8" s="37"/>
      <c r="L8" s="37" t="s">
        <v>21</v>
      </c>
    </row>
    <row r="9" spans="1:23" x14ac:dyDescent="0.25">
      <c r="A9" s="38"/>
      <c r="B9" s="39" t="s">
        <v>22</v>
      </c>
      <c r="C9" s="35" t="s">
        <v>23</v>
      </c>
      <c r="D9" s="39" t="s">
        <v>24</v>
      </c>
      <c r="E9" s="35" t="s">
        <v>25</v>
      </c>
      <c r="F9" s="39" t="s">
        <v>22</v>
      </c>
      <c r="G9" s="35" t="s">
        <v>23</v>
      </c>
      <c r="H9" s="39" t="s">
        <v>22</v>
      </c>
      <c r="I9" s="35" t="s">
        <v>26</v>
      </c>
      <c r="J9" s="36" t="s">
        <v>27</v>
      </c>
      <c r="K9" s="40">
        <v>0.35</v>
      </c>
      <c r="L9" s="37" t="s">
        <v>28</v>
      </c>
    </row>
    <row r="10" spans="1:23" x14ac:dyDescent="0.25">
      <c r="A10" s="38"/>
      <c r="B10" s="39"/>
      <c r="C10" s="35"/>
      <c r="D10" s="39" t="s">
        <v>29</v>
      </c>
      <c r="E10" s="35" t="s">
        <v>30</v>
      </c>
      <c r="F10" s="39" t="s">
        <v>31</v>
      </c>
      <c r="G10" s="35" t="s">
        <v>32</v>
      </c>
      <c r="H10" s="39"/>
      <c r="I10" s="35"/>
      <c r="J10" s="36" t="s">
        <v>27</v>
      </c>
      <c r="K10" s="40">
        <v>0.21</v>
      </c>
      <c r="L10" s="37" t="s">
        <v>33</v>
      </c>
    </row>
    <row r="11" spans="1:23" x14ac:dyDescent="0.25">
      <c r="A11" s="41"/>
      <c r="B11" s="42" t="s">
        <v>34</v>
      </c>
      <c r="C11" s="43" t="s">
        <v>35</v>
      </c>
      <c r="D11" s="42"/>
      <c r="E11" s="43"/>
      <c r="F11" s="42" t="s">
        <v>36</v>
      </c>
      <c r="G11" s="43" t="s">
        <v>37</v>
      </c>
      <c r="H11" s="42" t="s">
        <v>38</v>
      </c>
      <c r="I11" s="43" t="s">
        <v>39</v>
      </c>
      <c r="J11" s="44" t="s">
        <v>40</v>
      </c>
      <c r="K11" s="45" t="s">
        <v>41</v>
      </c>
      <c r="L11" s="46" t="s">
        <v>42</v>
      </c>
    </row>
    <row r="12" spans="1:23" outlineLevel="1" x14ac:dyDescent="0.25">
      <c r="A12" s="47"/>
      <c r="B12" s="48"/>
      <c r="C12" s="49"/>
      <c r="D12" s="48"/>
      <c r="E12" s="49"/>
      <c r="F12" s="50">
        <v>0</v>
      </c>
      <c r="G12" s="51">
        <v>0</v>
      </c>
      <c r="H12" s="48">
        <v>0</v>
      </c>
      <c r="I12" s="49">
        <v>0</v>
      </c>
      <c r="J12" s="52">
        <v>0</v>
      </c>
      <c r="K12" s="53">
        <v>0</v>
      </c>
      <c r="L12" s="49">
        <v>0</v>
      </c>
    </row>
    <row r="13" spans="1:23" outlineLevel="1" x14ac:dyDescent="0.25">
      <c r="A13" s="47">
        <v>42674</v>
      </c>
      <c r="B13" s="48">
        <f>+'Common AMA-3 yr Property'!B16+'Common AMA-7 yr Property '!B16</f>
        <v>958112</v>
      </c>
      <c r="C13" s="49">
        <f>+'Common AMA-3 yr Property'!C16+'Common AMA-7 yr Property '!C16</f>
        <v>958112</v>
      </c>
      <c r="D13" s="48">
        <f>+'Common AMA-3 yr Property'!D16+'Common AMA-7 yr Property '!D16</f>
        <v>220589.22988116668</v>
      </c>
      <c r="E13" s="49">
        <f>+'Common AMA-3 yr Property'!E16+'Common AMA-7 yr Property '!E16</f>
        <v>2662.7529333333332</v>
      </c>
      <c r="F13" s="50">
        <f>+F12-D13</f>
        <v>-220589.22988116668</v>
      </c>
      <c r="G13" s="51">
        <f t="shared" ref="G13:G28" si="0">+G12-E13</f>
        <v>-2662.7529333333332</v>
      </c>
      <c r="H13" s="48">
        <f t="shared" ref="H13:I28" si="1">B13+F13</f>
        <v>737522.77011883329</v>
      </c>
      <c r="I13" s="49">
        <f t="shared" si="1"/>
        <v>955449.24706666672</v>
      </c>
      <c r="J13" s="52">
        <f t="shared" ref="J13:J53" si="2">I13-H13</f>
        <v>217926.47694783343</v>
      </c>
      <c r="K13" s="53">
        <f>+'Common AMA-3 yr Property'!K16+'Common AMA-7 yr Property '!K16</f>
        <v>-76274.266931741702</v>
      </c>
      <c r="L13" s="49">
        <f t="shared" ref="L13:L53" si="3">-K13+K12</f>
        <v>76274.266931741702</v>
      </c>
    </row>
    <row r="14" spans="1:23" outlineLevel="1" x14ac:dyDescent="0.25">
      <c r="A14" s="47">
        <v>42704</v>
      </c>
      <c r="B14" s="48">
        <f>+'Common AMA-3 yr Property'!B17+'Common AMA-7 yr Property '!B17</f>
        <v>958112</v>
      </c>
      <c r="C14" s="49">
        <f>+'Common AMA-3 yr Property'!C17+'Common AMA-7 yr Property '!C17</f>
        <v>958112</v>
      </c>
      <c r="D14" s="48">
        <f>+'Common AMA-3 yr Property'!D17+'Common AMA-7 yr Property '!D17</f>
        <v>220589.22988116668</v>
      </c>
      <c r="E14" s="49">
        <f>+'Common AMA-3 yr Property'!E17+'Common AMA-7 yr Property '!E17</f>
        <v>5325.5058666666664</v>
      </c>
      <c r="F14" s="50">
        <f t="shared" ref="F14:G29" si="4">+F13-D14</f>
        <v>-441178.45976233337</v>
      </c>
      <c r="G14" s="51">
        <f t="shared" si="0"/>
        <v>-7988.2587999999996</v>
      </c>
      <c r="H14" s="48">
        <f t="shared" si="1"/>
        <v>516933.54023766663</v>
      </c>
      <c r="I14" s="49">
        <f t="shared" si="1"/>
        <v>950123.74120000005</v>
      </c>
      <c r="J14" s="52">
        <f t="shared" si="2"/>
        <v>433190.20096233342</v>
      </c>
      <c r="K14" s="53">
        <f>+'Common AMA-3 yr Property'!K17+'Common AMA-7 yr Property '!K17</f>
        <v>-151616.57033681669</v>
      </c>
      <c r="L14" s="49">
        <f t="shared" si="3"/>
        <v>75342.303405074985</v>
      </c>
    </row>
    <row r="15" spans="1:23" outlineLevel="1" x14ac:dyDescent="0.25">
      <c r="A15" s="47">
        <v>42735</v>
      </c>
      <c r="B15" s="48">
        <f>+'Common AMA-3 yr Property'!B18+'Common AMA-7 yr Property '!B18</f>
        <v>1158050.03</v>
      </c>
      <c r="C15" s="49">
        <f>+'Common AMA-3 yr Property'!C18+'Common AMA-7 yr Property '!C18</f>
        <v>1158050.03</v>
      </c>
      <c r="D15" s="48">
        <f>+'Common AMA-3 yr Property'!D18+'Common AMA-7 yr Property '!D18</f>
        <v>220589.22988116668</v>
      </c>
      <c r="E15" s="49">
        <f>+'Common AMA-3 yr Property'!E18+'Common AMA-7 yr Property '!E18</f>
        <v>5881.1669750416668</v>
      </c>
      <c r="F15" s="50">
        <f t="shared" si="4"/>
        <v>-661767.68964350002</v>
      </c>
      <c r="G15" s="51">
        <f t="shared" si="0"/>
        <v>-13869.425775041665</v>
      </c>
      <c r="H15" s="48">
        <f t="shared" si="1"/>
        <v>496282.3403565</v>
      </c>
      <c r="I15" s="49">
        <f t="shared" si="1"/>
        <v>1144180.6042249585</v>
      </c>
      <c r="J15" s="52">
        <f t="shared" si="2"/>
        <v>647898.26386845845</v>
      </c>
      <c r="K15" s="53">
        <f>+'Common AMA-3 yr Property'!K18+'Common AMA-7 yr Property '!K18</f>
        <v>-226764.39235396043</v>
      </c>
      <c r="L15" s="49">
        <f t="shared" si="3"/>
        <v>75147.822017143742</v>
      </c>
    </row>
    <row r="16" spans="1:23" outlineLevel="1" x14ac:dyDescent="0.25">
      <c r="A16" s="47">
        <v>42766</v>
      </c>
      <c r="B16" s="48">
        <f>+'Common AMA-3 yr Property'!B19+'Common AMA-7 yr Property '!B19</f>
        <v>1158050.03</v>
      </c>
      <c r="C16" s="49">
        <f>+'Common AMA-3 yr Property'!C19+'Common AMA-7 yr Property '!C19</f>
        <v>1158050.03</v>
      </c>
      <c r="D16" s="48">
        <f>+'Common AMA-3 yr Property'!D19+'Common AMA-7 yr Property '!D19</f>
        <v>306394.05174208339</v>
      </c>
      <c r="E16" s="49">
        <f>+'Common AMA-3 yr Property'!E19+'Common AMA-7 yr Property '!E19</f>
        <v>6436.8280834166662</v>
      </c>
      <c r="F16" s="50">
        <f t="shared" si="4"/>
        <v>-968161.74138558342</v>
      </c>
      <c r="G16" s="51">
        <f t="shared" si="0"/>
        <v>-20306.253858458331</v>
      </c>
      <c r="H16" s="48">
        <f t="shared" si="1"/>
        <v>189888.28861441661</v>
      </c>
      <c r="I16" s="49">
        <f t="shared" si="1"/>
        <v>1137743.7761415418</v>
      </c>
      <c r="J16" s="52">
        <f t="shared" si="2"/>
        <v>947855.48752712517</v>
      </c>
      <c r="K16" s="53">
        <f>+'Common AMA-3 yr Property'!K19+'Common AMA-7 yr Property '!K19</f>
        <v>-331749.42063449376</v>
      </c>
      <c r="L16" s="49">
        <f t="shared" si="3"/>
        <v>104985.02828053333</v>
      </c>
    </row>
    <row r="17" spans="1:20" outlineLevel="1" x14ac:dyDescent="0.25">
      <c r="A17" s="47">
        <v>42794</v>
      </c>
      <c r="B17" s="48">
        <f>+'Common AMA-3 yr Property'!B20+'Common AMA-7 yr Property '!B20</f>
        <v>1158050.03</v>
      </c>
      <c r="C17" s="49">
        <f>+'Common AMA-3 yr Property'!C20+'Common AMA-7 yr Property '!C20</f>
        <v>1158050.03</v>
      </c>
      <c r="D17" s="48">
        <f>+'Common AMA-3 yr Property'!D20+'Common AMA-7 yr Property '!D20</f>
        <v>306394.05174208339</v>
      </c>
      <c r="E17" s="49">
        <f>+'Common AMA-3 yr Property'!E20+'Common AMA-7 yr Property '!E20</f>
        <v>6436.8280834166662</v>
      </c>
      <c r="F17" s="50">
        <f t="shared" si="4"/>
        <v>-1274555.7931276667</v>
      </c>
      <c r="G17" s="51">
        <f t="shared" si="0"/>
        <v>-26743.081941874996</v>
      </c>
      <c r="H17" s="48">
        <f t="shared" si="1"/>
        <v>-116505.76312766667</v>
      </c>
      <c r="I17" s="49">
        <f t="shared" si="1"/>
        <v>1131306.9480581251</v>
      </c>
      <c r="J17" s="52">
        <f t="shared" si="2"/>
        <v>1247812.7111857918</v>
      </c>
      <c r="K17" s="53">
        <f>+'Common AMA-3 yr Property'!K20+'Common AMA-7 yr Property '!K20</f>
        <v>-436734.44891502708</v>
      </c>
      <c r="L17" s="49">
        <f t="shared" si="3"/>
        <v>104985.02828053333</v>
      </c>
    </row>
    <row r="18" spans="1:20" outlineLevel="1" x14ac:dyDescent="0.25">
      <c r="A18" s="47">
        <v>42825</v>
      </c>
      <c r="B18" s="48">
        <f>+'Common AMA-3 yr Property'!B21+'Common AMA-7 yr Property '!B21</f>
        <v>6854694.9000000004</v>
      </c>
      <c r="C18" s="49">
        <f>+'Common AMA-3 yr Property'!C21+'Common AMA-7 yr Property '!C21</f>
        <v>6854694.9000000004</v>
      </c>
      <c r="D18" s="48">
        <f>+'Common AMA-3 yr Property'!D21+'Common AMA-7 yr Property '!D21</f>
        <v>757950.85207541683</v>
      </c>
      <c r="E18" s="49">
        <f>+'Common AMA-3 yr Property'!E21+'Common AMA-7 yr Property '!E21</f>
        <v>48672.819980250002</v>
      </c>
      <c r="F18" s="50">
        <f t="shared" si="4"/>
        <v>-2032506.6452030835</v>
      </c>
      <c r="G18" s="51">
        <f t="shared" si="0"/>
        <v>-75415.901922124991</v>
      </c>
      <c r="H18" s="48">
        <f t="shared" si="1"/>
        <v>4822188.2547969166</v>
      </c>
      <c r="I18" s="49">
        <f t="shared" si="1"/>
        <v>6779278.998077875</v>
      </c>
      <c r="J18" s="52">
        <f t="shared" si="2"/>
        <v>1957090.7432809584</v>
      </c>
      <c r="K18" s="53">
        <f>+'Common AMA-3 yr Property'!K21+'Common AMA-7 yr Property '!K21</f>
        <v>-684981.76014833536</v>
      </c>
      <c r="L18" s="49">
        <f t="shared" si="3"/>
        <v>248247.31123330828</v>
      </c>
    </row>
    <row r="19" spans="1:20" outlineLevel="1" x14ac:dyDescent="0.25">
      <c r="A19" s="47">
        <v>42855</v>
      </c>
      <c r="B19" s="48">
        <f>+'Common AMA-3 yr Property'!B22+'Common AMA-7 yr Property '!B22</f>
        <v>6854694.9000000004</v>
      </c>
      <c r="C19" s="49">
        <f>+'Common AMA-3 yr Property'!C22+'Common AMA-7 yr Property '!C22</f>
        <v>6854694.9000000004</v>
      </c>
      <c r="D19" s="48">
        <f>+'Common AMA-3 yr Property'!D22+'Common AMA-7 yr Property '!D22</f>
        <v>757950.85207541683</v>
      </c>
      <c r="E19" s="49">
        <f>+'Common AMA-3 yr Property'!E22+'Common AMA-7 yr Property '!E22</f>
        <v>90908.781877083326</v>
      </c>
      <c r="F19" s="50">
        <f t="shared" si="4"/>
        <v>-2790457.4972785003</v>
      </c>
      <c r="G19" s="51">
        <f t="shared" si="0"/>
        <v>-166324.68379920832</v>
      </c>
      <c r="H19" s="48">
        <f t="shared" si="1"/>
        <v>4064237.4027215</v>
      </c>
      <c r="I19" s="49">
        <f t="shared" si="1"/>
        <v>6688370.2162007922</v>
      </c>
      <c r="J19" s="52">
        <f t="shared" si="2"/>
        <v>2624132.8134792922</v>
      </c>
      <c r="K19" s="53">
        <f>+'Common AMA-3 yr Property'!K22+'Common AMA-7 yr Property '!K22</f>
        <v>-918446.4847177522</v>
      </c>
      <c r="L19" s="49">
        <f t="shared" si="3"/>
        <v>233464.72456941684</v>
      </c>
    </row>
    <row r="20" spans="1:20" outlineLevel="1" x14ac:dyDescent="0.25">
      <c r="A20" s="47">
        <v>42886</v>
      </c>
      <c r="B20" s="48">
        <f>+'Common AMA-3 yr Property'!B23+'Common AMA-7 yr Property '!B23</f>
        <v>9386282.2100000009</v>
      </c>
      <c r="C20" s="49">
        <f>+'Common AMA-3 yr Property'!C23+'Common AMA-7 yr Property '!C23</f>
        <v>9386282.2100000009</v>
      </c>
      <c r="D20" s="48">
        <f>+'Common AMA-3 yr Property'!D23+'Common AMA-7 yr Property '!D23</f>
        <v>757950.85207541683</v>
      </c>
      <c r="E20" s="49">
        <f>+'Common AMA-3 yr Property'!E23+'Common AMA-7 yr Property '!E23</f>
        <v>98594.424257041668</v>
      </c>
      <c r="F20" s="50">
        <f t="shared" si="4"/>
        <v>-3548408.3493539169</v>
      </c>
      <c r="G20" s="51">
        <f t="shared" si="0"/>
        <v>-264919.10805624997</v>
      </c>
      <c r="H20" s="48">
        <f t="shared" si="1"/>
        <v>5837873.860646084</v>
      </c>
      <c r="I20" s="49">
        <f t="shared" si="1"/>
        <v>9121363.1019437518</v>
      </c>
      <c r="J20" s="52">
        <f t="shared" si="2"/>
        <v>3283489.2412976678</v>
      </c>
      <c r="K20" s="53">
        <f>+'Common AMA-3 yr Property'!K23+'Common AMA-7 yr Property '!K23</f>
        <v>-1149221.2344541834</v>
      </c>
      <c r="L20" s="49">
        <f t="shared" si="3"/>
        <v>230774.74973643117</v>
      </c>
    </row>
    <row r="21" spans="1:20" outlineLevel="1" x14ac:dyDescent="0.25">
      <c r="A21" s="47">
        <v>42916</v>
      </c>
      <c r="B21" s="48">
        <f>+'Common AMA-3 yr Property'!B24+'Common AMA-7 yr Property '!B24</f>
        <v>9386282.2100000009</v>
      </c>
      <c r="C21" s="49">
        <f>+'Common AMA-3 yr Property'!C24+'Common AMA-7 yr Property '!C24</f>
        <v>9386282.2100000009</v>
      </c>
      <c r="D21" s="48">
        <f>+'Common AMA-3 yr Property'!D24+'Common AMA-7 yr Property '!D24</f>
        <v>757950.85207541683</v>
      </c>
      <c r="E21" s="49">
        <f>+'Common AMA-3 yr Property'!E24+'Common AMA-7 yr Property '!E24</f>
        <v>106280.01663699999</v>
      </c>
      <c r="F21" s="50">
        <f t="shared" si="4"/>
        <v>-4306359.2014293335</v>
      </c>
      <c r="G21" s="51">
        <f t="shared" si="0"/>
        <v>-371199.12469324993</v>
      </c>
      <c r="H21" s="48">
        <f t="shared" si="1"/>
        <v>5079923.0085706674</v>
      </c>
      <c r="I21" s="49">
        <f t="shared" si="1"/>
        <v>9015083.0853067506</v>
      </c>
      <c r="J21" s="52">
        <f t="shared" si="2"/>
        <v>3935160.0767360833</v>
      </c>
      <c r="K21" s="53">
        <f>+'Common AMA-3 yr Property'!K24+'Common AMA-7 yr Property '!K24</f>
        <v>-1377306.0268576292</v>
      </c>
      <c r="L21" s="49">
        <f t="shared" si="3"/>
        <v>228084.79240344581</v>
      </c>
    </row>
    <row r="22" spans="1:20" x14ac:dyDescent="0.25">
      <c r="A22" s="47">
        <v>42947</v>
      </c>
      <c r="B22" s="48">
        <f>+'Common AMA-3 yr Property'!B25+'Common AMA-7 yr Property '!B25</f>
        <v>9386282.2100000009</v>
      </c>
      <c r="C22" s="49">
        <f>+'Common AMA-3 yr Property'!C25+'Common AMA-7 yr Property '!C25</f>
        <v>9386282.2100000009</v>
      </c>
      <c r="D22" s="48">
        <f>+'Common AMA-3 yr Property'!D25+'Common AMA-7 yr Property '!D25</f>
        <v>757950.85207541683</v>
      </c>
      <c r="E22" s="49">
        <f>+'Common AMA-3 yr Property'!E25+'Common AMA-7 yr Property '!E25</f>
        <v>106280.05663699999</v>
      </c>
      <c r="F22" s="50">
        <f t="shared" si="4"/>
        <v>-5064310.0535047501</v>
      </c>
      <c r="G22" s="51">
        <f t="shared" si="0"/>
        <v>-477479.18133024994</v>
      </c>
      <c r="H22" s="48">
        <f t="shared" si="1"/>
        <v>4321972.1564952508</v>
      </c>
      <c r="I22" s="49">
        <f t="shared" si="1"/>
        <v>8908803.0286697503</v>
      </c>
      <c r="J22" s="52">
        <f t="shared" si="2"/>
        <v>4586830.8721744996</v>
      </c>
      <c r="K22" s="53">
        <f>+'Common AMA-3 yr Property'!K25+'Common AMA-7 yr Property '!K25</f>
        <v>-1605390.8052610753</v>
      </c>
      <c r="L22" s="49">
        <f t="shared" si="3"/>
        <v>228084.77840344608</v>
      </c>
    </row>
    <row r="23" spans="1:20" x14ac:dyDescent="0.25">
      <c r="A23" s="47">
        <v>42978</v>
      </c>
      <c r="B23" s="48">
        <f>+'Common AMA-3 yr Property'!B26+'Common AMA-7 yr Property '!B26</f>
        <v>9386282.2100000009</v>
      </c>
      <c r="C23" s="49">
        <f>+'Common AMA-3 yr Property'!C26+'Common AMA-7 yr Property '!C26</f>
        <v>9386282.2100000009</v>
      </c>
      <c r="D23" s="48">
        <f>+'Common AMA-3 yr Property'!D26+'Common AMA-7 yr Property '!D26</f>
        <v>757950.85207541683</v>
      </c>
      <c r="E23" s="49">
        <f>+'Common AMA-3 yr Property'!E26+'Common AMA-7 yr Property '!E26</f>
        <v>106280.036637</v>
      </c>
      <c r="F23" s="50">
        <f t="shared" si="4"/>
        <v>-5822260.9055801667</v>
      </c>
      <c r="G23" s="51">
        <f t="shared" si="0"/>
        <v>-583759.21796724992</v>
      </c>
      <c r="H23" s="48">
        <f t="shared" si="1"/>
        <v>3564021.3044198342</v>
      </c>
      <c r="I23" s="49">
        <f t="shared" si="1"/>
        <v>8802522.9920327514</v>
      </c>
      <c r="J23" s="52">
        <f t="shared" si="2"/>
        <v>5238501.6876129173</v>
      </c>
      <c r="K23" s="53">
        <f>+'Common AMA-3 yr Property'!K26+'Common AMA-7 yr Property '!K26</f>
        <v>-1833475.5906645209</v>
      </c>
      <c r="L23" s="49">
        <f t="shared" si="3"/>
        <v>228084.7854034456</v>
      </c>
    </row>
    <row r="24" spans="1:20" ht="14.4" x14ac:dyDescent="0.3">
      <c r="A24" s="47">
        <v>43008</v>
      </c>
      <c r="B24" s="48">
        <f>+'Common AMA-3 yr Property'!B27+'Common AMA-7 yr Property '!B27</f>
        <v>10791216.91</v>
      </c>
      <c r="C24" s="49">
        <f>+'Common AMA-3 yr Property'!C27+'Common AMA-7 yr Property '!C27</f>
        <v>10791216.91</v>
      </c>
      <c r="D24" s="48">
        <f>+'Common AMA-3 yr Property'!D27+'Common AMA-7 yr Property '!D27</f>
        <v>757950.85207541683</v>
      </c>
      <c r="E24" s="49">
        <f>+'Common AMA-3 yr Property'!E27+'Common AMA-7 yr Property '!E27</f>
        <v>110184.56432408333</v>
      </c>
      <c r="F24" s="50">
        <f t="shared" si="4"/>
        <v>-6580211.7576555833</v>
      </c>
      <c r="G24" s="51">
        <f t="shared" si="0"/>
        <v>-693943.78229133319</v>
      </c>
      <c r="H24" s="48">
        <f t="shared" si="1"/>
        <v>4211005.1523444168</v>
      </c>
      <c r="I24" s="49">
        <f t="shared" si="1"/>
        <v>10097273.127708666</v>
      </c>
      <c r="J24" s="52">
        <f t="shared" si="2"/>
        <v>5886267.9753642492</v>
      </c>
      <c r="K24" s="53">
        <f>+'Common AMA-3 yr Property'!K27+'Common AMA-7 yr Property '!K27</f>
        <v>-2060193.7913774871</v>
      </c>
      <c r="L24" s="49">
        <f t="shared" si="3"/>
        <v>226718.20071296627</v>
      </c>
      <c r="M24" s="6"/>
      <c r="N24" s="54"/>
      <c r="O24" s="54"/>
      <c r="P24" s="54"/>
      <c r="Q24" s="54"/>
      <c r="R24" s="54"/>
      <c r="S24" s="54"/>
      <c r="T24" s="54"/>
    </row>
    <row r="25" spans="1:20" ht="14.4" x14ac:dyDescent="0.3">
      <c r="A25" s="47">
        <v>43039</v>
      </c>
      <c r="B25" s="48">
        <f>+'Common AMA-3 yr Property'!B28+'Common AMA-7 yr Property '!B28</f>
        <v>10946962.350000001</v>
      </c>
      <c r="C25" s="49">
        <f>+'Common AMA-3 yr Property'!C28+'Common AMA-7 yr Property '!C28</f>
        <v>10946962.350000001</v>
      </c>
      <c r="D25" s="48">
        <f>+'Common AMA-3 yr Property'!D28+'Common AMA-7 yr Property '!D28</f>
        <v>757950.85207541683</v>
      </c>
      <c r="E25" s="49">
        <f>+'Common AMA-3 yr Property'!E28+'Common AMA-7 yr Property '!E28</f>
        <v>114521.9745465</v>
      </c>
      <c r="F25" s="50">
        <f t="shared" si="4"/>
        <v>-7338162.6097309999</v>
      </c>
      <c r="G25" s="51">
        <f t="shared" si="0"/>
        <v>-808465.75683783321</v>
      </c>
      <c r="H25" s="48">
        <f t="shared" si="1"/>
        <v>3608799.7402690016</v>
      </c>
      <c r="I25" s="49">
        <f t="shared" si="1"/>
        <v>10138496.593162168</v>
      </c>
      <c r="J25" s="52">
        <f t="shared" si="2"/>
        <v>6529696.8528931662</v>
      </c>
      <c r="K25" s="53">
        <f>+'Common AMA-3 yr Property'!K28+'Common AMA-7 yr Property '!K28</f>
        <v>-2285393.8985126084</v>
      </c>
      <c r="L25" s="49">
        <f t="shared" si="3"/>
        <v>225200.10713512124</v>
      </c>
      <c r="M25" s="6"/>
      <c r="N25" s="54"/>
      <c r="O25" s="54"/>
      <c r="P25" s="54"/>
      <c r="Q25" s="54"/>
      <c r="R25" s="54"/>
      <c r="S25" s="54"/>
      <c r="T25" s="54"/>
    </row>
    <row r="26" spans="1:20" ht="14.4" x14ac:dyDescent="0.3">
      <c r="A26" s="47">
        <v>43069</v>
      </c>
      <c r="B26" s="48">
        <f>+'Common AMA-3 yr Property'!B29+'Common AMA-7 yr Property '!B29</f>
        <v>12212278.720000003</v>
      </c>
      <c r="C26" s="49">
        <f>+'Common AMA-3 yr Property'!C29+'Common AMA-7 yr Property '!C29</f>
        <v>12212278.720000003</v>
      </c>
      <c r="D26" s="48">
        <f>+'Common AMA-3 yr Property'!D29+'Common AMA-7 yr Property '!D29</f>
        <v>757950.85207541683</v>
      </c>
      <c r="E26" s="49">
        <f>+'Common AMA-3 yr Property'!E29+'Common AMA-7 yr Property '!E29</f>
        <v>118471.342160125</v>
      </c>
      <c r="F26" s="50">
        <f t="shared" si="4"/>
        <v>-8096113.4618064165</v>
      </c>
      <c r="G26" s="51">
        <f t="shared" si="0"/>
        <v>-926937.09899795824</v>
      </c>
      <c r="H26" s="48">
        <f t="shared" si="1"/>
        <v>4116165.258193586</v>
      </c>
      <c r="I26" s="49">
        <f t="shared" si="1"/>
        <v>11285341.621002045</v>
      </c>
      <c r="J26" s="52">
        <f t="shared" si="2"/>
        <v>7169176.3628084585</v>
      </c>
      <c r="K26" s="53">
        <f>+'Common AMA-3 yr Property'!K29+'Common AMA-7 yr Property '!K29</f>
        <v>-2509211.7269829605</v>
      </c>
      <c r="L26" s="49">
        <f t="shared" si="3"/>
        <v>223817.82847035211</v>
      </c>
      <c r="M26" s="6"/>
      <c r="N26" s="54"/>
      <c r="O26" s="54"/>
      <c r="P26" s="54"/>
      <c r="Q26" s="54"/>
      <c r="R26" s="54"/>
      <c r="S26" s="54"/>
      <c r="T26" s="54"/>
    </row>
    <row r="27" spans="1:20" ht="14.4" x14ac:dyDescent="0.3">
      <c r="A27" s="47">
        <v>43100</v>
      </c>
      <c r="B27" s="48">
        <f>+'Common AMA-3 yr Property'!B30+'Common AMA-7 yr Property '!B30</f>
        <v>15084911.220000003</v>
      </c>
      <c r="C27" s="49">
        <f>+'Common AMA-3 yr Property'!C30+'Common AMA-7 yr Property '!C30</f>
        <v>15084911.220000003</v>
      </c>
      <c r="D27" s="48">
        <f>+'Common AMA-3 yr Property'!D30+'Common AMA-7 yr Property '!D30</f>
        <v>757950.85207541683</v>
      </c>
      <c r="E27" s="49">
        <f>+'Common AMA-3 yr Property'!E30+'Common AMA-7 yr Property '!E30</f>
        <v>143866.45992129168</v>
      </c>
      <c r="F27" s="50">
        <f t="shared" si="4"/>
        <v>-8854064.3138818331</v>
      </c>
      <c r="G27" s="51">
        <f t="shared" si="0"/>
        <v>-1070803.55891925</v>
      </c>
      <c r="H27" s="48">
        <f t="shared" si="1"/>
        <v>6230846.9061181694</v>
      </c>
      <c r="I27" s="49">
        <f t="shared" si="1"/>
        <v>14014107.661080752</v>
      </c>
      <c r="J27" s="52">
        <f t="shared" si="2"/>
        <v>7783260.7549625821</v>
      </c>
      <c r="K27" s="53">
        <f>+'Common AMA-3 yr Property'!K30+'Common AMA-7 yr Property '!K30</f>
        <v>-2724141.2642369047</v>
      </c>
      <c r="L27" s="49">
        <f t="shared" si="3"/>
        <v>214929.5372539442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43131</v>
      </c>
      <c r="B28" s="48">
        <f>+'Common AMA-3 yr Property'!B31+'Common AMA-7 yr Property '!B31</f>
        <v>18556433.940000001</v>
      </c>
      <c r="C28" s="49">
        <f>+'Common AMA-3 yr Property'!C31+'Common AMA-7 yr Property '!C31</f>
        <v>18556433.940000001</v>
      </c>
      <c r="D28" s="48">
        <f>+'Common AMA-3 yr Property'!D31+'Common AMA-7 yr Property '!D31</f>
        <v>553666.48678111099</v>
      </c>
      <c r="E28" s="49">
        <f>+'Common AMA-3 yr Property'!E31+'Common AMA-7 yr Property '!E31</f>
        <v>173450.32283016667</v>
      </c>
      <c r="F28" s="50">
        <f t="shared" si="4"/>
        <v>-9407730.8006629441</v>
      </c>
      <c r="G28" s="51">
        <f t="shared" si="0"/>
        <v>-1244253.8817494167</v>
      </c>
      <c r="H28" s="48">
        <f t="shared" si="1"/>
        <v>9148703.1393370572</v>
      </c>
      <c r="I28" s="49">
        <f t="shared" si="1"/>
        <v>17312180.058250584</v>
      </c>
      <c r="J28" s="52">
        <f t="shared" si="2"/>
        <v>8163476.9189135265</v>
      </c>
      <c r="K28" s="53">
        <f>+'Common AMA-3 yr Property'!K31+'Common AMA-7 yr Property '!K31</f>
        <v>-2803986.6586666023</v>
      </c>
      <c r="L28" s="49">
        <f t="shared" si="3"/>
        <v>79845.394429697655</v>
      </c>
      <c r="M28" s="6"/>
      <c r="N28" s="54"/>
      <c r="O28" s="54"/>
      <c r="P28" s="54"/>
      <c r="Q28" s="54"/>
      <c r="R28" s="54"/>
      <c r="S28" s="54"/>
      <c r="T28" s="54"/>
    </row>
    <row r="29" spans="1:20" x14ac:dyDescent="0.25">
      <c r="A29" s="47">
        <v>43159</v>
      </c>
      <c r="B29" s="48">
        <f>+'Common AMA-3 yr Property'!B32+'Common AMA-7 yr Property '!B32</f>
        <v>21962224.609999999</v>
      </c>
      <c r="C29" s="49">
        <f>+'Common AMA-3 yr Property'!C32+'Common AMA-7 yr Property '!C32</f>
        <v>21962224.609999999</v>
      </c>
      <c r="D29" s="48">
        <f>+'Common AMA-3 yr Property'!D32+'Common AMA-7 yr Property '!D32</f>
        <v>553666.48678111099</v>
      </c>
      <c r="E29" s="49">
        <f>+'Common AMA-3 yr Property'!E32+'Common AMA-7 yr Property '!E32</f>
        <v>192563.552959875</v>
      </c>
      <c r="F29" s="50">
        <f t="shared" si="4"/>
        <v>-9961397.2874440551</v>
      </c>
      <c r="G29" s="51">
        <f t="shared" si="4"/>
        <v>-1436817.4347092917</v>
      </c>
      <c r="H29" s="48">
        <f t="shared" ref="H29:I44" si="5">B29+F29</f>
        <v>12000827.322555944</v>
      </c>
      <c r="I29" s="49">
        <f t="shared" si="5"/>
        <v>20525407.175290707</v>
      </c>
      <c r="J29" s="52">
        <f t="shared" si="2"/>
        <v>8524579.8527347632</v>
      </c>
      <c r="K29" s="53">
        <f>+'Common AMA-3 yr Property'!K32+'Common AMA-7 yr Property '!K32</f>
        <v>-2879818.2747690622</v>
      </c>
      <c r="L29" s="49">
        <f t="shared" si="3"/>
        <v>75831.61610245984</v>
      </c>
      <c r="M29" s="55"/>
      <c r="N29" s="54"/>
      <c r="O29" s="54"/>
      <c r="P29" s="54"/>
      <c r="Q29" s="54"/>
      <c r="R29" s="54"/>
      <c r="S29" s="54"/>
      <c r="T29" s="54"/>
    </row>
    <row r="30" spans="1:20" x14ac:dyDescent="0.25">
      <c r="A30" s="47">
        <v>43190</v>
      </c>
      <c r="B30" s="48">
        <f>+'Common AMA-3 yr Property'!B33+'Common AMA-7 yr Property '!B33</f>
        <v>21962224.609999999</v>
      </c>
      <c r="C30" s="49">
        <f>+'Common AMA-3 yr Property'!C33+'Common AMA-7 yr Property '!C33</f>
        <v>21962224.609999999</v>
      </c>
      <c r="D30" s="48">
        <f>+'Common AMA-3 yr Property'!D33+'Common AMA-7 yr Property '!D33</f>
        <v>553666.48678111099</v>
      </c>
      <c r="E30" s="49">
        <f>+'Common AMA-3 yr Property'!E33+'Common AMA-7 yr Property '!E33</f>
        <v>202028.80286358332</v>
      </c>
      <c r="F30" s="50">
        <f t="shared" ref="F30:G45" si="6">+F29-D30</f>
        <v>-10515063.774225166</v>
      </c>
      <c r="G30" s="51">
        <f t="shared" si="6"/>
        <v>-1638846.2375728749</v>
      </c>
      <c r="H30" s="48">
        <f t="shared" si="5"/>
        <v>11447160.835774833</v>
      </c>
      <c r="I30" s="49">
        <f t="shared" si="5"/>
        <v>20323378.372427125</v>
      </c>
      <c r="J30" s="52">
        <f t="shared" si="2"/>
        <v>8876217.5366522912</v>
      </c>
      <c r="K30" s="53">
        <f>+'Common AMA-3 yr Property'!K33+'Common AMA-7 yr Property '!K33</f>
        <v>-2953662.1883917428</v>
      </c>
      <c r="L30" s="49">
        <f t="shared" si="3"/>
        <v>73843.913622680586</v>
      </c>
      <c r="M30" s="55"/>
      <c r="N30" s="54"/>
      <c r="O30" s="54"/>
      <c r="P30" s="54"/>
      <c r="Q30" s="54"/>
      <c r="R30" s="54"/>
      <c r="S30" s="54"/>
      <c r="T30" s="54"/>
    </row>
    <row r="31" spans="1:20" x14ac:dyDescent="0.25">
      <c r="A31" s="47">
        <v>43220</v>
      </c>
      <c r="B31" s="48">
        <f>+'Common AMA-3 yr Property'!B34+'Common AMA-7 yr Property '!B34</f>
        <v>22447002.050000001</v>
      </c>
      <c r="C31" s="49">
        <f>+'Common AMA-3 yr Property'!C34+'Common AMA-7 yr Property '!C34</f>
        <v>22447002.050000001</v>
      </c>
      <c r="D31" s="48">
        <f>+'Common AMA-3 yr Property'!D34+'Common AMA-7 yr Property '!D34</f>
        <v>553666.48678111099</v>
      </c>
      <c r="E31" s="49">
        <f>+'Common AMA-3 yr Property'!E34+'Common AMA-7 yr Property '!E34</f>
        <v>203376.08016558335</v>
      </c>
      <c r="F31" s="50">
        <f t="shared" si="6"/>
        <v>-11068730.261006277</v>
      </c>
      <c r="G31" s="51">
        <f t="shared" si="6"/>
        <v>-1842222.3177384583</v>
      </c>
      <c r="H31" s="48">
        <f t="shared" si="5"/>
        <v>11378271.788993724</v>
      </c>
      <c r="I31" s="49">
        <f t="shared" si="5"/>
        <v>20604779.732261542</v>
      </c>
      <c r="J31" s="52">
        <f t="shared" si="2"/>
        <v>9226507.9432678185</v>
      </c>
      <c r="K31" s="53">
        <f>+'Common AMA-3 yr Property'!K34+'Common AMA-7 yr Property '!K34</f>
        <v>-3027223.1737810038</v>
      </c>
      <c r="L31" s="49">
        <f t="shared" si="3"/>
        <v>73560.985389261041</v>
      </c>
      <c r="M31" s="55"/>
      <c r="N31" s="56"/>
      <c r="O31" s="54"/>
      <c r="P31" s="54"/>
      <c r="Q31" s="54"/>
      <c r="R31" s="54"/>
      <c r="S31" s="54"/>
      <c r="T31" s="54"/>
    </row>
    <row r="32" spans="1:20" x14ac:dyDescent="0.25">
      <c r="A32" s="47">
        <v>43251</v>
      </c>
      <c r="B32" s="48">
        <f>+'Common AMA-3 yr Property'!B35+'Common AMA-7 yr Property '!B35</f>
        <v>22529179.57</v>
      </c>
      <c r="C32" s="49">
        <f>+'Common AMA-3 yr Property'!C35+'Common AMA-7 yr Property '!C35</f>
        <v>22529179.57</v>
      </c>
      <c r="D32" s="48">
        <f>+'Common AMA-3 yr Property'!D35+'Common AMA-7 yr Property '!D35</f>
        <v>553666.48678111099</v>
      </c>
      <c r="E32" s="49">
        <f>+'Common AMA-3 yr Property'!E35+'Common AMA-7 yr Property '!E35</f>
        <v>170425.5736504583</v>
      </c>
      <c r="F32" s="50">
        <f t="shared" si="6"/>
        <v>-11622396.747787388</v>
      </c>
      <c r="G32" s="51">
        <f t="shared" si="6"/>
        <v>-2012647.8913889166</v>
      </c>
      <c r="H32" s="48">
        <f t="shared" si="5"/>
        <v>10906782.822212612</v>
      </c>
      <c r="I32" s="49">
        <f t="shared" si="5"/>
        <v>20516531.678611085</v>
      </c>
      <c r="J32" s="52">
        <f t="shared" si="2"/>
        <v>9609748.8563984726</v>
      </c>
      <c r="K32" s="53">
        <f>+'Common AMA-3 yr Property'!K35+'Common AMA-7 yr Property '!K35</f>
        <v>-3107703.7655384406</v>
      </c>
      <c r="L32" s="49">
        <f t="shared" si="3"/>
        <v>80480.591757436749</v>
      </c>
      <c r="M32" s="55"/>
      <c r="N32" s="54"/>
      <c r="O32" s="54"/>
      <c r="P32" s="54"/>
      <c r="Q32" s="54"/>
      <c r="R32" s="54"/>
      <c r="S32" s="54"/>
      <c r="T32" s="54"/>
    </row>
    <row r="33" spans="1:20" ht="13.8" thickBot="1" x14ac:dyDescent="0.3">
      <c r="A33" s="133">
        <v>43281</v>
      </c>
      <c r="B33" s="134">
        <f>+'Common AMA-3 yr Property'!B36+'Common AMA-7 yr Property '!B36</f>
        <v>43117076.839999996</v>
      </c>
      <c r="C33" s="135">
        <f>+'Common AMA-3 yr Property'!C36+'Common AMA-7 yr Property '!C36</f>
        <v>43117076.839999996</v>
      </c>
      <c r="D33" s="134">
        <f>+'Common AMA-3 yr Property'!D36+'Common AMA-7 yr Property '!D36</f>
        <v>553666.48678111099</v>
      </c>
      <c r="E33" s="135">
        <f>+'Common AMA-3 yr Property'!E36+'Common AMA-7 yr Property '!E36</f>
        <v>471116.86983333336</v>
      </c>
      <c r="F33" s="136">
        <f t="shared" si="6"/>
        <v>-12176063.234568499</v>
      </c>
      <c r="G33" s="137">
        <f t="shared" si="6"/>
        <v>-2483764.7612222498</v>
      </c>
      <c r="H33" s="134">
        <f t="shared" si="5"/>
        <v>30941013.605431497</v>
      </c>
      <c r="I33" s="135">
        <f t="shared" si="5"/>
        <v>40633312.078777745</v>
      </c>
      <c r="J33" s="138">
        <f t="shared" si="2"/>
        <v>9692298.4733462483</v>
      </c>
      <c r="K33" s="139">
        <f>+'Common AMA-3 yr Property'!K36+'Common AMA-7 yr Property '!K36</f>
        <v>-3125039.1850974746</v>
      </c>
      <c r="L33" s="135">
        <f t="shared" si="3"/>
        <v>17335.419559034053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43312</v>
      </c>
      <c r="B34" s="48">
        <f>+'Common AMA-3 yr Property'!B37+'Common AMA-7 yr Property '!B37</f>
        <v>43117076.839999996</v>
      </c>
      <c r="C34" s="49">
        <f>+'Common AMA-3 yr Property'!C37+'Common AMA-7 yr Property '!C37</f>
        <v>43117076.839999996</v>
      </c>
      <c r="D34" s="48">
        <f>+'Common AMA-3 yr Property'!D37+'Common AMA-7 yr Property '!D37</f>
        <v>553666.48678111099</v>
      </c>
      <c r="E34" s="49">
        <f>+'Common AMA-3 yr Property'!E37+'Common AMA-7 yr Property '!E37</f>
        <v>471116.86983333336</v>
      </c>
      <c r="F34" s="50">
        <f t="shared" si="6"/>
        <v>-12729729.72134961</v>
      </c>
      <c r="G34" s="51">
        <f t="shared" si="6"/>
        <v>-2954881.6310555832</v>
      </c>
      <c r="H34" s="48">
        <f t="shared" si="5"/>
        <v>30387347.118650384</v>
      </c>
      <c r="I34" s="49">
        <f t="shared" si="5"/>
        <v>40162195.20894441</v>
      </c>
      <c r="J34" s="52">
        <f t="shared" si="2"/>
        <v>9774848.0902940258</v>
      </c>
      <c r="K34" s="53">
        <f>+'Common AMA-3 yr Property'!K37+'Common AMA-7 yr Property '!K37</f>
        <v>-3142374.6046565073</v>
      </c>
      <c r="L34" s="49">
        <f t="shared" si="3"/>
        <v>17335.419559032656</v>
      </c>
      <c r="M34" s="55"/>
      <c r="N34" s="54"/>
      <c r="O34" s="54"/>
      <c r="P34" s="54"/>
      <c r="Q34" s="54"/>
      <c r="R34" s="54"/>
      <c r="S34" s="54"/>
      <c r="T34" s="54"/>
    </row>
    <row r="35" spans="1:20" x14ac:dyDescent="0.25">
      <c r="A35" s="47">
        <v>43343</v>
      </c>
      <c r="B35" s="48">
        <f>+'Common AMA-3 yr Property'!B38+'Common AMA-7 yr Property '!B38</f>
        <v>43117076.839999996</v>
      </c>
      <c r="C35" s="49">
        <f>+'Common AMA-3 yr Property'!C38+'Common AMA-7 yr Property '!C38</f>
        <v>43117076.839999996</v>
      </c>
      <c r="D35" s="48">
        <f>+'Common AMA-3 yr Property'!D38+'Common AMA-7 yr Property '!D38</f>
        <v>553666.48678111099</v>
      </c>
      <c r="E35" s="49">
        <f>+'Common AMA-3 yr Property'!E38+'Common AMA-7 yr Property '!E38</f>
        <v>471116.86983333336</v>
      </c>
      <c r="F35" s="50">
        <f t="shared" si="6"/>
        <v>-13283396.208130721</v>
      </c>
      <c r="G35" s="51">
        <f t="shared" si="6"/>
        <v>-3425998.5008889167</v>
      </c>
      <c r="H35" s="48">
        <f t="shared" si="5"/>
        <v>29833680.631869275</v>
      </c>
      <c r="I35" s="49">
        <f t="shared" si="5"/>
        <v>39691078.339111082</v>
      </c>
      <c r="J35" s="52">
        <f t="shared" si="2"/>
        <v>9857397.7072418071</v>
      </c>
      <c r="K35" s="53">
        <f>+'Common AMA-3 yr Property'!K38+'Common AMA-7 yr Property '!K38</f>
        <v>-3159710.0242155408</v>
      </c>
      <c r="L35" s="49">
        <f t="shared" si="3"/>
        <v>17335.419559033588</v>
      </c>
      <c r="M35" s="55"/>
      <c r="N35" s="54"/>
      <c r="O35" s="54"/>
      <c r="P35" s="54"/>
      <c r="Q35" s="54"/>
      <c r="R35" s="54"/>
      <c r="S35" s="54"/>
      <c r="T35" s="54"/>
    </row>
    <row r="36" spans="1:20" x14ac:dyDescent="0.25">
      <c r="A36" s="47">
        <v>43373</v>
      </c>
      <c r="B36" s="48">
        <f>+'Common AMA-3 yr Property'!B39+'Common AMA-7 yr Property '!B39</f>
        <v>43117076.839999996</v>
      </c>
      <c r="C36" s="49">
        <f>+'Common AMA-3 yr Property'!C39+'Common AMA-7 yr Property '!C39</f>
        <v>43117076.839999996</v>
      </c>
      <c r="D36" s="48">
        <f>+'Common AMA-3 yr Property'!D39+'Common AMA-7 yr Property '!D39</f>
        <v>553666.48678111099</v>
      </c>
      <c r="E36" s="49">
        <f>+'Common AMA-3 yr Property'!E39+'Common AMA-7 yr Property '!E39</f>
        <v>471116.86983333336</v>
      </c>
      <c r="F36" s="50">
        <f t="shared" si="6"/>
        <v>-13837062.694911832</v>
      </c>
      <c r="G36" s="51">
        <f t="shared" si="6"/>
        <v>-3897115.3707222501</v>
      </c>
      <c r="H36" s="48">
        <f t="shared" si="5"/>
        <v>29280014.145088166</v>
      </c>
      <c r="I36" s="49">
        <f t="shared" si="5"/>
        <v>39219961.469277747</v>
      </c>
      <c r="J36" s="52">
        <f t="shared" si="2"/>
        <v>9939947.324189581</v>
      </c>
      <c r="K36" s="53">
        <f>+'Common AMA-3 yr Property'!K39+'Common AMA-7 yr Property '!K39</f>
        <v>-3177045.4437745744</v>
      </c>
      <c r="L36" s="49">
        <f t="shared" si="3"/>
        <v>17335.419559033588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43404</v>
      </c>
      <c r="B37" s="48">
        <f>+'Common AMA-3 yr Property'!B40+'Common AMA-7 yr Property '!B40</f>
        <v>43117076.839999996</v>
      </c>
      <c r="C37" s="49">
        <f>+'Common AMA-3 yr Property'!C40+'Common AMA-7 yr Property '!C40</f>
        <v>43117076.839999996</v>
      </c>
      <c r="D37" s="48">
        <f>+'Common AMA-3 yr Property'!D40+'Common AMA-7 yr Property '!D40</f>
        <v>553666.48678111099</v>
      </c>
      <c r="E37" s="49">
        <f>+'Common AMA-3 yr Property'!E40+'Common AMA-7 yr Property '!E40</f>
        <v>471116.86983333336</v>
      </c>
      <c r="F37" s="50">
        <f t="shared" si="6"/>
        <v>-14390729.181692943</v>
      </c>
      <c r="G37" s="51">
        <f t="shared" si="6"/>
        <v>-4368232.2405555835</v>
      </c>
      <c r="H37" s="48">
        <f t="shared" si="5"/>
        <v>28726347.658307053</v>
      </c>
      <c r="I37" s="49">
        <f t="shared" si="5"/>
        <v>38748844.599444412</v>
      </c>
      <c r="J37" s="52">
        <f t="shared" si="2"/>
        <v>10022496.941137359</v>
      </c>
      <c r="K37" s="53">
        <f>+'Common AMA-3 yr Property'!K40+'Common AMA-7 yr Property '!K40</f>
        <v>-3194380.8633336071</v>
      </c>
      <c r="L37" s="49">
        <f t="shared" si="3"/>
        <v>17335.419559032656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43434</v>
      </c>
      <c r="B38" s="48">
        <f>+'Common AMA-3 yr Property'!B41+'Common AMA-7 yr Property '!B41</f>
        <v>43117076.839999996</v>
      </c>
      <c r="C38" s="49">
        <f>+'Common AMA-3 yr Property'!C41+'Common AMA-7 yr Property '!C41</f>
        <v>43117076.839999996</v>
      </c>
      <c r="D38" s="48">
        <f>+'Common AMA-3 yr Property'!D41+'Common AMA-7 yr Property '!D41</f>
        <v>553666.48678111099</v>
      </c>
      <c r="E38" s="49">
        <f>+'Common AMA-3 yr Property'!E41+'Common AMA-7 yr Property '!E41</f>
        <v>471116.86983333336</v>
      </c>
      <c r="F38" s="50">
        <f t="shared" si="6"/>
        <v>-14944395.668474054</v>
      </c>
      <c r="G38" s="51">
        <f t="shared" si="6"/>
        <v>-4839349.1103889169</v>
      </c>
      <c r="H38" s="48">
        <f t="shared" si="5"/>
        <v>28172681.17152594</v>
      </c>
      <c r="I38" s="49">
        <f t="shared" si="5"/>
        <v>38277727.729611076</v>
      </c>
      <c r="J38" s="52">
        <f t="shared" si="2"/>
        <v>10105046.558085136</v>
      </c>
      <c r="K38" s="53">
        <f>+'Common AMA-3 yr Property'!K41+'Common AMA-7 yr Property '!K41</f>
        <v>-3211716.2828926411</v>
      </c>
      <c r="L38" s="49">
        <f t="shared" si="3"/>
        <v>17335.419559034053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43465</v>
      </c>
      <c r="B39" s="48">
        <f>+'Common AMA-3 yr Property'!B42+'Common AMA-7 yr Property '!B42</f>
        <v>43117076.839999996</v>
      </c>
      <c r="C39" s="49">
        <f>+'Common AMA-3 yr Property'!C42+'Common AMA-7 yr Property '!C42</f>
        <v>43117076.839999996</v>
      </c>
      <c r="D39" s="48">
        <f>+'Common AMA-3 yr Property'!D42+'Common AMA-7 yr Property '!D42</f>
        <v>553666.48678111099</v>
      </c>
      <c r="E39" s="49">
        <f>+'Common AMA-3 yr Property'!E42+'Common AMA-7 yr Property '!E42</f>
        <v>471116.86983333336</v>
      </c>
      <c r="F39" s="50">
        <f t="shared" si="6"/>
        <v>-15498062.155255165</v>
      </c>
      <c r="G39" s="51">
        <f t="shared" si="6"/>
        <v>-5310465.9802222503</v>
      </c>
      <c r="H39" s="48">
        <f t="shared" si="5"/>
        <v>27619014.684744831</v>
      </c>
      <c r="I39" s="49">
        <f t="shared" si="5"/>
        <v>37806610.859777749</v>
      </c>
      <c r="J39" s="52">
        <f t="shared" si="2"/>
        <v>10187596.175032917</v>
      </c>
      <c r="K39" s="53">
        <f>+'Common AMA-3 yr Property'!K42+'Common AMA-7 yr Property '!K42</f>
        <v>-3229051.7024516733</v>
      </c>
      <c r="L39" s="49">
        <f t="shared" si="3"/>
        <v>17335.419559032191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43496</v>
      </c>
      <c r="B40" s="48">
        <f>+'Common AMA-3 yr Property'!B43+'Common AMA-7 yr Property '!B43</f>
        <v>43117076.839999996</v>
      </c>
      <c r="C40" s="49">
        <f>+'Common AMA-3 yr Property'!C43+'Common AMA-7 yr Property '!C43</f>
        <v>43117076.839999996</v>
      </c>
      <c r="D40" s="48">
        <f>+'Common AMA-3 yr Property'!D43+'Common AMA-7 yr Property '!D43</f>
        <v>882431.00937833323</v>
      </c>
      <c r="E40" s="49">
        <f>+'Common AMA-3 yr Property'!E43+'Common AMA-7 yr Property '!E43</f>
        <v>471116.86983333336</v>
      </c>
      <c r="F40" s="50">
        <f t="shared" si="6"/>
        <v>-16380493.164633498</v>
      </c>
      <c r="G40" s="51">
        <f t="shared" si="6"/>
        <v>-5781582.8500555838</v>
      </c>
      <c r="H40" s="48">
        <f t="shared" si="5"/>
        <v>26736583.675366499</v>
      </c>
      <c r="I40" s="49">
        <f t="shared" si="5"/>
        <v>37335493.989944413</v>
      </c>
      <c r="J40" s="52">
        <f t="shared" si="2"/>
        <v>10598910.314577915</v>
      </c>
      <c r="K40" s="53">
        <f>+'Common AMA-3 yr Property'!K43+'Common AMA-7 yr Property '!K43</f>
        <v>-3315427.6717561232</v>
      </c>
      <c r="L40" s="49">
        <f t="shared" si="3"/>
        <v>86375.969304449856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43524</v>
      </c>
      <c r="B41" s="48">
        <f>+'Common AMA-3 yr Property'!B44+'Common AMA-7 yr Property '!B44</f>
        <v>43117076.839999996</v>
      </c>
      <c r="C41" s="49">
        <f>+'Common AMA-3 yr Property'!C44+'Common AMA-7 yr Property '!C44</f>
        <v>43117076.839999996</v>
      </c>
      <c r="D41" s="48">
        <f>+'Common AMA-3 yr Property'!D44+'Common AMA-7 yr Property '!D44</f>
        <v>882431.00937833323</v>
      </c>
      <c r="E41" s="49">
        <f>+'Common AMA-3 yr Property'!E44+'Common AMA-7 yr Property '!E44</f>
        <v>471116.86983333336</v>
      </c>
      <c r="F41" s="50">
        <f t="shared" si="6"/>
        <v>-17262924.17401183</v>
      </c>
      <c r="G41" s="51">
        <f t="shared" si="6"/>
        <v>-6252699.7198889172</v>
      </c>
      <c r="H41" s="48">
        <f t="shared" si="5"/>
        <v>25854152.665988166</v>
      </c>
      <c r="I41" s="49">
        <f t="shared" si="5"/>
        <v>36864377.120111078</v>
      </c>
      <c r="J41" s="52">
        <f t="shared" si="2"/>
        <v>11010224.454122912</v>
      </c>
      <c r="K41" s="53">
        <f>+'Common AMA-3 yr Property'!K44+'Common AMA-7 yr Property '!K44</f>
        <v>-3401803.641060574</v>
      </c>
      <c r="L41" s="49">
        <f t="shared" si="3"/>
        <v>86375.969304450788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43555</v>
      </c>
      <c r="B42" s="48">
        <f>+'Common AMA-3 yr Property'!B45+'Common AMA-7 yr Property '!B45</f>
        <v>43117076.839999996</v>
      </c>
      <c r="C42" s="49">
        <f>+'Common AMA-3 yr Property'!C45+'Common AMA-7 yr Property '!C45</f>
        <v>43117076.839999996</v>
      </c>
      <c r="D42" s="48">
        <f>+'Common AMA-3 yr Property'!D45+'Common AMA-7 yr Property '!D45</f>
        <v>882431.00937833323</v>
      </c>
      <c r="E42" s="49">
        <f>+'Common AMA-3 yr Property'!E45+'Common AMA-7 yr Property '!E45</f>
        <v>471116.86983333336</v>
      </c>
      <c r="F42" s="50">
        <f t="shared" si="6"/>
        <v>-18145355.183390163</v>
      </c>
      <c r="G42" s="51">
        <f t="shared" si="6"/>
        <v>-6723816.5897222506</v>
      </c>
      <c r="H42" s="48">
        <f t="shared" si="5"/>
        <v>24971721.656609833</v>
      </c>
      <c r="I42" s="49">
        <f t="shared" si="5"/>
        <v>36393260.250277743</v>
      </c>
      <c r="J42" s="52">
        <f t="shared" si="2"/>
        <v>11421538.59366791</v>
      </c>
      <c r="K42" s="53">
        <f>+'Common AMA-3 yr Property'!K45+'Common AMA-7 yr Property '!K45</f>
        <v>-3488179.6103650234</v>
      </c>
      <c r="L42" s="49">
        <f t="shared" si="3"/>
        <v>86375.969304449391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43585</v>
      </c>
      <c r="B43" s="48">
        <f>+'Common AMA-3 yr Property'!B46+'Common AMA-7 yr Property '!B46</f>
        <v>43117076.839999996</v>
      </c>
      <c r="C43" s="49">
        <f>+'Common AMA-3 yr Property'!C46+'Common AMA-7 yr Property '!C46</f>
        <v>43117076.839999996</v>
      </c>
      <c r="D43" s="48">
        <f>+'Common AMA-3 yr Property'!D46+'Common AMA-7 yr Property '!D46</f>
        <v>882431.00937833323</v>
      </c>
      <c r="E43" s="49">
        <f>+'Common AMA-3 yr Property'!E46+'Common AMA-7 yr Property '!E46</f>
        <v>471116.86983333336</v>
      </c>
      <c r="F43" s="50">
        <f t="shared" si="6"/>
        <v>-19027786.192768496</v>
      </c>
      <c r="G43" s="51">
        <f t="shared" si="6"/>
        <v>-7194933.459555584</v>
      </c>
      <c r="H43" s="48">
        <f t="shared" si="5"/>
        <v>24089290.647231501</v>
      </c>
      <c r="I43" s="49">
        <f t="shared" si="5"/>
        <v>35922143.380444415</v>
      </c>
      <c r="J43" s="52">
        <f t="shared" si="2"/>
        <v>11832852.733212914</v>
      </c>
      <c r="K43" s="53">
        <f>+'Common AMA-3 yr Property'!K46+'Common AMA-7 yr Property '!K46</f>
        <v>-3574555.5796694737</v>
      </c>
      <c r="L43" s="49">
        <f t="shared" si="3"/>
        <v>86375.969304450322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43616</v>
      </c>
      <c r="B44" s="48">
        <f>+'Common AMA-3 yr Property'!B47+'Common AMA-7 yr Property '!B47</f>
        <v>43117076.839999996</v>
      </c>
      <c r="C44" s="49">
        <f>+'Common AMA-3 yr Property'!C47+'Common AMA-7 yr Property '!C47</f>
        <v>43117076.839999996</v>
      </c>
      <c r="D44" s="48">
        <f>+'Common AMA-3 yr Property'!D47+'Common AMA-7 yr Property '!D47</f>
        <v>882431.00937833323</v>
      </c>
      <c r="E44" s="49">
        <f>+'Common AMA-3 yr Property'!E47+'Common AMA-7 yr Property '!E47</f>
        <v>471116.86983333336</v>
      </c>
      <c r="F44" s="50">
        <f t="shared" si="6"/>
        <v>-19910217.202146828</v>
      </c>
      <c r="G44" s="51">
        <f t="shared" si="6"/>
        <v>-7666050.3293889174</v>
      </c>
      <c r="H44" s="48">
        <f t="shared" si="5"/>
        <v>23206859.637853168</v>
      </c>
      <c r="I44" s="49">
        <f t="shared" si="5"/>
        <v>35451026.51061108</v>
      </c>
      <c r="J44" s="52">
        <f t="shared" si="2"/>
        <v>12244166.872757912</v>
      </c>
      <c r="K44" s="53">
        <f>+'Common AMA-3 yr Property'!K47+'Common AMA-7 yr Property '!K47</f>
        <v>-3660931.5489739226</v>
      </c>
      <c r="L44" s="49">
        <f t="shared" si="3"/>
        <v>86375.969304448925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43646</v>
      </c>
      <c r="B45" s="48">
        <f>+'Common AMA-3 yr Property'!B48+'Common AMA-7 yr Property '!B48</f>
        <v>43117076.839999996</v>
      </c>
      <c r="C45" s="49">
        <f>+'Common AMA-3 yr Property'!C48+'Common AMA-7 yr Property '!C48</f>
        <v>43117076.839999996</v>
      </c>
      <c r="D45" s="48">
        <f>+'Common AMA-3 yr Property'!D48+'Common AMA-7 yr Property '!D48</f>
        <v>882431.00937833323</v>
      </c>
      <c r="E45" s="49">
        <f>+'Common AMA-3 yr Property'!E48+'Common AMA-7 yr Property '!E48</f>
        <v>471116.86983333336</v>
      </c>
      <c r="F45" s="50">
        <f t="shared" si="6"/>
        <v>-20792648.211525161</v>
      </c>
      <c r="G45" s="51">
        <f t="shared" si="6"/>
        <v>-8137167.1992222508</v>
      </c>
      <c r="H45" s="48">
        <f t="shared" ref="H45:I53" si="7">B45+F45</f>
        <v>22324428.628474835</v>
      </c>
      <c r="I45" s="49">
        <f t="shared" si="7"/>
        <v>34979909.640777744</v>
      </c>
      <c r="J45" s="52">
        <f t="shared" si="2"/>
        <v>12655481.012302909</v>
      </c>
      <c r="K45" s="53">
        <f>+'Common AMA-3 yr Property'!K48+'Common AMA-7 yr Property '!K48</f>
        <v>-3747307.5182783729</v>
      </c>
      <c r="L45" s="49">
        <f t="shared" si="3"/>
        <v>86375.969304450322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43677</v>
      </c>
      <c r="B46" s="48">
        <f>+'Common AMA-3 yr Property'!B49+'Common AMA-7 yr Property '!B49</f>
        <v>43117076.839999996</v>
      </c>
      <c r="C46" s="49">
        <f>+'Common AMA-3 yr Property'!C49+'Common AMA-7 yr Property '!C49</f>
        <v>43117076.839999996</v>
      </c>
      <c r="D46" s="48">
        <f>+'Common AMA-3 yr Property'!D49+'Common AMA-7 yr Property '!D49</f>
        <v>882431.00937833323</v>
      </c>
      <c r="E46" s="49">
        <f>+'Common AMA-3 yr Property'!E49+'Common AMA-7 yr Property '!E49</f>
        <v>471116.86983333336</v>
      </c>
      <c r="F46" s="50">
        <f t="shared" ref="F46:G53" si="8">+F45-D46</f>
        <v>-21675079.220903493</v>
      </c>
      <c r="G46" s="51">
        <f t="shared" si="8"/>
        <v>-8608284.0690555833</v>
      </c>
      <c r="H46" s="48">
        <f t="shared" si="7"/>
        <v>21441997.619096503</v>
      </c>
      <c r="I46" s="49">
        <f t="shared" si="7"/>
        <v>34508792.770944417</v>
      </c>
      <c r="J46" s="52">
        <f t="shared" si="2"/>
        <v>13066795.151847914</v>
      </c>
      <c r="K46" s="53">
        <f>+'Common AMA-3 yr Property'!K49+'Common AMA-7 yr Property '!K49</f>
        <v>-3833683.4875828233</v>
      </c>
      <c r="L46" s="49">
        <f t="shared" si="3"/>
        <v>86375.969304450322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43708</v>
      </c>
      <c r="B47" s="48">
        <f>+'Common AMA-3 yr Property'!B50+'Common AMA-7 yr Property '!B50</f>
        <v>43117076.839999996</v>
      </c>
      <c r="C47" s="49">
        <f>+'Common AMA-3 yr Property'!C50+'Common AMA-7 yr Property '!C50</f>
        <v>43117076.839999996</v>
      </c>
      <c r="D47" s="48">
        <f>+'Common AMA-3 yr Property'!D50+'Common AMA-7 yr Property '!D50</f>
        <v>882431.00937833323</v>
      </c>
      <c r="E47" s="49">
        <f>+'Common AMA-3 yr Property'!E50+'Common AMA-7 yr Property '!E50</f>
        <v>471116.86983333336</v>
      </c>
      <c r="F47" s="50">
        <f t="shared" si="8"/>
        <v>-22557510.230281826</v>
      </c>
      <c r="G47" s="51">
        <f t="shared" si="8"/>
        <v>-9079400.9388889167</v>
      </c>
      <c r="H47" s="48">
        <f t="shared" si="7"/>
        <v>20559566.60971817</v>
      </c>
      <c r="I47" s="49">
        <f t="shared" si="7"/>
        <v>34037675.901111081</v>
      </c>
      <c r="J47" s="52">
        <f t="shared" si="2"/>
        <v>13478109.291392911</v>
      </c>
      <c r="K47" s="53">
        <f>+'Common AMA-3 yr Property'!K50+'Common AMA-7 yr Property '!K50</f>
        <v>-3920059.4568872722</v>
      </c>
      <c r="L47" s="49">
        <f t="shared" si="3"/>
        <v>86375.969304448925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43738</v>
      </c>
      <c r="B48" s="48">
        <f>+'Common AMA-3 yr Property'!B51+'Common AMA-7 yr Property '!B51</f>
        <v>43117076.839999996</v>
      </c>
      <c r="C48" s="49">
        <f>+'Common AMA-3 yr Property'!C51+'Common AMA-7 yr Property '!C51</f>
        <v>43117076.839999996</v>
      </c>
      <c r="D48" s="48">
        <f>+'Common AMA-3 yr Property'!D51+'Common AMA-7 yr Property '!D51</f>
        <v>882431.00937833323</v>
      </c>
      <c r="E48" s="49">
        <f>+'Common AMA-3 yr Property'!E51+'Common AMA-7 yr Property '!E51</f>
        <v>471116.86983333336</v>
      </c>
      <c r="F48" s="50">
        <f t="shared" si="8"/>
        <v>-23439941.239660159</v>
      </c>
      <c r="G48" s="51">
        <f t="shared" si="8"/>
        <v>-9550517.8087222502</v>
      </c>
      <c r="H48" s="48">
        <f t="shared" si="7"/>
        <v>19677135.600339837</v>
      </c>
      <c r="I48" s="49">
        <f t="shared" si="7"/>
        <v>33566559.031277746</v>
      </c>
      <c r="J48" s="52">
        <f t="shared" si="2"/>
        <v>13889423.430937909</v>
      </c>
      <c r="K48" s="53">
        <f>+'Common AMA-3 yr Property'!K51+'Common AMA-7 yr Property '!K51</f>
        <v>-4006435.426191722</v>
      </c>
      <c r="L48" s="49">
        <f t="shared" si="3"/>
        <v>86375.969304449856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43769</v>
      </c>
      <c r="B49" s="48">
        <f>+'Common AMA-3 yr Property'!B52+'Common AMA-7 yr Property '!B52</f>
        <v>43117076.839999996</v>
      </c>
      <c r="C49" s="49">
        <f>+'Common AMA-3 yr Property'!C52+'Common AMA-7 yr Property '!C52</f>
        <v>43117076.839999996</v>
      </c>
      <c r="D49" s="48">
        <f>+'Common AMA-3 yr Property'!D52+'Common AMA-7 yr Property '!D52</f>
        <v>882431.00937833323</v>
      </c>
      <c r="E49" s="49">
        <f>+'Common AMA-3 yr Property'!E52+'Common AMA-7 yr Property '!E52</f>
        <v>471116.86983333336</v>
      </c>
      <c r="F49" s="50">
        <f t="shared" si="8"/>
        <v>-24322372.249038491</v>
      </c>
      <c r="G49" s="51">
        <f t="shared" si="8"/>
        <v>-10021634.678555584</v>
      </c>
      <c r="H49" s="48">
        <f t="shared" si="7"/>
        <v>18794704.590961505</v>
      </c>
      <c r="I49" s="49">
        <f t="shared" si="7"/>
        <v>33095442.161444411</v>
      </c>
      <c r="J49" s="52">
        <f t="shared" si="2"/>
        <v>14300737.570482906</v>
      </c>
      <c r="K49" s="53">
        <f>+'Common AMA-3 yr Property'!K52+'Common AMA-7 yr Property '!K52</f>
        <v>-4092811.3954961724</v>
      </c>
      <c r="L49" s="49">
        <f t="shared" si="3"/>
        <v>86375.969304450322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43799</v>
      </c>
      <c r="B50" s="48">
        <f>+'Common AMA-3 yr Property'!B53+'Common AMA-7 yr Property '!B53</f>
        <v>43117076.839999996</v>
      </c>
      <c r="C50" s="49">
        <f>+'Common AMA-3 yr Property'!C53+'Common AMA-7 yr Property '!C53</f>
        <v>43117076.839999996</v>
      </c>
      <c r="D50" s="48">
        <f>+'Common AMA-3 yr Property'!D53+'Common AMA-7 yr Property '!D53</f>
        <v>882431.00937833323</v>
      </c>
      <c r="E50" s="49">
        <f>+'Common AMA-3 yr Property'!E53+'Common AMA-7 yr Property '!E53</f>
        <v>471116.86983333336</v>
      </c>
      <c r="F50" s="50">
        <f t="shared" si="8"/>
        <v>-25204803.258416824</v>
      </c>
      <c r="G50" s="51">
        <f t="shared" si="8"/>
        <v>-10492751.548388917</v>
      </c>
      <c r="H50" s="48">
        <f t="shared" si="7"/>
        <v>17912273.581583172</v>
      </c>
      <c r="I50" s="49">
        <f t="shared" si="7"/>
        <v>32624325.291611079</v>
      </c>
      <c r="J50" s="52">
        <f t="shared" si="2"/>
        <v>14712051.710027907</v>
      </c>
      <c r="K50" s="53">
        <f>+'Common AMA-3 yr Property'!K53+'Common AMA-7 yr Property '!K53</f>
        <v>-4179187.3648006227</v>
      </c>
      <c r="L50" s="49">
        <f t="shared" si="3"/>
        <v>86375.969304450322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43830</v>
      </c>
      <c r="B51" s="48">
        <f>+'Common AMA-3 yr Property'!B54+'Common AMA-7 yr Property '!B54</f>
        <v>43117076.839999996</v>
      </c>
      <c r="C51" s="49">
        <f>+'Common AMA-3 yr Property'!C54+'Common AMA-7 yr Property '!C54</f>
        <v>43117076.839999996</v>
      </c>
      <c r="D51" s="48">
        <f>+'Common AMA-3 yr Property'!D54+'Common AMA-7 yr Property '!D54</f>
        <v>882431.00937833323</v>
      </c>
      <c r="E51" s="49">
        <f>+'Common AMA-3 yr Property'!E54+'Common AMA-7 yr Property '!E54</f>
        <v>471116.86983333336</v>
      </c>
      <c r="F51" s="50">
        <f t="shared" si="8"/>
        <v>-26087234.267795157</v>
      </c>
      <c r="G51" s="51">
        <f t="shared" si="8"/>
        <v>-10963868.41822225</v>
      </c>
      <c r="H51" s="48">
        <f t="shared" si="7"/>
        <v>17029842.572204839</v>
      </c>
      <c r="I51" s="49">
        <f t="shared" si="7"/>
        <v>32153208.421777748</v>
      </c>
      <c r="J51" s="52">
        <f t="shared" si="2"/>
        <v>15123365.849572908</v>
      </c>
      <c r="K51" s="53">
        <f>+'Common AMA-3 yr Property'!K54+'Common AMA-7 yr Property '!K54</f>
        <v>-4265563.3341050725</v>
      </c>
      <c r="L51" s="49">
        <f t="shared" si="3"/>
        <v>86375.969304449856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43861</v>
      </c>
      <c r="B52" s="48">
        <f>+'Common AMA-3 yr Property'!B55+'Common AMA-7 yr Property '!B55</f>
        <v>43117076.839999996</v>
      </c>
      <c r="C52" s="49">
        <f>+'Common AMA-3 yr Property'!C55+'Common AMA-7 yr Property '!C55</f>
        <v>43117076.839999996</v>
      </c>
      <c r="D52" s="48">
        <f>+'Common AMA-3 yr Property'!D55+'Common AMA-7 yr Property '!D55</f>
        <v>770644.30895188893</v>
      </c>
      <c r="E52" s="49">
        <f>+'Common AMA-3 yr Property'!E55+'Common AMA-7 yr Property '!E55</f>
        <v>471116.86983333336</v>
      </c>
      <c r="F52" s="50">
        <f t="shared" si="8"/>
        <v>-26857878.576747045</v>
      </c>
      <c r="G52" s="51">
        <f t="shared" si="8"/>
        <v>-11434985.288055584</v>
      </c>
      <c r="H52" s="48">
        <f t="shared" si="7"/>
        <v>16259198.263252951</v>
      </c>
      <c r="I52" s="49">
        <f t="shared" si="7"/>
        <v>31682091.551944412</v>
      </c>
      <c r="J52" s="52">
        <f t="shared" si="2"/>
        <v>15422893.288691461</v>
      </c>
      <c r="K52" s="53">
        <f>+'Common AMA-3 yr Property'!K55+'Common AMA-7 yr Property '!K55</f>
        <v>-4328464.0963199688</v>
      </c>
      <c r="L52" s="49">
        <f t="shared" si="3"/>
        <v>62900.762214896269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43890</v>
      </c>
      <c r="B53" s="48">
        <f>+'Common AMA-3 yr Property'!B56+'Common AMA-7 yr Property '!B56</f>
        <v>43117076.839999996</v>
      </c>
      <c r="C53" s="49">
        <f>+'Common AMA-3 yr Property'!C56+'Common AMA-7 yr Property '!C56</f>
        <v>43117076.839999996</v>
      </c>
      <c r="D53" s="48">
        <f>+'Common AMA-3 yr Property'!D56+'Common AMA-7 yr Property '!D56</f>
        <v>770644.30895188893</v>
      </c>
      <c r="E53" s="49">
        <f>+'Common AMA-3 yr Property'!E56+'Common AMA-7 yr Property '!E56</f>
        <v>471116.86983333336</v>
      </c>
      <c r="F53" s="50">
        <f t="shared" si="8"/>
        <v>-27628522.885698933</v>
      </c>
      <c r="G53" s="51">
        <f t="shared" si="8"/>
        <v>-11906102.157888917</v>
      </c>
      <c r="H53" s="48">
        <f t="shared" si="7"/>
        <v>15488553.954301063</v>
      </c>
      <c r="I53" s="49">
        <f t="shared" si="7"/>
        <v>31210974.682111077</v>
      </c>
      <c r="J53" s="52">
        <f t="shared" si="2"/>
        <v>15722420.727810014</v>
      </c>
      <c r="K53" s="53">
        <f>+'Common AMA-3 yr Property'!K56+'Common AMA-7 yr Property '!K56</f>
        <v>-4391364.8585348651</v>
      </c>
      <c r="L53" s="49">
        <f t="shared" si="3"/>
        <v>62900.762214896269</v>
      </c>
      <c r="M53" s="55"/>
      <c r="N53" s="54"/>
      <c r="O53" s="54"/>
      <c r="P53" s="54"/>
      <c r="Q53" s="54"/>
      <c r="R53" s="54"/>
      <c r="S53" s="54"/>
      <c r="T53" s="54"/>
    </row>
    <row r="54" spans="1:20" ht="13.8" thickBot="1" x14ac:dyDescent="0.3">
      <c r="A54" s="57"/>
      <c r="B54" s="58"/>
      <c r="C54" s="59"/>
      <c r="D54" s="58"/>
      <c r="E54" s="59"/>
      <c r="F54" s="58"/>
      <c r="G54" s="59"/>
      <c r="H54" s="58"/>
      <c r="I54" s="59"/>
      <c r="J54" s="60"/>
      <c r="K54" s="59"/>
      <c r="L54" s="59"/>
      <c r="M54" s="55"/>
      <c r="N54" s="54"/>
      <c r="O54" s="54"/>
      <c r="P54" s="54"/>
      <c r="Q54" s="54"/>
      <c r="R54" s="54"/>
      <c r="S54" s="54"/>
      <c r="T54" s="54"/>
    </row>
    <row r="55" spans="1:20" ht="13.8" thickBot="1" x14ac:dyDescent="0.3">
      <c r="A55" s="61"/>
      <c r="B55" s="61"/>
      <c r="C55" s="62"/>
      <c r="D55" s="61"/>
      <c r="E55" s="62"/>
      <c r="F55" s="61"/>
      <c r="G55" s="62"/>
      <c r="H55" s="61"/>
      <c r="I55" s="63"/>
      <c r="J55" s="64"/>
      <c r="K55" s="65"/>
      <c r="L55" s="66"/>
      <c r="M55" s="55"/>
      <c r="N55" s="67"/>
      <c r="O55" s="68"/>
      <c r="P55" s="54"/>
      <c r="Q55" s="54"/>
      <c r="R55" s="54"/>
      <c r="S55" s="54"/>
      <c r="T55" s="54"/>
    </row>
    <row r="56" spans="1:20" ht="13.8" thickTop="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4"/>
      <c r="O56" s="54"/>
      <c r="P56" s="54"/>
      <c r="Q56" s="54"/>
      <c r="R56" s="54"/>
      <c r="S56" s="54"/>
      <c r="T56" s="54"/>
    </row>
    <row r="57" spans="1:20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x14ac:dyDescent="0.25">
      <c r="A59" s="18" t="s">
        <v>43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4.4" x14ac:dyDescent="0.3">
      <c r="A60" s="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6"/>
      <c r="N60" s="6"/>
      <c r="O60" s="6"/>
    </row>
    <row r="61" spans="1:20" ht="14.4" x14ac:dyDescent="0.3">
      <c r="A61" s="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6"/>
      <c r="N61" s="6"/>
      <c r="O61" s="6"/>
      <c r="P61" s="6"/>
    </row>
    <row r="62" spans="1:20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20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1:W66"/>
  <sheetViews>
    <sheetView zoomScale="80" zoomScaleNormal="80" workbookViewId="0">
      <pane xSplit="1" ySplit="14" topLeftCell="B27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3" style="18" bestFit="1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11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82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 t="s">
        <v>44</v>
      </c>
      <c r="C2" s="12"/>
      <c r="D2" s="13"/>
      <c r="F2" s="14"/>
      <c r="G2" s="15"/>
      <c r="H2" s="15"/>
      <c r="I2" s="16"/>
      <c r="J2" s="5"/>
      <c r="K2" s="5"/>
      <c r="L2" s="7" t="s">
        <v>45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46</v>
      </c>
      <c r="B4" s="72" t="s">
        <v>47</v>
      </c>
      <c r="C4" s="72" t="s">
        <v>48</v>
      </c>
      <c r="D4" s="72" t="s">
        <v>49</v>
      </c>
      <c r="E4" s="72" t="s">
        <v>50</v>
      </c>
      <c r="F4" s="73"/>
      <c r="G4" s="73"/>
      <c r="H4" s="73"/>
      <c r="I4" s="73"/>
      <c r="J4" s="73"/>
      <c r="K4" s="73"/>
      <c r="L4" s="73"/>
    </row>
    <row r="5" spans="1:23" s="10" customFormat="1" x14ac:dyDescent="0.25">
      <c r="A5" s="74" t="s">
        <v>51</v>
      </c>
      <c r="B5" s="75">
        <v>0.58333333333333337</v>
      </c>
      <c r="C5" s="75">
        <v>0.16666666666666666</v>
      </c>
      <c r="D5" s="75">
        <v>0.16666666666666666</v>
      </c>
      <c r="E5" s="75">
        <v>8.3333333333333329E-2</v>
      </c>
      <c r="F5" s="22"/>
      <c r="G5" s="22"/>
      <c r="H5" s="76"/>
      <c r="I5" s="22"/>
      <c r="J5" s="22"/>
      <c r="K5" s="22"/>
      <c r="L5" s="22"/>
    </row>
    <row r="6" spans="1:23" s="10" customFormat="1" ht="14.4" x14ac:dyDescent="0.3">
      <c r="A6" s="20" t="s">
        <v>52</v>
      </c>
      <c r="B6" s="21">
        <v>0.16666666666666666</v>
      </c>
      <c r="C6" s="21">
        <v>0.33333333333333331</v>
      </c>
      <c r="D6" s="21">
        <v>0.33333333333333331</v>
      </c>
      <c r="E6" s="21">
        <v>0.16666666666666666</v>
      </c>
      <c r="F6" s="21"/>
      <c r="G6" s="21"/>
      <c r="H6" s="21"/>
      <c r="I6" s="21"/>
      <c r="J6" s="22"/>
      <c r="K6" s="77"/>
      <c r="L6" s="77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6"/>
      <c r="C8" s="6"/>
      <c r="D8" s="6"/>
      <c r="E8" s="6"/>
      <c r="I8" s="23"/>
      <c r="J8" s="23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4"/>
    </row>
    <row r="9" spans="1:23" ht="5.0999999999999996" customHeight="1" thickBot="1" x14ac:dyDescent="0.3"/>
    <row r="10" spans="1:23" x14ac:dyDescent="0.25">
      <c r="A10" s="25" t="s">
        <v>13</v>
      </c>
      <c r="B10" s="26" t="s">
        <v>14</v>
      </c>
      <c r="C10" s="27"/>
      <c r="D10" s="26" t="s">
        <v>15</v>
      </c>
      <c r="E10" s="27"/>
      <c r="F10" s="26" t="s">
        <v>16</v>
      </c>
      <c r="G10" s="27"/>
      <c r="H10" s="26" t="s">
        <v>17</v>
      </c>
      <c r="I10" s="27"/>
      <c r="J10" s="28" t="s">
        <v>18</v>
      </c>
      <c r="K10" s="29" t="s">
        <v>19</v>
      </c>
      <c r="L10" s="29" t="s">
        <v>20</v>
      </c>
    </row>
    <row r="11" spans="1:23" x14ac:dyDescent="0.25">
      <c r="A11" s="30"/>
      <c r="B11" s="31"/>
      <c r="C11" s="32"/>
      <c r="D11" s="33"/>
      <c r="E11" s="34"/>
      <c r="F11" s="33"/>
      <c r="G11" s="32"/>
      <c r="H11" s="31"/>
      <c r="I11" s="35"/>
      <c r="J11" s="36"/>
      <c r="K11" s="37"/>
      <c r="L11" s="37" t="s">
        <v>21</v>
      </c>
    </row>
    <row r="12" spans="1:23" x14ac:dyDescent="0.25">
      <c r="A12" s="38"/>
      <c r="B12" s="39" t="s">
        <v>22</v>
      </c>
      <c r="C12" s="35" t="s">
        <v>23</v>
      </c>
      <c r="D12" s="39" t="s">
        <v>24</v>
      </c>
      <c r="E12" s="35" t="s">
        <v>25</v>
      </c>
      <c r="F12" s="39" t="s">
        <v>22</v>
      </c>
      <c r="G12" s="35" t="s">
        <v>23</v>
      </c>
      <c r="H12" s="39" t="s">
        <v>22</v>
      </c>
      <c r="I12" s="35" t="s">
        <v>26</v>
      </c>
      <c r="J12" s="36" t="s">
        <v>27</v>
      </c>
      <c r="K12" s="40">
        <v>0.35</v>
      </c>
      <c r="L12" s="37" t="s">
        <v>28</v>
      </c>
    </row>
    <row r="13" spans="1:23" x14ac:dyDescent="0.25">
      <c r="A13" s="38"/>
      <c r="B13" s="39"/>
      <c r="C13" s="35"/>
      <c r="D13" s="39" t="s">
        <v>29</v>
      </c>
      <c r="E13" s="35" t="s">
        <v>30</v>
      </c>
      <c r="F13" s="39" t="s">
        <v>31</v>
      </c>
      <c r="G13" s="35" t="s">
        <v>32</v>
      </c>
      <c r="H13" s="39"/>
      <c r="I13" s="35"/>
      <c r="J13" s="36" t="s">
        <v>27</v>
      </c>
      <c r="K13" s="40">
        <v>0.21</v>
      </c>
      <c r="L13" s="37" t="s">
        <v>33</v>
      </c>
    </row>
    <row r="14" spans="1:23" x14ac:dyDescent="0.25">
      <c r="A14" s="41"/>
      <c r="B14" s="42" t="s">
        <v>34</v>
      </c>
      <c r="C14" s="43" t="s">
        <v>35</v>
      </c>
      <c r="D14" s="42"/>
      <c r="E14" s="43"/>
      <c r="F14" s="42" t="s">
        <v>36</v>
      </c>
      <c r="G14" s="43" t="s">
        <v>37</v>
      </c>
      <c r="H14" s="42" t="s">
        <v>38</v>
      </c>
      <c r="I14" s="43" t="s">
        <v>39</v>
      </c>
      <c r="J14" s="44" t="s">
        <v>40</v>
      </c>
      <c r="K14" s="45" t="s">
        <v>41</v>
      </c>
      <c r="L14" s="46" t="s">
        <v>42</v>
      </c>
    </row>
    <row r="15" spans="1:23" outlineLevel="1" x14ac:dyDescent="0.25">
      <c r="A15" s="47"/>
      <c r="B15" s="48"/>
      <c r="C15" s="49"/>
      <c r="D15" s="48"/>
      <c r="E15" s="49"/>
      <c r="F15" s="50">
        <v>0</v>
      </c>
      <c r="G15" s="51">
        <v>0</v>
      </c>
      <c r="H15" s="48">
        <v>0</v>
      </c>
      <c r="I15" s="49">
        <v>0</v>
      </c>
      <c r="J15" s="52">
        <v>0</v>
      </c>
      <c r="K15" s="53">
        <v>0</v>
      </c>
      <c r="L15" s="49">
        <v>0</v>
      </c>
    </row>
    <row r="16" spans="1:23" outlineLevel="1" x14ac:dyDescent="0.25">
      <c r="A16" s="47">
        <v>42674</v>
      </c>
      <c r="B16" s="48">
        <f t="shared" ref="B16:B24" si="0">C16</f>
        <v>0</v>
      </c>
      <c r="C16" s="49">
        <v>0</v>
      </c>
      <c r="D16" s="48"/>
      <c r="E16" s="49">
        <v>0</v>
      </c>
      <c r="F16" s="50">
        <f>+F15-D16</f>
        <v>0</v>
      </c>
      <c r="G16" s="51">
        <f t="shared" ref="G16:G31" si="1">+G15-E16</f>
        <v>0</v>
      </c>
      <c r="H16" s="48">
        <f t="shared" ref="H16:I31" si="2">B16+F16</f>
        <v>0</v>
      </c>
      <c r="I16" s="49">
        <f t="shared" si="2"/>
        <v>0</v>
      </c>
      <c r="J16" s="52">
        <f t="shared" ref="J16:J56" si="3">I16-H16</f>
        <v>0</v>
      </c>
      <c r="K16" s="53">
        <f t="shared" ref="K16:K30" si="4">(-(J16-J15)*$K$12)+K15</f>
        <v>0</v>
      </c>
      <c r="L16" s="49">
        <f t="shared" ref="L16:L56" si="5">-K16+K15</f>
        <v>0</v>
      </c>
    </row>
    <row r="17" spans="1:20" outlineLevel="1" x14ac:dyDescent="0.25">
      <c r="A17" s="47">
        <v>42704</v>
      </c>
      <c r="B17" s="48">
        <f t="shared" si="0"/>
        <v>0</v>
      </c>
      <c r="C17" s="49">
        <v>0</v>
      </c>
      <c r="D17" s="48"/>
      <c r="E17" s="49">
        <v>0</v>
      </c>
      <c r="F17" s="50">
        <f t="shared" ref="F17:G32" si="6">+F16-D17</f>
        <v>0</v>
      </c>
      <c r="G17" s="51">
        <f t="shared" si="1"/>
        <v>0</v>
      </c>
      <c r="H17" s="48">
        <f t="shared" si="2"/>
        <v>0</v>
      </c>
      <c r="I17" s="49">
        <f t="shared" si="2"/>
        <v>0</v>
      </c>
      <c r="J17" s="52">
        <f t="shared" si="3"/>
        <v>0</v>
      </c>
      <c r="K17" s="53">
        <f t="shared" si="4"/>
        <v>0</v>
      </c>
      <c r="L17" s="49">
        <f t="shared" si="5"/>
        <v>0</v>
      </c>
    </row>
    <row r="18" spans="1:20" outlineLevel="1" x14ac:dyDescent="0.25">
      <c r="A18" s="47">
        <v>42735</v>
      </c>
      <c r="B18" s="48">
        <f t="shared" si="0"/>
        <v>0</v>
      </c>
      <c r="C18" s="49">
        <v>0</v>
      </c>
      <c r="D18" s="48"/>
      <c r="E18" s="49">
        <v>0</v>
      </c>
      <c r="F18" s="50">
        <f t="shared" si="6"/>
        <v>0</v>
      </c>
      <c r="G18" s="51">
        <f t="shared" si="1"/>
        <v>0</v>
      </c>
      <c r="H18" s="48">
        <f t="shared" si="2"/>
        <v>0</v>
      </c>
      <c r="I18" s="49">
        <f t="shared" si="2"/>
        <v>0</v>
      </c>
      <c r="J18" s="52">
        <f t="shared" si="3"/>
        <v>0</v>
      </c>
      <c r="K18" s="53">
        <f t="shared" si="4"/>
        <v>0</v>
      </c>
      <c r="L18" s="49">
        <f t="shared" si="5"/>
        <v>0</v>
      </c>
    </row>
    <row r="19" spans="1:20" outlineLevel="1" x14ac:dyDescent="0.25">
      <c r="A19" s="47">
        <v>42766</v>
      </c>
      <c r="B19" s="48">
        <f t="shared" si="0"/>
        <v>0</v>
      </c>
      <c r="C19" s="49">
        <v>0</v>
      </c>
      <c r="D19" s="48"/>
      <c r="E19" s="49">
        <v>0</v>
      </c>
      <c r="F19" s="50">
        <f t="shared" si="6"/>
        <v>0</v>
      </c>
      <c r="G19" s="51">
        <f t="shared" si="1"/>
        <v>0</v>
      </c>
      <c r="H19" s="48">
        <f t="shared" si="2"/>
        <v>0</v>
      </c>
      <c r="I19" s="49">
        <f t="shared" si="2"/>
        <v>0</v>
      </c>
      <c r="J19" s="52">
        <f t="shared" si="3"/>
        <v>0</v>
      </c>
      <c r="K19" s="53">
        <f t="shared" si="4"/>
        <v>0</v>
      </c>
      <c r="L19" s="49">
        <f t="shared" si="5"/>
        <v>0</v>
      </c>
    </row>
    <row r="20" spans="1:20" outlineLevel="1" x14ac:dyDescent="0.25">
      <c r="A20" s="47">
        <v>42794</v>
      </c>
      <c r="B20" s="48">
        <f t="shared" si="0"/>
        <v>0</v>
      </c>
      <c r="C20" s="49">
        <v>0</v>
      </c>
      <c r="D20" s="48"/>
      <c r="E20" s="49">
        <v>0</v>
      </c>
      <c r="F20" s="50">
        <f t="shared" si="6"/>
        <v>0</v>
      </c>
      <c r="G20" s="51">
        <f t="shared" si="1"/>
        <v>0</v>
      </c>
      <c r="H20" s="48">
        <f t="shared" si="2"/>
        <v>0</v>
      </c>
      <c r="I20" s="49">
        <f t="shared" si="2"/>
        <v>0</v>
      </c>
      <c r="J20" s="52">
        <f t="shared" si="3"/>
        <v>0</v>
      </c>
      <c r="K20" s="53">
        <f t="shared" si="4"/>
        <v>0</v>
      </c>
      <c r="L20" s="49">
        <f t="shared" si="5"/>
        <v>0</v>
      </c>
    </row>
    <row r="21" spans="1:20" outlineLevel="1" x14ac:dyDescent="0.25">
      <c r="A21" s="47">
        <v>42825</v>
      </c>
      <c r="B21" s="48">
        <f t="shared" si="0"/>
        <v>4753919.1500000004</v>
      </c>
      <c r="C21" s="49">
        <v>4753919.1500000004</v>
      </c>
      <c r="D21" s="48">
        <f>+(($B$30-$B$18)*$B$5/10)</f>
        <v>451556.80033333338</v>
      </c>
      <c r="E21" s="49">
        <v>39616</v>
      </c>
      <c r="F21" s="50">
        <f t="shared" si="6"/>
        <v>-451556.80033333338</v>
      </c>
      <c r="G21" s="51">
        <f t="shared" si="1"/>
        <v>-39616</v>
      </c>
      <c r="H21" s="48">
        <f t="shared" si="2"/>
        <v>4302362.3496666672</v>
      </c>
      <c r="I21" s="49">
        <f t="shared" si="2"/>
        <v>4714303.1500000004</v>
      </c>
      <c r="J21" s="52">
        <f t="shared" si="3"/>
        <v>411940.8003333332</v>
      </c>
      <c r="K21" s="53">
        <f t="shared" si="4"/>
        <v>-144179.2801166666</v>
      </c>
      <c r="L21" s="49">
        <f t="shared" si="5"/>
        <v>144179.2801166666</v>
      </c>
    </row>
    <row r="22" spans="1:20" outlineLevel="1" x14ac:dyDescent="0.25">
      <c r="A22" s="47">
        <v>42855</v>
      </c>
      <c r="B22" s="48">
        <f t="shared" si="0"/>
        <v>4753919.1500000004</v>
      </c>
      <c r="C22" s="49">
        <v>4753919.1500000004</v>
      </c>
      <c r="D22" s="48">
        <f t="shared" ref="D22:D30" si="7">+(($B$30-$B$18)*$B$5/10)</f>
        <v>451556.80033333338</v>
      </c>
      <c r="E22" s="49">
        <v>79231.97</v>
      </c>
      <c r="F22" s="50">
        <f t="shared" si="6"/>
        <v>-903113.60066666675</v>
      </c>
      <c r="G22" s="51">
        <f t="shared" si="1"/>
        <v>-118847.97</v>
      </c>
      <c r="H22" s="48">
        <f t="shared" si="2"/>
        <v>3850805.5493333335</v>
      </c>
      <c r="I22" s="49">
        <f t="shared" si="2"/>
        <v>4635071.1800000006</v>
      </c>
      <c r="J22" s="52">
        <f t="shared" si="3"/>
        <v>784265.63066666713</v>
      </c>
      <c r="K22" s="53">
        <f t="shared" si="4"/>
        <v>-274492.9707333335</v>
      </c>
      <c r="L22" s="49">
        <f t="shared" si="5"/>
        <v>130313.69061666689</v>
      </c>
    </row>
    <row r="23" spans="1:20" outlineLevel="1" x14ac:dyDescent="0.25">
      <c r="A23" s="47">
        <v>42886</v>
      </c>
      <c r="B23" s="48">
        <f t="shared" si="0"/>
        <v>4870932.8900000006</v>
      </c>
      <c r="C23" s="49">
        <v>4870932.8900000006</v>
      </c>
      <c r="D23" s="48">
        <f t="shared" si="7"/>
        <v>451556.80033333338</v>
      </c>
      <c r="E23" s="49">
        <v>80207.11</v>
      </c>
      <c r="F23" s="50">
        <f t="shared" si="6"/>
        <v>-1354670.4010000001</v>
      </c>
      <c r="G23" s="51">
        <f t="shared" si="1"/>
        <v>-199055.08000000002</v>
      </c>
      <c r="H23" s="48">
        <f t="shared" si="2"/>
        <v>3516262.4890000005</v>
      </c>
      <c r="I23" s="49">
        <f t="shared" si="2"/>
        <v>4671877.8100000005</v>
      </c>
      <c r="J23" s="52">
        <f t="shared" si="3"/>
        <v>1155615.321</v>
      </c>
      <c r="K23" s="53">
        <f t="shared" si="4"/>
        <v>-404465.36235000001</v>
      </c>
      <c r="L23" s="49">
        <f t="shared" si="5"/>
        <v>129972.39161666651</v>
      </c>
    </row>
    <row r="24" spans="1:20" outlineLevel="1" x14ac:dyDescent="0.25">
      <c r="A24" s="47">
        <v>42916</v>
      </c>
      <c r="B24" s="48">
        <f t="shared" si="0"/>
        <v>4870932.8900000006</v>
      </c>
      <c r="C24" s="49">
        <v>4870932.8900000006</v>
      </c>
      <c r="D24" s="48">
        <f t="shared" si="7"/>
        <v>451556.80033333338</v>
      </c>
      <c r="E24" s="49">
        <v>81182.2</v>
      </c>
      <c r="F24" s="50">
        <f t="shared" si="6"/>
        <v>-1806227.2013333335</v>
      </c>
      <c r="G24" s="51">
        <f t="shared" si="1"/>
        <v>-280237.28000000003</v>
      </c>
      <c r="H24" s="48">
        <f t="shared" si="2"/>
        <v>3064705.6886666669</v>
      </c>
      <c r="I24" s="49">
        <f t="shared" si="2"/>
        <v>4590695.6100000003</v>
      </c>
      <c r="J24" s="52">
        <f t="shared" si="3"/>
        <v>1525989.9213333335</v>
      </c>
      <c r="K24" s="53">
        <f t="shared" si="4"/>
        <v>-534096.47246666672</v>
      </c>
      <c r="L24" s="49">
        <f t="shared" si="5"/>
        <v>129631.11011666671</v>
      </c>
    </row>
    <row r="25" spans="1:20" x14ac:dyDescent="0.25">
      <c r="A25" s="47">
        <v>42947</v>
      </c>
      <c r="B25" s="48">
        <f>C25</f>
        <v>4870932.8900000006</v>
      </c>
      <c r="C25" s="49">
        <v>4870932.8900000006</v>
      </c>
      <c r="D25" s="48">
        <f t="shared" si="7"/>
        <v>451556.80033333338</v>
      </c>
      <c r="E25" s="49">
        <v>81182.239999999991</v>
      </c>
      <c r="F25" s="50">
        <f t="shared" si="6"/>
        <v>-2257784.0016666669</v>
      </c>
      <c r="G25" s="51">
        <f t="shared" si="1"/>
        <v>-361419.52000000002</v>
      </c>
      <c r="H25" s="48">
        <f t="shared" si="2"/>
        <v>2613148.8883333337</v>
      </c>
      <c r="I25" s="49">
        <f t="shared" si="2"/>
        <v>4509513.370000001</v>
      </c>
      <c r="J25" s="52">
        <f t="shared" si="3"/>
        <v>1896364.4816666674</v>
      </c>
      <c r="K25" s="53">
        <f t="shared" si="4"/>
        <v>-663727.56858333363</v>
      </c>
      <c r="L25" s="49">
        <f t="shared" si="5"/>
        <v>129631.09611666691</v>
      </c>
    </row>
    <row r="26" spans="1:20" x14ac:dyDescent="0.25">
      <c r="A26" s="47">
        <v>42978</v>
      </c>
      <c r="B26" s="48">
        <f t="shared" ref="B26:B56" si="8">C26</f>
        <v>4870932.8900000006</v>
      </c>
      <c r="C26" s="49">
        <v>4870932.8900000006</v>
      </c>
      <c r="D26" s="48">
        <f t="shared" si="7"/>
        <v>451556.80033333338</v>
      </c>
      <c r="E26" s="49">
        <v>81182.22</v>
      </c>
      <c r="F26" s="50">
        <f t="shared" si="6"/>
        <v>-2709340.8020000001</v>
      </c>
      <c r="G26" s="51">
        <f t="shared" si="1"/>
        <v>-442601.74</v>
      </c>
      <c r="H26" s="48">
        <f t="shared" si="2"/>
        <v>2161592.0880000005</v>
      </c>
      <c r="I26" s="49">
        <f t="shared" si="2"/>
        <v>4428331.1500000004</v>
      </c>
      <c r="J26" s="52">
        <f t="shared" si="3"/>
        <v>2266739.0619999999</v>
      </c>
      <c r="K26" s="53">
        <f t="shared" si="4"/>
        <v>-793358.67170000006</v>
      </c>
      <c r="L26" s="49">
        <f t="shared" si="5"/>
        <v>129631.10311666643</v>
      </c>
    </row>
    <row r="27" spans="1:20" ht="14.4" x14ac:dyDescent="0.3">
      <c r="A27" s="47">
        <v>43008</v>
      </c>
      <c r="B27" s="48">
        <f t="shared" si="8"/>
        <v>4870932.8900000006</v>
      </c>
      <c r="C27" s="49">
        <v>4870932.8900000006</v>
      </c>
      <c r="D27" s="48">
        <f t="shared" si="7"/>
        <v>451556.80033333338</v>
      </c>
      <c r="E27" s="49">
        <v>81182.2</v>
      </c>
      <c r="F27" s="50">
        <f t="shared" si="6"/>
        <v>-3160897.6023333333</v>
      </c>
      <c r="G27" s="51">
        <f t="shared" si="1"/>
        <v>-523783.94</v>
      </c>
      <c r="H27" s="48">
        <f t="shared" si="2"/>
        <v>1710035.2876666673</v>
      </c>
      <c r="I27" s="49">
        <f t="shared" si="2"/>
        <v>4347148.95</v>
      </c>
      <c r="J27" s="52">
        <f t="shared" si="3"/>
        <v>2637113.6623333329</v>
      </c>
      <c r="K27" s="53">
        <f t="shared" si="4"/>
        <v>-922989.7818166666</v>
      </c>
      <c r="L27" s="49">
        <f t="shared" si="5"/>
        <v>129631.11011666653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43039</v>
      </c>
      <c r="B28" s="48">
        <f t="shared" si="8"/>
        <v>4870932.8900000006</v>
      </c>
      <c r="C28" s="49">
        <v>4870932.8900000006</v>
      </c>
      <c r="D28" s="48">
        <f t="shared" si="7"/>
        <v>451556.80033333338</v>
      </c>
      <c r="E28" s="49">
        <v>81182.22</v>
      </c>
      <c r="F28" s="50">
        <f t="shared" si="6"/>
        <v>-3612454.4026666665</v>
      </c>
      <c r="G28" s="51">
        <f t="shared" si="1"/>
        <v>-604966.16</v>
      </c>
      <c r="H28" s="48">
        <f t="shared" si="2"/>
        <v>1258478.4873333341</v>
      </c>
      <c r="I28" s="49">
        <f t="shared" si="2"/>
        <v>4265966.7300000004</v>
      </c>
      <c r="J28" s="52">
        <f t="shared" si="3"/>
        <v>3007488.2426666664</v>
      </c>
      <c r="K28" s="53">
        <f t="shared" si="4"/>
        <v>-1052620.8849333334</v>
      </c>
      <c r="L28" s="49">
        <f t="shared" si="5"/>
        <v>129631.10311666678</v>
      </c>
      <c r="M28" s="6"/>
      <c r="N28" s="54"/>
      <c r="O28" s="54"/>
      <c r="P28" s="54"/>
      <c r="Q28" s="54"/>
      <c r="R28" s="54"/>
      <c r="S28" s="54"/>
      <c r="T28" s="54"/>
    </row>
    <row r="29" spans="1:20" ht="14.4" x14ac:dyDescent="0.3">
      <c r="A29" s="47">
        <v>43069</v>
      </c>
      <c r="B29" s="48">
        <f t="shared" si="8"/>
        <v>4870932.8900000006</v>
      </c>
      <c r="C29" s="49">
        <v>4870932.8900000006</v>
      </c>
      <c r="D29" s="48">
        <f t="shared" si="7"/>
        <v>451556.80033333338</v>
      </c>
      <c r="E29" s="49">
        <v>81182.22</v>
      </c>
      <c r="F29" s="50">
        <f t="shared" si="6"/>
        <v>-4064011.2029999997</v>
      </c>
      <c r="G29" s="51">
        <f t="shared" si="1"/>
        <v>-686148.38</v>
      </c>
      <c r="H29" s="48">
        <f t="shared" si="2"/>
        <v>806921.68700000085</v>
      </c>
      <c r="I29" s="49">
        <f t="shared" si="2"/>
        <v>4184784.5100000007</v>
      </c>
      <c r="J29" s="52">
        <f t="shared" si="3"/>
        <v>3377862.8229999999</v>
      </c>
      <c r="K29" s="53">
        <f t="shared" si="4"/>
        <v>-1182251.98805</v>
      </c>
      <c r="L29" s="49">
        <f t="shared" si="5"/>
        <v>129631.10311666667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43100</v>
      </c>
      <c r="B30" s="48">
        <f t="shared" si="8"/>
        <v>7740973.7200000007</v>
      </c>
      <c r="C30" s="49">
        <v>7740973.7200000007</v>
      </c>
      <c r="D30" s="48">
        <f t="shared" si="7"/>
        <v>451556.80033333338</v>
      </c>
      <c r="E30" s="49">
        <v>103053.61</v>
      </c>
      <c r="F30" s="50">
        <f t="shared" si="6"/>
        <v>-4515568.0033333329</v>
      </c>
      <c r="G30" s="51">
        <f t="shared" si="1"/>
        <v>-789201.99</v>
      </c>
      <c r="H30" s="48">
        <f t="shared" si="2"/>
        <v>3225405.7166666677</v>
      </c>
      <c r="I30" s="49">
        <f t="shared" si="2"/>
        <v>6951771.7300000004</v>
      </c>
      <c r="J30" s="52">
        <f t="shared" si="3"/>
        <v>3726366.0133333327</v>
      </c>
      <c r="K30" s="53">
        <f t="shared" si="4"/>
        <v>-1304228.1046666666</v>
      </c>
      <c r="L30" s="49">
        <f t="shared" si="5"/>
        <v>121976.11661666655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43131</v>
      </c>
      <c r="B31" s="48">
        <f t="shared" si="8"/>
        <v>7740973.7200000007</v>
      </c>
      <c r="C31" s="49">
        <v>7740973.7200000007</v>
      </c>
      <c r="D31" s="140">
        <f>+((($B$42-$B$30)*$B$6/12)+($B$30-$B$18)*$C$5/12)</f>
        <v>393456.54152777774</v>
      </c>
      <c r="E31" s="49">
        <v>122982.32999999999</v>
      </c>
      <c r="F31" s="50">
        <f t="shared" si="6"/>
        <v>-4909024.5448611109</v>
      </c>
      <c r="G31" s="51">
        <f t="shared" si="1"/>
        <v>-912184.31999999995</v>
      </c>
      <c r="H31" s="48">
        <f t="shared" si="2"/>
        <v>2831949.1751388898</v>
      </c>
      <c r="I31" s="49">
        <f t="shared" si="2"/>
        <v>6828789.4000000004</v>
      </c>
      <c r="J31" s="52">
        <f t="shared" si="3"/>
        <v>3996840.2248611106</v>
      </c>
      <c r="K31" s="53">
        <f>(-(J31-J30)*$K$13)+K30</f>
        <v>-1361027.6890874999</v>
      </c>
      <c r="L31" s="49">
        <f t="shared" si="5"/>
        <v>56799.584420833271</v>
      </c>
      <c r="M31" s="6"/>
      <c r="N31" s="54"/>
      <c r="O31" s="54"/>
      <c r="P31" s="54"/>
      <c r="Q31" s="54"/>
      <c r="R31" s="54"/>
      <c r="S31" s="54"/>
      <c r="T31" s="54"/>
    </row>
    <row r="32" spans="1:20" x14ac:dyDescent="0.25">
      <c r="A32" s="47">
        <v>43159</v>
      </c>
      <c r="B32" s="48">
        <f t="shared" si="8"/>
        <v>7740973.7200000007</v>
      </c>
      <c r="C32" s="49">
        <v>7740973.7200000007</v>
      </c>
      <c r="D32" s="140">
        <f t="shared" ref="D32:D42" si="9">+((($B$42-$B$30)*$B$6/12)+($B$30-$B$18)*$C$5/12)</f>
        <v>393456.54152777774</v>
      </c>
      <c r="E32" s="49">
        <v>122982.36</v>
      </c>
      <c r="F32" s="50">
        <f t="shared" si="6"/>
        <v>-5302481.0863888888</v>
      </c>
      <c r="G32" s="51">
        <f t="shared" si="6"/>
        <v>-1035166.6799999999</v>
      </c>
      <c r="H32" s="48">
        <f t="shared" ref="H32:I47" si="10">B32+F32</f>
        <v>2438492.6336111119</v>
      </c>
      <c r="I32" s="49">
        <f t="shared" si="10"/>
        <v>6705807.040000001</v>
      </c>
      <c r="J32" s="52">
        <f t="shared" si="3"/>
        <v>4267314.4063888891</v>
      </c>
      <c r="K32" s="53">
        <f t="shared" ref="K32:K56" si="11">(-(J32-J31)*$K$13)+K31</f>
        <v>-1417827.2672083334</v>
      </c>
      <c r="L32" s="49">
        <f t="shared" si="5"/>
        <v>56799.578120833496</v>
      </c>
      <c r="M32" s="55"/>
      <c r="N32" s="54"/>
      <c r="O32" s="54"/>
      <c r="P32" s="54"/>
      <c r="Q32" s="54"/>
      <c r="R32" s="54"/>
      <c r="S32" s="54"/>
      <c r="T32" s="54"/>
    </row>
    <row r="33" spans="1:20" x14ac:dyDescent="0.25">
      <c r="A33" s="47">
        <v>43190</v>
      </c>
      <c r="B33" s="48">
        <f t="shared" si="8"/>
        <v>7740973.7200000007</v>
      </c>
      <c r="C33" s="49">
        <v>7740973.7200000007</v>
      </c>
      <c r="D33" s="140">
        <f t="shared" si="9"/>
        <v>393456.54152777774</v>
      </c>
      <c r="E33" s="49">
        <v>122982.35</v>
      </c>
      <c r="F33" s="50">
        <f t="shared" ref="F33:G48" si="12">+F32-D33</f>
        <v>-5695937.6279166667</v>
      </c>
      <c r="G33" s="51">
        <f t="shared" si="12"/>
        <v>-1158149.03</v>
      </c>
      <c r="H33" s="48">
        <f t="shared" si="10"/>
        <v>2045036.092083334</v>
      </c>
      <c r="I33" s="49">
        <f t="shared" si="10"/>
        <v>6582824.6900000004</v>
      </c>
      <c r="J33" s="52">
        <f t="shared" si="3"/>
        <v>4537788.5979166664</v>
      </c>
      <c r="K33" s="53">
        <f t="shared" si="11"/>
        <v>-1474626.8474291665</v>
      </c>
      <c r="L33" s="49">
        <f t="shared" si="5"/>
        <v>56799.580220833188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43220</v>
      </c>
      <c r="B34" s="48">
        <f t="shared" si="8"/>
        <v>7740973.7200000007</v>
      </c>
      <c r="C34" s="49">
        <v>7740973.7200000007</v>
      </c>
      <c r="D34" s="140">
        <f t="shared" si="9"/>
        <v>393456.54152777774</v>
      </c>
      <c r="E34" s="49">
        <v>122982.35</v>
      </c>
      <c r="F34" s="50">
        <f t="shared" si="12"/>
        <v>-6089394.1694444446</v>
      </c>
      <c r="G34" s="51">
        <f t="shared" si="12"/>
        <v>-1281131.3800000001</v>
      </c>
      <c r="H34" s="48">
        <f t="shared" si="10"/>
        <v>1651579.5505555561</v>
      </c>
      <c r="I34" s="49">
        <f t="shared" si="10"/>
        <v>6459842.3400000008</v>
      </c>
      <c r="J34" s="52">
        <f t="shared" si="3"/>
        <v>4808262.7894444447</v>
      </c>
      <c r="K34" s="53">
        <f t="shared" si="11"/>
        <v>-1531426.42765</v>
      </c>
      <c r="L34" s="49">
        <f t="shared" si="5"/>
        <v>56799.580220833421</v>
      </c>
      <c r="M34" s="55"/>
      <c r="N34" s="56"/>
      <c r="O34" s="54"/>
      <c r="P34" s="54"/>
      <c r="Q34" s="54"/>
      <c r="R34" s="54"/>
      <c r="S34" s="54"/>
      <c r="T34" s="54"/>
    </row>
    <row r="35" spans="1:20" x14ac:dyDescent="0.25">
      <c r="A35" s="47">
        <v>43251</v>
      </c>
      <c r="B35" s="48">
        <f t="shared" si="8"/>
        <v>7740973.7200000007</v>
      </c>
      <c r="C35" s="49">
        <v>7740973.7200000007</v>
      </c>
      <c r="D35" s="140">
        <f t="shared" si="9"/>
        <v>393456.54152777774</v>
      </c>
      <c r="E35" s="49">
        <v>88348.62</v>
      </c>
      <c r="F35" s="50">
        <f t="shared" si="12"/>
        <v>-6482850.7109722225</v>
      </c>
      <c r="G35" s="51">
        <f t="shared" si="12"/>
        <v>-1369480</v>
      </c>
      <c r="H35" s="48">
        <f t="shared" si="10"/>
        <v>1258123.0090277782</v>
      </c>
      <c r="I35" s="49">
        <f t="shared" si="10"/>
        <v>6371493.7200000007</v>
      </c>
      <c r="J35" s="52">
        <f t="shared" si="3"/>
        <v>5113370.7109722225</v>
      </c>
      <c r="K35" s="53">
        <f t="shared" si="11"/>
        <v>-1595499.0911708332</v>
      </c>
      <c r="L35" s="49">
        <f t="shared" si="5"/>
        <v>64072.663520833245</v>
      </c>
      <c r="M35" s="55"/>
      <c r="N35" s="54"/>
      <c r="O35" s="54"/>
      <c r="P35" s="54"/>
      <c r="Q35" s="54"/>
      <c r="R35" s="54"/>
      <c r="S35" s="54"/>
      <c r="T35" s="54"/>
    </row>
    <row r="36" spans="1:20" ht="13.8" thickBot="1" x14ac:dyDescent="0.3">
      <c r="A36" s="133">
        <v>43281</v>
      </c>
      <c r="B36" s="134">
        <f t="shared" si="8"/>
        <v>28328870.989999998</v>
      </c>
      <c r="C36" s="135">
        <v>28328870.989999998</v>
      </c>
      <c r="D36" s="141">
        <f t="shared" si="9"/>
        <v>393456.54152777774</v>
      </c>
      <c r="E36" s="135">
        <v>388703.97000000003</v>
      </c>
      <c r="F36" s="136">
        <f t="shared" si="12"/>
        <v>-6876307.2525000004</v>
      </c>
      <c r="G36" s="137">
        <f t="shared" si="12"/>
        <v>-1758183.97</v>
      </c>
      <c r="H36" s="134">
        <f t="shared" si="10"/>
        <v>21452563.737499997</v>
      </c>
      <c r="I36" s="135">
        <f t="shared" si="10"/>
        <v>26570687.02</v>
      </c>
      <c r="J36" s="138">
        <f t="shared" si="3"/>
        <v>5118123.2825000025</v>
      </c>
      <c r="K36" s="139">
        <f t="shared" si="11"/>
        <v>-1596497.1311916669</v>
      </c>
      <c r="L36" s="135">
        <f t="shared" si="5"/>
        <v>998.04002083372325</v>
      </c>
      <c r="M36" s="142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43312</v>
      </c>
      <c r="B37" s="48">
        <f t="shared" si="8"/>
        <v>28328870.989999998</v>
      </c>
      <c r="C37" s="49">
        <f>C36</f>
        <v>28328870.989999998</v>
      </c>
      <c r="D37" s="48">
        <f t="shared" si="9"/>
        <v>393456.54152777774</v>
      </c>
      <c r="E37" s="143">
        <f>E36</f>
        <v>388703.97000000003</v>
      </c>
      <c r="F37" s="50">
        <f t="shared" si="12"/>
        <v>-7269763.7940277783</v>
      </c>
      <c r="G37" s="51">
        <f t="shared" si="12"/>
        <v>-2146887.94</v>
      </c>
      <c r="H37" s="48">
        <f t="shared" si="10"/>
        <v>21059107.195972219</v>
      </c>
      <c r="I37" s="49">
        <f t="shared" si="10"/>
        <v>26181983.049999997</v>
      </c>
      <c r="J37" s="52">
        <f t="shared" si="3"/>
        <v>5122875.8540277779</v>
      </c>
      <c r="K37" s="53">
        <f t="shared" si="11"/>
        <v>-1597495.1712124997</v>
      </c>
      <c r="L37" s="49">
        <f t="shared" si="5"/>
        <v>998.04002083279192</v>
      </c>
      <c r="M37" s="142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43343</v>
      </c>
      <c r="B38" s="48">
        <f t="shared" si="8"/>
        <v>28328870.989999998</v>
      </c>
      <c r="C38" s="49">
        <f t="shared" ref="C38:C56" si="13">C37</f>
        <v>28328870.989999998</v>
      </c>
      <c r="D38" s="48">
        <f t="shared" si="9"/>
        <v>393456.54152777774</v>
      </c>
      <c r="E38" s="143">
        <f t="shared" ref="E38:E56" si="14">E37</f>
        <v>388703.97000000003</v>
      </c>
      <c r="F38" s="50">
        <f t="shared" si="12"/>
        <v>-7663220.3355555562</v>
      </c>
      <c r="G38" s="51">
        <f t="shared" si="12"/>
        <v>-2535591.91</v>
      </c>
      <c r="H38" s="48">
        <f t="shared" si="10"/>
        <v>20665650.654444441</v>
      </c>
      <c r="I38" s="49">
        <f t="shared" si="10"/>
        <v>25793279.079999998</v>
      </c>
      <c r="J38" s="52">
        <f t="shared" si="3"/>
        <v>5127628.425555557</v>
      </c>
      <c r="K38" s="53">
        <f t="shared" si="11"/>
        <v>-1598493.2112333335</v>
      </c>
      <c r="L38" s="49">
        <f t="shared" si="5"/>
        <v>998.04002083372325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43373</v>
      </c>
      <c r="B39" s="48">
        <f t="shared" si="8"/>
        <v>28328870.989999998</v>
      </c>
      <c r="C39" s="49">
        <f t="shared" si="13"/>
        <v>28328870.989999998</v>
      </c>
      <c r="D39" s="48">
        <f t="shared" si="9"/>
        <v>393456.54152777774</v>
      </c>
      <c r="E39" s="143">
        <f t="shared" si="14"/>
        <v>388703.97000000003</v>
      </c>
      <c r="F39" s="50">
        <f t="shared" si="12"/>
        <v>-8056676.8770833341</v>
      </c>
      <c r="G39" s="51">
        <f t="shared" si="12"/>
        <v>-2924295.8800000004</v>
      </c>
      <c r="H39" s="48">
        <f t="shared" si="10"/>
        <v>20272194.112916663</v>
      </c>
      <c r="I39" s="49">
        <f t="shared" si="10"/>
        <v>25404575.109999999</v>
      </c>
      <c r="J39" s="52">
        <f t="shared" si="3"/>
        <v>5132380.9970833361</v>
      </c>
      <c r="K39" s="53">
        <f t="shared" si="11"/>
        <v>-1599491.2512541672</v>
      </c>
      <c r="L39" s="49">
        <f t="shared" si="5"/>
        <v>998.04002083372325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43404</v>
      </c>
      <c r="B40" s="48">
        <f t="shared" si="8"/>
        <v>28328870.989999998</v>
      </c>
      <c r="C40" s="49">
        <f t="shared" si="13"/>
        <v>28328870.989999998</v>
      </c>
      <c r="D40" s="48">
        <f t="shared" si="9"/>
        <v>393456.54152777774</v>
      </c>
      <c r="E40" s="143">
        <f t="shared" si="14"/>
        <v>388703.97000000003</v>
      </c>
      <c r="F40" s="50">
        <f t="shared" si="12"/>
        <v>-8450133.4186111111</v>
      </c>
      <c r="G40" s="51">
        <f t="shared" si="12"/>
        <v>-3312999.8500000006</v>
      </c>
      <c r="H40" s="48">
        <f t="shared" si="10"/>
        <v>19878737.571388885</v>
      </c>
      <c r="I40" s="49">
        <f t="shared" si="10"/>
        <v>25015871.139999997</v>
      </c>
      <c r="J40" s="52">
        <f t="shared" si="3"/>
        <v>5137133.5686111115</v>
      </c>
      <c r="K40" s="53">
        <f t="shared" si="11"/>
        <v>-1600489.291275</v>
      </c>
      <c r="L40" s="49">
        <f t="shared" si="5"/>
        <v>998.04002083279192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43434</v>
      </c>
      <c r="B41" s="48">
        <f t="shared" si="8"/>
        <v>28328870.989999998</v>
      </c>
      <c r="C41" s="49">
        <f t="shared" si="13"/>
        <v>28328870.989999998</v>
      </c>
      <c r="D41" s="48">
        <f t="shared" si="9"/>
        <v>393456.54152777774</v>
      </c>
      <c r="E41" s="143">
        <f t="shared" si="14"/>
        <v>388703.97000000003</v>
      </c>
      <c r="F41" s="50">
        <f t="shared" si="12"/>
        <v>-8843589.960138889</v>
      </c>
      <c r="G41" s="51">
        <f t="shared" si="12"/>
        <v>-3701703.8200000008</v>
      </c>
      <c r="H41" s="48">
        <f t="shared" si="10"/>
        <v>19485281.029861107</v>
      </c>
      <c r="I41" s="49">
        <f t="shared" si="10"/>
        <v>24627167.169999998</v>
      </c>
      <c r="J41" s="52">
        <f t="shared" si="3"/>
        <v>5141886.1401388906</v>
      </c>
      <c r="K41" s="53">
        <f t="shared" si="11"/>
        <v>-1601487.3312958337</v>
      </c>
      <c r="L41" s="49">
        <f t="shared" si="5"/>
        <v>998.04002083372325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43465</v>
      </c>
      <c r="B42" s="48">
        <f t="shared" si="8"/>
        <v>28328870.989999998</v>
      </c>
      <c r="C42" s="49">
        <f t="shared" si="13"/>
        <v>28328870.989999998</v>
      </c>
      <c r="D42" s="48">
        <f t="shared" si="9"/>
        <v>393456.54152777774</v>
      </c>
      <c r="E42" s="143">
        <f t="shared" si="14"/>
        <v>388703.97000000003</v>
      </c>
      <c r="F42" s="50">
        <f t="shared" si="12"/>
        <v>-9237046.5016666669</v>
      </c>
      <c r="G42" s="51">
        <f t="shared" si="12"/>
        <v>-4090407.790000001</v>
      </c>
      <c r="H42" s="48">
        <f t="shared" si="10"/>
        <v>19091824.48833333</v>
      </c>
      <c r="I42" s="49">
        <f t="shared" si="10"/>
        <v>24238463.199999996</v>
      </c>
      <c r="J42" s="52">
        <f t="shared" si="3"/>
        <v>5146638.711666666</v>
      </c>
      <c r="K42" s="53">
        <f t="shared" si="11"/>
        <v>-1602485.3713166665</v>
      </c>
      <c r="L42" s="49">
        <f t="shared" si="5"/>
        <v>998.04002083279192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43496</v>
      </c>
      <c r="B43" s="48">
        <f t="shared" si="8"/>
        <v>28328870.989999998</v>
      </c>
      <c r="C43" s="49">
        <f t="shared" si="13"/>
        <v>28328870.989999998</v>
      </c>
      <c r="D43" s="48">
        <f>+((($B$42-$B$30)*$C$6/12)+($B$30-$B$18)*$D$5/12)</f>
        <v>679399.55916666659</v>
      </c>
      <c r="E43" s="143">
        <f t="shared" si="14"/>
        <v>388703.97000000003</v>
      </c>
      <c r="F43" s="50">
        <f t="shared" si="12"/>
        <v>-9916446.0608333331</v>
      </c>
      <c r="G43" s="51">
        <f t="shared" si="12"/>
        <v>-4479111.7600000007</v>
      </c>
      <c r="H43" s="48">
        <f t="shared" si="10"/>
        <v>18412424.929166667</v>
      </c>
      <c r="I43" s="49">
        <f t="shared" si="10"/>
        <v>23849759.229999997</v>
      </c>
      <c r="J43" s="52">
        <f t="shared" si="3"/>
        <v>5437334.3008333296</v>
      </c>
      <c r="K43" s="53">
        <f t="shared" si="11"/>
        <v>-1663531.4450416658</v>
      </c>
      <c r="L43" s="49">
        <f t="shared" si="5"/>
        <v>61046.073724999325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43524</v>
      </c>
      <c r="B44" s="48">
        <f t="shared" si="8"/>
        <v>28328870.989999998</v>
      </c>
      <c r="C44" s="49">
        <f t="shared" si="13"/>
        <v>28328870.989999998</v>
      </c>
      <c r="D44" s="48">
        <f t="shared" ref="D44:D54" si="15">+((($B$42-$B$30)*$C$6/12)+($B$30-$B$18)*$D$5/12)</f>
        <v>679399.55916666659</v>
      </c>
      <c r="E44" s="143">
        <f t="shared" si="14"/>
        <v>388703.97000000003</v>
      </c>
      <c r="F44" s="50">
        <f t="shared" si="12"/>
        <v>-10595845.619999999</v>
      </c>
      <c r="G44" s="51">
        <f t="shared" si="12"/>
        <v>-4867815.7300000004</v>
      </c>
      <c r="H44" s="48">
        <f t="shared" si="10"/>
        <v>17733025.369999997</v>
      </c>
      <c r="I44" s="49">
        <f t="shared" si="10"/>
        <v>23461055.259999998</v>
      </c>
      <c r="J44" s="52">
        <f t="shared" si="3"/>
        <v>5728029.8900000006</v>
      </c>
      <c r="K44" s="53">
        <f t="shared" si="11"/>
        <v>-1724577.5187666668</v>
      </c>
      <c r="L44" s="49">
        <f t="shared" si="5"/>
        <v>61046.073725000955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43555</v>
      </c>
      <c r="B45" s="48">
        <f t="shared" si="8"/>
        <v>28328870.989999998</v>
      </c>
      <c r="C45" s="49">
        <f t="shared" si="13"/>
        <v>28328870.989999998</v>
      </c>
      <c r="D45" s="48">
        <f t="shared" si="15"/>
        <v>679399.55916666659</v>
      </c>
      <c r="E45" s="143">
        <f t="shared" si="14"/>
        <v>388703.97000000003</v>
      </c>
      <c r="F45" s="50">
        <f t="shared" si="12"/>
        <v>-11275245.179166665</v>
      </c>
      <c r="G45" s="51">
        <f t="shared" si="12"/>
        <v>-5256519.7</v>
      </c>
      <c r="H45" s="48">
        <f t="shared" si="10"/>
        <v>17053625.810833335</v>
      </c>
      <c r="I45" s="49">
        <f t="shared" si="10"/>
        <v>23072351.289999999</v>
      </c>
      <c r="J45" s="52">
        <f t="shared" si="3"/>
        <v>6018725.4791666642</v>
      </c>
      <c r="K45" s="53">
        <f t="shared" si="11"/>
        <v>-1785623.5924916661</v>
      </c>
      <c r="L45" s="49">
        <f t="shared" si="5"/>
        <v>61046.073724999325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43585</v>
      </c>
      <c r="B46" s="48">
        <f t="shared" si="8"/>
        <v>28328870.989999998</v>
      </c>
      <c r="C46" s="49">
        <f t="shared" si="13"/>
        <v>28328870.989999998</v>
      </c>
      <c r="D46" s="48">
        <f t="shared" si="15"/>
        <v>679399.55916666659</v>
      </c>
      <c r="E46" s="143">
        <f t="shared" si="14"/>
        <v>388703.97000000003</v>
      </c>
      <c r="F46" s="50">
        <f t="shared" si="12"/>
        <v>-11954644.738333331</v>
      </c>
      <c r="G46" s="51">
        <f t="shared" si="12"/>
        <v>-5645223.6699999999</v>
      </c>
      <c r="H46" s="48">
        <f t="shared" si="10"/>
        <v>16374226.251666667</v>
      </c>
      <c r="I46" s="49">
        <f t="shared" si="10"/>
        <v>22683647.32</v>
      </c>
      <c r="J46" s="52">
        <f t="shared" si="3"/>
        <v>6309421.0683333334</v>
      </c>
      <c r="K46" s="53">
        <f t="shared" si="11"/>
        <v>-1846669.6662166666</v>
      </c>
      <c r="L46" s="49">
        <f t="shared" si="5"/>
        <v>61046.07372500049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43616</v>
      </c>
      <c r="B47" s="48">
        <f t="shared" si="8"/>
        <v>28328870.989999998</v>
      </c>
      <c r="C47" s="49">
        <f t="shared" si="13"/>
        <v>28328870.989999998</v>
      </c>
      <c r="D47" s="48">
        <f t="shared" si="15"/>
        <v>679399.55916666659</v>
      </c>
      <c r="E47" s="143">
        <f t="shared" si="14"/>
        <v>388703.97000000003</v>
      </c>
      <c r="F47" s="50">
        <f t="shared" si="12"/>
        <v>-12634044.297499998</v>
      </c>
      <c r="G47" s="51">
        <f t="shared" si="12"/>
        <v>-6033927.6399999997</v>
      </c>
      <c r="H47" s="48">
        <f t="shared" si="10"/>
        <v>15694826.692500001</v>
      </c>
      <c r="I47" s="49">
        <f t="shared" si="10"/>
        <v>22294943.349999998</v>
      </c>
      <c r="J47" s="52">
        <f t="shared" si="3"/>
        <v>6600116.6574999969</v>
      </c>
      <c r="K47" s="53">
        <f t="shared" si="11"/>
        <v>-1907715.7399416659</v>
      </c>
      <c r="L47" s="49">
        <f t="shared" si="5"/>
        <v>61046.073724999325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43646</v>
      </c>
      <c r="B48" s="48">
        <f t="shared" si="8"/>
        <v>28328870.989999998</v>
      </c>
      <c r="C48" s="49">
        <f t="shared" si="13"/>
        <v>28328870.989999998</v>
      </c>
      <c r="D48" s="48">
        <f t="shared" si="15"/>
        <v>679399.55916666659</v>
      </c>
      <c r="E48" s="143">
        <f t="shared" si="14"/>
        <v>388703.97000000003</v>
      </c>
      <c r="F48" s="50">
        <f t="shared" si="12"/>
        <v>-13313443.856666664</v>
      </c>
      <c r="G48" s="51">
        <f t="shared" si="12"/>
        <v>-6422631.6099999994</v>
      </c>
      <c r="H48" s="48">
        <f t="shared" ref="H48:I56" si="16">B48+F48</f>
        <v>15015427.133333335</v>
      </c>
      <c r="I48" s="49">
        <f t="shared" si="16"/>
        <v>21906239.379999999</v>
      </c>
      <c r="J48" s="52">
        <f t="shared" si="3"/>
        <v>6890812.2466666643</v>
      </c>
      <c r="K48" s="53">
        <f t="shared" si="11"/>
        <v>-1968761.8136666659</v>
      </c>
      <c r="L48" s="49">
        <f t="shared" si="5"/>
        <v>61046.073725000024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43677</v>
      </c>
      <c r="B49" s="48">
        <f t="shared" si="8"/>
        <v>28328870.989999998</v>
      </c>
      <c r="C49" s="49">
        <f t="shared" si="13"/>
        <v>28328870.989999998</v>
      </c>
      <c r="D49" s="48">
        <f t="shared" si="15"/>
        <v>679399.55916666659</v>
      </c>
      <c r="E49" s="143">
        <f t="shared" si="14"/>
        <v>388703.97000000003</v>
      </c>
      <c r="F49" s="50">
        <f t="shared" ref="F49:G56" si="17">+F48-D49</f>
        <v>-13992843.41583333</v>
      </c>
      <c r="G49" s="51">
        <f t="shared" si="17"/>
        <v>-6811335.5799999991</v>
      </c>
      <c r="H49" s="48">
        <f t="shared" si="16"/>
        <v>14336027.574166669</v>
      </c>
      <c r="I49" s="49">
        <f t="shared" si="16"/>
        <v>21517535.41</v>
      </c>
      <c r="J49" s="52">
        <f t="shared" si="3"/>
        <v>7181507.8358333316</v>
      </c>
      <c r="K49" s="53">
        <f t="shared" si="11"/>
        <v>-2029807.887391666</v>
      </c>
      <c r="L49" s="49">
        <f t="shared" si="5"/>
        <v>61046.073725000024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43708</v>
      </c>
      <c r="B50" s="48">
        <f t="shared" si="8"/>
        <v>28328870.989999998</v>
      </c>
      <c r="C50" s="49">
        <f t="shared" si="13"/>
        <v>28328870.989999998</v>
      </c>
      <c r="D50" s="48">
        <f t="shared" si="15"/>
        <v>679399.55916666659</v>
      </c>
      <c r="E50" s="143">
        <f t="shared" si="14"/>
        <v>388703.97000000003</v>
      </c>
      <c r="F50" s="50">
        <f t="shared" si="17"/>
        <v>-14672242.974999996</v>
      </c>
      <c r="G50" s="51">
        <f t="shared" si="17"/>
        <v>-7200039.5499999989</v>
      </c>
      <c r="H50" s="48">
        <f t="shared" si="16"/>
        <v>13656628.015000002</v>
      </c>
      <c r="I50" s="49">
        <f t="shared" si="16"/>
        <v>21128831.439999998</v>
      </c>
      <c r="J50" s="52">
        <f t="shared" si="3"/>
        <v>7472203.4249999952</v>
      </c>
      <c r="K50" s="53">
        <f t="shared" si="11"/>
        <v>-2090853.9611166653</v>
      </c>
      <c r="L50" s="49">
        <f t="shared" si="5"/>
        <v>61046.073724999325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43738</v>
      </c>
      <c r="B51" s="48">
        <f t="shared" si="8"/>
        <v>28328870.989999998</v>
      </c>
      <c r="C51" s="49">
        <f t="shared" si="13"/>
        <v>28328870.989999998</v>
      </c>
      <c r="D51" s="48">
        <f t="shared" si="15"/>
        <v>679399.55916666659</v>
      </c>
      <c r="E51" s="143">
        <f t="shared" si="14"/>
        <v>388703.97000000003</v>
      </c>
      <c r="F51" s="50">
        <f t="shared" si="17"/>
        <v>-15351642.534166662</v>
      </c>
      <c r="G51" s="51">
        <f t="shared" si="17"/>
        <v>-7588743.5199999986</v>
      </c>
      <c r="H51" s="48">
        <f t="shared" si="16"/>
        <v>12977228.455833336</v>
      </c>
      <c r="I51" s="49">
        <f t="shared" si="16"/>
        <v>20740127.469999999</v>
      </c>
      <c r="J51" s="52">
        <f t="shared" si="3"/>
        <v>7762899.0141666625</v>
      </c>
      <c r="K51" s="53">
        <f t="shared" si="11"/>
        <v>-2151900.0348416655</v>
      </c>
      <c r="L51" s="49">
        <f t="shared" si="5"/>
        <v>61046.073725000257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43769</v>
      </c>
      <c r="B52" s="48">
        <f t="shared" si="8"/>
        <v>28328870.989999998</v>
      </c>
      <c r="C52" s="49">
        <f t="shared" si="13"/>
        <v>28328870.989999998</v>
      </c>
      <c r="D52" s="48">
        <f t="shared" si="15"/>
        <v>679399.55916666659</v>
      </c>
      <c r="E52" s="143">
        <f t="shared" si="14"/>
        <v>388703.97000000003</v>
      </c>
      <c r="F52" s="50">
        <f t="shared" si="17"/>
        <v>-16031042.093333328</v>
      </c>
      <c r="G52" s="51">
        <f t="shared" si="17"/>
        <v>-7977447.4899999984</v>
      </c>
      <c r="H52" s="48">
        <f t="shared" si="16"/>
        <v>12297828.89666667</v>
      </c>
      <c r="I52" s="49">
        <f t="shared" si="16"/>
        <v>20351423.5</v>
      </c>
      <c r="J52" s="52">
        <f t="shared" si="3"/>
        <v>8053594.6033333298</v>
      </c>
      <c r="K52" s="53">
        <f t="shared" si="11"/>
        <v>-2212946.1085666656</v>
      </c>
      <c r="L52" s="49">
        <f t="shared" si="5"/>
        <v>61046.073725000024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43799</v>
      </c>
      <c r="B53" s="48">
        <f t="shared" si="8"/>
        <v>28328870.989999998</v>
      </c>
      <c r="C53" s="49">
        <f t="shared" si="13"/>
        <v>28328870.989999998</v>
      </c>
      <c r="D53" s="48">
        <f t="shared" si="15"/>
        <v>679399.55916666659</v>
      </c>
      <c r="E53" s="143">
        <f t="shared" si="14"/>
        <v>388703.97000000003</v>
      </c>
      <c r="F53" s="50">
        <f t="shared" si="17"/>
        <v>-16710441.652499994</v>
      </c>
      <c r="G53" s="51">
        <f t="shared" si="17"/>
        <v>-8366151.4599999981</v>
      </c>
      <c r="H53" s="48">
        <f t="shared" si="16"/>
        <v>11618429.337500004</v>
      </c>
      <c r="I53" s="49">
        <f t="shared" si="16"/>
        <v>19962719.530000001</v>
      </c>
      <c r="J53" s="52">
        <f t="shared" si="3"/>
        <v>8344290.1924999971</v>
      </c>
      <c r="K53" s="53">
        <f t="shared" si="11"/>
        <v>-2273992.1822916656</v>
      </c>
      <c r="L53" s="49">
        <f t="shared" si="5"/>
        <v>61046.073725000024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43830</v>
      </c>
      <c r="B54" s="48">
        <f t="shared" si="8"/>
        <v>28328870.989999998</v>
      </c>
      <c r="C54" s="49">
        <f t="shared" si="13"/>
        <v>28328870.989999998</v>
      </c>
      <c r="D54" s="48">
        <f t="shared" si="15"/>
        <v>679399.55916666659</v>
      </c>
      <c r="E54" s="143">
        <f t="shared" si="14"/>
        <v>388703.97000000003</v>
      </c>
      <c r="F54" s="50">
        <f t="shared" si="17"/>
        <v>-17389841.211666662</v>
      </c>
      <c r="G54" s="51">
        <f t="shared" si="17"/>
        <v>-8754855.4299999978</v>
      </c>
      <c r="H54" s="48">
        <f t="shared" si="16"/>
        <v>10939029.778333336</v>
      </c>
      <c r="I54" s="49">
        <f t="shared" si="16"/>
        <v>19574015.560000002</v>
      </c>
      <c r="J54" s="52">
        <f t="shared" si="3"/>
        <v>8634985.7816666663</v>
      </c>
      <c r="K54" s="53">
        <f t="shared" si="11"/>
        <v>-2335038.2560166661</v>
      </c>
      <c r="L54" s="49">
        <f t="shared" si="5"/>
        <v>61046.07372500049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43861</v>
      </c>
      <c r="B55" s="48">
        <f t="shared" si="8"/>
        <v>28328870.989999998</v>
      </c>
      <c r="C55" s="49">
        <f t="shared" si="13"/>
        <v>28328870.989999998</v>
      </c>
      <c r="D55" s="48">
        <f>+((($B$42-$B$30)*$D$6/12)+($B$30-$B$18)*$E$5/12)</f>
        <v>625642.7972222222</v>
      </c>
      <c r="E55" s="143">
        <f t="shared" si="14"/>
        <v>388703.97000000003</v>
      </c>
      <c r="F55" s="50">
        <f t="shared" si="17"/>
        <v>-18015484.008888885</v>
      </c>
      <c r="G55" s="51">
        <f t="shared" si="17"/>
        <v>-9143559.3999999985</v>
      </c>
      <c r="H55" s="48">
        <f t="shared" si="16"/>
        <v>10313386.981111113</v>
      </c>
      <c r="I55" s="49">
        <f t="shared" si="16"/>
        <v>19185311.59</v>
      </c>
      <c r="J55" s="52">
        <f t="shared" si="3"/>
        <v>8871924.6088888869</v>
      </c>
      <c r="K55" s="53">
        <f t="shared" si="11"/>
        <v>-2384795.4097333322</v>
      </c>
      <c r="L55" s="49">
        <f t="shared" si="5"/>
        <v>49757.153716666158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43890</v>
      </c>
      <c r="B56" s="48">
        <f t="shared" si="8"/>
        <v>28328870.989999998</v>
      </c>
      <c r="C56" s="49">
        <f t="shared" si="13"/>
        <v>28328870.989999998</v>
      </c>
      <c r="D56" s="48">
        <f>+((($B$42-$B$30)*$D$6/12)+($B$30-$B$18)*$E$5/12)</f>
        <v>625642.7972222222</v>
      </c>
      <c r="E56" s="143">
        <f t="shared" si="14"/>
        <v>388703.97000000003</v>
      </c>
      <c r="F56" s="50">
        <f t="shared" si="17"/>
        <v>-18641126.806111109</v>
      </c>
      <c r="G56" s="51">
        <f t="shared" si="17"/>
        <v>-9532263.3699999992</v>
      </c>
      <c r="H56" s="48">
        <f t="shared" si="16"/>
        <v>9687744.1838888898</v>
      </c>
      <c r="I56" s="49">
        <f t="shared" si="16"/>
        <v>18796607.619999997</v>
      </c>
      <c r="J56" s="52">
        <f t="shared" si="3"/>
        <v>9108863.4361111075</v>
      </c>
      <c r="K56" s="53">
        <f t="shared" si="11"/>
        <v>-2434552.5634499984</v>
      </c>
      <c r="L56" s="49">
        <f t="shared" si="5"/>
        <v>49757.153716666158</v>
      </c>
      <c r="M56" s="55"/>
      <c r="N56" s="54"/>
      <c r="O56" s="54"/>
      <c r="P56" s="54"/>
      <c r="Q56" s="54"/>
      <c r="R56" s="54"/>
      <c r="S56" s="54"/>
      <c r="T56" s="54"/>
    </row>
    <row r="57" spans="1:20" ht="13.8" thickBot="1" x14ac:dyDescent="0.3">
      <c r="A57" s="57"/>
      <c r="B57" s="58"/>
      <c r="C57" s="59"/>
      <c r="D57" s="58"/>
      <c r="E57" s="59"/>
      <c r="F57" s="58"/>
      <c r="G57" s="59"/>
      <c r="H57" s="58"/>
      <c r="I57" s="59"/>
      <c r="J57" s="60"/>
      <c r="K57" s="59"/>
      <c r="L57" s="59"/>
      <c r="M57" s="55"/>
      <c r="N57" s="54"/>
      <c r="O57" s="54"/>
      <c r="P57" s="54"/>
      <c r="Q57" s="54"/>
      <c r="R57" s="54"/>
      <c r="S57" s="54"/>
      <c r="T57" s="54"/>
    </row>
    <row r="58" spans="1:20" ht="13.8" thickBot="1" x14ac:dyDescent="0.3">
      <c r="A58" s="61"/>
      <c r="B58" s="61"/>
      <c r="C58" s="62"/>
      <c r="D58" s="61"/>
      <c r="E58" s="62"/>
      <c r="F58" s="61"/>
      <c r="G58" s="62"/>
      <c r="H58" s="61"/>
      <c r="I58" s="63"/>
      <c r="J58" s="64"/>
      <c r="K58" s="65"/>
      <c r="L58" s="66"/>
      <c r="M58" s="55"/>
      <c r="N58" s="67"/>
      <c r="O58" s="68"/>
      <c r="P58" s="54"/>
      <c r="Q58" s="54"/>
      <c r="R58" s="54"/>
      <c r="S58" s="54"/>
      <c r="T58" s="54"/>
    </row>
    <row r="59" spans="1:20" ht="13.8" thickTop="1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4"/>
      <c r="O59" s="54"/>
      <c r="P59" s="54"/>
      <c r="Q59" s="54"/>
      <c r="R59" s="54"/>
      <c r="S59" s="54"/>
      <c r="T59" s="54"/>
    </row>
    <row r="60" spans="1:20" x14ac:dyDescent="0.25">
      <c r="A60" s="54"/>
      <c r="B60" s="54"/>
      <c r="C60" s="69"/>
      <c r="D60" s="54"/>
      <c r="E60" s="54"/>
      <c r="F60" s="70"/>
      <c r="G60" s="69"/>
      <c r="H60" s="54"/>
      <c r="I60" s="69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5">
      <c r="A62" s="18" t="s">
        <v>43</v>
      </c>
      <c r="B62" s="54"/>
      <c r="C62" s="54"/>
      <c r="E62" s="54"/>
      <c r="F62" s="54"/>
      <c r="G62" s="78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4.4" x14ac:dyDescent="0.3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"/>
      <c r="N63" s="6"/>
      <c r="O63" s="6"/>
    </row>
    <row r="64" spans="1:20" ht="14.4" x14ac:dyDescent="0.3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6"/>
      <c r="N64" s="6"/>
      <c r="O64" s="6"/>
      <c r="P64" s="6"/>
    </row>
    <row r="65" spans="2:12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pageSetUpPr fitToPage="1"/>
  </sheetPr>
  <dimension ref="A1:W66"/>
  <sheetViews>
    <sheetView zoomScale="80" zoomScaleNormal="80" workbookViewId="0">
      <pane xSplit="1" ySplit="14" topLeftCell="B21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11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82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ht="14.4" x14ac:dyDescent="0.3">
      <c r="A2" s="11" t="s">
        <v>53</v>
      </c>
      <c r="B2" s="79"/>
      <c r="C2" s="79"/>
      <c r="D2" s="79"/>
      <c r="E2" s="79"/>
      <c r="F2" s="79"/>
      <c r="G2" s="79"/>
      <c r="H2" s="79"/>
      <c r="I2" s="79"/>
      <c r="J2" s="5"/>
      <c r="K2" s="5"/>
      <c r="L2" s="7" t="s">
        <v>54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55</v>
      </c>
      <c r="B4" s="72" t="s">
        <v>47</v>
      </c>
      <c r="C4" s="72" t="s">
        <v>48</v>
      </c>
      <c r="D4" s="72" t="s">
        <v>49</v>
      </c>
      <c r="E4" s="72" t="s">
        <v>50</v>
      </c>
      <c r="F4" s="72" t="s">
        <v>56</v>
      </c>
      <c r="G4" s="72" t="s">
        <v>57</v>
      </c>
      <c r="H4" s="72" t="s">
        <v>58</v>
      </c>
      <c r="I4" s="72" t="s">
        <v>59</v>
      </c>
      <c r="J4" s="73"/>
      <c r="K4" s="73"/>
      <c r="L4" s="73"/>
    </row>
    <row r="5" spans="1:23" s="10" customFormat="1" x14ac:dyDescent="0.25">
      <c r="A5" s="74" t="s">
        <v>51</v>
      </c>
      <c r="B5" s="75">
        <v>0.57145000000000001</v>
      </c>
      <c r="C5" s="75">
        <v>0.12245</v>
      </c>
      <c r="D5" s="75">
        <v>8.745E-2</v>
      </c>
      <c r="E5" s="80">
        <v>6.2449999999999999E-2</v>
      </c>
      <c r="F5" s="80">
        <v>4.4650000000000002E-2</v>
      </c>
      <c r="G5" s="80">
        <v>4.4600000000000001E-2</v>
      </c>
      <c r="H5" s="80">
        <v>4.4650000000000002E-2</v>
      </c>
      <c r="I5" s="75">
        <v>2.23E-2</v>
      </c>
      <c r="J5" s="22"/>
      <c r="K5" s="22"/>
      <c r="L5" s="22"/>
    </row>
    <row r="6" spans="1:23" s="10" customFormat="1" ht="14.4" x14ac:dyDescent="0.3">
      <c r="A6" s="20" t="s">
        <v>52</v>
      </c>
      <c r="B6" s="21">
        <v>0.1429</v>
      </c>
      <c r="C6" s="21">
        <v>0.24490000000000001</v>
      </c>
      <c r="D6" s="21">
        <v>0.1749</v>
      </c>
      <c r="E6" s="21">
        <v>0.1249</v>
      </c>
      <c r="F6" s="21">
        <v>8.9300000000000004E-2</v>
      </c>
      <c r="G6" s="21">
        <v>8.9200000000000002E-2</v>
      </c>
      <c r="H6" s="21">
        <v>8.9300000000000004E-2</v>
      </c>
      <c r="I6" s="21">
        <v>4.4600000000000001E-2</v>
      </c>
      <c r="J6" s="22"/>
      <c r="K6" s="77"/>
      <c r="L6" s="77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6"/>
      <c r="C8" s="6"/>
      <c r="D8" s="6"/>
      <c r="E8" s="6"/>
      <c r="I8" s="23"/>
      <c r="J8" s="23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4"/>
    </row>
    <row r="9" spans="1:23" ht="5.0999999999999996" customHeight="1" thickBot="1" x14ac:dyDescent="0.3"/>
    <row r="10" spans="1:23" x14ac:dyDescent="0.25">
      <c r="A10" s="25" t="s">
        <v>13</v>
      </c>
      <c r="B10" s="26" t="s">
        <v>14</v>
      </c>
      <c r="C10" s="27"/>
      <c r="D10" s="26" t="s">
        <v>15</v>
      </c>
      <c r="E10" s="27"/>
      <c r="F10" s="26" t="s">
        <v>16</v>
      </c>
      <c r="G10" s="27"/>
      <c r="H10" s="26" t="s">
        <v>17</v>
      </c>
      <c r="I10" s="27"/>
      <c r="J10" s="28" t="s">
        <v>18</v>
      </c>
      <c r="K10" s="29" t="s">
        <v>19</v>
      </c>
      <c r="L10" s="29" t="s">
        <v>20</v>
      </c>
    </row>
    <row r="11" spans="1:23" x14ac:dyDescent="0.25">
      <c r="A11" s="30"/>
      <c r="B11" s="31"/>
      <c r="C11" s="32"/>
      <c r="D11" s="33"/>
      <c r="E11" s="34"/>
      <c r="F11" s="33"/>
      <c r="G11" s="32"/>
      <c r="H11" s="31"/>
      <c r="I11" s="35"/>
      <c r="J11" s="36"/>
      <c r="K11" s="37"/>
      <c r="L11" s="37" t="s">
        <v>21</v>
      </c>
    </row>
    <row r="12" spans="1:23" x14ac:dyDescent="0.25">
      <c r="A12" s="38"/>
      <c r="B12" s="39" t="s">
        <v>22</v>
      </c>
      <c r="C12" s="35" t="s">
        <v>23</v>
      </c>
      <c r="D12" s="39" t="s">
        <v>24</v>
      </c>
      <c r="E12" s="35" t="s">
        <v>25</v>
      </c>
      <c r="F12" s="39" t="s">
        <v>22</v>
      </c>
      <c r="G12" s="35" t="s">
        <v>23</v>
      </c>
      <c r="H12" s="39" t="s">
        <v>22</v>
      </c>
      <c r="I12" s="35" t="s">
        <v>26</v>
      </c>
      <c r="J12" s="36" t="s">
        <v>27</v>
      </c>
      <c r="K12" s="40">
        <v>0.35</v>
      </c>
      <c r="L12" s="37" t="s">
        <v>28</v>
      </c>
    </row>
    <row r="13" spans="1:23" x14ac:dyDescent="0.25">
      <c r="A13" s="38"/>
      <c r="B13" s="39"/>
      <c r="C13" s="35"/>
      <c r="D13" s="39" t="s">
        <v>29</v>
      </c>
      <c r="E13" s="35" t="s">
        <v>30</v>
      </c>
      <c r="F13" s="39" t="s">
        <v>31</v>
      </c>
      <c r="G13" s="35" t="s">
        <v>32</v>
      </c>
      <c r="H13" s="39"/>
      <c r="I13" s="35"/>
      <c r="J13" s="36" t="s">
        <v>27</v>
      </c>
      <c r="K13" s="40">
        <v>0.21</v>
      </c>
      <c r="L13" s="37" t="s">
        <v>33</v>
      </c>
    </row>
    <row r="14" spans="1:23" x14ac:dyDescent="0.25">
      <c r="A14" s="41"/>
      <c r="B14" s="42" t="s">
        <v>34</v>
      </c>
      <c r="C14" s="43" t="s">
        <v>35</v>
      </c>
      <c r="D14" s="42"/>
      <c r="E14" s="43"/>
      <c r="F14" s="42" t="s">
        <v>36</v>
      </c>
      <c r="G14" s="43" t="s">
        <v>37</v>
      </c>
      <c r="H14" s="42" t="s">
        <v>38</v>
      </c>
      <c r="I14" s="43" t="s">
        <v>39</v>
      </c>
      <c r="J14" s="44" t="s">
        <v>40</v>
      </c>
      <c r="K14" s="45" t="s">
        <v>41</v>
      </c>
      <c r="L14" s="46" t="s">
        <v>42</v>
      </c>
    </row>
    <row r="15" spans="1:23" outlineLevel="1" x14ac:dyDescent="0.25">
      <c r="A15" s="47"/>
      <c r="B15" s="48"/>
      <c r="C15" s="49"/>
      <c r="D15" s="48"/>
      <c r="E15" s="49"/>
      <c r="F15" s="50">
        <v>0</v>
      </c>
      <c r="G15" s="51">
        <v>0</v>
      </c>
      <c r="H15" s="48">
        <v>0</v>
      </c>
      <c r="I15" s="49">
        <v>0</v>
      </c>
      <c r="J15" s="52">
        <v>0</v>
      </c>
      <c r="K15" s="53">
        <v>0</v>
      </c>
      <c r="L15" s="49">
        <v>0</v>
      </c>
    </row>
    <row r="16" spans="1:23" outlineLevel="1" x14ac:dyDescent="0.25">
      <c r="A16" s="47">
        <v>42674</v>
      </c>
      <c r="B16" s="48">
        <f t="shared" ref="B16:B24" si="0">C16</f>
        <v>958112</v>
      </c>
      <c r="C16" s="49">
        <v>958112</v>
      </c>
      <c r="D16" s="48">
        <f>+(($B$18)*$B$5/3)</f>
        <v>220589.22988116668</v>
      </c>
      <c r="E16" s="49">
        <v>2662.7529333333332</v>
      </c>
      <c r="F16" s="50">
        <f>+F15-D16</f>
        <v>-220589.22988116668</v>
      </c>
      <c r="G16" s="51">
        <f t="shared" ref="G16:G31" si="1">+G15-E16</f>
        <v>-2662.7529333333332</v>
      </c>
      <c r="H16" s="48">
        <f t="shared" ref="H16:I31" si="2">B16+F16</f>
        <v>737522.77011883329</v>
      </c>
      <c r="I16" s="49">
        <f t="shared" si="2"/>
        <v>955449.24706666672</v>
      </c>
      <c r="J16" s="52">
        <f t="shared" ref="J16:J56" si="3">I16-H16</f>
        <v>217926.47694783343</v>
      </c>
      <c r="K16" s="53">
        <f t="shared" ref="K16:K30" si="4">(-(J16-J15)*$K$12)+K15</f>
        <v>-76274.266931741702</v>
      </c>
      <c r="L16" s="49">
        <f t="shared" ref="L16:L56" si="5">-K16+K15</f>
        <v>76274.266931741702</v>
      </c>
    </row>
    <row r="17" spans="1:20" outlineLevel="1" x14ac:dyDescent="0.25">
      <c r="A17" s="47">
        <v>42704</v>
      </c>
      <c r="B17" s="48">
        <f t="shared" si="0"/>
        <v>958112</v>
      </c>
      <c r="C17" s="49">
        <v>958112</v>
      </c>
      <c r="D17" s="48">
        <f>+(($B$18)*$B$5/3)</f>
        <v>220589.22988116668</v>
      </c>
      <c r="E17" s="49">
        <v>5325.5058666666664</v>
      </c>
      <c r="F17" s="50">
        <f t="shared" ref="F17:G32" si="6">+F16-D17</f>
        <v>-441178.45976233337</v>
      </c>
      <c r="G17" s="51">
        <f t="shared" si="1"/>
        <v>-7988.2587999999996</v>
      </c>
      <c r="H17" s="48">
        <f t="shared" si="2"/>
        <v>516933.54023766663</v>
      </c>
      <c r="I17" s="49">
        <f t="shared" si="2"/>
        <v>950123.74120000005</v>
      </c>
      <c r="J17" s="52">
        <f t="shared" si="3"/>
        <v>433190.20096233342</v>
      </c>
      <c r="K17" s="53">
        <f t="shared" si="4"/>
        <v>-151616.57033681669</v>
      </c>
      <c r="L17" s="49">
        <f t="shared" si="5"/>
        <v>75342.303405074985</v>
      </c>
    </row>
    <row r="18" spans="1:20" outlineLevel="1" x14ac:dyDescent="0.25">
      <c r="A18" s="47">
        <v>42735</v>
      </c>
      <c r="B18" s="48">
        <f t="shared" si="0"/>
        <v>1158050.03</v>
      </c>
      <c r="C18" s="49">
        <v>1158050.03</v>
      </c>
      <c r="D18" s="48">
        <f>+(($B$18)*$B$5/3)</f>
        <v>220589.22988116668</v>
      </c>
      <c r="E18" s="49">
        <v>5881.1669750416668</v>
      </c>
      <c r="F18" s="50">
        <f t="shared" si="6"/>
        <v>-661767.68964350002</v>
      </c>
      <c r="G18" s="51">
        <f t="shared" si="1"/>
        <v>-13869.425775041665</v>
      </c>
      <c r="H18" s="48">
        <f t="shared" si="2"/>
        <v>496282.3403565</v>
      </c>
      <c r="I18" s="49">
        <f t="shared" si="2"/>
        <v>1144180.6042249585</v>
      </c>
      <c r="J18" s="52">
        <f t="shared" si="3"/>
        <v>647898.26386845845</v>
      </c>
      <c r="K18" s="53">
        <f t="shared" si="4"/>
        <v>-226764.39235396043</v>
      </c>
      <c r="L18" s="49">
        <f t="shared" si="5"/>
        <v>75147.822017143742</v>
      </c>
    </row>
    <row r="19" spans="1:20" outlineLevel="1" x14ac:dyDescent="0.25">
      <c r="A19" s="47">
        <v>42766</v>
      </c>
      <c r="B19" s="48">
        <f t="shared" si="0"/>
        <v>1158050.03</v>
      </c>
      <c r="C19" s="49">
        <v>1158050.03</v>
      </c>
      <c r="D19" s="48">
        <f>((($B$30-$B$18)*$B$5/12)+($B$18*$C$5)/12)</f>
        <v>306394.05174208339</v>
      </c>
      <c r="E19" s="49">
        <v>6436.8280834166662</v>
      </c>
      <c r="F19" s="50">
        <f t="shared" si="6"/>
        <v>-968161.74138558342</v>
      </c>
      <c r="G19" s="51">
        <f t="shared" si="1"/>
        <v>-20306.253858458331</v>
      </c>
      <c r="H19" s="48">
        <f t="shared" si="2"/>
        <v>189888.28861441661</v>
      </c>
      <c r="I19" s="49">
        <f t="shared" si="2"/>
        <v>1137743.7761415418</v>
      </c>
      <c r="J19" s="52">
        <f t="shared" si="3"/>
        <v>947855.48752712517</v>
      </c>
      <c r="K19" s="53">
        <f t="shared" si="4"/>
        <v>-331749.42063449376</v>
      </c>
      <c r="L19" s="49">
        <f t="shared" si="5"/>
        <v>104985.02828053333</v>
      </c>
    </row>
    <row r="20" spans="1:20" outlineLevel="1" x14ac:dyDescent="0.25">
      <c r="A20" s="47">
        <v>42794</v>
      </c>
      <c r="B20" s="48">
        <f t="shared" si="0"/>
        <v>1158050.03</v>
      </c>
      <c r="C20" s="49">
        <v>1158050.03</v>
      </c>
      <c r="D20" s="48">
        <f t="shared" ref="D20:D30" si="7">((($B$30-$B$18)*$B$5/12)+($B$18*$C$5)/12)</f>
        <v>306394.05174208339</v>
      </c>
      <c r="E20" s="49">
        <v>6436.8280834166662</v>
      </c>
      <c r="F20" s="50">
        <f t="shared" si="6"/>
        <v>-1274555.7931276667</v>
      </c>
      <c r="G20" s="51">
        <f t="shared" si="1"/>
        <v>-26743.081941874996</v>
      </c>
      <c r="H20" s="48">
        <f t="shared" si="2"/>
        <v>-116505.76312766667</v>
      </c>
      <c r="I20" s="49">
        <f t="shared" si="2"/>
        <v>1131306.9480581251</v>
      </c>
      <c r="J20" s="52">
        <f t="shared" si="3"/>
        <v>1247812.7111857918</v>
      </c>
      <c r="K20" s="53">
        <f t="shared" si="4"/>
        <v>-436734.44891502708</v>
      </c>
      <c r="L20" s="49">
        <f t="shared" si="5"/>
        <v>104985.02828053333</v>
      </c>
    </row>
    <row r="21" spans="1:20" outlineLevel="1" x14ac:dyDescent="0.25">
      <c r="A21" s="47">
        <v>42825</v>
      </c>
      <c r="B21" s="48">
        <f t="shared" si="0"/>
        <v>2100775.75</v>
      </c>
      <c r="C21" s="49">
        <v>2100775.75</v>
      </c>
      <c r="D21" s="48">
        <f t="shared" si="7"/>
        <v>306394.05174208339</v>
      </c>
      <c r="E21" s="49">
        <v>9056.8199802499985</v>
      </c>
      <c r="F21" s="50">
        <f t="shared" si="6"/>
        <v>-1580949.8448697501</v>
      </c>
      <c r="G21" s="51">
        <f t="shared" si="1"/>
        <v>-35799.901922124991</v>
      </c>
      <c r="H21" s="48">
        <f t="shared" si="2"/>
        <v>519825.90513024991</v>
      </c>
      <c r="I21" s="49">
        <f t="shared" si="2"/>
        <v>2064975.8480778751</v>
      </c>
      <c r="J21" s="52">
        <f t="shared" si="3"/>
        <v>1545149.9429476252</v>
      </c>
      <c r="K21" s="53">
        <f t="shared" si="4"/>
        <v>-540802.48003166879</v>
      </c>
      <c r="L21" s="49">
        <f t="shared" si="5"/>
        <v>104068.03111664171</v>
      </c>
    </row>
    <row r="22" spans="1:20" outlineLevel="1" x14ac:dyDescent="0.25">
      <c r="A22" s="47">
        <v>42855</v>
      </c>
      <c r="B22" s="48">
        <f t="shared" si="0"/>
        <v>2100775.75</v>
      </c>
      <c r="C22" s="49">
        <v>2100775.75</v>
      </c>
      <c r="D22" s="48">
        <f t="shared" si="7"/>
        <v>306394.05174208339</v>
      </c>
      <c r="E22" s="49">
        <v>11676.811877083332</v>
      </c>
      <c r="F22" s="50">
        <f t="shared" si="6"/>
        <v>-1887343.8966118335</v>
      </c>
      <c r="G22" s="51">
        <f t="shared" si="1"/>
        <v>-47476.713799208323</v>
      </c>
      <c r="H22" s="48">
        <f t="shared" si="2"/>
        <v>213431.85338816652</v>
      </c>
      <c r="I22" s="49">
        <f t="shared" si="2"/>
        <v>2053299.0362007916</v>
      </c>
      <c r="J22" s="52">
        <f t="shared" si="3"/>
        <v>1839867.1828126251</v>
      </c>
      <c r="K22" s="53">
        <f t="shared" si="4"/>
        <v>-643953.51398441871</v>
      </c>
      <c r="L22" s="49">
        <f t="shared" si="5"/>
        <v>103151.03395274992</v>
      </c>
    </row>
    <row r="23" spans="1:20" outlineLevel="1" x14ac:dyDescent="0.25">
      <c r="A23" s="47">
        <v>42886</v>
      </c>
      <c r="B23" s="48">
        <f t="shared" si="0"/>
        <v>4515349.32</v>
      </c>
      <c r="C23" s="49">
        <v>4515349.32</v>
      </c>
      <c r="D23" s="48">
        <f t="shared" si="7"/>
        <v>306394.05174208339</v>
      </c>
      <c r="E23" s="49">
        <v>18387.314257041664</v>
      </c>
      <c r="F23" s="50">
        <f t="shared" si="6"/>
        <v>-2193737.9483539169</v>
      </c>
      <c r="G23" s="51">
        <f t="shared" si="1"/>
        <v>-65864.028056249983</v>
      </c>
      <c r="H23" s="48">
        <f t="shared" si="2"/>
        <v>2321611.3716460834</v>
      </c>
      <c r="I23" s="49">
        <f t="shared" si="2"/>
        <v>4449485.2919437503</v>
      </c>
      <c r="J23" s="52">
        <f t="shared" si="3"/>
        <v>2127873.9202976669</v>
      </c>
      <c r="K23" s="53">
        <f t="shared" si="4"/>
        <v>-744755.87210418331</v>
      </c>
      <c r="L23" s="49">
        <f t="shared" si="5"/>
        <v>100802.3581197646</v>
      </c>
    </row>
    <row r="24" spans="1:20" outlineLevel="1" x14ac:dyDescent="0.25">
      <c r="A24" s="47">
        <v>42916</v>
      </c>
      <c r="B24" s="48">
        <f t="shared" si="0"/>
        <v>4515349.32</v>
      </c>
      <c r="C24" s="49">
        <v>4515349.32</v>
      </c>
      <c r="D24" s="48">
        <f t="shared" si="7"/>
        <v>306394.05174208339</v>
      </c>
      <c r="E24" s="49">
        <v>25097.816637</v>
      </c>
      <c r="F24" s="50">
        <f t="shared" si="6"/>
        <v>-2500132.0000960003</v>
      </c>
      <c r="G24" s="51">
        <f t="shared" si="1"/>
        <v>-90961.844693249979</v>
      </c>
      <c r="H24" s="48">
        <f t="shared" si="2"/>
        <v>2015217.319904</v>
      </c>
      <c r="I24" s="49">
        <f t="shared" si="2"/>
        <v>4424387.4753067503</v>
      </c>
      <c r="J24" s="52">
        <f t="shared" si="3"/>
        <v>2409170.1554027502</v>
      </c>
      <c r="K24" s="53">
        <f t="shared" si="4"/>
        <v>-843209.55439096247</v>
      </c>
      <c r="L24" s="49">
        <f t="shared" si="5"/>
        <v>98453.682286779163</v>
      </c>
    </row>
    <row r="25" spans="1:20" x14ac:dyDescent="0.25">
      <c r="A25" s="47">
        <v>42947</v>
      </c>
      <c r="B25" s="48">
        <f>C25</f>
        <v>4515349.32</v>
      </c>
      <c r="C25" s="49">
        <v>4515349.32</v>
      </c>
      <c r="D25" s="48">
        <f t="shared" si="7"/>
        <v>306394.05174208339</v>
      </c>
      <c r="E25" s="49">
        <v>25097.816637</v>
      </c>
      <c r="F25" s="50">
        <f t="shared" si="6"/>
        <v>-2806526.0518380837</v>
      </c>
      <c r="G25" s="51">
        <f t="shared" si="1"/>
        <v>-116059.66133024998</v>
      </c>
      <c r="H25" s="48">
        <f t="shared" si="2"/>
        <v>1708823.2681619166</v>
      </c>
      <c r="I25" s="49">
        <f t="shared" si="2"/>
        <v>4399289.6586697502</v>
      </c>
      <c r="J25" s="52">
        <f t="shared" si="3"/>
        <v>2690466.3905078336</v>
      </c>
      <c r="K25" s="53">
        <f t="shared" si="4"/>
        <v>-941663.23667774163</v>
      </c>
      <c r="L25" s="49">
        <f t="shared" si="5"/>
        <v>98453.682286779163</v>
      </c>
    </row>
    <row r="26" spans="1:20" x14ac:dyDescent="0.25">
      <c r="A26" s="47">
        <v>42978</v>
      </c>
      <c r="B26" s="48">
        <f t="shared" ref="B26:B56" si="8">C26</f>
        <v>4515349.32</v>
      </c>
      <c r="C26" s="49">
        <v>4515349.32</v>
      </c>
      <c r="D26" s="48">
        <f t="shared" si="7"/>
        <v>306394.05174208339</v>
      </c>
      <c r="E26" s="49">
        <v>25097.816637</v>
      </c>
      <c r="F26" s="50">
        <f t="shared" si="6"/>
        <v>-3112920.1035801671</v>
      </c>
      <c r="G26" s="51">
        <f t="shared" si="1"/>
        <v>-141157.47796724999</v>
      </c>
      <c r="H26" s="48">
        <f t="shared" si="2"/>
        <v>1402429.2164198332</v>
      </c>
      <c r="I26" s="49">
        <f t="shared" si="2"/>
        <v>4374191.8420327501</v>
      </c>
      <c r="J26" s="52">
        <f t="shared" si="3"/>
        <v>2971762.6256129169</v>
      </c>
      <c r="K26" s="53">
        <f t="shared" si="4"/>
        <v>-1040116.9189645208</v>
      </c>
      <c r="L26" s="49">
        <f t="shared" si="5"/>
        <v>98453.682286779163</v>
      </c>
    </row>
    <row r="27" spans="1:20" ht="14.4" x14ac:dyDescent="0.3">
      <c r="A27" s="47">
        <v>43008</v>
      </c>
      <c r="B27" s="48">
        <f t="shared" si="8"/>
        <v>5920284.0200000005</v>
      </c>
      <c r="C27" s="49">
        <v>5920284.0200000005</v>
      </c>
      <c r="D27" s="48">
        <f t="shared" si="7"/>
        <v>306394.05174208339</v>
      </c>
      <c r="E27" s="49">
        <v>29002.364324083333</v>
      </c>
      <c r="F27" s="50">
        <f t="shared" si="6"/>
        <v>-3419314.1553222504</v>
      </c>
      <c r="G27" s="51">
        <f t="shared" si="1"/>
        <v>-170159.84229133331</v>
      </c>
      <c r="H27" s="48">
        <f t="shared" si="2"/>
        <v>2500969.86467775</v>
      </c>
      <c r="I27" s="49">
        <f t="shared" si="2"/>
        <v>5750124.1777086668</v>
      </c>
      <c r="J27" s="52">
        <f t="shared" si="3"/>
        <v>3249154.3130309167</v>
      </c>
      <c r="K27" s="53">
        <f t="shared" si="4"/>
        <v>-1137204.0095608206</v>
      </c>
      <c r="L27" s="49">
        <f t="shared" si="5"/>
        <v>97087.090596299851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43039</v>
      </c>
      <c r="B28" s="48">
        <f t="shared" si="8"/>
        <v>6076029.4600000009</v>
      </c>
      <c r="C28" s="49">
        <v>6076029.4600000009</v>
      </c>
      <c r="D28" s="48">
        <f t="shared" si="7"/>
        <v>306394.05174208339</v>
      </c>
      <c r="E28" s="49">
        <v>33339.7545465</v>
      </c>
      <c r="F28" s="50">
        <f t="shared" si="6"/>
        <v>-3725708.2070643338</v>
      </c>
      <c r="G28" s="51">
        <f t="shared" si="1"/>
        <v>-203499.59683783329</v>
      </c>
      <c r="H28" s="48">
        <f t="shared" si="2"/>
        <v>2350321.2529356671</v>
      </c>
      <c r="I28" s="49">
        <f t="shared" si="2"/>
        <v>5872529.8631621674</v>
      </c>
      <c r="J28" s="52">
        <f t="shared" si="3"/>
        <v>3522208.6102265003</v>
      </c>
      <c r="K28" s="53">
        <f t="shared" si="4"/>
        <v>-1232773.013579275</v>
      </c>
      <c r="L28" s="49">
        <f t="shared" si="5"/>
        <v>95569.004018454347</v>
      </c>
      <c r="M28" s="6"/>
      <c r="N28" s="54"/>
      <c r="O28" s="54"/>
      <c r="P28" s="54"/>
      <c r="Q28" s="54"/>
      <c r="R28" s="54"/>
      <c r="S28" s="54"/>
      <c r="T28" s="54"/>
    </row>
    <row r="29" spans="1:20" ht="14.4" x14ac:dyDescent="0.3">
      <c r="A29" s="47">
        <v>43069</v>
      </c>
      <c r="B29" s="48">
        <f t="shared" si="8"/>
        <v>7341345.830000001</v>
      </c>
      <c r="C29" s="49">
        <v>7341345.830000001</v>
      </c>
      <c r="D29" s="48">
        <f t="shared" si="7"/>
        <v>306394.05174208339</v>
      </c>
      <c r="E29" s="49">
        <v>37289.122160125</v>
      </c>
      <c r="F29" s="50">
        <f t="shared" si="6"/>
        <v>-4032102.2588064172</v>
      </c>
      <c r="G29" s="51">
        <f t="shared" si="1"/>
        <v>-240788.71899795829</v>
      </c>
      <c r="H29" s="48">
        <f t="shared" si="2"/>
        <v>3309243.5711935838</v>
      </c>
      <c r="I29" s="49">
        <f t="shared" si="2"/>
        <v>7100557.1110020429</v>
      </c>
      <c r="J29" s="52">
        <f t="shared" si="3"/>
        <v>3791313.5398084591</v>
      </c>
      <c r="K29" s="53">
        <f t="shared" si="4"/>
        <v>-1326959.7389329607</v>
      </c>
      <c r="L29" s="49">
        <f t="shared" si="5"/>
        <v>94186.725353685673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43100</v>
      </c>
      <c r="B30" s="48">
        <f t="shared" si="8"/>
        <v>7343937.5000000009</v>
      </c>
      <c r="C30" s="49">
        <v>7343937.5000000009</v>
      </c>
      <c r="D30" s="48">
        <f t="shared" si="7"/>
        <v>306394.05174208339</v>
      </c>
      <c r="E30" s="49">
        <v>40812.849921291672</v>
      </c>
      <c r="F30" s="50">
        <f t="shared" si="6"/>
        <v>-4338496.3105485011</v>
      </c>
      <c r="G30" s="51">
        <f t="shared" si="1"/>
        <v>-281601.56891924998</v>
      </c>
      <c r="H30" s="48">
        <f t="shared" si="2"/>
        <v>3005441.1894514998</v>
      </c>
      <c r="I30" s="49">
        <f t="shared" si="2"/>
        <v>7062335.9310807511</v>
      </c>
      <c r="J30" s="52">
        <f t="shared" si="3"/>
        <v>4056894.7416292513</v>
      </c>
      <c r="K30" s="53">
        <f t="shared" si="4"/>
        <v>-1419913.1595702379</v>
      </c>
      <c r="L30" s="49">
        <f t="shared" si="5"/>
        <v>92953.420637277188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43131</v>
      </c>
      <c r="B31" s="48">
        <f t="shared" si="8"/>
        <v>10815460.220000001</v>
      </c>
      <c r="C31" s="49">
        <v>10815460.220000001</v>
      </c>
      <c r="D31" s="140">
        <f>+((($B$42-$B$30)*$B$6/12)+($B$30-$B$18)*$C$5/12)+($B$18*$D$5/12)</f>
        <v>160209.94525333331</v>
      </c>
      <c r="E31" s="49">
        <v>50467.992830166666</v>
      </c>
      <c r="F31" s="50">
        <f t="shared" si="6"/>
        <v>-4498706.2558018342</v>
      </c>
      <c r="G31" s="51">
        <f t="shared" si="1"/>
        <v>-332069.56174941664</v>
      </c>
      <c r="H31" s="48">
        <f t="shared" si="2"/>
        <v>6316753.9641981665</v>
      </c>
      <c r="I31" s="49">
        <f t="shared" si="2"/>
        <v>10483390.658250583</v>
      </c>
      <c r="J31" s="52">
        <f t="shared" si="3"/>
        <v>4166636.6940524168</v>
      </c>
      <c r="K31" s="53">
        <f>(-(J31-J30)*$K$13)+K30</f>
        <v>-1442958.9695791027</v>
      </c>
      <c r="L31" s="49">
        <f t="shared" si="5"/>
        <v>23045.81000886485</v>
      </c>
      <c r="M31" s="6"/>
      <c r="N31" s="54"/>
      <c r="O31" s="54"/>
      <c r="P31" s="54"/>
      <c r="Q31" s="54"/>
      <c r="R31" s="54"/>
      <c r="S31" s="54"/>
      <c r="T31" s="54"/>
    </row>
    <row r="32" spans="1:20" x14ac:dyDescent="0.25">
      <c r="A32" s="47">
        <v>43159</v>
      </c>
      <c r="B32" s="48">
        <f t="shared" si="8"/>
        <v>14221250.890000001</v>
      </c>
      <c r="C32" s="49">
        <v>14221250.890000001</v>
      </c>
      <c r="D32" s="140">
        <f t="shared" ref="D32:D42" si="9">+((($B$42-$B$30)*$B$6/12)+($B$30-$B$18)*$C$5/12)+($B$18*$D$5/12)</f>
        <v>160209.94525333331</v>
      </c>
      <c r="E32" s="49">
        <v>69581.192959874999</v>
      </c>
      <c r="F32" s="50">
        <f t="shared" si="6"/>
        <v>-4658916.2010551672</v>
      </c>
      <c r="G32" s="51">
        <f t="shared" si="6"/>
        <v>-401650.75470929162</v>
      </c>
      <c r="H32" s="48">
        <f t="shared" ref="H32:I47" si="10">B32+F32</f>
        <v>9562334.6889448334</v>
      </c>
      <c r="I32" s="49">
        <f t="shared" si="10"/>
        <v>13819600.135290708</v>
      </c>
      <c r="J32" s="52">
        <f t="shared" si="3"/>
        <v>4257265.446345875</v>
      </c>
      <c r="K32" s="53">
        <f t="shared" ref="K32:K56" si="11">(-(J32-J31)*$K$13)+K31</f>
        <v>-1461991.0075607288</v>
      </c>
      <c r="L32" s="49">
        <f t="shared" si="5"/>
        <v>19032.037981626112</v>
      </c>
      <c r="M32" s="55"/>
      <c r="N32" s="54"/>
      <c r="O32" s="54"/>
      <c r="P32" s="54"/>
      <c r="Q32" s="54"/>
      <c r="R32" s="54"/>
      <c r="S32" s="54"/>
      <c r="T32" s="54"/>
    </row>
    <row r="33" spans="1:20" x14ac:dyDescent="0.25">
      <c r="A33" s="47">
        <v>43190</v>
      </c>
      <c r="B33" s="48">
        <f t="shared" si="8"/>
        <v>14221250.890000001</v>
      </c>
      <c r="C33" s="49">
        <v>14221250.890000001</v>
      </c>
      <c r="D33" s="140">
        <f t="shared" si="9"/>
        <v>160209.94525333331</v>
      </c>
      <c r="E33" s="49">
        <v>79046.452863583327</v>
      </c>
      <c r="F33" s="50">
        <f t="shared" ref="F33:G48" si="12">+F32-D33</f>
        <v>-4819126.1463085003</v>
      </c>
      <c r="G33" s="51">
        <f t="shared" si="12"/>
        <v>-480697.20757287496</v>
      </c>
      <c r="H33" s="48">
        <f t="shared" si="10"/>
        <v>9402124.7436915003</v>
      </c>
      <c r="I33" s="49">
        <f t="shared" si="10"/>
        <v>13740553.682427125</v>
      </c>
      <c r="J33" s="52">
        <f t="shared" si="3"/>
        <v>4338428.9387356248</v>
      </c>
      <c r="K33" s="53">
        <f t="shared" si="11"/>
        <v>-1479035.3409625762</v>
      </c>
      <c r="L33" s="49">
        <f t="shared" si="5"/>
        <v>17044.333401847398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43220</v>
      </c>
      <c r="B34" s="48">
        <f t="shared" si="8"/>
        <v>14706028.33</v>
      </c>
      <c r="C34" s="49">
        <v>14706028.33</v>
      </c>
      <c r="D34" s="140">
        <f t="shared" si="9"/>
        <v>160209.94525333331</v>
      </c>
      <c r="E34" s="49">
        <v>80393.730165583329</v>
      </c>
      <c r="F34" s="50">
        <f t="shared" si="12"/>
        <v>-4979336.0915618334</v>
      </c>
      <c r="G34" s="51">
        <f t="shared" si="12"/>
        <v>-561090.93773845828</v>
      </c>
      <c r="H34" s="48">
        <f t="shared" si="10"/>
        <v>9726692.2384381667</v>
      </c>
      <c r="I34" s="49">
        <f t="shared" si="10"/>
        <v>14144937.392261542</v>
      </c>
      <c r="J34" s="52">
        <f t="shared" si="3"/>
        <v>4418245.1538233757</v>
      </c>
      <c r="K34" s="53">
        <f t="shared" si="11"/>
        <v>-1495796.7461310038</v>
      </c>
      <c r="L34" s="49">
        <f t="shared" si="5"/>
        <v>16761.40516842762</v>
      </c>
      <c r="M34" s="55"/>
      <c r="N34" s="56"/>
      <c r="O34" s="54"/>
      <c r="P34" s="54"/>
      <c r="Q34" s="54"/>
      <c r="R34" s="54"/>
      <c r="S34" s="54"/>
      <c r="T34" s="54"/>
    </row>
    <row r="35" spans="1:20" x14ac:dyDescent="0.25">
      <c r="A35" s="47">
        <v>43251</v>
      </c>
      <c r="B35" s="48">
        <f t="shared" si="8"/>
        <v>14788205.85</v>
      </c>
      <c r="C35" s="49">
        <v>14788205.85</v>
      </c>
      <c r="D35" s="140">
        <f t="shared" si="9"/>
        <v>160209.94525333331</v>
      </c>
      <c r="E35" s="49">
        <v>82076.953650458323</v>
      </c>
      <c r="F35" s="50">
        <f t="shared" si="12"/>
        <v>-5139546.0368151665</v>
      </c>
      <c r="G35" s="51">
        <f t="shared" si="12"/>
        <v>-643167.89138891664</v>
      </c>
      <c r="H35" s="48">
        <f t="shared" si="10"/>
        <v>9648659.8131848332</v>
      </c>
      <c r="I35" s="49">
        <f t="shared" si="10"/>
        <v>14145037.958611082</v>
      </c>
      <c r="J35" s="52">
        <f t="shared" si="3"/>
        <v>4496378.1454262491</v>
      </c>
      <c r="K35" s="53">
        <f t="shared" si="11"/>
        <v>-1512204.6743676073</v>
      </c>
      <c r="L35" s="49">
        <f t="shared" si="5"/>
        <v>16407.928236603504</v>
      </c>
      <c r="M35" s="55"/>
      <c r="N35" s="54"/>
      <c r="O35" s="54"/>
      <c r="P35" s="54"/>
      <c r="Q35" s="54"/>
      <c r="R35" s="54"/>
      <c r="S35" s="54"/>
      <c r="T35" s="54"/>
    </row>
    <row r="36" spans="1:20" ht="13.8" thickBot="1" x14ac:dyDescent="0.3">
      <c r="A36" s="133">
        <v>43281</v>
      </c>
      <c r="B36" s="134">
        <f t="shared" si="8"/>
        <v>14788205.85</v>
      </c>
      <c r="C36" s="135">
        <v>14788205.85</v>
      </c>
      <c r="D36" s="141">
        <f t="shared" si="9"/>
        <v>160209.94525333331</v>
      </c>
      <c r="E36" s="135">
        <v>82412.899833333315</v>
      </c>
      <c r="F36" s="136">
        <f t="shared" si="12"/>
        <v>-5299755.9820684996</v>
      </c>
      <c r="G36" s="137">
        <f t="shared" si="12"/>
        <v>-725580.79122224997</v>
      </c>
      <c r="H36" s="134">
        <f t="shared" si="10"/>
        <v>9488449.8679315001</v>
      </c>
      <c r="I36" s="135">
        <f t="shared" si="10"/>
        <v>14062625.05877775</v>
      </c>
      <c r="J36" s="138">
        <f t="shared" si="3"/>
        <v>4574175.1908462495</v>
      </c>
      <c r="K36" s="139">
        <f t="shared" si="11"/>
        <v>-1528542.0539058074</v>
      </c>
      <c r="L36" s="135">
        <f t="shared" si="5"/>
        <v>16337.379538200097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43312</v>
      </c>
      <c r="B37" s="48">
        <f t="shared" si="8"/>
        <v>14788205.85</v>
      </c>
      <c r="C37" s="49">
        <v>14788205.85</v>
      </c>
      <c r="D37" s="48">
        <f t="shared" si="9"/>
        <v>160209.94525333331</v>
      </c>
      <c r="E37" s="143">
        <f>E36</f>
        <v>82412.899833333315</v>
      </c>
      <c r="F37" s="50">
        <f t="shared" si="12"/>
        <v>-5459965.9273218326</v>
      </c>
      <c r="G37" s="51">
        <f t="shared" si="12"/>
        <v>-807993.6910555833</v>
      </c>
      <c r="H37" s="48">
        <f t="shared" si="10"/>
        <v>9328239.922678167</v>
      </c>
      <c r="I37" s="49">
        <f t="shared" si="10"/>
        <v>13980212.158944417</v>
      </c>
      <c r="J37" s="52">
        <f t="shared" si="3"/>
        <v>4651972.2362662498</v>
      </c>
      <c r="K37" s="53">
        <f t="shared" si="11"/>
        <v>-1544879.4334440075</v>
      </c>
      <c r="L37" s="49">
        <f t="shared" si="5"/>
        <v>16337.379538200097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43343</v>
      </c>
      <c r="B38" s="48">
        <f t="shared" si="8"/>
        <v>14788205.85</v>
      </c>
      <c r="C38" s="49">
        <v>14788205.85</v>
      </c>
      <c r="D38" s="48">
        <f t="shared" si="9"/>
        <v>160209.94525333331</v>
      </c>
      <c r="E38" s="143">
        <f t="shared" ref="E38:E56" si="13">E37</f>
        <v>82412.899833333315</v>
      </c>
      <c r="F38" s="50">
        <f t="shared" si="12"/>
        <v>-5620175.8725751657</v>
      </c>
      <c r="G38" s="51">
        <f t="shared" si="12"/>
        <v>-890406.59088891663</v>
      </c>
      <c r="H38" s="48">
        <f t="shared" si="10"/>
        <v>9168029.9774248339</v>
      </c>
      <c r="I38" s="49">
        <f t="shared" si="10"/>
        <v>13897799.259111082</v>
      </c>
      <c r="J38" s="52">
        <f t="shared" si="3"/>
        <v>4729769.2816862483</v>
      </c>
      <c r="K38" s="53">
        <f t="shared" si="11"/>
        <v>-1561216.8129822072</v>
      </c>
      <c r="L38" s="49">
        <f t="shared" si="5"/>
        <v>16337.379538199631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43373</v>
      </c>
      <c r="B39" s="48">
        <f t="shared" si="8"/>
        <v>14788205.85</v>
      </c>
      <c r="C39" s="49">
        <v>14788205.85</v>
      </c>
      <c r="D39" s="48">
        <f t="shared" si="9"/>
        <v>160209.94525333331</v>
      </c>
      <c r="E39" s="143">
        <f t="shared" si="13"/>
        <v>82412.899833333315</v>
      </c>
      <c r="F39" s="50">
        <f t="shared" si="12"/>
        <v>-5780385.8178284988</v>
      </c>
      <c r="G39" s="51">
        <f t="shared" si="12"/>
        <v>-972819.49072224996</v>
      </c>
      <c r="H39" s="48">
        <f t="shared" si="10"/>
        <v>9007820.0321715008</v>
      </c>
      <c r="I39" s="49">
        <f t="shared" si="10"/>
        <v>13815386.359277749</v>
      </c>
      <c r="J39" s="52">
        <f t="shared" si="3"/>
        <v>4807566.3271062486</v>
      </c>
      <c r="K39" s="53">
        <f t="shared" si="11"/>
        <v>-1577554.1925204073</v>
      </c>
      <c r="L39" s="49">
        <f t="shared" si="5"/>
        <v>16337.379538200097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43404</v>
      </c>
      <c r="B40" s="48">
        <f t="shared" si="8"/>
        <v>14788205.85</v>
      </c>
      <c r="C40" s="49">
        <v>14788205.85</v>
      </c>
      <c r="D40" s="48">
        <f t="shared" si="9"/>
        <v>160209.94525333331</v>
      </c>
      <c r="E40" s="143">
        <f t="shared" si="13"/>
        <v>82412.899833333315</v>
      </c>
      <c r="F40" s="50">
        <f t="shared" si="12"/>
        <v>-5940595.7630818319</v>
      </c>
      <c r="G40" s="51">
        <f t="shared" si="12"/>
        <v>-1055232.3905555832</v>
      </c>
      <c r="H40" s="48">
        <f t="shared" si="10"/>
        <v>8847610.0869181678</v>
      </c>
      <c r="I40" s="49">
        <f t="shared" si="10"/>
        <v>13732973.459444417</v>
      </c>
      <c r="J40" s="52">
        <f t="shared" si="3"/>
        <v>4885363.3725262489</v>
      </c>
      <c r="K40" s="53">
        <f t="shared" si="11"/>
        <v>-1593891.5720586074</v>
      </c>
      <c r="L40" s="49">
        <f t="shared" si="5"/>
        <v>16337.379538200097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43434</v>
      </c>
      <c r="B41" s="48">
        <f t="shared" si="8"/>
        <v>14788205.85</v>
      </c>
      <c r="C41" s="49">
        <v>14788205.85</v>
      </c>
      <c r="D41" s="48">
        <f t="shared" si="9"/>
        <v>160209.94525333331</v>
      </c>
      <c r="E41" s="143">
        <f t="shared" si="13"/>
        <v>82412.899833333315</v>
      </c>
      <c r="F41" s="50">
        <f t="shared" si="12"/>
        <v>-6100805.7083351649</v>
      </c>
      <c r="G41" s="51">
        <f t="shared" si="12"/>
        <v>-1137645.2903889164</v>
      </c>
      <c r="H41" s="48">
        <f t="shared" si="10"/>
        <v>8687400.1416648347</v>
      </c>
      <c r="I41" s="49">
        <f t="shared" si="10"/>
        <v>13650560.559611084</v>
      </c>
      <c r="J41" s="52">
        <f t="shared" si="3"/>
        <v>4963160.4179462492</v>
      </c>
      <c r="K41" s="53">
        <f t="shared" si="11"/>
        <v>-1610228.9515968075</v>
      </c>
      <c r="L41" s="49">
        <f t="shared" si="5"/>
        <v>16337.379538200097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43465</v>
      </c>
      <c r="B42" s="48">
        <f t="shared" si="8"/>
        <v>14788205.85</v>
      </c>
      <c r="C42" s="49">
        <v>14788205.85</v>
      </c>
      <c r="D42" s="48">
        <f t="shared" si="9"/>
        <v>160209.94525333331</v>
      </c>
      <c r="E42" s="143">
        <f t="shared" si="13"/>
        <v>82412.899833333315</v>
      </c>
      <c r="F42" s="50">
        <f t="shared" si="12"/>
        <v>-6261015.653588498</v>
      </c>
      <c r="G42" s="51">
        <f t="shared" si="12"/>
        <v>-1220058.1902222496</v>
      </c>
      <c r="H42" s="48">
        <f t="shared" si="10"/>
        <v>8527190.1964115016</v>
      </c>
      <c r="I42" s="49">
        <f t="shared" si="10"/>
        <v>13568147.659777749</v>
      </c>
      <c r="J42" s="52">
        <f t="shared" si="3"/>
        <v>5040957.4633662477</v>
      </c>
      <c r="K42" s="53">
        <f t="shared" si="11"/>
        <v>-1626566.3311350071</v>
      </c>
      <c r="L42" s="49">
        <f t="shared" si="5"/>
        <v>16337.379538199631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43496</v>
      </c>
      <c r="B43" s="48">
        <f t="shared" si="8"/>
        <v>14788205.85</v>
      </c>
      <c r="C43" s="49">
        <v>14788205.85</v>
      </c>
      <c r="D43" s="48">
        <f>+((($B$42-$B$30)*$C$6/12)+($B$30-$B$18)*$D$5/12)+($B$18*$E$5/12)</f>
        <v>203031.45021166667</v>
      </c>
      <c r="E43" s="143">
        <f t="shared" si="13"/>
        <v>82412.899833333315</v>
      </c>
      <c r="F43" s="50">
        <f t="shared" si="12"/>
        <v>-6464047.1038001645</v>
      </c>
      <c r="G43" s="51">
        <f t="shared" si="12"/>
        <v>-1302471.0900555828</v>
      </c>
      <c r="H43" s="48">
        <f t="shared" si="10"/>
        <v>8324158.7461998351</v>
      </c>
      <c r="I43" s="49">
        <f t="shared" si="10"/>
        <v>13485734.759944417</v>
      </c>
      <c r="J43" s="52">
        <f t="shared" si="3"/>
        <v>5161576.0137445815</v>
      </c>
      <c r="K43" s="53">
        <f t="shared" si="11"/>
        <v>-1651896.2267144572</v>
      </c>
      <c r="L43" s="49">
        <f t="shared" si="5"/>
        <v>25329.895579450065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43524</v>
      </c>
      <c r="B44" s="48">
        <f t="shared" si="8"/>
        <v>14788205.85</v>
      </c>
      <c r="C44" s="49">
        <v>14788205.85</v>
      </c>
      <c r="D44" s="48">
        <f t="shared" ref="D44:D54" si="14">+((($B$42-$B$30)*$C$6/12)+($B$30-$B$18)*$D$5/12)+($B$18*$E$5/12)</f>
        <v>203031.45021166667</v>
      </c>
      <c r="E44" s="143">
        <f t="shared" si="13"/>
        <v>82412.899833333315</v>
      </c>
      <c r="F44" s="50">
        <f t="shared" si="12"/>
        <v>-6667078.5540118311</v>
      </c>
      <c r="G44" s="51">
        <f t="shared" si="12"/>
        <v>-1384883.989888916</v>
      </c>
      <c r="H44" s="48">
        <f t="shared" si="10"/>
        <v>8121127.2959881686</v>
      </c>
      <c r="I44" s="49">
        <f t="shared" si="10"/>
        <v>13403321.860111084</v>
      </c>
      <c r="J44" s="52">
        <f t="shared" si="3"/>
        <v>5282194.5641229153</v>
      </c>
      <c r="K44" s="53">
        <f t="shared" si="11"/>
        <v>-1677226.1222939072</v>
      </c>
      <c r="L44" s="49">
        <f t="shared" si="5"/>
        <v>25329.895579450065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43555</v>
      </c>
      <c r="B45" s="48">
        <f t="shared" si="8"/>
        <v>14788205.85</v>
      </c>
      <c r="C45" s="49">
        <v>14788205.85</v>
      </c>
      <c r="D45" s="48">
        <f t="shared" si="14"/>
        <v>203031.45021166667</v>
      </c>
      <c r="E45" s="143">
        <f t="shared" si="13"/>
        <v>82412.899833333315</v>
      </c>
      <c r="F45" s="50">
        <f t="shared" si="12"/>
        <v>-6870110.0042234976</v>
      </c>
      <c r="G45" s="51">
        <f t="shared" si="12"/>
        <v>-1467296.8897222492</v>
      </c>
      <c r="H45" s="48">
        <f t="shared" si="10"/>
        <v>7918095.845776502</v>
      </c>
      <c r="I45" s="49">
        <f t="shared" si="10"/>
        <v>13320908.960277751</v>
      </c>
      <c r="J45" s="52">
        <f t="shared" si="3"/>
        <v>5402813.114501249</v>
      </c>
      <c r="K45" s="53">
        <f t="shared" si="11"/>
        <v>-1702556.0178733573</v>
      </c>
      <c r="L45" s="49">
        <f t="shared" si="5"/>
        <v>25329.895579450065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43585</v>
      </c>
      <c r="B46" s="48">
        <f t="shared" si="8"/>
        <v>14788205.85</v>
      </c>
      <c r="C46" s="49">
        <v>14788205.85</v>
      </c>
      <c r="D46" s="48">
        <f t="shared" si="14"/>
        <v>203031.45021166667</v>
      </c>
      <c r="E46" s="143">
        <f t="shared" si="13"/>
        <v>82412.899833333315</v>
      </c>
      <c r="F46" s="50">
        <f t="shared" si="12"/>
        <v>-7073141.4544351641</v>
      </c>
      <c r="G46" s="51">
        <f t="shared" si="12"/>
        <v>-1549709.7895555825</v>
      </c>
      <c r="H46" s="48">
        <f t="shared" si="10"/>
        <v>7715064.3955648355</v>
      </c>
      <c r="I46" s="49">
        <f t="shared" si="10"/>
        <v>13238496.060444416</v>
      </c>
      <c r="J46" s="52">
        <f t="shared" si="3"/>
        <v>5523431.664879581</v>
      </c>
      <c r="K46" s="53">
        <f t="shared" si="11"/>
        <v>-1727885.9134528069</v>
      </c>
      <c r="L46" s="49">
        <f t="shared" si="5"/>
        <v>25329.8955794496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43616</v>
      </c>
      <c r="B47" s="48">
        <f t="shared" si="8"/>
        <v>14788205.85</v>
      </c>
      <c r="C47" s="49">
        <v>14788205.85</v>
      </c>
      <c r="D47" s="48">
        <f t="shared" si="14"/>
        <v>203031.45021166667</v>
      </c>
      <c r="E47" s="143">
        <f t="shared" si="13"/>
        <v>82412.899833333315</v>
      </c>
      <c r="F47" s="50">
        <f t="shared" si="12"/>
        <v>-7276172.9046468306</v>
      </c>
      <c r="G47" s="51">
        <f t="shared" si="12"/>
        <v>-1632122.6893889157</v>
      </c>
      <c r="H47" s="48">
        <f t="shared" si="10"/>
        <v>7512032.945353169</v>
      </c>
      <c r="I47" s="49">
        <f t="shared" si="10"/>
        <v>13156083.160611084</v>
      </c>
      <c r="J47" s="52">
        <f t="shared" si="3"/>
        <v>5644050.2152579147</v>
      </c>
      <c r="K47" s="53">
        <f t="shared" si="11"/>
        <v>-1753215.8090322569</v>
      </c>
      <c r="L47" s="49">
        <f t="shared" si="5"/>
        <v>25329.895579450065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43646</v>
      </c>
      <c r="B48" s="48">
        <f t="shared" si="8"/>
        <v>14788205.85</v>
      </c>
      <c r="C48" s="49">
        <v>14788205.85</v>
      </c>
      <c r="D48" s="48">
        <f t="shared" si="14"/>
        <v>203031.45021166667</v>
      </c>
      <c r="E48" s="143">
        <f t="shared" si="13"/>
        <v>82412.899833333315</v>
      </c>
      <c r="F48" s="50">
        <f t="shared" si="12"/>
        <v>-7479204.3548584972</v>
      </c>
      <c r="G48" s="51">
        <f t="shared" si="12"/>
        <v>-1714535.5892222489</v>
      </c>
      <c r="H48" s="48">
        <f t="shared" ref="H48:I56" si="15">B48+F48</f>
        <v>7309001.4951415025</v>
      </c>
      <c r="I48" s="49">
        <f t="shared" si="15"/>
        <v>13073670.260777751</v>
      </c>
      <c r="J48" s="52">
        <f t="shared" si="3"/>
        <v>5764668.7656362485</v>
      </c>
      <c r="K48" s="53">
        <f t="shared" si="11"/>
        <v>-1778545.704611707</v>
      </c>
      <c r="L48" s="49">
        <f t="shared" si="5"/>
        <v>25329.895579450065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43677</v>
      </c>
      <c r="B49" s="48">
        <f t="shared" si="8"/>
        <v>14788205.85</v>
      </c>
      <c r="C49" s="49">
        <v>14788205.85</v>
      </c>
      <c r="D49" s="48">
        <f t="shared" si="14"/>
        <v>203031.45021166667</v>
      </c>
      <c r="E49" s="143">
        <f t="shared" si="13"/>
        <v>82412.899833333315</v>
      </c>
      <c r="F49" s="50">
        <f t="shared" ref="F49:G56" si="16">+F48-D49</f>
        <v>-7682235.8050701637</v>
      </c>
      <c r="G49" s="51">
        <f t="shared" si="16"/>
        <v>-1796948.4890555821</v>
      </c>
      <c r="H49" s="48">
        <f t="shared" si="15"/>
        <v>7105970.0449298359</v>
      </c>
      <c r="I49" s="49">
        <f t="shared" si="15"/>
        <v>12991257.360944418</v>
      </c>
      <c r="J49" s="52">
        <f t="shared" si="3"/>
        <v>5885287.3160145823</v>
      </c>
      <c r="K49" s="53">
        <f t="shared" si="11"/>
        <v>-1803875.6001911571</v>
      </c>
      <c r="L49" s="49">
        <f t="shared" si="5"/>
        <v>25329.895579450065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43708</v>
      </c>
      <c r="B50" s="48">
        <f t="shared" si="8"/>
        <v>14788205.85</v>
      </c>
      <c r="C50" s="49">
        <v>14788205.85</v>
      </c>
      <c r="D50" s="48">
        <f t="shared" si="14"/>
        <v>203031.45021166667</v>
      </c>
      <c r="E50" s="143">
        <f t="shared" si="13"/>
        <v>82412.899833333315</v>
      </c>
      <c r="F50" s="50">
        <f t="shared" si="16"/>
        <v>-7885267.2552818302</v>
      </c>
      <c r="G50" s="51">
        <f t="shared" si="16"/>
        <v>-1879361.3888889153</v>
      </c>
      <c r="H50" s="48">
        <f t="shared" si="15"/>
        <v>6902938.5947181694</v>
      </c>
      <c r="I50" s="49">
        <f t="shared" si="15"/>
        <v>12908844.461111084</v>
      </c>
      <c r="J50" s="52">
        <f t="shared" si="3"/>
        <v>6005905.8663929142</v>
      </c>
      <c r="K50" s="53">
        <f t="shared" si="11"/>
        <v>-1829205.4957706067</v>
      </c>
      <c r="L50" s="49">
        <f t="shared" si="5"/>
        <v>25329.8955794496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43738</v>
      </c>
      <c r="B51" s="48">
        <f t="shared" si="8"/>
        <v>14788205.85</v>
      </c>
      <c r="C51" s="49">
        <v>14788205.85</v>
      </c>
      <c r="D51" s="48">
        <f t="shared" si="14"/>
        <v>203031.45021166667</v>
      </c>
      <c r="E51" s="143">
        <f t="shared" si="13"/>
        <v>82412.899833333315</v>
      </c>
      <c r="F51" s="50">
        <f t="shared" si="16"/>
        <v>-8088298.7054934967</v>
      </c>
      <c r="G51" s="51">
        <f t="shared" si="16"/>
        <v>-1961774.2887222485</v>
      </c>
      <c r="H51" s="48">
        <f t="shared" si="15"/>
        <v>6699907.1445065029</v>
      </c>
      <c r="I51" s="49">
        <f t="shared" si="15"/>
        <v>12826431.561277751</v>
      </c>
      <c r="J51" s="52">
        <f t="shared" si="3"/>
        <v>6126524.416771248</v>
      </c>
      <c r="K51" s="53">
        <f t="shared" si="11"/>
        <v>-1854535.3913500567</v>
      </c>
      <c r="L51" s="49">
        <f t="shared" si="5"/>
        <v>25329.895579450065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43769</v>
      </c>
      <c r="B52" s="48">
        <f t="shared" si="8"/>
        <v>14788205.85</v>
      </c>
      <c r="C52" s="49">
        <v>14788205.85</v>
      </c>
      <c r="D52" s="48">
        <f t="shared" si="14"/>
        <v>203031.45021166667</v>
      </c>
      <c r="E52" s="143">
        <f t="shared" si="13"/>
        <v>82412.899833333315</v>
      </c>
      <c r="F52" s="50">
        <f t="shared" si="16"/>
        <v>-8291330.1557051633</v>
      </c>
      <c r="G52" s="51">
        <f t="shared" si="16"/>
        <v>-2044187.1885555817</v>
      </c>
      <c r="H52" s="48">
        <f t="shared" si="15"/>
        <v>6496875.6942948364</v>
      </c>
      <c r="I52" s="49">
        <f t="shared" si="15"/>
        <v>12744018.661444418</v>
      </c>
      <c r="J52" s="52">
        <f t="shared" si="3"/>
        <v>6247142.9671495818</v>
      </c>
      <c r="K52" s="53">
        <f t="shared" si="11"/>
        <v>-1879865.2869295068</v>
      </c>
      <c r="L52" s="49">
        <f t="shared" si="5"/>
        <v>25329.895579450065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43799</v>
      </c>
      <c r="B53" s="48">
        <f t="shared" si="8"/>
        <v>14788205.85</v>
      </c>
      <c r="C53" s="49">
        <v>14788205.85</v>
      </c>
      <c r="D53" s="48">
        <f t="shared" si="14"/>
        <v>203031.45021166667</v>
      </c>
      <c r="E53" s="143">
        <f t="shared" si="13"/>
        <v>82412.899833333315</v>
      </c>
      <c r="F53" s="50">
        <f t="shared" si="16"/>
        <v>-8494361.6059168298</v>
      </c>
      <c r="G53" s="51">
        <f t="shared" si="16"/>
        <v>-2126600.0883889152</v>
      </c>
      <c r="H53" s="48">
        <f t="shared" si="15"/>
        <v>6293844.2440831698</v>
      </c>
      <c r="I53" s="49">
        <f t="shared" si="15"/>
        <v>12661605.761611085</v>
      </c>
      <c r="J53" s="52">
        <f t="shared" si="3"/>
        <v>6367761.5175279155</v>
      </c>
      <c r="K53" s="53">
        <f t="shared" si="11"/>
        <v>-1905195.1825089569</v>
      </c>
      <c r="L53" s="49">
        <f t="shared" si="5"/>
        <v>25329.895579450065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43830</v>
      </c>
      <c r="B54" s="48">
        <f t="shared" si="8"/>
        <v>14788205.85</v>
      </c>
      <c r="C54" s="49">
        <v>14788205.85</v>
      </c>
      <c r="D54" s="48">
        <f t="shared" si="14"/>
        <v>203031.45021166667</v>
      </c>
      <c r="E54" s="143">
        <f t="shared" si="13"/>
        <v>82412.899833333315</v>
      </c>
      <c r="F54" s="50">
        <f t="shared" si="16"/>
        <v>-8697393.0561284963</v>
      </c>
      <c r="G54" s="51">
        <f t="shared" si="16"/>
        <v>-2209012.9882222484</v>
      </c>
      <c r="H54" s="48">
        <f t="shared" si="15"/>
        <v>6090812.7938715033</v>
      </c>
      <c r="I54" s="49">
        <f t="shared" si="15"/>
        <v>12579192.861777751</v>
      </c>
      <c r="J54" s="52">
        <f t="shared" si="3"/>
        <v>6488380.0679062475</v>
      </c>
      <c r="K54" s="53">
        <f t="shared" si="11"/>
        <v>-1930525.0780884065</v>
      </c>
      <c r="L54" s="49">
        <f t="shared" si="5"/>
        <v>25329.8955794496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43861</v>
      </c>
      <c r="B55" s="48">
        <f t="shared" si="8"/>
        <v>14788205.85</v>
      </c>
      <c r="C55" s="49">
        <v>14788205.85</v>
      </c>
      <c r="D55" s="48">
        <f>+((($B$42-$B$30)*$D$6/12)+($B$30-$B$18)*$E$5/12)+($B$18*$F$5/12)</f>
        <v>145001.51172966667</v>
      </c>
      <c r="E55" s="143">
        <f t="shared" si="13"/>
        <v>82412.899833333315</v>
      </c>
      <c r="F55" s="50">
        <f t="shared" si="16"/>
        <v>-8842394.5678581633</v>
      </c>
      <c r="G55" s="51">
        <f t="shared" si="16"/>
        <v>-2291425.8880555816</v>
      </c>
      <c r="H55" s="48">
        <f t="shared" si="15"/>
        <v>5945811.2821418364</v>
      </c>
      <c r="I55" s="49">
        <f t="shared" si="15"/>
        <v>12496779.961944418</v>
      </c>
      <c r="J55" s="52">
        <f t="shared" si="3"/>
        <v>6550968.6798025817</v>
      </c>
      <c r="K55" s="53">
        <f t="shared" si="11"/>
        <v>-1943668.6865866366</v>
      </c>
      <c r="L55" s="49">
        <f t="shared" si="5"/>
        <v>13143.608498230111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43890</v>
      </c>
      <c r="B56" s="48">
        <f t="shared" si="8"/>
        <v>14788205.85</v>
      </c>
      <c r="C56" s="49">
        <v>14788205.85</v>
      </c>
      <c r="D56" s="48">
        <f>+((($B$42-$B$30)*$D$6/12)+($B$30-$B$18)*$E$5/12)+($B$18*$F$5/12)</f>
        <v>145001.51172966667</v>
      </c>
      <c r="E56" s="143">
        <f t="shared" si="13"/>
        <v>82412.899833333315</v>
      </c>
      <c r="F56" s="50">
        <f t="shared" si="16"/>
        <v>-8987396.0795878302</v>
      </c>
      <c r="G56" s="51">
        <f t="shared" si="16"/>
        <v>-2373838.7878889148</v>
      </c>
      <c r="H56" s="48">
        <f t="shared" si="15"/>
        <v>5800809.7704121694</v>
      </c>
      <c r="I56" s="49">
        <f t="shared" si="15"/>
        <v>12414367.062111085</v>
      </c>
      <c r="J56" s="52">
        <f t="shared" si="3"/>
        <v>6613557.2916989159</v>
      </c>
      <c r="K56" s="53">
        <f t="shared" si="11"/>
        <v>-1956812.2950848667</v>
      </c>
      <c r="L56" s="49">
        <f t="shared" si="5"/>
        <v>13143.608498230111</v>
      </c>
      <c r="M56" s="55"/>
      <c r="N56" s="54"/>
      <c r="O56" s="54"/>
      <c r="P56" s="54"/>
      <c r="Q56" s="54"/>
      <c r="R56" s="54"/>
      <c r="S56" s="54"/>
      <c r="T56" s="54"/>
    </row>
    <row r="57" spans="1:20" ht="13.8" thickBot="1" x14ac:dyDescent="0.3">
      <c r="A57" s="57"/>
      <c r="B57" s="58"/>
      <c r="C57" s="59"/>
      <c r="D57" s="58"/>
      <c r="E57" s="59"/>
      <c r="F57" s="58"/>
      <c r="G57" s="59"/>
      <c r="H57" s="58"/>
      <c r="I57" s="59"/>
      <c r="J57" s="60"/>
      <c r="K57" s="59"/>
      <c r="L57" s="59"/>
      <c r="M57" s="55"/>
      <c r="N57" s="54"/>
      <c r="O57" s="54"/>
      <c r="P57" s="54"/>
      <c r="Q57" s="54"/>
      <c r="R57" s="54"/>
      <c r="S57" s="54"/>
      <c r="T57" s="54"/>
    </row>
    <row r="58" spans="1:20" ht="13.8" thickBot="1" x14ac:dyDescent="0.3">
      <c r="A58" s="61"/>
      <c r="B58" s="61"/>
      <c r="C58" s="62"/>
      <c r="D58" s="61"/>
      <c r="E58" s="62"/>
      <c r="F58" s="61"/>
      <c r="G58" s="62"/>
      <c r="H58" s="61"/>
      <c r="I58" s="63"/>
      <c r="J58" s="64"/>
      <c r="K58" s="65"/>
      <c r="L58" s="66"/>
      <c r="M58" s="55"/>
      <c r="N58" s="67"/>
      <c r="O58" s="68"/>
      <c r="P58" s="54"/>
      <c r="Q58" s="54"/>
      <c r="R58" s="54"/>
      <c r="S58" s="54"/>
      <c r="T58" s="54"/>
    </row>
    <row r="59" spans="1:20" ht="13.8" thickTop="1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4"/>
      <c r="O59" s="54"/>
      <c r="P59" s="54"/>
      <c r="Q59" s="54"/>
      <c r="R59" s="54"/>
      <c r="S59" s="54"/>
      <c r="T59" s="54"/>
    </row>
    <row r="60" spans="1:20" x14ac:dyDescent="0.25">
      <c r="A60" s="54"/>
      <c r="B60" s="54"/>
      <c r="C60" s="69"/>
      <c r="D60" s="54"/>
      <c r="E60" s="54"/>
      <c r="F60" s="54"/>
      <c r="G60" s="69"/>
      <c r="H60" s="81"/>
      <c r="I60" s="69"/>
      <c r="J60" s="78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5">
      <c r="A61" s="54"/>
      <c r="B61" s="54"/>
      <c r="C61" s="54"/>
      <c r="D61" s="54"/>
      <c r="E61" s="54"/>
      <c r="F61" s="54"/>
      <c r="G61" s="54"/>
      <c r="H61" s="81"/>
      <c r="I61" s="54"/>
      <c r="J61" s="81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5">
      <c r="A62" s="18" t="s">
        <v>43</v>
      </c>
      <c r="B62" s="54"/>
      <c r="C62" s="54"/>
      <c r="D62" s="54"/>
      <c r="E62" s="54"/>
      <c r="F62" s="54"/>
      <c r="G62" s="54"/>
      <c r="H62" s="54"/>
      <c r="I62" s="54"/>
      <c r="J62" s="81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4.4" x14ac:dyDescent="0.3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"/>
      <c r="N63" s="6"/>
      <c r="O63" s="6"/>
    </row>
    <row r="64" spans="1:20" ht="14.4" x14ac:dyDescent="0.3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6"/>
      <c r="N64" s="6"/>
      <c r="O64" s="6"/>
      <c r="P64" s="6"/>
    </row>
    <row r="65" spans="2:12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pageSetUpPr fitToPage="1"/>
  </sheetPr>
  <dimension ref="A1:I47"/>
  <sheetViews>
    <sheetView zoomScaleNormal="100" workbookViewId="0">
      <pane xSplit="4" ySplit="6" topLeftCell="E35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9.33203125" defaultRowHeight="15" customHeight="1" x14ac:dyDescent="0.25"/>
  <cols>
    <col min="1" max="1" width="7.44140625" style="147" customWidth="1"/>
    <col min="2" max="2" width="2" style="147" customWidth="1"/>
    <col min="3" max="3" width="63.33203125" style="147" customWidth="1"/>
    <col min="4" max="4" width="12.6640625" style="148" bestFit="1" customWidth="1"/>
    <col min="5" max="7" width="19.5546875" style="147" bestFit="1" customWidth="1"/>
    <col min="8" max="8" width="12.109375" style="147" customWidth="1"/>
    <col min="9" max="16384" width="9.33203125" style="147"/>
  </cols>
  <sheetData>
    <row r="1" spans="1:8" ht="20.25" customHeight="1" thickBot="1" x14ac:dyDescent="0.3">
      <c r="G1" s="149" t="s">
        <v>126</v>
      </c>
    </row>
    <row r="2" spans="1:8" ht="14.25" customHeight="1" x14ac:dyDescent="0.25">
      <c r="A2" s="150" t="s">
        <v>127</v>
      </c>
      <c r="B2" s="150"/>
      <c r="C2" s="150"/>
      <c r="D2" s="150"/>
      <c r="E2" s="150"/>
      <c r="F2" s="150"/>
      <c r="G2" s="150"/>
    </row>
    <row r="3" spans="1:8" ht="15" customHeight="1" x14ac:dyDescent="0.25">
      <c r="A3" s="150" t="s">
        <v>114</v>
      </c>
      <c r="B3" s="150"/>
      <c r="C3" s="150"/>
      <c r="D3" s="150"/>
      <c r="E3" s="150"/>
      <c r="F3" s="150"/>
      <c r="G3" s="150"/>
    </row>
    <row r="4" spans="1:8" ht="15" customHeight="1" x14ac:dyDescent="0.25">
      <c r="A4" s="150" t="s">
        <v>128</v>
      </c>
      <c r="B4" s="150"/>
      <c r="C4" s="150"/>
      <c r="D4" s="150"/>
      <c r="E4" s="150"/>
      <c r="F4" s="150"/>
      <c r="G4" s="150"/>
    </row>
    <row r="5" spans="1:8" ht="15" customHeight="1" x14ac:dyDescent="0.25">
      <c r="C5" s="148"/>
    </row>
    <row r="6" spans="1:8" ht="15" customHeight="1" x14ac:dyDescent="0.25">
      <c r="A6" s="151" t="s">
        <v>129</v>
      </c>
      <c r="B6" s="151"/>
      <c r="C6" s="151" t="s">
        <v>86</v>
      </c>
      <c r="D6" s="151"/>
      <c r="E6" s="151" t="s">
        <v>130</v>
      </c>
      <c r="F6" s="151" t="s">
        <v>131</v>
      </c>
      <c r="G6" s="151" t="s">
        <v>77</v>
      </c>
    </row>
    <row r="7" spans="1:8" ht="29.25" customHeight="1" x14ac:dyDescent="0.25">
      <c r="D7" s="152"/>
    </row>
    <row r="8" spans="1:8" ht="15" customHeight="1" x14ac:dyDescent="0.25">
      <c r="A8" s="153">
        <v>1</v>
      </c>
      <c r="B8" s="153" t="s">
        <v>132</v>
      </c>
      <c r="C8" s="154" t="s">
        <v>133</v>
      </c>
      <c r="D8" s="155">
        <v>43281</v>
      </c>
      <c r="E8" s="156">
        <v>1142155</v>
      </c>
      <c r="F8" s="156">
        <v>825009</v>
      </c>
      <c r="G8" s="156">
        <f>SUM(E8:F8)</f>
        <v>1967164</v>
      </c>
      <c r="H8" s="156"/>
    </row>
    <row r="9" spans="1:8" ht="18.899999999999999" customHeight="1" thickBot="1" x14ac:dyDescent="0.3">
      <c r="B9" s="148"/>
      <c r="C9" s="157" t="s">
        <v>134</v>
      </c>
      <c r="E9" s="158">
        <f>ROUND(+E8/G8,4)</f>
        <v>0.5806</v>
      </c>
      <c r="F9" s="158">
        <f>ROUND(+F8/G8,4)</f>
        <v>0.4194</v>
      </c>
      <c r="G9" s="159">
        <f>SUM(E9:F9)</f>
        <v>1</v>
      </c>
      <c r="H9" s="160"/>
    </row>
    <row r="10" spans="1:8" ht="15" customHeight="1" thickTop="1" x14ac:dyDescent="0.25">
      <c r="A10" s="148"/>
      <c r="B10" s="148"/>
      <c r="D10" s="155"/>
    </row>
    <row r="11" spans="1:8" ht="15" customHeight="1" x14ac:dyDescent="0.25">
      <c r="A11" s="153">
        <v>2</v>
      </c>
      <c r="B11" s="153" t="s">
        <v>132</v>
      </c>
      <c r="C11" s="154" t="s">
        <v>135</v>
      </c>
      <c r="D11" s="155">
        <v>43281</v>
      </c>
      <c r="E11" s="161">
        <v>774769</v>
      </c>
      <c r="F11" s="161">
        <v>467468</v>
      </c>
      <c r="G11" s="161">
        <f>SUM(E11:F11)</f>
        <v>1242237</v>
      </c>
      <c r="H11" s="161"/>
    </row>
    <row r="12" spans="1:8" ht="18.899999999999999" customHeight="1" thickBot="1" x14ac:dyDescent="0.3">
      <c r="B12" s="148"/>
      <c r="C12" s="157" t="s">
        <v>134</v>
      </c>
      <c r="D12" s="152"/>
      <c r="E12" s="158">
        <f>ROUND(+E11/G11,4)</f>
        <v>0.62370000000000003</v>
      </c>
      <c r="F12" s="158">
        <f>ROUND(+F11/G11,4)</f>
        <v>0.37630000000000002</v>
      </c>
      <c r="G12" s="159">
        <f>SUM(E12:F12)</f>
        <v>1</v>
      </c>
      <c r="H12" s="160"/>
    </row>
    <row r="13" spans="1:8" ht="15" customHeight="1" thickTop="1" x14ac:dyDescent="0.25">
      <c r="A13" s="148"/>
      <c r="B13" s="148"/>
      <c r="D13" s="152"/>
    </row>
    <row r="14" spans="1:8" ht="15" customHeight="1" x14ac:dyDescent="0.25">
      <c r="A14" s="153">
        <v>3</v>
      </c>
      <c r="B14" s="153" t="s">
        <v>132</v>
      </c>
      <c r="C14" s="154" t="s">
        <v>136</v>
      </c>
      <c r="D14" s="152"/>
    </row>
    <row r="15" spans="1:8" ht="15" customHeight="1" x14ac:dyDescent="0.25">
      <c r="A15" s="148"/>
      <c r="B15" s="148"/>
      <c r="C15" s="162" t="s">
        <v>137</v>
      </c>
      <c r="D15" s="155">
        <v>43281</v>
      </c>
      <c r="E15" s="163">
        <v>3821611859</v>
      </c>
      <c r="F15" s="164">
        <v>3611144773</v>
      </c>
      <c r="G15" s="164">
        <f>SUM(E15:F15)</f>
        <v>7432756632</v>
      </c>
      <c r="H15" s="163"/>
    </row>
    <row r="16" spans="1:8" ht="15" customHeight="1" x14ac:dyDescent="0.25">
      <c r="A16" s="148"/>
      <c r="B16" s="148"/>
      <c r="C16" s="162" t="s">
        <v>138</v>
      </c>
      <c r="D16" s="155">
        <v>43281</v>
      </c>
      <c r="E16" s="163">
        <v>1530959866</v>
      </c>
      <c r="F16" s="163">
        <v>0</v>
      </c>
      <c r="G16" s="163">
        <f>SUM(E16:F16)</f>
        <v>1530959866</v>
      </c>
      <c r="H16" s="163"/>
    </row>
    <row r="17" spans="1:8" ht="15" customHeight="1" x14ac:dyDescent="0.25">
      <c r="A17" s="148"/>
      <c r="B17" s="148"/>
      <c r="C17" s="162" t="s">
        <v>139</v>
      </c>
      <c r="D17" s="155">
        <v>43281</v>
      </c>
      <c r="E17" s="163">
        <v>227806708</v>
      </c>
      <c r="F17" s="163">
        <v>28793575</v>
      </c>
      <c r="G17" s="163">
        <f>SUM(E17:F17)</f>
        <v>256600283</v>
      </c>
      <c r="H17" s="163"/>
    </row>
    <row r="18" spans="1:8" ht="15" customHeight="1" x14ac:dyDescent="0.25">
      <c r="A18" s="148"/>
      <c r="B18" s="148"/>
      <c r="C18" s="162" t="s">
        <v>77</v>
      </c>
      <c r="D18" s="165"/>
      <c r="E18" s="166">
        <f>SUM(E15:E17)</f>
        <v>5580378433</v>
      </c>
      <c r="F18" s="166">
        <f t="shared" ref="F18:G18" si="0">SUM(F15:F17)</f>
        <v>3639938348</v>
      </c>
      <c r="G18" s="166">
        <f t="shared" si="0"/>
        <v>9220316781</v>
      </c>
      <c r="H18" s="164"/>
    </row>
    <row r="19" spans="1:8" ht="18.899999999999999" customHeight="1" thickBot="1" x14ac:dyDescent="0.3">
      <c r="B19" s="148"/>
      <c r="C19" s="157" t="s">
        <v>134</v>
      </c>
      <c r="D19" s="152"/>
      <c r="E19" s="158">
        <f>ROUND(+E18/G18,4)</f>
        <v>0.60519999999999996</v>
      </c>
      <c r="F19" s="158">
        <f>ROUND(+F18/G18,4)</f>
        <v>0.39479999999999998</v>
      </c>
      <c r="G19" s="159">
        <f>SUM(E19:F19)</f>
        <v>1</v>
      </c>
      <c r="H19" s="160"/>
    </row>
    <row r="20" spans="1:8" ht="15" customHeight="1" thickTop="1" x14ac:dyDescent="0.25">
      <c r="A20" s="148"/>
      <c r="B20" s="148"/>
      <c r="D20" s="152"/>
    </row>
    <row r="21" spans="1:8" ht="15" customHeight="1" x14ac:dyDescent="0.25">
      <c r="A21" s="153">
        <v>4</v>
      </c>
      <c r="B21" s="153" t="s">
        <v>132</v>
      </c>
      <c r="C21" s="154" t="s">
        <v>140</v>
      </c>
      <c r="D21" s="152" t="s">
        <v>141</v>
      </c>
    </row>
    <row r="22" spans="1:8" ht="15" customHeight="1" x14ac:dyDescent="0.25">
      <c r="A22" s="148"/>
      <c r="B22" s="148"/>
      <c r="C22" s="162" t="s">
        <v>142</v>
      </c>
      <c r="D22" s="155">
        <v>43281</v>
      </c>
      <c r="E22" s="156">
        <f>+E8</f>
        <v>1142155</v>
      </c>
      <c r="F22" s="156">
        <f>+F8</f>
        <v>825009</v>
      </c>
      <c r="G22" s="156">
        <f>SUM(E22:F22)</f>
        <v>1967164</v>
      </c>
      <c r="H22" s="156"/>
    </row>
    <row r="23" spans="1:8" ht="15" customHeight="1" x14ac:dyDescent="0.25">
      <c r="A23" s="148"/>
      <c r="B23" s="148"/>
      <c r="C23" s="157" t="s">
        <v>143</v>
      </c>
      <c r="E23" s="167">
        <f>+E22/G22</f>
        <v>0.58060995422852391</v>
      </c>
      <c r="F23" s="167">
        <f>+F22/G22</f>
        <v>0.41939004577147609</v>
      </c>
      <c r="G23" s="167">
        <f>SUM(E23:F23)</f>
        <v>1</v>
      </c>
      <c r="H23" s="160"/>
    </row>
    <row r="24" spans="1:8" ht="15" customHeight="1" x14ac:dyDescent="0.25">
      <c r="A24" s="148"/>
      <c r="B24" s="148"/>
      <c r="D24" s="152"/>
    </row>
    <row r="25" spans="1:8" ht="15" customHeight="1" x14ac:dyDescent="0.25">
      <c r="A25" s="148"/>
      <c r="B25" s="148"/>
      <c r="C25" s="147" t="s">
        <v>144</v>
      </c>
      <c r="D25" s="155">
        <v>43281</v>
      </c>
      <c r="E25" s="156">
        <v>49935032.069999993</v>
      </c>
      <c r="F25" s="156">
        <v>24544745.740000002</v>
      </c>
      <c r="G25" s="168">
        <f>SUM(E25:F25)</f>
        <v>74479777.810000002</v>
      </c>
      <c r="H25" s="156"/>
    </row>
    <row r="26" spans="1:8" ht="15" customHeight="1" x14ac:dyDescent="0.25">
      <c r="A26" s="148"/>
      <c r="B26" s="148"/>
      <c r="C26" s="157" t="s">
        <v>143</v>
      </c>
      <c r="D26" s="152"/>
      <c r="E26" s="167">
        <f>+E25/G25</f>
        <v>0.67045087322072383</v>
      </c>
      <c r="F26" s="167">
        <f>+F25/G25</f>
        <v>0.32954912677927606</v>
      </c>
      <c r="G26" s="167">
        <f>SUM(E26:F26)</f>
        <v>0.99999999999999989</v>
      </c>
      <c r="H26" s="160"/>
    </row>
    <row r="27" spans="1:8" ht="15" customHeight="1" x14ac:dyDescent="0.25">
      <c r="A27" s="148"/>
      <c r="B27" s="148"/>
      <c r="D27" s="152"/>
    </row>
    <row r="28" spans="1:8" ht="15" customHeight="1" x14ac:dyDescent="0.25">
      <c r="A28" s="169"/>
      <c r="B28" s="148"/>
      <c r="C28" s="147" t="s">
        <v>145</v>
      </c>
      <c r="D28" s="155">
        <v>43281</v>
      </c>
      <c r="E28" s="156">
        <v>75191241.019999653</v>
      </c>
      <c r="F28" s="156">
        <v>41479515.119999886</v>
      </c>
      <c r="G28" s="168">
        <f>SUM(E28:F28)</f>
        <v>116670756.13999954</v>
      </c>
      <c r="H28" s="156"/>
    </row>
    <row r="29" spans="1:8" ht="15" customHeight="1" x14ac:dyDescent="0.25">
      <c r="A29" s="148"/>
      <c r="B29" s="148"/>
      <c r="C29" s="157" t="s">
        <v>143</v>
      </c>
      <c r="D29" s="170"/>
      <c r="E29" s="167">
        <f>+E28/G28</f>
        <v>0.64447376110062771</v>
      </c>
      <c r="F29" s="167">
        <f>+F28/G28</f>
        <v>0.35552623889937229</v>
      </c>
      <c r="G29" s="167">
        <f>SUM(E29:F29)</f>
        <v>1</v>
      </c>
      <c r="H29" s="160"/>
    </row>
    <row r="30" spans="1:8" ht="15" customHeight="1" x14ac:dyDescent="0.25">
      <c r="A30" s="148"/>
      <c r="B30" s="148"/>
      <c r="D30" s="152"/>
    </row>
    <row r="31" spans="1:8" ht="15" customHeight="1" x14ac:dyDescent="0.25">
      <c r="A31" s="169"/>
      <c r="B31" s="148"/>
      <c r="C31" s="147" t="s">
        <v>146</v>
      </c>
      <c r="D31" s="155">
        <v>43281</v>
      </c>
      <c r="E31" s="156">
        <v>5704475920.1191673</v>
      </c>
      <c r="F31" s="156">
        <v>2191996415.809166</v>
      </c>
      <c r="G31" s="156">
        <f>SUM(E31:F31)</f>
        <v>7896472335.9283333</v>
      </c>
      <c r="H31" s="156"/>
    </row>
    <row r="32" spans="1:8" ht="15" customHeight="1" x14ac:dyDescent="0.25">
      <c r="A32" s="148"/>
      <c r="B32" s="148"/>
      <c r="C32" s="157" t="s">
        <v>143</v>
      </c>
      <c r="D32" s="152"/>
      <c r="E32" s="167">
        <f>+E31/G31</f>
        <v>0.72240814346480353</v>
      </c>
      <c r="F32" s="167">
        <f>+F31/G31</f>
        <v>0.27759185653519652</v>
      </c>
      <c r="G32" s="167">
        <f>SUM(E32:F32)</f>
        <v>1</v>
      </c>
      <c r="H32" s="160"/>
    </row>
    <row r="33" spans="1:9" ht="15" customHeight="1" x14ac:dyDescent="0.25">
      <c r="A33" s="148"/>
      <c r="D33" s="152"/>
      <c r="E33" s="171"/>
      <c r="F33" s="171"/>
      <c r="G33" s="171"/>
    </row>
    <row r="34" spans="1:9" ht="15" customHeight="1" x14ac:dyDescent="0.25">
      <c r="A34" s="148"/>
      <c r="C34" s="147" t="s">
        <v>147</v>
      </c>
      <c r="D34" s="152"/>
      <c r="E34" s="172">
        <f>+E32+E29+E26+E23</f>
        <v>2.6179427320146793</v>
      </c>
      <c r="F34" s="172">
        <f>+F32+F29+F26+F23</f>
        <v>1.3820572679853209</v>
      </c>
      <c r="G34" s="172">
        <f>+G32+G29+G26+G23</f>
        <v>4</v>
      </c>
      <c r="H34" s="160"/>
    </row>
    <row r="35" spans="1:9" ht="18.899999999999999" customHeight="1" thickBot="1" x14ac:dyDescent="0.3">
      <c r="C35" s="147" t="s">
        <v>134</v>
      </c>
      <c r="D35" s="152"/>
      <c r="E35" s="158">
        <f>ROUND(+E34/4,4)</f>
        <v>0.65449999999999997</v>
      </c>
      <c r="F35" s="158">
        <f>ROUND(+F34/4,4)</f>
        <v>0.34549999999999997</v>
      </c>
      <c r="G35" s="159">
        <f>+G34/4</f>
        <v>1</v>
      </c>
      <c r="H35" s="160"/>
    </row>
    <row r="36" spans="1:9" ht="15" customHeight="1" thickTop="1" x14ac:dyDescent="0.25">
      <c r="D36" s="152"/>
    </row>
    <row r="37" spans="1:9" ht="15" customHeight="1" x14ac:dyDescent="0.25">
      <c r="A37" s="153">
        <v>5</v>
      </c>
      <c r="B37" s="153" t="s">
        <v>132</v>
      </c>
      <c r="C37" s="154" t="s">
        <v>148</v>
      </c>
      <c r="D37" s="152"/>
    </row>
    <row r="38" spans="1:9" ht="15" customHeight="1" x14ac:dyDescent="0.25">
      <c r="C38" s="157" t="s">
        <v>149</v>
      </c>
      <c r="D38" s="155">
        <v>43281</v>
      </c>
      <c r="E38" s="156">
        <v>54966792.93</v>
      </c>
      <c r="F38" s="156">
        <v>26268733.27</v>
      </c>
      <c r="G38" s="156">
        <f>SUM(E38:F38)</f>
        <v>81235526.200000003</v>
      </c>
      <c r="H38" s="156"/>
      <c r="I38" s="147" t="s">
        <v>150</v>
      </c>
    </row>
    <row r="39" spans="1:9" ht="15" customHeight="1" x14ac:dyDescent="0.25">
      <c r="C39" s="147" t="s">
        <v>77</v>
      </c>
      <c r="D39" s="152"/>
      <c r="E39" s="173">
        <f>SUM(E38:E38)</f>
        <v>54966792.93</v>
      </c>
      <c r="F39" s="173">
        <f>SUM(F38:F38)</f>
        <v>26268733.27</v>
      </c>
      <c r="G39" s="173">
        <f>SUM(G38:G38)</f>
        <v>81235526.200000003</v>
      </c>
      <c r="H39" s="168"/>
    </row>
    <row r="40" spans="1:9" ht="18.899999999999999" customHeight="1" thickBot="1" x14ac:dyDescent="0.3">
      <c r="C40" s="147" t="s">
        <v>134</v>
      </c>
      <c r="D40" s="152"/>
      <c r="E40" s="158">
        <f>ROUND(+E39/G39,4)</f>
        <v>0.67659999999999998</v>
      </c>
      <c r="F40" s="158">
        <f>ROUND(+F39/G39,4)</f>
        <v>0.32340000000000002</v>
      </c>
      <c r="G40" s="159">
        <f>SUM(E40:F40)</f>
        <v>1</v>
      </c>
      <c r="H40" s="160"/>
    </row>
    <row r="41" spans="1:9" ht="15" customHeight="1" thickTop="1" x14ac:dyDescent="0.25"/>
    <row r="42" spans="1:9" ht="15" customHeight="1" x14ac:dyDescent="0.25">
      <c r="A42" s="153">
        <v>6</v>
      </c>
      <c r="C42" s="154" t="s">
        <v>151</v>
      </c>
      <c r="D42" s="155">
        <v>43281</v>
      </c>
      <c r="F42" s="148" t="s">
        <v>152</v>
      </c>
    </row>
    <row r="43" spans="1:9" ht="15" customHeight="1" x14ac:dyDescent="0.25">
      <c r="C43" s="147" t="s">
        <v>153</v>
      </c>
      <c r="F43" s="164">
        <v>137234743.33999997</v>
      </c>
      <c r="G43" s="160">
        <v>0.50751477142524026</v>
      </c>
    </row>
    <row r="44" spans="1:9" ht="15" customHeight="1" x14ac:dyDescent="0.25">
      <c r="C44" s="147" t="s">
        <v>154</v>
      </c>
      <c r="F44" s="163">
        <v>1458450.29</v>
      </c>
      <c r="G44" s="160">
        <v>5.3935690594808933E-3</v>
      </c>
    </row>
    <row r="45" spans="1:9" ht="15" customHeight="1" x14ac:dyDescent="0.25">
      <c r="C45" s="147" t="s">
        <v>155</v>
      </c>
      <c r="F45" s="163">
        <v>131712223.24999999</v>
      </c>
      <c r="G45" s="160">
        <v>0.48709165951527894</v>
      </c>
    </row>
    <row r="46" spans="1:9" ht="15" customHeight="1" thickBot="1" x14ac:dyDescent="0.3">
      <c r="C46" s="147" t="s">
        <v>156</v>
      </c>
      <c r="F46" s="174">
        <v>270405416.87999994</v>
      </c>
      <c r="G46" s="159">
        <f>SUM(G43:G45)</f>
        <v>1</v>
      </c>
    </row>
    <row r="47" spans="1:9" ht="15" customHeight="1" thickTop="1" x14ac:dyDescent="0.25"/>
  </sheetData>
  <printOptions horizontalCentered="1"/>
  <pageMargins left="0.5" right="0.5" top="0.75" bottom="0.5" header="0.5" footer="0.25"/>
  <pageSetup scale="57" orientation="portrait" r:id="rId1"/>
  <headerFooter alignWithMargins="0"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pageSetUpPr fitToPage="1"/>
  </sheetPr>
  <dimension ref="A1:G110"/>
  <sheetViews>
    <sheetView zoomScaleNormal="100" workbookViewId="0">
      <pane ySplit="2" topLeftCell="A3" activePane="bottomLeft" state="frozen"/>
      <selection activeCell="C13" sqref="C13"/>
      <selection pane="bottomLeft" activeCell="C13" sqref="C13"/>
    </sheetView>
  </sheetViews>
  <sheetFormatPr defaultColWidth="19.33203125" defaultRowHeight="10.199999999999999" x14ac:dyDescent="0.2"/>
  <cols>
    <col min="1" max="1" width="5.5546875" style="89" customWidth="1"/>
    <col min="2" max="2" width="50.44140625" style="89" customWidth="1"/>
    <col min="3" max="3" width="15.6640625" style="89" customWidth="1"/>
    <col min="4" max="5" width="12" style="89" customWidth="1"/>
    <col min="6" max="6" width="19.33203125" style="89"/>
    <col min="7" max="7" width="20.44140625" style="89" bestFit="1" customWidth="1"/>
    <col min="8" max="16384" width="19.33203125" style="89"/>
  </cols>
  <sheetData>
    <row r="1" spans="1:6" ht="17.100000000000001" customHeight="1" thickBot="1" x14ac:dyDescent="0.3">
      <c r="A1" s="125"/>
      <c r="B1" s="125"/>
      <c r="C1" s="125"/>
      <c r="D1" s="125"/>
      <c r="E1" s="124"/>
    </row>
    <row r="2" spans="1:6" s="115" customFormat="1" ht="17.100000000000001" customHeight="1" thickBot="1" x14ac:dyDescent="0.3">
      <c r="A2" s="112"/>
      <c r="B2" s="112"/>
      <c r="C2" s="112"/>
      <c r="D2" s="179" t="s">
        <v>113</v>
      </c>
      <c r="E2" s="180"/>
    </row>
    <row r="3" spans="1:6" s="115" customFormat="1" ht="17.100000000000001" customHeight="1" x14ac:dyDescent="0.25">
      <c r="A3" s="114" t="s">
        <v>157</v>
      </c>
      <c r="B3" s="113"/>
      <c r="C3" s="113"/>
      <c r="D3" s="113"/>
      <c r="E3" s="123"/>
    </row>
    <row r="4" spans="1:6" s="121" customFormat="1" ht="17.100000000000001" customHeight="1" x14ac:dyDescent="0.25">
      <c r="A4" s="114" t="s">
        <v>112</v>
      </c>
      <c r="B4" s="113"/>
      <c r="C4" s="122"/>
      <c r="D4" s="113"/>
      <c r="E4" s="113"/>
    </row>
    <row r="5" spans="1:6" s="115" customFormat="1" ht="17.100000000000001" customHeight="1" x14ac:dyDescent="0.25">
      <c r="A5" s="120" t="s">
        <v>111</v>
      </c>
      <c r="B5" s="117"/>
      <c r="C5" s="118"/>
      <c r="D5" s="117"/>
      <c r="E5" s="119"/>
    </row>
    <row r="6" spans="1:6" s="115" customFormat="1" ht="17.100000000000001" customHeight="1" x14ac:dyDescent="0.25">
      <c r="A6" s="120" t="s">
        <v>110</v>
      </c>
      <c r="B6" s="119"/>
      <c r="C6" s="118"/>
      <c r="D6" s="117"/>
      <c r="E6" s="116"/>
    </row>
    <row r="7" spans="1:6" ht="17.100000000000001" customHeight="1" x14ac:dyDescent="0.25">
      <c r="A7" s="113" t="s">
        <v>114</v>
      </c>
      <c r="B7" s="113"/>
      <c r="C7" s="113"/>
      <c r="D7" s="113"/>
      <c r="E7" s="113"/>
    </row>
    <row r="8" spans="1:6" ht="17.100000000000001" customHeight="1" x14ac:dyDescent="0.25">
      <c r="A8" s="114"/>
      <c r="B8" s="113"/>
      <c r="C8" s="113"/>
      <c r="D8" s="113"/>
      <c r="E8" s="113"/>
    </row>
    <row r="9" spans="1:6" ht="17.100000000000001" customHeight="1" x14ac:dyDescent="0.25">
      <c r="A9" s="112"/>
      <c r="B9" s="112"/>
      <c r="C9" s="112"/>
      <c r="D9" s="112"/>
      <c r="E9" s="112"/>
    </row>
    <row r="10" spans="1:6" ht="17.100000000000001" customHeight="1" x14ac:dyDescent="0.25">
      <c r="A10" s="112"/>
      <c r="B10" s="112"/>
      <c r="C10" s="112"/>
      <c r="D10" s="112"/>
      <c r="E10" s="112"/>
    </row>
    <row r="11" spans="1:6" ht="17.100000000000001" customHeight="1" x14ac:dyDescent="0.25">
      <c r="A11" s="111" t="s">
        <v>109</v>
      </c>
      <c r="B11" s="112"/>
      <c r="C11" s="111" t="s">
        <v>108</v>
      </c>
      <c r="D11" s="111"/>
      <c r="E11" s="111" t="s">
        <v>107</v>
      </c>
    </row>
    <row r="12" spans="1:6" s="93" customFormat="1" ht="17.100000000000001" customHeight="1" x14ac:dyDescent="0.2">
      <c r="A12" s="109" t="s">
        <v>106</v>
      </c>
      <c r="B12" s="110" t="s">
        <v>105</v>
      </c>
      <c r="C12" s="109" t="s">
        <v>104</v>
      </c>
      <c r="D12" s="109" t="s">
        <v>103</v>
      </c>
      <c r="E12" s="109" t="s">
        <v>102</v>
      </c>
      <c r="F12" s="97"/>
    </row>
    <row r="13" spans="1:6" s="93" customFormat="1" ht="17.100000000000001" customHeight="1" x14ac:dyDescent="0.25">
      <c r="A13" s="108"/>
      <c r="B13" s="108"/>
      <c r="C13" s="108"/>
      <c r="D13" s="108"/>
      <c r="E13" s="108"/>
      <c r="F13" s="97"/>
    </row>
    <row r="14" spans="1:6" s="93" customFormat="1" ht="17.100000000000001" customHeight="1" x14ac:dyDescent="0.25">
      <c r="A14" s="98">
        <v>1</v>
      </c>
      <c r="B14" s="95"/>
      <c r="C14" s="102"/>
      <c r="D14" s="102"/>
      <c r="E14" s="102"/>
      <c r="F14" s="97"/>
    </row>
    <row r="15" spans="1:6" s="93" customFormat="1" ht="17.100000000000001" customHeight="1" x14ac:dyDescent="0.3">
      <c r="A15" s="98">
        <v>2</v>
      </c>
      <c r="B15" s="95" t="s">
        <v>101</v>
      </c>
      <c r="C15" s="102">
        <v>0.51500000000000001</v>
      </c>
      <c r="D15" s="105">
        <f>E15/C15</f>
        <v>5.5922330097087379E-2</v>
      </c>
      <c r="E15" s="105">
        <v>2.8799999999999999E-2</v>
      </c>
      <c r="F15" s="97"/>
    </row>
    <row r="16" spans="1:6" s="93" customFormat="1" ht="17.100000000000001" customHeight="1" x14ac:dyDescent="0.25">
      <c r="A16" s="98">
        <v>3</v>
      </c>
      <c r="B16" s="95" t="s">
        <v>98</v>
      </c>
      <c r="C16" s="102">
        <v>0.48499999999999999</v>
      </c>
      <c r="D16" s="102">
        <v>9.5000000000000001E-2</v>
      </c>
      <c r="E16" s="102">
        <f>ROUND(+C16*D16,4)</f>
        <v>4.6100000000000002E-2</v>
      </c>
      <c r="F16" s="97"/>
    </row>
    <row r="17" spans="1:7" s="93" customFormat="1" ht="17.100000000000001" customHeight="1" x14ac:dyDescent="0.3">
      <c r="A17" s="98">
        <v>4</v>
      </c>
      <c r="B17" s="95" t="s">
        <v>100</v>
      </c>
      <c r="C17" s="101">
        <f>SUM(C14:C16)</f>
        <v>1</v>
      </c>
      <c r="D17" s="100"/>
      <c r="E17" s="99">
        <f>SUM(E15:E16)</f>
        <v>7.4899999999999994E-2</v>
      </c>
      <c r="F17" s="97"/>
    </row>
    <row r="18" spans="1:7" s="93" customFormat="1" ht="17.100000000000001" customHeight="1" x14ac:dyDescent="0.25">
      <c r="A18" s="98">
        <v>5</v>
      </c>
      <c r="B18" s="107"/>
      <c r="C18" s="95"/>
      <c r="D18" s="95"/>
      <c r="E18" s="106"/>
      <c r="F18" s="97"/>
    </row>
    <row r="19" spans="1:7" s="93" customFormat="1" ht="17.100000000000001" customHeight="1" x14ac:dyDescent="0.25">
      <c r="A19" s="98">
        <v>6</v>
      </c>
      <c r="B19" s="95"/>
      <c r="C19" s="103"/>
      <c r="D19" s="103"/>
      <c r="E19" s="102"/>
      <c r="F19" s="97"/>
    </row>
    <row r="20" spans="1:7" s="93" customFormat="1" ht="17.100000000000001" customHeight="1" x14ac:dyDescent="0.3">
      <c r="A20" s="98">
        <v>7</v>
      </c>
      <c r="B20" s="95" t="s">
        <v>99</v>
      </c>
      <c r="C20" s="103">
        <f>C15</f>
        <v>0.51500000000000001</v>
      </c>
      <c r="D20" s="105">
        <f>+ROUND(D15*0.79,4)</f>
        <v>4.4200000000000003E-2</v>
      </c>
      <c r="E20" s="105">
        <f>ROUND(+C20*D20,4)</f>
        <v>2.2800000000000001E-2</v>
      </c>
      <c r="F20" s="97"/>
      <c r="G20" s="104"/>
    </row>
    <row r="21" spans="1:7" s="93" customFormat="1" ht="17.100000000000001" customHeight="1" x14ac:dyDescent="0.25">
      <c r="A21" s="98">
        <v>8</v>
      </c>
      <c r="B21" s="95" t="s">
        <v>98</v>
      </c>
      <c r="C21" s="103">
        <f>C16</f>
        <v>0.48499999999999999</v>
      </c>
      <c r="D21" s="102">
        <f>+D16</f>
        <v>9.5000000000000001E-2</v>
      </c>
      <c r="E21" s="102">
        <f>ROUND(C21*D21,4)</f>
        <v>4.6100000000000002E-2</v>
      </c>
      <c r="F21" s="97"/>
    </row>
    <row r="22" spans="1:7" s="93" customFormat="1" ht="17.100000000000001" customHeight="1" x14ac:dyDescent="0.3">
      <c r="A22" s="98">
        <v>9</v>
      </c>
      <c r="B22" s="95" t="s">
        <v>97</v>
      </c>
      <c r="C22" s="101">
        <f>SUM(C19:C21)</f>
        <v>1</v>
      </c>
      <c r="D22" s="100"/>
      <c r="E22" s="99">
        <f>SUM(E19:E21)</f>
        <v>6.8900000000000003E-2</v>
      </c>
      <c r="F22" s="97"/>
    </row>
    <row r="23" spans="1:7" s="93" customFormat="1" ht="17.100000000000001" customHeight="1" x14ac:dyDescent="0.25">
      <c r="A23" s="98"/>
      <c r="B23" s="96"/>
      <c r="C23" s="96"/>
      <c r="D23" s="96"/>
      <c r="E23" s="96"/>
      <c r="F23" s="97"/>
    </row>
    <row r="24" spans="1:7" s="93" customFormat="1" ht="17.100000000000001" customHeight="1" x14ac:dyDescent="0.25">
      <c r="A24" s="95" t="s">
        <v>96</v>
      </c>
      <c r="C24" s="96"/>
      <c r="D24" s="96"/>
      <c r="E24" s="96"/>
    </row>
    <row r="25" spans="1:7" s="93" customFormat="1" ht="17.100000000000001" customHeight="1" x14ac:dyDescent="0.25">
      <c r="A25" s="95" t="s">
        <v>95</v>
      </c>
      <c r="B25" s="95"/>
    </row>
    <row r="26" spans="1:7" s="93" customFormat="1" x14ac:dyDescent="0.2"/>
    <row r="27" spans="1:7" s="93" customFormat="1" x14ac:dyDescent="0.2"/>
    <row r="28" spans="1:7" s="93" customFormat="1" x14ac:dyDescent="0.2">
      <c r="A28" s="94"/>
      <c r="B28" s="94"/>
    </row>
    <row r="29" spans="1:7" s="93" customFormat="1" x14ac:dyDescent="0.2">
      <c r="A29" s="94"/>
      <c r="B29" s="94"/>
    </row>
    <row r="30" spans="1:7" s="93" customFormat="1" x14ac:dyDescent="0.2">
      <c r="A30" s="94"/>
      <c r="B30" s="94"/>
    </row>
    <row r="31" spans="1:7" s="93" customFormat="1" x14ac:dyDescent="0.2">
      <c r="A31" s="94"/>
      <c r="B31" s="94"/>
    </row>
    <row r="32" spans="1:7" s="90" customFormat="1" x14ac:dyDescent="0.2">
      <c r="A32" s="92"/>
      <c r="B32" s="92"/>
    </row>
    <row r="33" spans="1:2" s="90" customFormat="1" x14ac:dyDescent="0.2">
      <c r="A33" s="92"/>
      <c r="B33" s="92"/>
    </row>
    <row r="34" spans="1:2" s="90" customFormat="1" x14ac:dyDescent="0.2">
      <c r="A34" s="92"/>
      <c r="B34" s="92"/>
    </row>
    <row r="35" spans="1:2" s="90" customFormat="1" x14ac:dyDescent="0.2">
      <c r="A35" s="92"/>
      <c r="B35" s="92"/>
    </row>
    <row r="36" spans="1:2" s="90" customFormat="1" x14ac:dyDescent="0.2">
      <c r="A36" s="92"/>
      <c r="B36" s="92"/>
    </row>
    <row r="37" spans="1:2" s="90" customFormat="1" x14ac:dyDescent="0.2">
      <c r="A37" s="92"/>
      <c r="B37" s="92"/>
    </row>
    <row r="38" spans="1:2" s="90" customFormat="1" x14ac:dyDescent="0.2">
      <c r="A38" s="92"/>
      <c r="B38" s="92"/>
    </row>
    <row r="39" spans="1:2" s="90" customFormat="1" x14ac:dyDescent="0.2">
      <c r="A39" s="92"/>
      <c r="B39" s="92"/>
    </row>
    <row r="40" spans="1:2" s="90" customFormat="1" x14ac:dyDescent="0.2">
      <c r="A40" s="92"/>
      <c r="B40" s="92"/>
    </row>
    <row r="41" spans="1:2" s="90" customFormat="1" x14ac:dyDescent="0.2">
      <c r="A41" s="92"/>
      <c r="B41" s="92"/>
    </row>
    <row r="42" spans="1:2" s="90" customFormat="1" x14ac:dyDescent="0.2">
      <c r="A42" s="92"/>
      <c r="B42" s="92"/>
    </row>
    <row r="43" spans="1:2" s="90" customFormat="1" x14ac:dyDescent="0.2">
      <c r="A43" s="92"/>
      <c r="B43" s="92"/>
    </row>
    <row r="44" spans="1:2" s="90" customFormat="1" x14ac:dyDescent="0.2">
      <c r="A44" s="92"/>
      <c r="B44" s="92"/>
    </row>
    <row r="45" spans="1:2" s="90" customFormat="1" x14ac:dyDescent="0.2">
      <c r="A45" s="92"/>
      <c r="B45" s="92"/>
    </row>
    <row r="46" spans="1:2" s="90" customFormat="1" x14ac:dyDescent="0.2">
      <c r="A46" s="92"/>
      <c r="B46" s="92"/>
    </row>
    <row r="47" spans="1:2" s="90" customFormat="1" x14ac:dyDescent="0.2">
      <c r="A47" s="92"/>
      <c r="B47" s="92"/>
    </row>
    <row r="48" spans="1:2" s="90" customFormat="1" x14ac:dyDescent="0.2">
      <c r="A48" s="92"/>
      <c r="B48" s="92"/>
    </row>
    <row r="49" spans="1:2" s="90" customFormat="1" x14ac:dyDescent="0.2">
      <c r="A49" s="92"/>
      <c r="B49" s="92"/>
    </row>
    <row r="50" spans="1:2" s="90" customFormat="1" x14ac:dyDescent="0.2">
      <c r="A50" s="92"/>
      <c r="B50" s="92"/>
    </row>
    <row r="51" spans="1:2" s="90" customFormat="1" ht="13.5" customHeight="1" x14ac:dyDescent="0.2">
      <c r="A51" s="92"/>
      <c r="B51" s="92"/>
    </row>
    <row r="52" spans="1:2" s="90" customFormat="1" x14ac:dyDescent="0.2">
      <c r="A52" s="92"/>
      <c r="B52" s="92"/>
    </row>
    <row r="53" spans="1:2" s="90" customFormat="1" x14ac:dyDescent="0.2">
      <c r="A53" s="92"/>
      <c r="B53" s="92"/>
    </row>
    <row r="54" spans="1:2" s="90" customFormat="1" x14ac:dyDescent="0.2">
      <c r="A54" s="92"/>
      <c r="B54" s="92"/>
    </row>
    <row r="55" spans="1:2" s="90" customFormat="1" x14ac:dyDescent="0.2">
      <c r="A55" s="92"/>
      <c r="B55" s="92"/>
    </row>
    <row r="56" spans="1:2" s="90" customFormat="1" x14ac:dyDescent="0.2">
      <c r="A56" s="92"/>
      <c r="B56" s="92"/>
    </row>
    <row r="57" spans="1:2" s="90" customFormat="1" x14ac:dyDescent="0.2">
      <c r="A57" s="92"/>
      <c r="B57" s="92"/>
    </row>
    <row r="58" spans="1:2" s="90" customFormat="1" x14ac:dyDescent="0.2">
      <c r="A58" s="92"/>
      <c r="B58" s="92"/>
    </row>
    <row r="59" spans="1:2" s="90" customFormat="1" x14ac:dyDescent="0.2">
      <c r="A59" s="92"/>
      <c r="B59" s="91"/>
    </row>
    <row r="60" spans="1:2" s="90" customFormat="1" x14ac:dyDescent="0.2"/>
    <row r="61" spans="1:2" s="90" customFormat="1" x14ac:dyDescent="0.2"/>
    <row r="62" spans="1:2" s="90" customFormat="1" x14ac:dyDescent="0.2"/>
    <row r="63" spans="1:2" s="90" customFormat="1" x14ac:dyDescent="0.2"/>
    <row r="64" spans="1:2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</sheetData>
  <mergeCells count="1">
    <mergeCell ref="D2:E2"/>
  </mergeCells>
  <conditionalFormatting sqref="A1:IN1">
    <cfRule type="cellIs" dxfId="0" priority="1" stopIfTrue="1" operator="notEqual">
      <formula>0</formula>
    </cfRule>
  </conditionalFormatting>
  <printOptions horizontalCentered="1"/>
  <pageMargins left="0.95" right="0.7" top="0.75" bottom="0.75" header="0.3" footer="0.55000000000000004"/>
  <pageSetup scale="91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C11" sqref="C11"/>
    </sheetView>
  </sheetViews>
  <sheetFormatPr defaultRowHeight="14.4" x14ac:dyDescent="0.3"/>
  <cols>
    <col min="1" max="1" width="27.44140625" customWidth="1"/>
    <col min="2" max="2" width="10" bestFit="1" customWidth="1"/>
    <col min="3" max="4" width="11.109375" bestFit="1" customWidth="1"/>
  </cols>
  <sheetData>
    <row r="1" spans="1:4" x14ac:dyDescent="0.3">
      <c r="A1" t="s">
        <v>177</v>
      </c>
    </row>
    <row r="2" spans="1:4" x14ac:dyDescent="0.3">
      <c r="A2" t="s">
        <v>178</v>
      </c>
    </row>
    <row r="3" spans="1:4" x14ac:dyDescent="0.3">
      <c r="A3" t="s">
        <v>179</v>
      </c>
    </row>
    <row r="4" spans="1:4" x14ac:dyDescent="0.3">
      <c r="A4" t="s">
        <v>180</v>
      </c>
    </row>
    <row r="5" spans="1:4" x14ac:dyDescent="0.3">
      <c r="A5" t="s">
        <v>181</v>
      </c>
    </row>
    <row r="7" spans="1:4" x14ac:dyDescent="0.3">
      <c r="A7" t="s">
        <v>130</v>
      </c>
      <c r="D7" s="127">
        <f>'AMI Electric AMA Combined'!E33</f>
        <v>72302.610483458324</v>
      </c>
    </row>
    <row r="8" spans="1:4" x14ac:dyDescent="0.3">
      <c r="A8" t="s">
        <v>172</v>
      </c>
      <c r="D8" s="128">
        <f>D19</f>
        <v>308345.99130591669</v>
      </c>
    </row>
    <row r="9" spans="1:4" ht="15" thickBot="1" x14ac:dyDescent="0.35">
      <c r="A9" t="s">
        <v>174</v>
      </c>
      <c r="D9" s="132">
        <f>SUM(D7:D8)</f>
        <v>380648.60178937501</v>
      </c>
    </row>
    <row r="10" spans="1:4" ht="15" thickTop="1" x14ac:dyDescent="0.3"/>
    <row r="11" spans="1:4" x14ac:dyDescent="0.3">
      <c r="A11" t="s">
        <v>131</v>
      </c>
      <c r="D11" s="127">
        <f>'AMI Gas AMA Combined'!E33</f>
        <v>5010.174091375</v>
      </c>
    </row>
    <row r="12" spans="1:4" x14ac:dyDescent="0.3">
      <c r="A12" t="s">
        <v>182</v>
      </c>
      <c r="D12" s="128">
        <f>D20</f>
        <v>162770.87852741667</v>
      </c>
    </row>
    <row r="13" spans="1:4" ht="15" thickBot="1" x14ac:dyDescent="0.35">
      <c r="A13" t="s">
        <v>183</v>
      </c>
      <c r="D13" s="132">
        <f>SUM(D11:D12)</f>
        <v>167781.05261879167</v>
      </c>
    </row>
    <row r="14" spans="1:4" ht="15" thickTop="1" x14ac:dyDescent="0.3">
      <c r="D14" s="177"/>
    </row>
    <row r="15" spans="1:4" x14ac:dyDescent="0.3">
      <c r="D15" s="177"/>
    </row>
    <row r="18" spans="1:4" x14ac:dyDescent="0.3">
      <c r="A18" t="s">
        <v>173</v>
      </c>
      <c r="D18" s="127">
        <f>'Common AMA-Combined'!E33</f>
        <v>471116.86983333336</v>
      </c>
    </row>
    <row r="19" spans="1:4" x14ac:dyDescent="0.3">
      <c r="A19" t="s">
        <v>130</v>
      </c>
      <c r="D19" s="128">
        <f>D18*D22</f>
        <v>308345.99130591669</v>
      </c>
    </row>
    <row r="20" spans="1:4" x14ac:dyDescent="0.3">
      <c r="A20" t="s">
        <v>131</v>
      </c>
      <c r="D20" s="128">
        <f>D18*D23</f>
        <v>162770.87852741667</v>
      </c>
    </row>
    <row r="22" spans="1:4" x14ac:dyDescent="0.3">
      <c r="A22" s="2" t="s">
        <v>175</v>
      </c>
      <c r="D22" s="178">
        <f>'Alloc Methds ERF'!E35</f>
        <v>0.65449999999999997</v>
      </c>
    </row>
    <row r="23" spans="1:4" x14ac:dyDescent="0.3">
      <c r="A23" s="2" t="s">
        <v>176</v>
      </c>
      <c r="D23" s="178">
        <f>'Alloc Methds ERF'!F35</f>
        <v>0.34549999999999997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92D050"/>
  </sheetPr>
  <dimension ref="A1:O61"/>
  <sheetViews>
    <sheetView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4.4" x14ac:dyDescent="0.3"/>
  <cols>
    <col min="1" max="1" width="5.109375" bestFit="1" customWidth="1"/>
    <col min="2" max="2" width="33.44140625" bestFit="1" customWidth="1"/>
    <col min="3" max="14" width="12.5546875" bestFit="1" customWidth="1"/>
    <col min="15" max="15" width="11.5546875" bestFit="1" customWidth="1"/>
  </cols>
  <sheetData>
    <row r="1" spans="1:14" x14ac:dyDescent="0.3">
      <c r="A1" s="1" t="s">
        <v>171</v>
      </c>
    </row>
    <row r="3" spans="1:14" x14ac:dyDescent="0.3">
      <c r="B3" t="s">
        <v>94</v>
      </c>
      <c r="C3" s="88">
        <f>'ERF ROR'!E17</f>
        <v>7.4899999999999994E-2</v>
      </c>
      <c r="G3" s="88"/>
    </row>
    <row r="4" spans="1:14" x14ac:dyDescent="0.3">
      <c r="B4" t="s">
        <v>115</v>
      </c>
      <c r="C4" s="88">
        <f>'ERF ROR'!E15</f>
        <v>2.8799999999999999E-2</v>
      </c>
      <c r="G4" s="88"/>
    </row>
    <row r="5" spans="1:14" x14ac:dyDescent="0.3">
      <c r="B5" t="s">
        <v>116</v>
      </c>
      <c r="C5" s="130">
        <v>0.21</v>
      </c>
    </row>
    <row r="6" spans="1:14" x14ac:dyDescent="0.3">
      <c r="A6" s="86" t="s">
        <v>88</v>
      </c>
    </row>
    <row r="7" spans="1:14" x14ac:dyDescent="0.3">
      <c r="A7" s="87" t="s">
        <v>87</v>
      </c>
      <c r="B7" s="87" t="s">
        <v>86</v>
      </c>
      <c r="C7" s="126">
        <v>43555</v>
      </c>
      <c r="D7" s="126">
        <v>43585</v>
      </c>
      <c r="E7" s="126">
        <v>43616</v>
      </c>
      <c r="F7" s="126">
        <v>43646</v>
      </c>
      <c r="G7" s="126">
        <v>43677</v>
      </c>
      <c r="H7" s="126">
        <v>43708</v>
      </c>
      <c r="I7" s="126">
        <v>43738</v>
      </c>
      <c r="J7" s="126">
        <v>43769</v>
      </c>
      <c r="K7" s="126">
        <v>43799</v>
      </c>
      <c r="L7" s="126">
        <v>43830</v>
      </c>
      <c r="M7" s="126">
        <v>43861</v>
      </c>
      <c r="N7" s="126">
        <v>43890</v>
      </c>
    </row>
    <row r="9" spans="1:14" x14ac:dyDescent="0.3">
      <c r="A9">
        <v>1</v>
      </c>
      <c r="B9" s="146" t="s">
        <v>163</v>
      </c>
    </row>
    <row r="10" spans="1:14" x14ac:dyDescent="0.3">
      <c r="A10">
        <v>2</v>
      </c>
      <c r="B10" t="s">
        <v>89</v>
      </c>
      <c r="C10" s="127">
        <f>C26+C42</f>
        <v>44075517.141779996</v>
      </c>
      <c r="D10" s="127">
        <f t="shared" ref="D10:N10" si="0">D26+D42</f>
        <v>44075517.141779996</v>
      </c>
      <c r="E10" s="127">
        <f t="shared" si="0"/>
        <v>44075517.141779996</v>
      </c>
      <c r="F10" s="127">
        <f t="shared" si="0"/>
        <v>44075517.141779996</v>
      </c>
      <c r="G10" s="127">
        <f t="shared" si="0"/>
        <v>44075517.141779996</v>
      </c>
      <c r="H10" s="127">
        <f t="shared" si="0"/>
        <v>44075517.141779996</v>
      </c>
      <c r="I10" s="127">
        <f t="shared" si="0"/>
        <v>44075517.141779996</v>
      </c>
      <c r="J10" s="127">
        <f t="shared" si="0"/>
        <v>44075517.141779996</v>
      </c>
      <c r="K10" s="127">
        <f t="shared" si="0"/>
        <v>44075517.141779996</v>
      </c>
      <c r="L10" s="127">
        <f t="shared" si="0"/>
        <v>44075517.141779996</v>
      </c>
      <c r="M10" s="127">
        <f t="shared" si="0"/>
        <v>44075517.141779996</v>
      </c>
      <c r="N10" s="127">
        <f t="shared" si="0"/>
        <v>44075517.141779996</v>
      </c>
    </row>
    <row r="11" spans="1:14" x14ac:dyDescent="0.3">
      <c r="A11">
        <v>3</v>
      </c>
      <c r="B11" t="s">
        <v>16</v>
      </c>
      <c r="C11" s="128">
        <f t="shared" ref="C11:N11" si="1">C27+C43</f>
        <v>-5305476.6923829205</v>
      </c>
      <c r="D11" s="128">
        <f t="shared" si="1"/>
        <v>-5686125.2941722963</v>
      </c>
      <c r="E11" s="128">
        <f t="shared" si="1"/>
        <v>-6066773.8959616702</v>
      </c>
      <c r="F11" s="128">
        <f t="shared" si="1"/>
        <v>-6447422.497751046</v>
      </c>
      <c r="G11" s="128">
        <f t="shared" si="1"/>
        <v>-6828071.0995404199</v>
      </c>
      <c r="H11" s="128">
        <f t="shared" si="1"/>
        <v>-7208719.7013297956</v>
      </c>
      <c r="I11" s="128">
        <f t="shared" si="1"/>
        <v>-7589368.3031191695</v>
      </c>
      <c r="J11" s="128">
        <f t="shared" si="1"/>
        <v>-7970016.9049085453</v>
      </c>
      <c r="K11" s="128">
        <f t="shared" si="1"/>
        <v>-8350665.5066979192</v>
      </c>
      <c r="L11" s="128">
        <f t="shared" si="1"/>
        <v>-8731314.108487295</v>
      </c>
      <c r="M11" s="128">
        <f t="shared" si="1"/>
        <v>-9111962.7102766708</v>
      </c>
      <c r="N11" s="128">
        <f t="shared" si="1"/>
        <v>-9492611.3120660447</v>
      </c>
    </row>
    <row r="12" spans="1:14" x14ac:dyDescent="0.3">
      <c r="A12">
        <v>4</v>
      </c>
      <c r="B12" t="s">
        <v>90</v>
      </c>
      <c r="C12" s="128">
        <f t="shared" ref="C12:N12" si="2">C28+C44</f>
        <v>-3026365.4765934101</v>
      </c>
      <c r="D12" s="128">
        <f t="shared" si="2"/>
        <v>-3155457.0140666724</v>
      </c>
      <c r="E12" s="128">
        <f t="shared" si="2"/>
        <v>-3284548.5515399347</v>
      </c>
      <c r="F12" s="128">
        <f t="shared" si="2"/>
        <v>-3413640.089013197</v>
      </c>
      <c r="G12" s="128">
        <f t="shared" si="2"/>
        <v>-3542731.6264864597</v>
      </c>
      <c r="H12" s="128">
        <f t="shared" si="2"/>
        <v>-3671823.163959722</v>
      </c>
      <c r="I12" s="128">
        <f t="shared" si="2"/>
        <v>-3800914.7014329843</v>
      </c>
      <c r="J12" s="128">
        <f t="shared" si="2"/>
        <v>-3930006.2389062466</v>
      </c>
      <c r="K12" s="128">
        <f t="shared" si="2"/>
        <v>-4059097.7763795089</v>
      </c>
      <c r="L12" s="128">
        <f t="shared" si="2"/>
        <v>-4188189.3138527712</v>
      </c>
      <c r="M12" s="128">
        <f t="shared" si="2"/>
        <v>-4266899.0466714762</v>
      </c>
      <c r="N12" s="128">
        <f t="shared" si="2"/>
        <v>-4345608.7794901812</v>
      </c>
    </row>
    <row r="13" spans="1:14" x14ac:dyDescent="0.3">
      <c r="A13">
        <v>5</v>
      </c>
      <c r="B13" t="s">
        <v>91</v>
      </c>
      <c r="C13" s="129">
        <f>SUM(C10:C12)</f>
        <v>35743674.97280366</v>
      </c>
      <c r="D13" s="129">
        <f>SUM(D10:D12)</f>
        <v>35233934.833541028</v>
      </c>
      <c r="E13" s="129">
        <f t="shared" ref="E13:N13" si="3">SUM(E10:E12)</f>
        <v>34724194.694278389</v>
      </c>
      <c r="F13" s="129">
        <f t="shared" si="3"/>
        <v>34214454.55501575</v>
      </c>
      <c r="G13" s="129">
        <f t="shared" si="3"/>
        <v>33704714.415753119</v>
      </c>
      <c r="H13" s="129">
        <f t="shared" si="3"/>
        <v>33194974.276490476</v>
      </c>
      <c r="I13" s="129">
        <f t="shared" si="3"/>
        <v>32685234.137227844</v>
      </c>
      <c r="J13" s="129">
        <f t="shared" si="3"/>
        <v>32175493.997965205</v>
      </c>
      <c r="K13" s="129">
        <f t="shared" si="3"/>
        <v>31665753.85870257</v>
      </c>
      <c r="L13" s="129">
        <f t="shared" si="3"/>
        <v>31156013.719439931</v>
      </c>
      <c r="M13" s="129">
        <f t="shared" si="3"/>
        <v>30696655.384831849</v>
      </c>
      <c r="N13" s="129">
        <f t="shared" si="3"/>
        <v>30237297.050223775</v>
      </c>
    </row>
    <row r="14" spans="1:14" x14ac:dyDescent="0.3">
      <c r="A14">
        <v>6</v>
      </c>
      <c r="B14" t="s">
        <v>94</v>
      </c>
      <c r="C14" s="88">
        <f>$C$3</f>
        <v>7.4899999999999994E-2</v>
      </c>
      <c r="D14" s="88">
        <f>$C$3</f>
        <v>7.4899999999999994E-2</v>
      </c>
      <c r="E14" s="88">
        <f t="shared" ref="E14:N14" si="4">$C$3</f>
        <v>7.4899999999999994E-2</v>
      </c>
      <c r="F14" s="88">
        <f t="shared" si="4"/>
        <v>7.4899999999999994E-2</v>
      </c>
      <c r="G14" s="88">
        <f t="shared" si="4"/>
        <v>7.4899999999999994E-2</v>
      </c>
      <c r="H14" s="88">
        <f t="shared" si="4"/>
        <v>7.4899999999999994E-2</v>
      </c>
      <c r="I14" s="88">
        <f t="shared" si="4"/>
        <v>7.4899999999999994E-2</v>
      </c>
      <c r="J14" s="88">
        <f t="shared" si="4"/>
        <v>7.4899999999999994E-2</v>
      </c>
      <c r="K14" s="88">
        <f t="shared" si="4"/>
        <v>7.4899999999999994E-2</v>
      </c>
      <c r="L14" s="88">
        <f t="shared" si="4"/>
        <v>7.4899999999999994E-2</v>
      </c>
      <c r="M14" s="88">
        <f t="shared" si="4"/>
        <v>7.4899999999999994E-2</v>
      </c>
      <c r="N14" s="88">
        <f t="shared" si="4"/>
        <v>7.4899999999999994E-2</v>
      </c>
    </row>
    <row r="15" spans="1:14" x14ac:dyDescent="0.3">
      <c r="A15">
        <v>7</v>
      </c>
      <c r="B15" t="s">
        <v>92</v>
      </c>
      <c r="C15" s="128">
        <f>C13*C14</f>
        <v>2677201.2554629939</v>
      </c>
      <c r="D15" s="128">
        <f>D13*D14</f>
        <v>2639021.7190322229</v>
      </c>
      <c r="E15" s="128">
        <f t="shared" ref="E15:N15" si="5">E13*E14</f>
        <v>2600842.1826014509</v>
      </c>
      <c r="F15" s="128">
        <f t="shared" si="5"/>
        <v>2562662.6461706795</v>
      </c>
      <c r="G15" s="128">
        <f t="shared" si="5"/>
        <v>2524483.1097399085</v>
      </c>
      <c r="H15" s="128">
        <f t="shared" si="5"/>
        <v>2486303.5733091366</v>
      </c>
      <c r="I15" s="128">
        <f t="shared" si="5"/>
        <v>2448124.0368783656</v>
      </c>
      <c r="J15" s="128">
        <f t="shared" si="5"/>
        <v>2409944.5004475936</v>
      </c>
      <c r="K15" s="128">
        <f t="shared" si="5"/>
        <v>2371764.9640168222</v>
      </c>
      <c r="L15" s="128">
        <f t="shared" si="5"/>
        <v>2333585.4275860507</v>
      </c>
      <c r="M15" s="128">
        <f t="shared" si="5"/>
        <v>2299179.4883239055</v>
      </c>
      <c r="N15" s="128">
        <f t="shared" si="5"/>
        <v>2264773.5490617608</v>
      </c>
    </row>
    <row r="16" spans="1:14" x14ac:dyDescent="0.3">
      <c r="A16">
        <v>8</v>
      </c>
      <c r="B16" t="s">
        <v>93</v>
      </c>
      <c r="C16" s="128">
        <f>-C13*$C$4*$C$5</f>
        <v>-216177.7462355165</v>
      </c>
      <c r="D16" s="128">
        <f>-D13*$C$4*$C$5</f>
        <v>-213094.83787325613</v>
      </c>
      <c r="E16" s="128">
        <f t="shared" ref="E16:N16" si="6">-E13*$C$4*$C$5</f>
        <v>-210011.92951099569</v>
      </c>
      <c r="F16" s="128">
        <f t="shared" si="6"/>
        <v>-206929.02114873522</v>
      </c>
      <c r="G16" s="128">
        <f t="shared" si="6"/>
        <v>-203846.11278647484</v>
      </c>
      <c r="H16" s="128">
        <f t="shared" si="6"/>
        <v>-200763.20442421437</v>
      </c>
      <c r="I16" s="128">
        <f t="shared" si="6"/>
        <v>-197680.296061954</v>
      </c>
      <c r="J16" s="128">
        <f t="shared" si="6"/>
        <v>-194597.38769969356</v>
      </c>
      <c r="K16" s="128">
        <f t="shared" si="6"/>
        <v>-191514.47933743312</v>
      </c>
      <c r="L16" s="128">
        <f t="shared" si="6"/>
        <v>-188431.57097517268</v>
      </c>
      <c r="M16" s="128">
        <f t="shared" si="6"/>
        <v>-185653.37176746302</v>
      </c>
      <c r="N16" s="128">
        <f t="shared" si="6"/>
        <v>-182875.17255975338</v>
      </c>
    </row>
    <row r="17" spans="1:15" x14ac:dyDescent="0.3">
      <c r="A17">
        <v>9</v>
      </c>
      <c r="B17" t="s">
        <v>117</v>
      </c>
      <c r="C17" s="129">
        <f>SUM(C15:C16)</f>
        <v>2461023.5092274775</v>
      </c>
      <c r="D17" s="129">
        <f>SUM(D15:D16)</f>
        <v>2425926.8811589666</v>
      </c>
      <c r="E17" s="129">
        <f t="shared" ref="E17:N17" si="7">SUM(E15:E16)</f>
        <v>2390830.2530904552</v>
      </c>
      <c r="F17" s="129">
        <f t="shared" si="7"/>
        <v>2355733.6250219443</v>
      </c>
      <c r="G17" s="129">
        <f t="shared" si="7"/>
        <v>2320636.9969534338</v>
      </c>
      <c r="H17" s="129">
        <f t="shared" si="7"/>
        <v>2285540.368884922</v>
      </c>
      <c r="I17" s="129">
        <f t="shared" si="7"/>
        <v>2250443.7408164116</v>
      </c>
      <c r="J17" s="129">
        <f t="shared" si="7"/>
        <v>2215347.1127479002</v>
      </c>
      <c r="K17" s="129">
        <f t="shared" si="7"/>
        <v>2180250.4846793888</v>
      </c>
      <c r="L17" s="129">
        <f t="shared" si="7"/>
        <v>2145153.8566108779</v>
      </c>
      <c r="M17" s="129">
        <f t="shared" si="7"/>
        <v>2113526.1165564423</v>
      </c>
      <c r="N17" s="129">
        <f t="shared" si="7"/>
        <v>2081898.3765020075</v>
      </c>
    </row>
    <row r="18" spans="1:15" x14ac:dyDescent="0.3">
      <c r="A18">
        <v>10</v>
      </c>
      <c r="B18" t="s">
        <v>118</v>
      </c>
      <c r="C18" s="131">
        <f>1-$C$5</f>
        <v>0.79</v>
      </c>
      <c r="D18" s="131">
        <f>1-$C$5</f>
        <v>0.79</v>
      </c>
      <c r="E18" s="131">
        <f t="shared" ref="E18:N18" si="8">1-$C$5</f>
        <v>0.79</v>
      </c>
      <c r="F18" s="131">
        <f t="shared" si="8"/>
        <v>0.79</v>
      </c>
      <c r="G18" s="131">
        <f t="shared" si="8"/>
        <v>0.79</v>
      </c>
      <c r="H18" s="131">
        <f t="shared" si="8"/>
        <v>0.79</v>
      </c>
      <c r="I18" s="131">
        <f t="shared" si="8"/>
        <v>0.79</v>
      </c>
      <c r="J18" s="131">
        <f t="shared" si="8"/>
        <v>0.79</v>
      </c>
      <c r="K18" s="131">
        <f t="shared" si="8"/>
        <v>0.79</v>
      </c>
      <c r="L18" s="131">
        <f t="shared" si="8"/>
        <v>0.79</v>
      </c>
      <c r="M18" s="131">
        <f t="shared" si="8"/>
        <v>0.79</v>
      </c>
      <c r="N18" s="131">
        <f t="shared" si="8"/>
        <v>0.79</v>
      </c>
    </row>
    <row r="19" spans="1:15" x14ac:dyDescent="0.3">
      <c r="A19">
        <v>11</v>
      </c>
      <c r="B19" t="s">
        <v>120</v>
      </c>
      <c r="C19" s="129">
        <f>C17/C18</f>
        <v>3115219.6319335154</v>
      </c>
      <c r="D19" s="129">
        <f>D17/D18</f>
        <v>3070793.5204543881</v>
      </c>
      <c r="E19" s="129">
        <f t="shared" ref="E19:N19" si="9">E17/E18</f>
        <v>3026367.4089752594</v>
      </c>
      <c r="F19" s="129">
        <f t="shared" si="9"/>
        <v>2981941.2974961321</v>
      </c>
      <c r="G19" s="129">
        <f t="shared" si="9"/>
        <v>2937515.1860170048</v>
      </c>
      <c r="H19" s="129">
        <f t="shared" si="9"/>
        <v>2893089.0745378756</v>
      </c>
      <c r="I19" s="129">
        <f t="shared" si="9"/>
        <v>2848662.9630587487</v>
      </c>
      <c r="J19" s="129">
        <f t="shared" si="9"/>
        <v>2804236.8515796205</v>
      </c>
      <c r="K19" s="129">
        <f t="shared" si="9"/>
        <v>2759810.7401004923</v>
      </c>
      <c r="L19" s="129">
        <f t="shared" si="9"/>
        <v>2715384.6286213645</v>
      </c>
      <c r="M19" s="129">
        <f t="shared" si="9"/>
        <v>2675349.514628408</v>
      </c>
      <c r="N19" s="129">
        <f t="shared" si="9"/>
        <v>2635314.4006354525</v>
      </c>
    </row>
    <row r="20" spans="1:15" x14ac:dyDescent="0.3">
      <c r="A20">
        <v>12</v>
      </c>
      <c r="B20" t="s">
        <v>121</v>
      </c>
      <c r="C20" s="128">
        <v>12</v>
      </c>
      <c r="D20" s="128">
        <v>12</v>
      </c>
      <c r="E20" s="128">
        <v>12</v>
      </c>
      <c r="F20" s="128">
        <v>12</v>
      </c>
      <c r="G20" s="128">
        <v>12</v>
      </c>
      <c r="H20" s="128">
        <v>12</v>
      </c>
      <c r="I20" s="128">
        <v>12</v>
      </c>
      <c r="J20" s="128">
        <v>12</v>
      </c>
      <c r="K20" s="128">
        <v>12</v>
      </c>
      <c r="L20" s="128">
        <v>12</v>
      </c>
      <c r="M20" s="128">
        <v>12</v>
      </c>
      <c r="N20" s="128">
        <v>12</v>
      </c>
    </row>
    <row r="21" spans="1:15" ht="15" thickBot="1" x14ac:dyDescent="0.35">
      <c r="A21">
        <v>13</v>
      </c>
      <c r="B21" t="s">
        <v>119</v>
      </c>
      <c r="C21" s="132">
        <f>C19/C20</f>
        <v>259601.63599445962</v>
      </c>
      <c r="D21" s="132">
        <f>D19/D20</f>
        <v>255899.46003786568</v>
      </c>
      <c r="E21" s="132">
        <f t="shared" ref="E21:N21" si="10">E19/E20</f>
        <v>252197.28408127162</v>
      </c>
      <c r="F21" s="132">
        <f t="shared" si="10"/>
        <v>248495.10812467767</v>
      </c>
      <c r="G21" s="132">
        <f t="shared" si="10"/>
        <v>244792.93216808373</v>
      </c>
      <c r="H21" s="132">
        <f t="shared" si="10"/>
        <v>241090.75621148964</v>
      </c>
      <c r="I21" s="132">
        <f t="shared" si="10"/>
        <v>237388.58025489573</v>
      </c>
      <c r="J21" s="132">
        <f t="shared" si="10"/>
        <v>233686.4042983017</v>
      </c>
      <c r="K21" s="132">
        <f t="shared" si="10"/>
        <v>229984.2283417077</v>
      </c>
      <c r="L21" s="132">
        <f t="shared" si="10"/>
        <v>226282.0523851137</v>
      </c>
      <c r="M21" s="132">
        <f t="shared" si="10"/>
        <v>222945.79288570068</v>
      </c>
      <c r="N21" s="132">
        <f t="shared" si="10"/>
        <v>219609.53338628772</v>
      </c>
    </row>
    <row r="22" spans="1:15" ht="15" thickTop="1" x14ac:dyDescent="0.3">
      <c r="A22">
        <v>14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5" ht="15" thickBot="1" x14ac:dyDescent="0.35">
      <c r="A23">
        <v>15</v>
      </c>
      <c r="B23" t="s">
        <v>122</v>
      </c>
      <c r="C23" s="145">
        <f>SUM($C21:C21)</f>
        <v>259601.63599445962</v>
      </c>
      <c r="D23" s="145">
        <f>SUM($C21:D21)</f>
        <v>515501.09603232529</v>
      </c>
      <c r="E23" s="145">
        <f>SUM($C21:E21)</f>
        <v>767698.38011359691</v>
      </c>
      <c r="F23" s="145">
        <f>SUM($C21:F21)</f>
        <v>1016193.4882382746</v>
      </c>
      <c r="G23" s="145">
        <f>SUM($C21:G21)</f>
        <v>1260986.4204063583</v>
      </c>
      <c r="H23" s="145">
        <f>SUM($C21:H21)</f>
        <v>1502077.176617848</v>
      </c>
      <c r="I23" s="145">
        <f>SUM($C21:I21)</f>
        <v>1739465.7568727438</v>
      </c>
      <c r="J23" s="145">
        <f>SUM($C21:J21)</f>
        <v>1973152.1611710456</v>
      </c>
      <c r="K23" s="145">
        <f>SUM($C21:K21)</f>
        <v>2203136.3895127531</v>
      </c>
      <c r="L23" s="145">
        <f>SUM($C21:L21)</f>
        <v>2429418.4418978668</v>
      </c>
      <c r="M23" s="145">
        <f>SUM($C21:M21)</f>
        <v>2652364.2347835675</v>
      </c>
      <c r="N23" s="145">
        <f>SUM($C21:N21)</f>
        <v>2871973.7681698552</v>
      </c>
    </row>
    <row r="24" spans="1:15" ht="15" thickTop="1" x14ac:dyDescent="0.3">
      <c r="A24">
        <v>16</v>
      </c>
    </row>
    <row r="25" spans="1:15" x14ac:dyDescent="0.3">
      <c r="A25">
        <v>17</v>
      </c>
      <c r="B25" s="146" t="s">
        <v>161</v>
      </c>
    </row>
    <row r="26" spans="1:15" x14ac:dyDescent="0.3">
      <c r="A26">
        <v>18</v>
      </c>
      <c r="B26" t="s">
        <v>89</v>
      </c>
      <c r="C26" s="127">
        <f>VLOOKUP(C$7,'AMI Electric AMA Combined'!$A$42:$L$53,3,FALSE)</f>
        <v>15855390.35</v>
      </c>
      <c r="D26" s="127">
        <f>VLOOKUP(D$7,'AMI Electric AMA Combined'!$A$42:$L$53,3,FALSE)</f>
        <v>15855390.35</v>
      </c>
      <c r="E26" s="127">
        <f>VLOOKUP(E$7,'AMI Electric AMA Combined'!$A$42:$L$53,3,FALSE)</f>
        <v>15855390.35</v>
      </c>
      <c r="F26" s="127">
        <f>VLOOKUP(F$7,'AMI Electric AMA Combined'!$A$42:$L$53,3,FALSE)</f>
        <v>15855390.35</v>
      </c>
      <c r="G26" s="127">
        <f>VLOOKUP(G$7,'AMI Electric AMA Combined'!$A$42:$L$53,3,FALSE)</f>
        <v>15855390.35</v>
      </c>
      <c r="H26" s="127">
        <f>VLOOKUP(H$7,'AMI Electric AMA Combined'!$A$42:$L$53,3,FALSE)</f>
        <v>15855390.35</v>
      </c>
      <c r="I26" s="127">
        <f>VLOOKUP(I$7,'AMI Electric AMA Combined'!$A$42:$L$53,3,FALSE)</f>
        <v>15855390.35</v>
      </c>
      <c r="J26" s="127">
        <f>VLOOKUP(J$7,'AMI Electric AMA Combined'!$A$42:$L$53,3,FALSE)</f>
        <v>15855390.35</v>
      </c>
      <c r="K26" s="127">
        <f>VLOOKUP(K$7,'AMI Electric AMA Combined'!$A$42:$L$53,3,FALSE)</f>
        <v>15855390.35</v>
      </c>
      <c r="L26" s="127">
        <f>VLOOKUP(L$7,'AMI Electric AMA Combined'!$A$42:$L$53,3,FALSE)</f>
        <v>15855390.35</v>
      </c>
      <c r="M26" s="127">
        <f>VLOOKUP(M$7,'AMI Electric AMA Combined'!$A$42:$L$53,3,FALSE)</f>
        <v>15855390.35</v>
      </c>
      <c r="N26" s="127">
        <f>VLOOKUP(N$7,'AMI Electric AMA Combined'!$A$42:$L$53,3,FALSE)</f>
        <v>15855390.35</v>
      </c>
      <c r="O26" s="128"/>
    </row>
    <row r="27" spans="1:15" x14ac:dyDescent="0.3">
      <c r="A27">
        <v>19</v>
      </c>
      <c r="B27" t="s">
        <v>16</v>
      </c>
      <c r="C27" s="128">
        <f>VLOOKUP(C$7,'AMI Electric AMA Combined'!$A$42:$L$53,7,FALSE)</f>
        <v>-904738.73440970806</v>
      </c>
      <c r="D27" s="128">
        <f>VLOOKUP(D$7,'AMI Electric AMA Combined'!$A$42:$L$53,7,FALSE)</f>
        <v>-977041.34489316633</v>
      </c>
      <c r="E27" s="128">
        <f>VLOOKUP(E$7,'AMI Electric AMA Combined'!$A$42:$L$53,7,FALSE)</f>
        <v>-1049343.9553766246</v>
      </c>
      <c r="F27" s="128">
        <f>VLOOKUP(F$7,'AMI Electric AMA Combined'!$A$42:$L$53,7,FALSE)</f>
        <v>-1121646.5658600829</v>
      </c>
      <c r="G27" s="128">
        <f>VLOOKUP(G$7,'AMI Electric AMA Combined'!$A$42:$L$53,7,FALSE)</f>
        <v>-1193949.1763435411</v>
      </c>
      <c r="H27" s="128">
        <f>VLOOKUP(H$7,'AMI Electric AMA Combined'!$A$42:$L$53,7,FALSE)</f>
        <v>-1266251.7868269994</v>
      </c>
      <c r="I27" s="128">
        <f>VLOOKUP(I$7,'AMI Electric AMA Combined'!$A$42:$L$53,7,FALSE)</f>
        <v>-1338554.3973104577</v>
      </c>
      <c r="J27" s="128">
        <f>VLOOKUP(J$7,'AMI Electric AMA Combined'!$A$42:$L$53,7,FALSE)</f>
        <v>-1410857.0077939159</v>
      </c>
      <c r="K27" s="128">
        <f>VLOOKUP(K$7,'AMI Electric AMA Combined'!$A$42:$L$53,7,FALSE)</f>
        <v>-1483159.6182773742</v>
      </c>
      <c r="L27" s="128">
        <f>VLOOKUP(L$7,'AMI Electric AMA Combined'!$A$42:$L$53,7,FALSE)</f>
        <v>-1555462.2287608325</v>
      </c>
      <c r="M27" s="128">
        <f>VLOOKUP(M$7,'AMI Electric AMA Combined'!$A$42:$L$53,7,FALSE)</f>
        <v>-1627764.8392442907</v>
      </c>
      <c r="N27" s="128">
        <f>VLOOKUP(N$7,'AMI Electric AMA Combined'!$A$42:$L$53,7,FALSE)</f>
        <v>-1700067.449727749</v>
      </c>
    </row>
    <row r="28" spans="1:15" x14ac:dyDescent="0.3">
      <c r="A28">
        <v>20</v>
      </c>
      <c r="B28" t="s">
        <v>90</v>
      </c>
      <c r="C28" s="128">
        <f>VLOOKUP(C$7,'AMI Electric AMA Combined'!$A$42:$L$53,11,FALSE)</f>
        <v>-743351.92160950229</v>
      </c>
      <c r="D28" s="128">
        <f>VLOOKUP(D$7,'AMI Electric AMA Combined'!$A$42:$L$53,11,FALSE)</f>
        <v>-815910.38717300224</v>
      </c>
      <c r="E28" s="128">
        <f>VLOOKUP(E$7,'AMI Electric AMA Combined'!$A$42:$L$53,11,FALSE)</f>
        <v>-888468.8527365023</v>
      </c>
      <c r="F28" s="128">
        <f>VLOOKUP(F$7,'AMI Electric AMA Combined'!$A$42:$L$53,11,FALSE)</f>
        <v>-961027.31830000191</v>
      </c>
      <c r="G28" s="128">
        <f>VLOOKUP(G$7,'AMI Electric AMA Combined'!$A$42:$L$53,11,FALSE)</f>
        <v>-1033585.783863502</v>
      </c>
      <c r="H28" s="128">
        <f>VLOOKUP(H$7,'AMI Electric AMA Combined'!$A$42:$L$53,11,FALSE)</f>
        <v>-1106144.2494270022</v>
      </c>
      <c r="I28" s="128">
        <f>VLOOKUP(I$7,'AMI Electric AMA Combined'!$A$42:$L$53,11,FALSE)</f>
        <v>-1178702.714990502</v>
      </c>
      <c r="J28" s="128">
        <f>VLOOKUP(J$7,'AMI Electric AMA Combined'!$A$42:$L$53,11,FALSE)</f>
        <v>-1251261.1805540021</v>
      </c>
      <c r="K28" s="128">
        <f>VLOOKUP(K$7,'AMI Electric AMA Combined'!$A$42:$L$53,11,FALSE)</f>
        <v>-1323819.6461175017</v>
      </c>
      <c r="L28" s="128">
        <f>VLOOKUP(L$7,'AMI Electric AMA Combined'!$A$42:$L$53,11,FALSE)</f>
        <v>-1396378.1116810015</v>
      </c>
      <c r="M28" s="128">
        <f>VLOOKUP(M$7,'AMI Electric AMA Combined'!$A$42:$L$53,11,FALSE)</f>
        <v>-1433919.2956300571</v>
      </c>
      <c r="N28" s="128">
        <f>VLOOKUP(N$7,'AMI Electric AMA Combined'!$A$42:$L$53,11,FALSE)</f>
        <v>-1471460.4795791123</v>
      </c>
    </row>
    <row r="29" spans="1:15" x14ac:dyDescent="0.3">
      <c r="A29">
        <v>21</v>
      </c>
      <c r="B29" t="s">
        <v>91</v>
      </c>
      <c r="C29" s="129">
        <f>SUM(C26:C28)</f>
        <v>14207299.693980789</v>
      </c>
      <c r="D29" s="129">
        <f t="shared" ref="D29:N29" si="11">SUM(D26:D28)</f>
        <v>14062438.61793383</v>
      </c>
      <c r="E29" s="129">
        <f t="shared" si="11"/>
        <v>13917577.541886872</v>
      </c>
      <c r="F29" s="129">
        <f t="shared" si="11"/>
        <v>13772716.465839915</v>
      </c>
      <c r="G29" s="129">
        <f t="shared" si="11"/>
        <v>13627855.389792956</v>
      </c>
      <c r="H29" s="129">
        <f t="shared" si="11"/>
        <v>13482994.313745998</v>
      </c>
      <c r="I29" s="129">
        <f t="shared" si="11"/>
        <v>13338133.237699039</v>
      </c>
      <c r="J29" s="129">
        <f t="shared" si="11"/>
        <v>13193272.161652081</v>
      </c>
      <c r="K29" s="129">
        <f t="shared" si="11"/>
        <v>13048411.085605124</v>
      </c>
      <c r="L29" s="129">
        <f t="shared" si="11"/>
        <v>12903550.009558165</v>
      </c>
      <c r="M29" s="129">
        <f t="shared" si="11"/>
        <v>12793706.215125652</v>
      </c>
      <c r="N29" s="129">
        <f t="shared" si="11"/>
        <v>12683862.420693139</v>
      </c>
    </row>
    <row r="30" spans="1:15" x14ac:dyDescent="0.3">
      <c r="A30">
        <v>22</v>
      </c>
      <c r="B30" t="s">
        <v>94</v>
      </c>
      <c r="C30" s="88">
        <f>$C$3</f>
        <v>7.4899999999999994E-2</v>
      </c>
      <c r="D30" s="88">
        <f t="shared" ref="D30:N30" si="12">$C$3</f>
        <v>7.4899999999999994E-2</v>
      </c>
      <c r="E30" s="88">
        <f t="shared" si="12"/>
        <v>7.4899999999999994E-2</v>
      </c>
      <c r="F30" s="88">
        <f t="shared" si="12"/>
        <v>7.4899999999999994E-2</v>
      </c>
      <c r="G30" s="88">
        <f t="shared" si="12"/>
        <v>7.4899999999999994E-2</v>
      </c>
      <c r="H30" s="88">
        <f t="shared" si="12"/>
        <v>7.4899999999999994E-2</v>
      </c>
      <c r="I30" s="88">
        <f t="shared" si="12"/>
        <v>7.4899999999999994E-2</v>
      </c>
      <c r="J30" s="88">
        <f t="shared" si="12"/>
        <v>7.4899999999999994E-2</v>
      </c>
      <c r="K30" s="88">
        <f t="shared" si="12"/>
        <v>7.4899999999999994E-2</v>
      </c>
      <c r="L30" s="88">
        <f t="shared" si="12"/>
        <v>7.4899999999999994E-2</v>
      </c>
      <c r="M30" s="88">
        <f t="shared" si="12"/>
        <v>7.4899999999999994E-2</v>
      </c>
      <c r="N30" s="88">
        <f t="shared" si="12"/>
        <v>7.4899999999999994E-2</v>
      </c>
    </row>
    <row r="31" spans="1:15" x14ac:dyDescent="0.3">
      <c r="A31">
        <v>23</v>
      </c>
      <c r="B31" t="s">
        <v>92</v>
      </c>
      <c r="C31" s="128">
        <f>C29*C30</f>
        <v>1064126.747079161</v>
      </c>
      <c r="D31" s="128">
        <f t="shared" ref="D31:N31" si="13">D29*D30</f>
        <v>1053276.6524832437</v>
      </c>
      <c r="E31" s="128">
        <f t="shared" si="13"/>
        <v>1042426.5578873266</v>
      </c>
      <c r="F31" s="128">
        <f t="shared" si="13"/>
        <v>1031576.4632914095</v>
      </c>
      <c r="G31" s="128">
        <f t="shared" si="13"/>
        <v>1020726.3686954924</v>
      </c>
      <c r="H31" s="128">
        <f t="shared" si="13"/>
        <v>1009876.2740995751</v>
      </c>
      <c r="I31" s="128">
        <f t="shared" si="13"/>
        <v>999026.17950365797</v>
      </c>
      <c r="J31" s="128">
        <f t="shared" si="13"/>
        <v>988176.08490774082</v>
      </c>
      <c r="K31" s="128">
        <f t="shared" si="13"/>
        <v>977325.99031182367</v>
      </c>
      <c r="L31" s="128">
        <f t="shared" si="13"/>
        <v>966475.89571590652</v>
      </c>
      <c r="M31" s="128">
        <f t="shared" si="13"/>
        <v>958248.59551291121</v>
      </c>
      <c r="N31" s="128">
        <f t="shared" si="13"/>
        <v>950021.29530991602</v>
      </c>
    </row>
    <row r="32" spans="1:15" x14ac:dyDescent="0.3">
      <c r="A32">
        <v>24</v>
      </c>
      <c r="B32" t="s">
        <v>93</v>
      </c>
      <c r="C32" s="128">
        <f>-C29*$C$4*$C$5</f>
        <v>-85925.748549195807</v>
      </c>
      <c r="D32" s="128">
        <f t="shared" ref="D32:N32" si="14">-D29*$C$4*$C$5</f>
        <v>-85049.628761263797</v>
      </c>
      <c r="E32" s="128">
        <f t="shared" si="14"/>
        <v>-84173.508973331802</v>
      </c>
      <c r="F32" s="128">
        <f t="shared" si="14"/>
        <v>-83297.389185399807</v>
      </c>
      <c r="G32" s="128">
        <f t="shared" si="14"/>
        <v>-82421.269397467797</v>
      </c>
      <c r="H32" s="128">
        <f t="shared" si="14"/>
        <v>-81545.149609535787</v>
      </c>
      <c r="I32" s="128">
        <f t="shared" si="14"/>
        <v>-80669.029821603792</v>
      </c>
      <c r="J32" s="128">
        <f t="shared" si="14"/>
        <v>-79792.910033671782</v>
      </c>
      <c r="K32" s="128">
        <f t="shared" si="14"/>
        <v>-78916.790245739787</v>
      </c>
      <c r="L32" s="128">
        <f t="shared" si="14"/>
        <v>-78040.670457807777</v>
      </c>
      <c r="M32" s="128">
        <f t="shared" si="14"/>
        <v>-77376.335189079939</v>
      </c>
      <c r="N32" s="128">
        <f t="shared" si="14"/>
        <v>-76711.9999203521</v>
      </c>
    </row>
    <row r="33" spans="1:14" x14ac:dyDescent="0.3">
      <c r="A33">
        <v>25</v>
      </c>
      <c r="B33" t="s">
        <v>117</v>
      </c>
      <c r="C33" s="129">
        <f>SUM(C31:C32)</f>
        <v>978200.99852996517</v>
      </c>
      <c r="D33" s="129">
        <f t="shared" ref="D33:N33" si="15">SUM(D31:D32)</f>
        <v>968227.02372197993</v>
      </c>
      <c r="E33" s="129">
        <f t="shared" si="15"/>
        <v>958253.0489139948</v>
      </c>
      <c r="F33" s="129">
        <f t="shared" si="15"/>
        <v>948279.07410600968</v>
      </c>
      <c r="G33" s="129">
        <f t="shared" si="15"/>
        <v>938305.09929802455</v>
      </c>
      <c r="H33" s="129">
        <f t="shared" si="15"/>
        <v>928331.12449003931</v>
      </c>
      <c r="I33" s="129">
        <f t="shared" si="15"/>
        <v>918357.14968205418</v>
      </c>
      <c r="J33" s="129">
        <f t="shared" si="15"/>
        <v>908383.17487406905</v>
      </c>
      <c r="K33" s="129">
        <f t="shared" si="15"/>
        <v>898409.20006608393</v>
      </c>
      <c r="L33" s="129">
        <f t="shared" si="15"/>
        <v>888435.22525809868</v>
      </c>
      <c r="M33" s="129">
        <f t="shared" si="15"/>
        <v>880872.26032383123</v>
      </c>
      <c r="N33" s="129">
        <f t="shared" si="15"/>
        <v>873309.29538956389</v>
      </c>
    </row>
    <row r="34" spans="1:14" x14ac:dyDescent="0.3">
      <c r="A34">
        <v>26</v>
      </c>
      <c r="B34" t="s">
        <v>118</v>
      </c>
      <c r="C34" s="131">
        <f>1-$C$5</f>
        <v>0.79</v>
      </c>
      <c r="D34" s="131">
        <f t="shared" ref="D34:N34" si="16">1-$C$5</f>
        <v>0.79</v>
      </c>
      <c r="E34" s="131">
        <f t="shared" si="16"/>
        <v>0.79</v>
      </c>
      <c r="F34" s="131">
        <f t="shared" si="16"/>
        <v>0.79</v>
      </c>
      <c r="G34" s="131">
        <f t="shared" si="16"/>
        <v>0.79</v>
      </c>
      <c r="H34" s="131">
        <f t="shared" si="16"/>
        <v>0.79</v>
      </c>
      <c r="I34" s="131">
        <f t="shared" si="16"/>
        <v>0.79</v>
      </c>
      <c r="J34" s="131">
        <f t="shared" si="16"/>
        <v>0.79</v>
      </c>
      <c r="K34" s="131">
        <f t="shared" si="16"/>
        <v>0.79</v>
      </c>
      <c r="L34" s="131">
        <f t="shared" si="16"/>
        <v>0.79</v>
      </c>
      <c r="M34" s="131">
        <f t="shared" si="16"/>
        <v>0.79</v>
      </c>
      <c r="N34" s="131">
        <f t="shared" si="16"/>
        <v>0.79</v>
      </c>
    </row>
    <row r="35" spans="1:14" x14ac:dyDescent="0.3">
      <c r="A35">
        <v>27</v>
      </c>
      <c r="B35" t="s">
        <v>120</v>
      </c>
      <c r="C35" s="129">
        <f>C33/C34</f>
        <v>1238229.112063247</v>
      </c>
      <c r="D35" s="129">
        <f t="shared" ref="D35:N35" si="17">D33/D34</f>
        <v>1225603.8274961771</v>
      </c>
      <c r="E35" s="129">
        <f t="shared" si="17"/>
        <v>1212978.5429291073</v>
      </c>
      <c r="F35" s="129">
        <f t="shared" si="17"/>
        <v>1200353.2583620376</v>
      </c>
      <c r="G35" s="129">
        <f t="shared" si="17"/>
        <v>1187727.9737949676</v>
      </c>
      <c r="H35" s="129">
        <f t="shared" si="17"/>
        <v>1175102.6892278979</v>
      </c>
      <c r="I35" s="129">
        <f t="shared" si="17"/>
        <v>1162477.4046608279</v>
      </c>
      <c r="J35" s="129">
        <f t="shared" si="17"/>
        <v>1149852.1200937582</v>
      </c>
      <c r="K35" s="129">
        <f t="shared" si="17"/>
        <v>1137226.8355266885</v>
      </c>
      <c r="L35" s="129">
        <f t="shared" si="17"/>
        <v>1124601.5509596185</v>
      </c>
      <c r="M35" s="129">
        <f t="shared" si="17"/>
        <v>1115028.1776251027</v>
      </c>
      <c r="N35" s="129">
        <f t="shared" si="17"/>
        <v>1105454.8042905871</v>
      </c>
    </row>
    <row r="36" spans="1:14" x14ac:dyDescent="0.3">
      <c r="A36">
        <v>28</v>
      </c>
      <c r="B36" t="s">
        <v>121</v>
      </c>
      <c r="C36" s="128">
        <v>12</v>
      </c>
      <c r="D36" s="128">
        <v>12</v>
      </c>
      <c r="E36" s="128">
        <v>12</v>
      </c>
      <c r="F36" s="128">
        <v>12</v>
      </c>
      <c r="G36" s="128">
        <v>12</v>
      </c>
      <c r="H36" s="128">
        <v>12</v>
      </c>
      <c r="I36" s="128">
        <v>12</v>
      </c>
      <c r="J36" s="128">
        <v>12</v>
      </c>
      <c r="K36" s="128">
        <v>12</v>
      </c>
      <c r="L36" s="128">
        <v>12</v>
      </c>
      <c r="M36" s="128">
        <v>12</v>
      </c>
      <c r="N36" s="128">
        <v>12</v>
      </c>
    </row>
    <row r="37" spans="1:14" ht="15" thickBot="1" x14ac:dyDescent="0.35">
      <c r="A37">
        <v>29</v>
      </c>
      <c r="B37" t="s">
        <v>119</v>
      </c>
      <c r="C37" s="132">
        <f>C35/C36</f>
        <v>103185.75933860392</v>
      </c>
      <c r="D37" s="132">
        <f t="shared" ref="D37:N37" si="18">D35/D36</f>
        <v>102133.65229134809</v>
      </c>
      <c r="E37" s="132">
        <f t="shared" si="18"/>
        <v>101081.54524409228</v>
      </c>
      <c r="F37" s="132">
        <f t="shared" si="18"/>
        <v>100029.43819683646</v>
      </c>
      <c r="G37" s="132">
        <f t="shared" si="18"/>
        <v>98977.331149580641</v>
      </c>
      <c r="H37" s="132">
        <f t="shared" si="18"/>
        <v>97925.224102324821</v>
      </c>
      <c r="I37" s="132">
        <f t="shared" si="18"/>
        <v>96873.117055069</v>
      </c>
      <c r="J37" s="132">
        <f t="shared" si="18"/>
        <v>95821.01000781318</v>
      </c>
      <c r="K37" s="132">
        <f t="shared" si="18"/>
        <v>94768.902960557374</v>
      </c>
      <c r="L37" s="132">
        <f t="shared" si="18"/>
        <v>93716.795913301539</v>
      </c>
      <c r="M37" s="132">
        <f t="shared" si="18"/>
        <v>92919.014802091886</v>
      </c>
      <c r="N37" s="132">
        <f t="shared" si="18"/>
        <v>92121.233690882262</v>
      </c>
    </row>
    <row r="38" spans="1:14" ht="15" thickTop="1" x14ac:dyDescent="0.3">
      <c r="A38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ht="15" thickBot="1" x14ac:dyDescent="0.35">
      <c r="A39">
        <v>31</v>
      </c>
      <c r="B39" t="s">
        <v>122</v>
      </c>
      <c r="C39" s="145">
        <f>SUM($C37:C37)</f>
        <v>103185.75933860392</v>
      </c>
      <c r="D39" s="145">
        <f>SUM($C37:D37)</f>
        <v>205319.41162995202</v>
      </c>
      <c r="E39" s="145">
        <f>SUM($C37:E37)</f>
        <v>306400.95687404432</v>
      </c>
      <c r="F39" s="145">
        <f>SUM($C37:F37)</f>
        <v>406430.39507088077</v>
      </c>
      <c r="G39" s="145">
        <f>SUM($C37:G37)</f>
        <v>505407.72622046142</v>
      </c>
      <c r="H39" s="145">
        <f>SUM($C37:H37)</f>
        <v>603332.95032278623</v>
      </c>
      <c r="I39" s="145">
        <f>SUM($C37:I37)</f>
        <v>700206.06737785519</v>
      </c>
      <c r="J39" s="145">
        <f>SUM($C37:J37)</f>
        <v>796027.07738566841</v>
      </c>
      <c r="K39" s="145">
        <f>SUM($C37:K37)</f>
        <v>890795.98034622578</v>
      </c>
      <c r="L39" s="145">
        <f>SUM($C37:L37)</f>
        <v>984512.77625952731</v>
      </c>
      <c r="M39" s="145">
        <f>SUM($C37:M37)</f>
        <v>1077431.7910616193</v>
      </c>
      <c r="N39" s="145">
        <f>SUM($C37:N37)</f>
        <v>1169553.0247525016</v>
      </c>
    </row>
    <row r="40" spans="1:14" ht="15" thickTop="1" x14ac:dyDescent="0.3">
      <c r="A40">
        <v>32</v>
      </c>
    </row>
    <row r="41" spans="1:14" x14ac:dyDescent="0.3">
      <c r="A41">
        <v>33</v>
      </c>
      <c r="B41" s="146" t="s">
        <v>162</v>
      </c>
    </row>
    <row r="42" spans="1:14" x14ac:dyDescent="0.3">
      <c r="A42">
        <v>34</v>
      </c>
      <c r="B42" t="s">
        <v>89</v>
      </c>
      <c r="C42" s="127">
        <f>'Return Common'!C26</f>
        <v>28220126.791779995</v>
      </c>
      <c r="D42" s="127">
        <f>'Return Common'!D26</f>
        <v>28220126.791779995</v>
      </c>
      <c r="E42" s="127">
        <f>'Return Common'!E26</f>
        <v>28220126.791779995</v>
      </c>
      <c r="F42" s="127">
        <f>'Return Common'!F26</f>
        <v>28220126.791779995</v>
      </c>
      <c r="G42" s="127">
        <f>'Return Common'!G26</f>
        <v>28220126.791779995</v>
      </c>
      <c r="H42" s="127">
        <f>'Return Common'!H26</f>
        <v>28220126.791779995</v>
      </c>
      <c r="I42" s="127">
        <f>'Return Common'!I26</f>
        <v>28220126.791779995</v>
      </c>
      <c r="J42" s="127">
        <f>'Return Common'!J26</f>
        <v>28220126.791779995</v>
      </c>
      <c r="K42" s="127">
        <f>'Return Common'!K26</f>
        <v>28220126.791779995</v>
      </c>
      <c r="L42" s="127">
        <f>'Return Common'!L26</f>
        <v>28220126.791779995</v>
      </c>
      <c r="M42" s="127">
        <f>'Return Common'!M26</f>
        <v>28220126.791779995</v>
      </c>
      <c r="N42" s="127">
        <f>'Return Common'!N26</f>
        <v>28220126.791779995</v>
      </c>
    </row>
    <row r="43" spans="1:14" x14ac:dyDescent="0.3">
      <c r="A43">
        <v>35</v>
      </c>
      <c r="B43" t="s">
        <v>16</v>
      </c>
      <c r="C43" s="128">
        <f>'Return Common'!C27</f>
        <v>-4400737.9579732129</v>
      </c>
      <c r="D43" s="128">
        <f>'Return Common'!D27</f>
        <v>-4709083.9492791295</v>
      </c>
      <c r="E43" s="128">
        <f>'Return Common'!E27</f>
        <v>-5017429.9405850461</v>
      </c>
      <c r="F43" s="128">
        <f>'Return Common'!F27</f>
        <v>-5325775.9318909626</v>
      </c>
      <c r="G43" s="128">
        <f>'Return Common'!G27</f>
        <v>-5634121.9231968792</v>
      </c>
      <c r="H43" s="128">
        <f>'Return Common'!H27</f>
        <v>-5942467.9145027958</v>
      </c>
      <c r="I43" s="128">
        <f>'Return Common'!I27</f>
        <v>-6250813.9058087124</v>
      </c>
      <c r="J43" s="128">
        <f>'Return Common'!J27</f>
        <v>-6559159.8971146289</v>
      </c>
      <c r="K43" s="128">
        <f>'Return Common'!K27</f>
        <v>-6867505.8884205455</v>
      </c>
      <c r="L43" s="128">
        <f>'Return Common'!L27</f>
        <v>-7175851.879726463</v>
      </c>
      <c r="M43" s="128">
        <f>'Return Common'!M27</f>
        <v>-7484197.8710323796</v>
      </c>
      <c r="N43" s="128">
        <f>'Return Common'!N27</f>
        <v>-7792543.8623382961</v>
      </c>
    </row>
    <row r="44" spans="1:14" x14ac:dyDescent="0.3">
      <c r="A44">
        <v>36</v>
      </c>
      <c r="B44" t="s">
        <v>90</v>
      </c>
      <c r="C44" s="128">
        <f>'Return Common'!C28</f>
        <v>-2283013.5549839078</v>
      </c>
      <c r="D44" s="128">
        <f>'Return Common'!D28</f>
        <v>-2339546.6268936703</v>
      </c>
      <c r="E44" s="128">
        <f>'Return Common'!E28</f>
        <v>-2396079.6988034323</v>
      </c>
      <c r="F44" s="128">
        <f>'Return Common'!F28</f>
        <v>-2452612.7707131952</v>
      </c>
      <c r="G44" s="128">
        <f>'Return Common'!G28</f>
        <v>-2509145.8426229577</v>
      </c>
      <c r="H44" s="128">
        <f>'Return Common'!H28</f>
        <v>-2565678.9145327196</v>
      </c>
      <c r="I44" s="128">
        <f>'Return Common'!I28</f>
        <v>-2622211.9864424821</v>
      </c>
      <c r="J44" s="128">
        <f>'Return Common'!J28</f>
        <v>-2678745.0583522446</v>
      </c>
      <c r="K44" s="128">
        <f>'Return Common'!K28</f>
        <v>-2735278.1302620075</v>
      </c>
      <c r="L44" s="128">
        <f>'Return Common'!L28</f>
        <v>-2791811.2021717699</v>
      </c>
      <c r="M44" s="128">
        <f>'Return Common'!M28</f>
        <v>-2832979.7510414193</v>
      </c>
      <c r="N44" s="128">
        <f>'Return Common'!N28</f>
        <v>-2874148.2999110692</v>
      </c>
    </row>
    <row r="45" spans="1:14" x14ac:dyDescent="0.3">
      <c r="A45">
        <v>37</v>
      </c>
      <c r="B45" t="s">
        <v>91</v>
      </c>
      <c r="C45" s="129">
        <f>SUM(C42:C44)</f>
        <v>21536375.278822877</v>
      </c>
      <c r="D45" s="129">
        <f t="shared" ref="D45:N45" si="19">SUM(D42:D44)</f>
        <v>21171496.215607196</v>
      </c>
      <c r="E45" s="129">
        <f t="shared" si="19"/>
        <v>20806617.152391516</v>
      </c>
      <c r="F45" s="129">
        <f t="shared" si="19"/>
        <v>20441738.089175835</v>
      </c>
      <c r="G45" s="129">
        <f t="shared" si="19"/>
        <v>20076859.025960159</v>
      </c>
      <c r="H45" s="129">
        <f t="shared" si="19"/>
        <v>19711979.962744478</v>
      </c>
      <c r="I45" s="129">
        <f t="shared" si="19"/>
        <v>19347100.899528801</v>
      </c>
      <c r="J45" s="129">
        <f t="shared" si="19"/>
        <v>18982221.836313125</v>
      </c>
      <c r="K45" s="129">
        <f t="shared" si="19"/>
        <v>18617342.773097444</v>
      </c>
      <c r="L45" s="129">
        <f t="shared" si="19"/>
        <v>18252463.709881764</v>
      </c>
      <c r="M45" s="129">
        <f t="shared" si="19"/>
        <v>17902949.169706196</v>
      </c>
      <c r="N45" s="129">
        <f t="shared" si="19"/>
        <v>17553434.629530627</v>
      </c>
    </row>
    <row r="46" spans="1:14" x14ac:dyDescent="0.3">
      <c r="A46">
        <v>38</v>
      </c>
      <c r="B46" t="s">
        <v>94</v>
      </c>
      <c r="C46" s="88">
        <f>$C$3</f>
        <v>7.4899999999999994E-2</v>
      </c>
      <c r="D46" s="88">
        <f t="shared" ref="D46:N46" si="20">$C$3</f>
        <v>7.4899999999999994E-2</v>
      </c>
      <c r="E46" s="88">
        <f t="shared" si="20"/>
        <v>7.4899999999999994E-2</v>
      </c>
      <c r="F46" s="88">
        <f t="shared" si="20"/>
        <v>7.4899999999999994E-2</v>
      </c>
      <c r="G46" s="88">
        <f t="shared" si="20"/>
        <v>7.4899999999999994E-2</v>
      </c>
      <c r="H46" s="88">
        <f t="shared" si="20"/>
        <v>7.4899999999999994E-2</v>
      </c>
      <c r="I46" s="88">
        <f t="shared" si="20"/>
        <v>7.4899999999999994E-2</v>
      </c>
      <c r="J46" s="88">
        <f t="shared" si="20"/>
        <v>7.4899999999999994E-2</v>
      </c>
      <c r="K46" s="88">
        <f t="shared" si="20"/>
        <v>7.4899999999999994E-2</v>
      </c>
      <c r="L46" s="88">
        <f t="shared" si="20"/>
        <v>7.4899999999999994E-2</v>
      </c>
      <c r="M46" s="88">
        <f t="shared" si="20"/>
        <v>7.4899999999999994E-2</v>
      </c>
      <c r="N46" s="88">
        <f t="shared" si="20"/>
        <v>7.4899999999999994E-2</v>
      </c>
    </row>
    <row r="47" spans="1:14" x14ac:dyDescent="0.3">
      <c r="A47">
        <v>39</v>
      </c>
      <c r="B47" t="s">
        <v>92</v>
      </c>
      <c r="C47" s="128">
        <f>C45*C46</f>
        <v>1613074.5083838333</v>
      </c>
      <c r="D47" s="128">
        <f t="shared" ref="D47:N47" si="21">D45*D46</f>
        <v>1585745.0665489789</v>
      </c>
      <c r="E47" s="128">
        <f t="shared" si="21"/>
        <v>1558415.6247141245</v>
      </c>
      <c r="F47" s="128">
        <f t="shared" si="21"/>
        <v>1531086.1828792701</v>
      </c>
      <c r="G47" s="128">
        <f t="shared" si="21"/>
        <v>1503756.7410444159</v>
      </c>
      <c r="H47" s="128">
        <f t="shared" si="21"/>
        <v>1476427.2992095612</v>
      </c>
      <c r="I47" s="128">
        <f t="shared" si="21"/>
        <v>1449097.857374707</v>
      </c>
      <c r="J47" s="128">
        <f t="shared" si="21"/>
        <v>1421768.415539853</v>
      </c>
      <c r="K47" s="128">
        <f t="shared" si="21"/>
        <v>1394438.9737049984</v>
      </c>
      <c r="L47" s="128">
        <f t="shared" si="21"/>
        <v>1367109.531870144</v>
      </c>
      <c r="M47" s="128">
        <f t="shared" si="21"/>
        <v>1340930.8928109941</v>
      </c>
      <c r="N47" s="128">
        <f t="shared" si="21"/>
        <v>1314752.2537518439</v>
      </c>
    </row>
    <row r="48" spans="1:14" x14ac:dyDescent="0.3">
      <c r="A48">
        <v>40</v>
      </c>
      <c r="B48" t="s">
        <v>93</v>
      </c>
      <c r="C48" s="128">
        <f>-C45*$C$4*$C$5</f>
        <v>-130251.99768632076</v>
      </c>
      <c r="D48" s="128">
        <f t="shared" ref="D48:N48" si="22">-D45*$C$4*$C$5</f>
        <v>-128045.20911199233</v>
      </c>
      <c r="E48" s="128">
        <f t="shared" si="22"/>
        <v>-125838.42053766387</v>
      </c>
      <c r="F48" s="128">
        <f t="shared" si="22"/>
        <v>-123631.63196333544</v>
      </c>
      <c r="G48" s="128">
        <f t="shared" si="22"/>
        <v>-121424.84338900704</v>
      </c>
      <c r="H48" s="128">
        <f t="shared" si="22"/>
        <v>-119218.05481467859</v>
      </c>
      <c r="I48" s="128">
        <f t="shared" si="22"/>
        <v>-117011.26624035019</v>
      </c>
      <c r="J48" s="128">
        <f t="shared" si="22"/>
        <v>-114804.47766602176</v>
      </c>
      <c r="K48" s="128">
        <f t="shared" si="22"/>
        <v>-112597.68909169333</v>
      </c>
      <c r="L48" s="128">
        <f t="shared" si="22"/>
        <v>-110390.90051736491</v>
      </c>
      <c r="M48" s="128">
        <f t="shared" si="22"/>
        <v>-108277.03657838306</v>
      </c>
      <c r="N48" s="128">
        <f t="shared" si="22"/>
        <v>-106163.17263940122</v>
      </c>
    </row>
    <row r="49" spans="1:14" x14ac:dyDescent="0.3">
      <c r="A49">
        <v>41</v>
      </c>
      <c r="B49" t="s">
        <v>117</v>
      </c>
      <c r="C49" s="129">
        <f>SUM(C47:C48)</f>
        <v>1482822.5106975127</v>
      </c>
      <c r="D49" s="129">
        <f t="shared" ref="D49:N49" si="23">SUM(D47:D48)</f>
        <v>1457699.8574369866</v>
      </c>
      <c r="E49" s="129">
        <f t="shared" si="23"/>
        <v>1432577.2041764606</v>
      </c>
      <c r="F49" s="129">
        <f t="shared" si="23"/>
        <v>1407454.5509159346</v>
      </c>
      <c r="G49" s="129">
        <f t="shared" si="23"/>
        <v>1382331.8976554088</v>
      </c>
      <c r="H49" s="129">
        <f t="shared" si="23"/>
        <v>1357209.2443948826</v>
      </c>
      <c r="I49" s="129">
        <f t="shared" si="23"/>
        <v>1332086.5911343568</v>
      </c>
      <c r="J49" s="129">
        <f t="shared" si="23"/>
        <v>1306963.9378738313</v>
      </c>
      <c r="K49" s="129">
        <f t="shared" si="23"/>
        <v>1281841.284613305</v>
      </c>
      <c r="L49" s="129">
        <f t="shared" si="23"/>
        <v>1256718.631352779</v>
      </c>
      <c r="M49" s="129">
        <f t="shared" si="23"/>
        <v>1232653.856232611</v>
      </c>
      <c r="N49" s="129">
        <f t="shared" si="23"/>
        <v>1208589.0811124428</v>
      </c>
    </row>
    <row r="50" spans="1:14" x14ac:dyDescent="0.3">
      <c r="A50">
        <v>42</v>
      </c>
      <c r="B50" t="s">
        <v>118</v>
      </c>
      <c r="C50" s="131">
        <f>1-$C$5</f>
        <v>0.79</v>
      </c>
      <c r="D50" s="131">
        <f t="shared" ref="D50:N50" si="24">1-$C$5</f>
        <v>0.79</v>
      </c>
      <c r="E50" s="131">
        <f t="shared" si="24"/>
        <v>0.79</v>
      </c>
      <c r="F50" s="131">
        <f t="shared" si="24"/>
        <v>0.79</v>
      </c>
      <c r="G50" s="131">
        <f t="shared" si="24"/>
        <v>0.79</v>
      </c>
      <c r="H50" s="131">
        <f t="shared" si="24"/>
        <v>0.79</v>
      </c>
      <c r="I50" s="131">
        <f t="shared" si="24"/>
        <v>0.79</v>
      </c>
      <c r="J50" s="131">
        <f t="shared" si="24"/>
        <v>0.79</v>
      </c>
      <c r="K50" s="131">
        <f t="shared" si="24"/>
        <v>0.79</v>
      </c>
      <c r="L50" s="131">
        <f t="shared" si="24"/>
        <v>0.79</v>
      </c>
      <c r="M50" s="131">
        <f t="shared" si="24"/>
        <v>0.79</v>
      </c>
      <c r="N50" s="131">
        <f t="shared" si="24"/>
        <v>0.79</v>
      </c>
    </row>
    <row r="51" spans="1:14" x14ac:dyDescent="0.3">
      <c r="A51">
        <v>43</v>
      </c>
      <c r="B51" t="s">
        <v>120</v>
      </c>
      <c r="C51" s="129">
        <f>C49/C50</f>
        <v>1876990.5198702691</v>
      </c>
      <c r="D51" s="129">
        <f t="shared" ref="D51:N51" si="25">D49/D50</f>
        <v>1845189.6929582108</v>
      </c>
      <c r="E51" s="129">
        <f t="shared" si="25"/>
        <v>1813388.8660461525</v>
      </c>
      <c r="F51" s="129">
        <f t="shared" si="25"/>
        <v>1781588.0391340943</v>
      </c>
      <c r="G51" s="129">
        <f t="shared" si="25"/>
        <v>1749787.2122220364</v>
      </c>
      <c r="H51" s="129">
        <f t="shared" si="25"/>
        <v>1717986.3853099779</v>
      </c>
      <c r="I51" s="129">
        <f t="shared" si="25"/>
        <v>1686185.5583979199</v>
      </c>
      <c r="J51" s="129">
        <f t="shared" si="25"/>
        <v>1654384.7314858623</v>
      </c>
      <c r="K51" s="129">
        <f t="shared" si="25"/>
        <v>1622583.9045738038</v>
      </c>
      <c r="L51" s="129">
        <f t="shared" si="25"/>
        <v>1590783.0776617455</v>
      </c>
      <c r="M51" s="129">
        <f t="shared" si="25"/>
        <v>1560321.3370033051</v>
      </c>
      <c r="N51" s="129">
        <f t="shared" si="25"/>
        <v>1529859.5963448642</v>
      </c>
    </row>
    <row r="52" spans="1:14" x14ac:dyDescent="0.3">
      <c r="A52">
        <v>44</v>
      </c>
      <c r="B52" t="s">
        <v>121</v>
      </c>
      <c r="C52" s="128">
        <v>12</v>
      </c>
      <c r="D52" s="128">
        <v>12</v>
      </c>
      <c r="E52" s="128">
        <v>12</v>
      </c>
      <c r="F52" s="128">
        <v>12</v>
      </c>
      <c r="G52" s="128">
        <v>12</v>
      </c>
      <c r="H52" s="128">
        <v>12</v>
      </c>
      <c r="I52" s="128">
        <v>12</v>
      </c>
      <c r="J52" s="128">
        <v>12</v>
      </c>
      <c r="K52" s="128">
        <v>12</v>
      </c>
      <c r="L52" s="128">
        <v>12</v>
      </c>
      <c r="M52" s="128">
        <v>12</v>
      </c>
      <c r="N52" s="128">
        <v>12</v>
      </c>
    </row>
    <row r="53" spans="1:14" ht="15" thickBot="1" x14ac:dyDescent="0.35">
      <c r="A53">
        <v>45</v>
      </c>
      <c r="B53" t="s">
        <v>119</v>
      </c>
      <c r="C53" s="132">
        <f>C51/C52</f>
        <v>156415.87665585577</v>
      </c>
      <c r="D53" s="132">
        <f t="shared" ref="D53:N53" si="26">D51/D52</f>
        <v>153765.80774651756</v>
      </c>
      <c r="E53" s="132">
        <f t="shared" si="26"/>
        <v>151115.73883717938</v>
      </c>
      <c r="F53" s="132">
        <f t="shared" si="26"/>
        <v>148465.6699278412</v>
      </c>
      <c r="G53" s="132">
        <f t="shared" si="26"/>
        <v>145815.60101850305</v>
      </c>
      <c r="H53" s="132">
        <f t="shared" si="26"/>
        <v>143165.53210916484</v>
      </c>
      <c r="I53" s="132">
        <f t="shared" si="26"/>
        <v>140515.46319982666</v>
      </c>
      <c r="J53" s="132">
        <f t="shared" si="26"/>
        <v>137865.39429048853</v>
      </c>
      <c r="K53" s="132">
        <f t="shared" si="26"/>
        <v>135215.32538115032</v>
      </c>
      <c r="L53" s="132">
        <f t="shared" si="26"/>
        <v>132565.25647181211</v>
      </c>
      <c r="M53" s="132">
        <f t="shared" si="26"/>
        <v>130026.77808360876</v>
      </c>
      <c r="N53" s="132">
        <f t="shared" si="26"/>
        <v>127488.29969540535</v>
      </c>
    </row>
    <row r="54" spans="1:14" ht="15" thickTop="1" x14ac:dyDescent="0.3">
      <c r="A54">
        <v>46</v>
      </c>
      <c r="C54" s="144"/>
    </row>
    <row r="55" spans="1:14" ht="15" thickBot="1" x14ac:dyDescent="0.35">
      <c r="A55">
        <v>47</v>
      </c>
      <c r="B55" t="s">
        <v>122</v>
      </c>
      <c r="C55" s="145">
        <f>SUM($C53:C53)</f>
        <v>156415.87665585577</v>
      </c>
      <c r="D55" s="145">
        <f>SUM($C53:D53)</f>
        <v>310181.68440237333</v>
      </c>
      <c r="E55" s="145">
        <f>SUM($C53:E53)</f>
        <v>461297.42323955271</v>
      </c>
      <c r="F55" s="145">
        <f>SUM($C53:F53)</f>
        <v>609763.09316739393</v>
      </c>
      <c r="G55" s="145">
        <f>SUM($C53:G53)</f>
        <v>755578.69418589701</v>
      </c>
      <c r="H55" s="145">
        <f>SUM($C53:H53)</f>
        <v>898744.22629506188</v>
      </c>
      <c r="I55" s="145">
        <f>SUM($C53:I53)</f>
        <v>1039259.6894948885</v>
      </c>
      <c r="J55" s="145">
        <f>SUM($C53:J53)</f>
        <v>1177125.083785377</v>
      </c>
      <c r="K55" s="145">
        <f>SUM($C53:K53)</f>
        <v>1312340.4091665272</v>
      </c>
      <c r="L55" s="145">
        <f>SUM($C53:L53)</f>
        <v>1444905.6656383392</v>
      </c>
      <c r="M55" s="145">
        <f>SUM($C53:M53)</f>
        <v>1574932.443721948</v>
      </c>
      <c r="N55" s="145">
        <f>SUM($C53:N53)</f>
        <v>1702420.7434173534</v>
      </c>
    </row>
    <row r="56" spans="1:14" ht="15" thickTop="1" x14ac:dyDescent="0.3"/>
    <row r="57" spans="1:14" x14ac:dyDescent="0.3">
      <c r="B57" s="175" t="s">
        <v>160</v>
      </c>
      <c r="C57" s="176">
        <f>C37+C53-C21</f>
        <v>0</v>
      </c>
      <c r="D57" s="176">
        <f t="shared" ref="D57:N57" si="27">D37+D53-D21</f>
        <v>0</v>
      </c>
      <c r="E57" s="176">
        <f t="shared" si="27"/>
        <v>0</v>
      </c>
      <c r="F57" s="176">
        <f t="shared" si="27"/>
        <v>0</v>
      </c>
      <c r="G57" s="176">
        <f t="shared" si="27"/>
        <v>0</v>
      </c>
      <c r="H57" s="176">
        <f t="shared" si="27"/>
        <v>0</v>
      </c>
      <c r="I57" s="176">
        <f t="shared" si="27"/>
        <v>0</v>
      </c>
      <c r="J57" s="176">
        <f t="shared" si="27"/>
        <v>0</v>
      </c>
      <c r="K57" s="176">
        <f t="shared" si="27"/>
        <v>0</v>
      </c>
      <c r="L57" s="176">
        <f t="shared" si="27"/>
        <v>0</v>
      </c>
      <c r="M57" s="176">
        <f t="shared" si="27"/>
        <v>0</v>
      </c>
      <c r="N57" s="176">
        <f t="shared" si="27"/>
        <v>0</v>
      </c>
    </row>
    <row r="58" spans="1:14" x14ac:dyDescent="0.3">
      <c r="B58" s="175" t="s">
        <v>160</v>
      </c>
      <c r="C58" s="176">
        <f t="shared" ref="C58:N58" si="28">C39+C55-C23</f>
        <v>0</v>
      </c>
      <c r="D58" s="176">
        <f t="shared" si="28"/>
        <v>0</v>
      </c>
      <c r="E58" s="176">
        <f t="shared" si="28"/>
        <v>0</v>
      </c>
      <c r="F58" s="176">
        <f t="shared" si="28"/>
        <v>0</v>
      </c>
      <c r="G58" s="176">
        <f t="shared" si="28"/>
        <v>0</v>
      </c>
      <c r="H58" s="176">
        <f t="shared" si="28"/>
        <v>0</v>
      </c>
      <c r="I58" s="176">
        <f t="shared" si="28"/>
        <v>0</v>
      </c>
      <c r="J58" s="176">
        <f t="shared" si="28"/>
        <v>0</v>
      </c>
      <c r="K58" s="176">
        <f t="shared" si="28"/>
        <v>0</v>
      </c>
      <c r="L58" s="176">
        <f t="shared" si="28"/>
        <v>0</v>
      </c>
      <c r="M58" s="176">
        <f t="shared" si="28"/>
        <v>0</v>
      </c>
      <c r="N58" s="176">
        <f t="shared" si="28"/>
        <v>0</v>
      </c>
    </row>
    <row r="60" spans="1:14" x14ac:dyDescent="0.3">
      <c r="B60" s="175" t="s">
        <v>160</v>
      </c>
      <c r="C60" s="176">
        <f>C53-'Return Common'!C37</f>
        <v>0</v>
      </c>
      <c r="D60" s="176">
        <f>D53-'Return Common'!D37</f>
        <v>0</v>
      </c>
      <c r="E60" s="176">
        <f>E53-'Return Common'!E37</f>
        <v>0</v>
      </c>
      <c r="F60" s="176">
        <f>F53-'Return Common'!F37</f>
        <v>0</v>
      </c>
      <c r="G60" s="176">
        <f>G53-'Return Common'!G37</f>
        <v>0</v>
      </c>
      <c r="H60" s="176">
        <f>H53-'Return Common'!H37</f>
        <v>0</v>
      </c>
      <c r="I60" s="176">
        <f>I53-'Return Common'!I37</f>
        <v>0</v>
      </c>
      <c r="J60" s="176">
        <f>J53-'Return Common'!J37</f>
        <v>0</v>
      </c>
      <c r="K60" s="176">
        <f>K53-'Return Common'!K37</f>
        <v>0</v>
      </c>
      <c r="L60" s="176">
        <f>L53-'Return Common'!L37</f>
        <v>0</v>
      </c>
      <c r="M60" s="176">
        <f>M53-'Return Common'!M37</f>
        <v>0</v>
      </c>
      <c r="N60" s="176">
        <f>N53-'Return Common'!N37</f>
        <v>0</v>
      </c>
    </row>
    <row r="61" spans="1:14" x14ac:dyDescent="0.3">
      <c r="B61" s="175" t="s">
        <v>160</v>
      </c>
      <c r="C61" s="176">
        <f>C55-'Return Common'!C39</f>
        <v>0</v>
      </c>
      <c r="D61" s="176">
        <f>D55-'Return Common'!D39</f>
        <v>0</v>
      </c>
      <c r="E61" s="176">
        <f>E55-'Return Common'!E39</f>
        <v>0</v>
      </c>
      <c r="F61" s="176">
        <f>F55-'Return Common'!F39</f>
        <v>0</v>
      </c>
      <c r="G61" s="176">
        <f>G55-'Return Common'!G39</f>
        <v>0</v>
      </c>
      <c r="H61" s="176">
        <f>H55-'Return Common'!H39</f>
        <v>0</v>
      </c>
      <c r="I61" s="176">
        <f>I55-'Return Common'!I39</f>
        <v>0</v>
      </c>
      <c r="J61" s="176">
        <f>J55-'Return Common'!J39</f>
        <v>0</v>
      </c>
      <c r="K61" s="176">
        <f>K55-'Return Common'!K39</f>
        <v>0</v>
      </c>
      <c r="L61" s="176">
        <f>L55-'Return Common'!L39</f>
        <v>0</v>
      </c>
      <c r="M61" s="176">
        <f>M55-'Return Common'!M39</f>
        <v>0</v>
      </c>
      <c r="N61" s="176">
        <f>N55-'Return Common'!N39</f>
        <v>0</v>
      </c>
    </row>
  </sheetData>
  <pageMargins left="0.2" right="0.2" top="0.25" bottom="0.25" header="0.3" footer="0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W63"/>
  <sheetViews>
    <sheetView zoomScale="80" zoomScaleNormal="80" workbookViewId="0">
      <pane xSplit="1" ySplit="11" topLeftCell="B16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83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/>
      <c r="C2" s="12"/>
      <c r="D2" s="13"/>
      <c r="F2" s="14"/>
      <c r="G2" s="15"/>
      <c r="H2" s="15"/>
      <c r="I2" s="16"/>
      <c r="J2" s="5"/>
      <c r="K2" s="5"/>
      <c r="L2" s="7" t="s">
        <v>12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ht="14.4" x14ac:dyDescent="0.3">
      <c r="A4" s="20"/>
      <c r="B4" s="21"/>
      <c r="C4" s="21"/>
      <c r="D4" s="21"/>
      <c r="E4" s="21"/>
      <c r="F4" s="21"/>
      <c r="G4" s="21"/>
      <c r="H4" s="21"/>
      <c r="I4" s="21"/>
      <c r="J4" s="22"/>
      <c r="K4" s="6"/>
      <c r="L4" s="6"/>
      <c r="M4" s="6"/>
      <c r="N4" s="6"/>
      <c r="O4" s="22"/>
      <c r="P4" s="22"/>
    </row>
    <row r="5" spans="1:23" s="10" customFormat="1" ht="14.4" x14ac:dyDescent="0.3">
      <c r="A5" s="20"/>
      <c r="B5" s="6"/>
      <c r="C5" s="6"/>
      <c r="D5" s="6"/>
      <c r="E5" s="6"/>
      <c r="I5" s="23"/>
      <c r="J5" s="23"/>
      <c r="K5" s="6"/>
      <c r="L5" s="6"/>
      <c r="M5" s="6"/>
      <c r="N5" s="6"/>
      <c r="O5" s="23"/>
      <c r="P5" s="23"/>
      <c r="Q5" s="23"/>
      <c r="R5" s="23"/>
      <c r="S5" s="23"/>
      <c r="T5" s="23"/>
      <c r="U5" s="23"/>
      <c r="V5" s="23"/>
      <c r="W5" s="24"/>
    </row>
    <row r="6" spans="1:23" ht="5.0999999999999996" customHeight="1" thickBot="1" x14ac:dyDescent="0.3"/>
    <row r="7" spans="1:23" x14ac:dyDescent="0.25">
      <c r="A7" s="25" t="s">
        <v>13</v>
      </c>
      <c r="B7" s="26" t="s">
        <v>14</v>
      </c>
      <c r="C7" s="27"/>
      <c r="D7" s="26" t="s">
        <v>15</v>
      </c>
      <c r="E7" s="27"/>
      <c r="F7" s="26" t="s">
        <v>16</v>
      </c>
      <c r="G7" s="27"/>
      <c r="H7" s="26" t="s">
        <v>17</v>
      </c>
      <c r="I7" s="27"/>
      <c r="J7" s="28" t="s">
        <v>18</v>
      </c>
      <c r="K7" s="29" t="s">
        <v>19</v>
      </c>
      <c r="L7" s="29" t="s">
        <v>20</v>
      </c>
    </row>
    <row r="8" spans="1:23" x14ac:dyDescent="0.25">
      <c r="A8" s="30"/>
      <c r="B8" s="31"/>
      <c r="C8" s="32"/>
      <c r="D8" s="33"/>
      <c r="E8" s="34"/>
      <c r="F8" s="33"/>
      <c r="G8" s="32"/>
      <c r="H8" s="31"/>
      <c r="I8" s="35"/>
      <c r="J8" s="36"/>
      <c r="K8" s="37"/>
      <c r="L8" s="37" t="s">
        <v>21</v>
      </c>
    </row>
    <row r="9" spans="1:23" x14ac:dyDescent="0.25">
      <c r="A9" s="38"/>
      <c r="B9" s="39" t="s">
        <v>22</v>
      </c>
      <c r="C9" s="35" t="s">
        <v>23</v>
      </c>
      <c r="D9" s="39" t="s">
        <v>24</v>
      </c>
      <c r="E9" s="35" t="s">
        <v>25</v>
      </c>
      <c r="F9" s="39" t="s">
        <v>22</v>
      </c>
      <c r="G9" s="35" t="s">
        <v>23</v>
      </c>
      <c r="H9" s="39" t="s">
        <v>22</v>
      </c>
      <c r="I9" s="35" t="s">
        <v>26</v>
      </c>
      <c r="J9" s="36" t="s">
        <v>27</v>
      </c>
      <c r="K9" s="40">
        <v>0.35</v>
      </c>
      <c r="L9" s="37" t="s">
        <v>28</v>
      </c>
    </row>
    <row r="10" spans="1:23" x14ac:dyDescent="0.25">
      <c r="A10" s="38"/>
      <c r="B10" s="39"/>
      <c r="C10" s="35"/>
      <c r="D10" s="39" t="s">
        <v>29</v>
      </c>
      <c r="E10" s="35" t="s">
        <v>30</v>
      </c>
      <c r="F10" s="39" t="s">
        <v>31</v>
      </c>
      <c r="G10" s="35" t="s">
        <v>32</v>
      </c>
      <c r="H10" s="39"/>
      <c r="I10" s="35"/>
      <c r="J10" s="36" t="s">
        <v>27</v>
      </c>
      <c r="K10" s="40">
        <v>0.21</v>
      </c>
      <c r="L10" s="37" t="s">
        <v>33</v>
      </c>
    </row>
    <row r="11" spans="1:23" x14ac:dyDescent="0.25">
      <c r="A11" s="41"/>
      <c r="B11" s="42" t="s">
        <v>34</v>
      </c>
      <c r="C11" s="43" t="s">
        <v>35</v>
      </c>
      <c r="D11" s="42"/>
      <c r="E11" s="43"/>
      <c r="F11" s="42" t="s">
        <v>36</v>
      </c>
      <c r="G11" s="43" t="s">
        <v>37</v>
      </c>
      <c r="H11" s="42" t="s">
        <v>38</v>
      </c>
      <c r="I11" s="43" t="s">
        <v>39</v>
      </c>
      <c r="J11" s="44" t="s">
        <v>40</v>
      </c>
      <c r="K11" s="45" t="s">
        <v>41</v>
      </c>
      <c r="L11" s="46" t="s">
        <v>42</v>
      </c>
    </row>
    <row r="12" spans="1:23" outlineLevel="1" x14ac:dyDescent="0.25">
      <c r="A12" s="47"/>
      <c r="B12" s="48"/>
      <c r="C12" s="49"/>
      <c r="D12" s="48"/>
      <c r="E12" s="49"/>
      <c r="F12" s="50"/>
      <c r="G12" s="51"/>
      <c r="H12" s="48"/>
      <c r="I12" s="49"/>
      <c r="J12" s="52"/>
      <c r="K12" s="53"/>
      <c r="L12" s="49"/>
    </row>
    <row r="13" spans="1:23" outlineLevel="1" x14ac:dyDescent="0.25">
      <c r="A13" s="47">
        <v>42674</v>
      </c>
      <c r="B13" s="48">
        <f>+'AMI Electric AMA 20 Yr'!B18+'AMI Electric AMA 5 Yr'!B16</f>
        <v>0</v>
      </c>
      <c r="C13" s="49">
        <f>+'AMI Electric AMA 20 Yr'!C18+'AMI Electric AMA 5 Yr'!C16</f>
        <v>0</v>
      </c>
      <c r="D13" s="48">
        <f>+'AMI Electric AMA 20 Yr'!D18+'AMI Electric AMA 5 Yr'!D16</f>
        <v>0</v>
      </c>
      <c r="E13" s="49">
        <f>+'AMI Electric AMA 20 Yr'!E18+'AMI Electric AMA 5 Yr'!E16</f>
        <v>0</v>
      </c>
      <c r="F13" s="50">
        <f t="shared" ref="F13:G28" si="0">+F12-D13</f>
        <v>0</v>
      </c>
      <c r="G13" s="51">
        <f t="shared" si="0"/>
        <v>0</v>
      </c>
      <c r="H13" s="48">
        <f t="shared" ref="H13:I28" si="1">B13+F13</f>
        <v>0</v>
      </c>
      <c r="I13" s="49">
        <f t="shared" si="1"/>
        <v>0</v>
      </c>
      <c r="J13" s="52">
        <f t="shared" ref="J13:J33" si="2">I13-H13</f>
        <v>0</v>
      </c>
      <c r="K13" s="53">
        <f>+'AMI Electric AMA 20 Yr'!K18+'AMI Electric AMA 5 Yr'!K16</f>
        <v>0</v>
      </c>
      <c r="L13" s="49">
        <f t="shared" ref="L13:L33" si="3">-K13+K12</f>
        <v>0</v>
      </c>
    </row>
    <row r="14" spans="1:23" outlineLevel="1" x14ac:dyDescent="0.25">
      <c r="A14" s="47">
        <v>42704</v>
      </c>
      <c r="B14" s="48">
        <f>+'AMI Electric AMA 20 Yr'!B19+'AMI Electric AMA 5 Yr'!B17</f>
        <v>0</v>
      </c>
      <c r="C14" s="49">
        <f>+'AMI Electric AMA 20 Yr'!C19+'AMI Electric AMA 5 Yr'!C17</f>
        <v>0</v>
      </c>
      <c r="D14" s="48">
        <f>+'AMI Electric AMA 20 Yr'!D19+'AMI Electric AMA 5 Yr'!D17</f>
        <v>0</v>
      </c>
      <c r="E14" s="49">
        <f>+'AMI Electric AMA 20 Yr'!E19+'AMI Electric AMA 5 Yr'!E17</f>
        <v>0</v>
      </c>
      <c r="F14" s="50">
        <f t="shared" si="0"/>
        <v>0</v>
      </c>
      <c r="G14" s="51">
        <f t="shared" si="0"/>
        <v>0</v>
      </c>
      <c r="H14" s="48">
        <f t="shared" si="1"/>
        <v>0</v>
      </c>
      <c r="I14" s="49">
        <f t="shared" si="1"/>
        <v>0</v>
      </c>
      <c r="J14" s="52">
        <f t="shared" si="2"/>
        <v>0</v>
      </c>
      <c r="K14" s="53">
        <f>+'AMI Electric AMA 20 Yr'!K19+'AMI Electric AMA 5 Yr'!K17</f>
        <v>0</v>
      </c>
      <c r="L14" s="49">
        <f t="shared" si="3"/>
        <v>0</v>
      </c>
    </row>
    <row r="15" spans="1:23" outlineLevel="1" x14ac:dyDescent="0.25">
      <c r="A15" s="47">
        <v>42735</v>
      </c>
      <c r="B15" s="48">
        <f>+'AMI Electric AMA 20 Yr'!B20+'AMI Electric AMA 5 Yr'!B18</f>
        <v>0</v>
      </c>
      <c r="C15" s="49">
        <f>+'AMI Electric AMA 20 Yr'!C20+'AMI Electric AMA 5 Yr'!C18</f>
        <v>0</v>
      </c>
      <c r="D15" s="48">
        <f>+'AMI Electric AMA 20 Yr'!D20+'AMI Electric AMA 5 Yr'!D18</f>
        <v>0</v>
      </c>
      <c r="E15" s="49">
        <f>+'AMI Electric AMA 20 Yr'!E20+'AMI Electric AMA 5 Yr'!E18</f>
        <v>0</v>
      </c>
      <c r="F15" s="50">
        <f t="shared" si="0"/>
        <v>0</v>
      </c>
      <c r="G15" s="51">
        <f t="shared" si="0"/>
        <v>0</v>
      </c>
      <c r="H15" s="48">
        <f t="shared" si="1"/>
        <v>0</v>
      </c>
      <c r="I15" s="49">
        <f t="shared" si="1"/>
        <v>0</v>
      </c>
      <c r="J15" s="52">
        <f t="shared" si="2"/>
        <v>0</v>
      </c>
      <c r="K15" s="53">
        <f>+'AMI Electric AMA 20 Yr'!K20+'AMI Electric AMA 5 Yr'!K18</f>
        <v>0</v>
      </c>
      <c r="L15" s="49">
        <f t="shared" si="3"/>
        <v>0</v>
      </c>
    </row>
    <row r="16" spans="1:23" outlineLevel="1" x14ac:dyDescent="0.25">
      <c r="A16" s="47">
        <v>42766</v>
      </c>
      <c r="B16" s="48">
        <f>+'AMI Electric AMA 20 Yr'!B21+'AMI Electric AMA 5 Yr'!B19</f>
        <v>0</v>
      </c>
      <c r="C16" s="49">
        <f>+'AMI Electric AMA 20 Yr'!C21+'AMI Electric AMA 5 Yr'!C19</f>
        <v>0</v>
      </c>
      <c r="D16" s="48">
        <f>+'AMI Electric AMA 20 Yr'!D21+'AMI Electric AMA 5 Yr'!D19</f>
        <v>0</v>
      </c>
      <c r="E16" s="49">
        <f>+'AMI Electric AMA 20 Yr'!E21+'AMI Electric AMA 5 Yr'!E19</f>
        <v>0</v>
      </c>
      <c r="F16" s="50">
        <f t="shared" si="0"/>
        <v>0</v>
      </c>
      <c r="G16" s="51">
        <f t="shared" si="0"/>
        <v>0</v>
      </c>
      <c r="H16" s="48">
        <f t="shared" si="1"/>
        <v>0</v>
      </c>
      <c r="I16" s="49">
        <f t="shared" si="1"/>
        <v>0</v>
      </c>
      <c r="J16" s="52">
        <f t="shared" si="2"/>
        <v>0</v>
      </c>
      <c r="K16" s="53">
        <f>+'AMI Electric AMA 20 Yr'!K21+'AMI Electric AMA 5 Yr'!K19</f>
        <v>0</v>
      </c>
      <c r="L16" s="49">
        <f t="shared" si="3"/>
        <v>0</v>
      </c>
    </row>
    <row r="17" spans="1:20" outlineLevel="1" x14ac:dyDescent="0.25">
      <c r="A17" s="47">
        <v>42794</v>
      </c>
      <c r="B17" s="48">
        <f>+'AMI Electric AMA 20 Yr'!B22+'AMI Electric AMA 5 Yr'!B20</f>
        <v>5154.54</v>
      </c>
      <c r="C17" s="49">
        <f>+'AMI Electric AMA 20 Yr'!C22+'AMI Electric AMA 5 Yr'!C20</f>
        <v>5154.54</v>
      </c>
      <c r="D17" s="48">
        <f>+'AMI Electric AMA 20 Yr'!D22+'AMI Electric AMA 5 Yr'!D20</f>
        <v>955.59031818181859</v>
      </c>
      <c r="E17" s="49">
        <f>+'AMI Electric AMA 20 Yr'!E22+'AMI Electric AMA 5 Yr'!E20</f>
        <v>6.0780617499999998</v>
      </c>
      <c r="F17" s="50">
        <f t="shared" si="0"/>
        <v>-955.59031818181859</v>
      </c>
      <c r="G17" s="51">
        <f t="shared" si="0"/>
        <v>-6.0780617499999998</v>
      </c>
      <c r="H17" s="48">
        <f t="shared" si="1"/>
        <v>4198.9496818181815</v>
      </c>
      <c r="I17" s="49">
        <f t="shared" si="1"/>
        <v>5148.4619382499995</v>
      </c>
      <c r="J17" s="52">
        <f t="shared" si="2"/>
        <v>949.51225643181806</v>
      </c>
      <c r="K17" s="53">
        <f>+'AMI Electric AMA 20 Yr'!K22+'AMI Electric AMA 5 Yr'!K20</f>
        <v>-332.32928975113629</v>
      </c>
      <c r="L17" s="49">
        <f t="shared" si="3"/>
        <v>332.32928975113629</v>
      </c>
    </row>
    <row r="18" spans="1:20" outlineLevel="1" x14ac:dyDescent="0.25">
      <c r="A18" s="47">
        <v>42825</v>
      </c>
      <c r="B18" s="48">
        <f>+'AMI Electric AMA 20 Yr'!B23+'AMI Electric AMA 5 Yr'!B21</f>
        <v>9842.33</v>
      </c>
      <c r="C18" s="49">
        <f>+'AMI Electric AMA 20 Yr'!C23+'AMI Electric AMA 5 Yr'!C21</f>
        <v>9842.33</v>
      </c>
      <c r="D18" s="48">
        <f>+'AMI Electric AMA 20 Yr'!D23+'AMI Electric AMA 5 Yr'!D21</f>
        <v>955.59031818181859</v>
      </c>
      <c r="E18" s="49">
        <f>+'AMI Electric AMA 20 Yr'!E23+'AMI Electric AMA 5 Yr'!E21</f>
        <v>17.683809208333333</v>
      </c>
      <c r="F18" s="50">
        <f t="shared" si="0"/>
        <v>-1911.1806363636372</v>
      </c>
      <c r="G18" s="51">
        <f t="shared" si="0"/>
        <v>-23.761870958333333</v>
      </c>
      <c r="H18" s="48">
        <f t="shared" si="1"/>
        <v>7931.149363636363</v>
      </c>
      <c r="I18" s="49">
        <f t="shared" si="1"/>
        <v>9818.5681290416669</v>
      </c>
      <c r="J18" s="52">
        <f t="shared" si="2"/>
        <v>1887.4187654053039</v>
      </c>
      <c r="K18" s="53">
        <f>+'AMI Electric AMA 20 Yr'!K23+'AMI Electric AMA 5 Yr'!K21</f>
        <v>-660.59656789185624</v>
      </c>
      <c r="L18" s="49">
        <f t="shared" si="3"/>
        <v>328.26727814071995</v>
      </c>
    </row>
    <row r="19" spans="1:20" outlineLevel="1" x14ac:dyDescent="0.25">
      <c r="A19" s="47">
        <v>42855</v>
      </c>
      <c r="B19" s="48">
        <f>+'AMI Electric AMA 20 Yr'!B24+'AMI Electric AMA 5 Yr'!B22</f>
        <v>12405.130000000001</v>
      </c>
      <c r="C19" s="49">
        <f>+'AMI Electric AMA 20 Yr'!C24+'AMI Electric AMA 5 Yr'!C22</f>
        <v>12405.130000000001</v>
      </c>
      <c r="D19" s="48">
        <f>+'AMI Electric AMA 20 Yr'!D24+'AMI Electric AMA 5 Yr'!D22</f>
        <v>955.59031818181859</v>
      </c>
      <c r="E19" s="49">
        <f>+'AMI Electric AMA 20 Yr'!E24+'AMI Electric AMA 5 Yr'!E22</f>
        <v>26.23346325</v>
      </c>
      <c r="F19" s="50">
        <f t="shared" si="0"/>
        <v>-2866.7709545454559</v>
      </c>
      <c r="G19" s="51">
        <f t="shared" si="0"/>
        <v>-49.995334208333333</v>
      </c>
      <c r="H19" s="48">
        <f t="shared" si="1"/>
        <v>9538.3590454545447</v>
      </c>
      <c r="I19" s="49">
        <f t="shared" si="1"/>
        <v>12355.134665791667</v>
      </c>
      <c r="J19" s="52">
        <f t="shared" si="2"/>
        <v>2816.7756203371227</v>
      </c>
      <c r="K19" s="53">
        <f>+'AMI Electric AMA 20 Yr'!K24+'AMI Electric AMA 5 Yr'!K22</f>
        <v>-985.87146711799278</v>
      </c>
      <c r="L19" s="49">
        <f t="shared" si="3"/>
        <v>325.27489922613654</v>
      </c>
    </row>
    <row r="20" spans="1:20" outlineLevel="1" x14ac:dyDescent="0.25">
      <c r="A20" s="47">
        <v>42886</v>
      </c>
      <c r="B20" s="48">
        <f>+'AMI Electric AMA 20 Yr'!B25+'AMI Electric AMA 5 Yr'!B23</f>
        <v>13214.990000000002</v>
      </c>
      <c r="C20" s="49">
        <f>+'AMI Electric AMA 20 Yr'!C25+'AMI Electric AMA 5 Yr'!C23</f>
        <v>13214.990000000002</v>
      </c>
      <c r="D20" s="48">
        <f>+'AMI Electric AMA 20 Yr'!D25+'AMI Electric AMA 5 Yr'!D23</f>
        <v>955.59031818181859</v>
      </c>
      <c r="E20" s="49">
        <f>+'AMI Electric AMA 20 Yr'!E25+'AMI Electric AMA 5 Yr'!E23</f>
        <v>30.2103915</v>
      </c>
      <c r="F20" s="50">
        <f t="shared" si="0"/>
        <v>-3822.3612727272744</v>
      </c>
      <c r="G20" s="51">
        <f t="shared" si="0"/>
        <v>-80.205725708333333</v>
      </c>
      <c r="H20" s="48">
        <f t="shared" si="1"/>
        <v>9392.6287272727277</v>
      </c>
      <c r="I20" s="49">
        <f t="shared" si="1"/>
        <v>13134.784274291669</v>
      </c>
      <c r="J20" s="52">
        <f t="shared" si="2"/>
        <v>3742.1555470189414</v>
      </c>
      <c r="K20" s="53">
        <f>+'AMI Electric AMA 20 Yr'!K25+'AMI Electric AMA 5 Yr'!K23</f>
        <v>-1309.7544414566294</v>
      </c>
      <c r="L20" s="49">
        <f t="shared" si="3"/>
        <v>323.88297433863659</v>
      </c>
    </row>
    <row r="21" spans="1:20" outlineLevel="1" x14ac:dyDescent="0.25">
      <c r="A21" s="47">
        <v>42916</v>
      </c>
      <c r="B21" s="48">
        <f>+'AMI Electric AMA 20 Yr'!B26+'AMI Electric AMA 5 Yr'!B24</f>
        <v>13347.520000000002</v>
      </c>
      <c r="C21" s="49">
        <f>+'AMI Electric AMA 20 Yr'!C26+'AMI Electric AMA 5 Yr'!C24</f>
        <v>13347.520000000002</v>
      </c>
      <c r="D21" s="48">
        <f>+'AMI Electric AMA 20 Yr'!D26+'AMI Electric AMA 5 Yr'!D24</f>
        <v>955.59031818181859</v>
      </c>
      <c r="E21" s="49">
        <f>+'AMI Electric AMA 20 Yr'!E26+'AMI Electric AMA 5 Yr'!E24</f>
        <v>31.321626375000001</v>
      </c>
      <c r="F21" s="50">
        <f t="shared" si="0"/>
        <v>-4777.9515909090933</v>
      </c>
      <c r="G21" s="51">
        <f t="shared" si="0"/>
        <v>-111.52735208333334</v>
      </c>
      <c r="H21" s="48">
        <f t="shared" si="1"/>
        <v>8569.568409090909</v>
      </c>
      <c r="I21" s="49">
        <f t="shared" si="1"/>
        <v>13235.99264791667</v>
      </c>
      <c r="J21" s="52">
        <f t="shared" si="2"/>
        <v>4666.4242388257608</v>
      </c>
      <c r="K21" s="53">
        <f>+'AMI Electric AMA 20 Yr'!K26+'AMI Electric AMA 5 Yr'!K24</f>
        <v>-1633.2484835890161</v>
      </c>
      <c r="L21" s="49">
        <f t="shared" si="3"/>
        <v>323.49404213238677</v>
      </c>
    </row>
    <row r="22" spans="1:20" x14ac:dyDescent="0.25">
      <c r="A22" s="47">
        <v>42947</v>
      </c>
      <c r="B22" s="48">
        <f>+'AMI Electric AMA 20 Yr'!B27+'AMI Electric AMA 5 Yr'!B25</f>
        <v>13347.520000000002</v>
      </c>
      <c r="C22" s="49">
        <f>+'AMI Electric AMA 20 Yr'!C27+'AMI Electric AMA 5 Yr'!C25</f>
        <v>13347.520000000002</v>
      </c>
      <c r="D22" s="48">
        <f>+'AMI Electric AMA 20 Yr'!D27+'AMI Electric AMA 5 Yr'!D25</f>
        <v>955.59031818181859</v>
      </c>
      <c r="E22" s="49">
        <f>+'AMI Electric AMA 20 Yr'!E27+'AMI Electric AMA 5 Yr'!E25</f>
        <v>31.477901333333335</v>
      </c>
      <c r="F22" s="50">
        <f t="shared" si="0"/>
        <v>-5733.5419090909118</v>
      </c>
      <c r="G22" s="51">
        <f t="shared" si="0"/>
        <v>-143.00525341666668</v>
      </c>
      <c r="H22" s="48">
        <f t="shared" si="1"/>
        <v>7613.9780909090905</v>
      </c>
      <c r="I22" s="49">
        <f t="shared" si="1"/>
        <v>13204.514746583336</v>
      </c>
      <c r="J22" s="52">
        <f t="shared" si="2"/>
        <v>5590.5366556742456</v>
      </c>
      <c r="K22" s="53">
        <f>+'AMI Electric AMA 20 Yr'!K27+'AMI Electric AMA 5 Yr'!K25</f>
        <v>-1956.6878294859857</v>
      </c>
      <c r="L22" s="49">
        <f t="shared" si="3"/>
        <v>323.4393458969696</v>
      </c>
    </row>
    <row r="23" spans="1:20" x14ac:dyDescent="0.25">
      <c r="A23" s="47">
        <v>42978</v>
      </c>
      <c r="B23" s="48">
        <f>+'AMI Electric AMA 20 Yr'!B28+'AMI Electric AMA 5 Yr'!B26</f>
        <v>13347.520000000002</v>
      </c>
      <c r="C23" s="49">
        <f>+'AMI Electric AMA 20 Yr'!C28+'AMI Electric AMA 5 Yr'!C26</f>
        <v>13347.520000000002</v>
      </c>
      <c r="D23" s="48">
        <f>+'AMI Electric AMA 20 Yr'!D28+'AMI Electric AMA 5 Yr'!D26</f>
        <v>955.59031818181859</v>
      </c>
      <c r="E23" s="49">
        <f>+'AMI Electric AMA 20 Yr'!E28+'AMI Electric AMA 5 Yr'!E26</f>
        <v>31.477901333333335</v>
      </c>
      <c r="F23" s="50">
        <f t="shared" si="0"/>
        <v>-6689.1322272727302</v>
      </c>
      <c r="G23" s="51">
        <f t="shared" si="0"/>
        <v>-174.48315475000001</v>
      </c>
      <c r="H23" s="48">
        <f t="shared" si="1"/>
        <v>6658.387772727272</v>
      </c>
      <c r="I23" s="49">
        <f t="shared" si="1"/>
        <v>13173.036845250002</v>
      </c>
      <c r="J23" s="52">
        <f t="shared" si="2"/>
        <v>6514.6490725227304</v>
      </c>
      <c r="K23" s="53">
        <f>+'AMI Electric AMA 20 Yr'!K28+'AMI Electric AMA 5 Yr'!K26</f>
        <v>-2280.1271753829556</v>
      </c>
      <c r="L23" s="49">
        <f t="shared" si="3"/>
        <v>323.43934589696983</v>
      </c>
    </row>
    <row r="24" spans="1:20" ht="14.4" x14ac:dyDescent="0.3">
      <c r="A24" s="47">
        <v>43008</v>
      </c>
      <c r="B24" s="48">
        <f>+'AMI Electric AMA 20 Yr'!B29+'AMI Electric AMA 5 Yr'!B27</f>
        <v>13347.520000000002</v>
      </c>
      <c r="C24" s="49">
        <f>+'AMI Electric AMA 20 Yr'!C29+'AMI Electric AMA 5 Yr'!C27</f>
        <v>13347.520000000002</v>
      </c>
      <c r="D24" s="48">
        <f>+'AMI Electric AMA 20 Yr'!D29+'AMI Electric AMA 5 Yr'!D27</f>
        <v>955.59031818181859</v>
      </c>
      <c r="E24" s="49">
        <f>+'AMI Electric AMA 20 Yr'!E29+'AMI Electric AMA 5 Yr'!E27</f>
        <v>31.477901333333335</v>
      </c>
      <c r="F24" s="50">
        <f t="shared" si="0"/>
        <v>-7644.7225454545487</v>
      </c>
      <c r="G24" s="51">
        <f t="shared" si="0"/>
        <v>-205.96105608333335</v>
      </c>
      <c r="H24" s="48">
        <f t="shared" si="1"/>
        <v>5702.7974545454535</v>
      </c>
      <c r="I24" s="49">
        <f t="shared" si="1"/>
        <v>13141.558943916669</v>
      </c>
      <c r="J24" s="52">
        <f t="shared" si="2"/>
        <v>7438.7614893712152</v>
      </c>
      <c r="K24" s="53">
        <f>+'AMI Electric AMA 20 Yr'!K29+'AMI Electric AMA 5 Yr'!K27</f>
        <v>-2603.5665212799254</v>
      </c>
      <c r="L24" s="49">
        <f t="shared" si="3"/>
        <v>323.43934589696983</v>
      </c>
      <c r="M24" s="6"/>
      <c r="N24" s="54"/>
      <c r="O24" s="54"/>
      <c r="P24" s="54"/>
      <c r="Q24" s="54"/>
      <c r="R24" s="54"/>
      <c r="S24" s="54"/>
      <c r="T24" s="54"/>
    </row>
    <row r="25" spans="1:20" ht="14.4" x14ac:dyDescent="0.3">
      <c r="A25" s="47">
        <v>43039</v>
      </c>
      <c r="B25" s="48">
        <f>+'AMI Electric AMA 20 Yr'!B30+'AMI Electric AMA 5 Yr'!B28</f>
        <v>14045.040000000003</v>
      </c>
      <c r="C25" s="49">
        <f>+'AMI Electric AMA 20 Yr'!C30+'AMI Electric AMA 5 Yr'!C28</f>
        <v>14045.040000000003</v>
      </c>
      <c r="D25" s="48">
        <f>+'AMI Electric AMA 20 Yr'!D30+'AMI Electric AMA 5 Yr'!D28</f>
        <v>955.59031818181859</v>
      </c>
      <c r="E25" s="49">
        <f>+'AMI Electric AMA 20 Yr'!E30+'AMI Electric AMA 5 Yr'!E28</f>
        <v>32.300393666666672</v>
      </c>
      <c r="F25" s="50">
        <f t="shared" si="0"/>
        <v>-8600.3128636363672</v>
      </c>
      <c r="G25" s="51">
        <f t="shared" si="0"/>
        <v>-238.26144975000003</v>
      </c>
      <c r="H25" s="48">
        <f t="shared" si="1"/>
        <v>5444.7271363636355</v>
      </c>
      <c r="I25" s="49">
        <f t="shared" si="1"/>
        <v>13806.778550250003</v>
      </c>
      <c r="J25" s="52">
        <f t="shared" si="2"/>
        <v>8362.0514138863673</v>
      </c>
      <c r="K25" s="53">
        <f>+'AMI Electric AMA 20 Yr'!K30+'AMI Electric AMA 5 Yr'!K28</f>
        <v>-2926.7179948602288</v>
      </c>
      <c r="L25" s="49">
        <f t="shared" si="3"/>
        <v>323.15147358030345</v>
      </c>
      <c r="M25" s="6"/>
      <c r="N25" s="54"/>
      <c r="O25" s="54"/>
      <c r="P25" s="54"/>
      <c r="Q25" s="54"/>
      <c r="R25" s="54"/>
      <c r="S25" s="54"/>
      <c r="T25" s="54"/>
    </row>
    <row r="26" spans="1:20" ht="14.4" x14ac:dyDescent="0.3">
      <c r="A26" s="47">
        <v>43069</v>
      </c>
      <c r="B26" s="48">
        <f>+'AMI Electric AMA 20 Yr'!B31+'AMI Electric AMA 5 Yr'!B29</f>
        <v>18873.370000000003</v>
      </c>
      <c r="C26" s="49">
        <f>+'AMI Electric AMA 20 Yr'!C31+'AMI Electric AMA 5 Yr'!C29</f>
        <v>18873.370000000003</v>
      </c>
      <c r="D26" s="48">
        <f>+'AMI Electric AMA 20 Yr'!D31+'AMI Electric AMA 5 Yr'!D29</f>
        <v>955.59031818181859</v>
      </c>
      <c r="E26" s="49">
        <f>+'AMI Electric AMA 20 Yr'!E31+'AMI Electric AMA 5 Yr'!E29</f>
        <v>38.430702333333336</v>
      </c>
      <c r="F26" s="50">
        <f t="shared" si="0"/>
        <v>-9555.9031818181866</v>
      </c>
      <c r="G26" s="51">
        <f t="shared" si="0"/>
        <v>-276.69215208333338</v>
      </c>
      <c r="H26" s="48">
        <f t="shared" si="1"/>
        <v>9317.4668181818161</v>
      </c>
      <c r="I26" s="49">
        <f t="shared" si="1"/>
        <v>18596.677847916668</v>
      </c>
      <c r="J26" s="52">
        <f t="shared" si="2"/>
        <v>9279.2110297348518</v>
      </c>
      <c r="K26" s="53">
        <f>+'AMI Electric AMA 20 Yr'!K31+'AMI Electric AMA 5 Yr'!K29</f>
        <v>-3247.7238604071981</v>
      </c>
      <c r="L26" s="49">
        <f t="shared" si="3"/>
        <v>321.00586554696929</v>
      </c>
      <c r="M26" s="6"/>
      <c r="N26" s="54"/>
      <c r="O26" s="54"/>
      <c r="P26" s="54"/>
      <c r="Q26" s="54"/>
      <c r="R26" s="54"/>
      <c r="S26" s="54"/>
      <c r="T26" s="54"/>
    </row>
    <row r="27" spans="1:20" ht="14.4" x14ac:dyDescent="0.3">
      <c r="A27" s="47">
        <v>43100</v>
      </c>
      <c r="B27" s="48">
        <f>+'AMI Electric AMA 20 Yr'!B32+'AMI Electric AMA 5 Yr'!B30</f>
        <v>57773.12000000001</v>
      </c>
      <c r="C27" s="49">
        <f>+'AMI Electric AMA 20 Yr'!C32+'AMI Electric AMA 5 Yr'!C30</f>
        <v>57773.12000000001</v>
      </c>
      <c r="D27" s="48">
        <f>+'AMI Electric AMA 20 Yr'!D32+'AMI Electric AMA 5 Yr'!D30</f>
        <v>23461.590318181818</v>
      </c>
      <c r="E27" s="49">
        <f>+'AMI Electric AMA 20 Yr'!E32+'AMI Electric AMA 5 Yr'!E30</f>
        <v>135.922346</v>
      </c>
      <c r="F27" s="50">
        <f t="shared" si="0"/>
        <v>-33017.493500000004</v>
      </c>
      <c r="G27" s="51">
        <f t="shared" si="0"/>
        <v>-412.61449808333339</v>
      </c>
      <c r="H27" s="48">
        <f t="shared" si="1"/>
        <v>24755.626500000006</v>
      </c>
      <c r="I27" s="49">
        <f t="shared" si="1"/>
        <v>57360.505501916676</v>
      </c>
      <c r="J27" s="52">
        <f t="shared" si="2"/>
        <v>32604.87900191667</v>
      </c>
      <c r="K27" s="53">
        <f>+'AMI Electric AMA 20 Yr'!K32+'AMI Electric AMA 5 Yr'!K30</f>
        <v>-11411.707650670834</v>
      </c>
      <c r="L27" s="49">
        <f t="shared" si="3"/>
        <v>8163.9837902636364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43131</v>
      </c>
      <c r="B28" s="48">
        <f>+'AMI Electric AMA 20 Yr'!B33+'AMI Electric AMA 5 Yr'!B31</f>
        <v>115912.98</v>
      </c>
      <c r="C28" s="49">
        <f>+'AMI Electric AMA 20 Yr'!C33+'AMI Electric AMA 5 Yr'!C31</f>
        <v>115912.98</v>
      </c>
      <c r="D28" s="48">
        <f>+'AMI Electric AMA 20 Yr'!D33+'AMI Electric AMA 5 Yr'!D31</f>
        <v>261358.19755761666</v>
      </c>
      <c r="E28" s="49">
        <f>+'AMI Electric AMA 20 Yr'!E33+'AMI Electric AMA 5 Yr'!E31</f>
        <v>313.57860262500003</v>
      </c>
      <c r="F28" s="50">
        <f t="shared" si="0"/>
        <v>-294375.69105761667</v>
      </c>
      <c r="G28" s="51">
        <f t="shared" si="0"/>
        <v>-726.19310070833342</v>
      </c>
      <c r="H28" s="48">
        <f t="shared" si="1"/>
        <v>-178462.71105761669</v>
      </c>
      <c r="I28" s="49">
        <f t="shared" si="1"/>
        <v>115186.78689929166</v>
      </c>
      <c r="J28" s="52">
        <f t="shared" si="2"/>
        <v>293649.49795690837</v>
      </c>
      <c r="K28" s="53">
        <f>+'AMI Electric AMA 20 Yr'!K33+'AMI Electric AMA 5 Yr'!K31</f>
        <v>-66231.077631219086</v>
      </c>
      <c r="L28" s="49">
        <f t="shared" si="3"/>
        <v>54819.369980548254</v>
      </c>
      <c r="M28" s="6"/>
      <c r="N28" s="54"/>
      <c r="O28" s="54"/>
      <c r="P28" s="54"/>
      <c r="Q28" s="54"/>
      <c r="R28" s="54"/>
      <c r="S28" s="54"/>
      <c r="T28" s="54"/>
    </row>
    <row r="29" spans="1:20" x14ac:dyDescent="0.25">
      <c r="A29" s="47">
        <v>43159</v>
      </c>
      <c r="B29" s="48">
        <f>+'AMI Electric AMA 20 Yr'!B34+'AMI Electric AMA 5 Yr'!B32</f>
        <v>129650.57</v>
      </c>
      <c r="C29" s="49">
        <f>+'AMI Electric AMA 20 Yr'!C34+'AMI Electric AMA 5 Yr'!C32</f>
        <v>129650.57</v>
      </c>
      <c r="D29" s="48">
        <f>+'AMI Electric AMA 20 Yr'!D34+'AMI Electric AMA 5 Yr'!D32</f>
        <v>261358.19755761666</v>
      </c>
      <c r="E29" s="49">
        <f>+'AMI Electric AMA 20 Yr'!E34+'AMI Electric AMA 5 Yr'!E32</f>
        <v>418.61975929166675</v>
      </c>
      <c r="F29" s="50">
        <f t="shared" ref="F29:G33" si="4">+F28-D29</f>
        <v>-555733.88861523336</v>
      </c>
      <c r="G29" s="51">
        <f t="shared" si="4"/>
        <v>-1144.8128600000002</v>
      </c>
      <c r="H29" s="48">
        <f t="shared" ref="H29:I33" si="5">B29+F29</f>
        <v>-426083.31861523335</v>
      </c>
      <c r="I29" s="49">
        <f t="shared" si="5"/>
        <v>128505.75714</v>
      </c>
      <c r="J29" s="52">
        <f t="shared" si="2"/>
        <v>554589.07575523341</v>
      </c>
      <c r="K29" s="53">
        <f>+'AMI Electric AMA 20 Yr'!K34+'AMI Electric AMA 5 Yr'!K32</f>
        <v>-121028.38896886734</v>
      </c>
      <c r="L29" s="49">
        <f t="shared" si="3"/>
        <v>54797.311337648251</v>
      </c>
      <c r="M29" s="55"/>
      <c r="N29" s="54"/>
      <c r="O29" s="54"/>
      <c r="P29" s="54"/>
      <c r="Q29" s="54"/>
      <c r="R29" s="54"/>
      <c r="S29" s="54"/>
      <c r="T29" s="54"/>
    </row>
    <row r="30" spans="1:20" x14ac:dyDescent="0.25">
      <c r="A30" s="47">
        <v>43190</v>
      </c>
      <c r="B30" s="48">
        <f>+'AMI Electric AMA 20 Yr'!B35+'AMI Electric AMA 5 Yr'!B33</f>
        <v>15754403.449999999</v>
      </c>
      <c r="C30" s="49">
        <f>+'AMI Electric AMA 20 Yr'!C35+'AMI Electric AMA 5 Yr'!C33</f>
        <v>15754403.449999999</v>
      </c>
      <c r="D30" s="48">
        <f>+'AMI Electric AMA 20 Yr'!D35+'AMI Electric AMA 5 Yr'!D33</f>
        <v>261358.19755761666</v>
      </c>
      <c r="E30" s="49">
        <f>+'AMI Electric AMA 20 Yr'!E35+'AMI Electric AMA 5 Yr'!E33</f>
        <v>36240.315993208329</v>
      </c>
      <c r="F30" s="50">
        <f t="shared" si="4"/>
        <v>-817092.08617284999</v>
      </c>
      <c r="G30" s="51">
        <f t="shared" si="4"/>
        <v>-37385.128853208327</v>
      </c>
      <c r="H30" s="48">
        <f t="shared" si="5"/>
        <v>14937311.363827148</v>
      </c>
      <c r="I30" s="49">
        <f t="shared" si="5"/>
        <v>15717018.321146792</v>
      </c>
      <c r="J30" s="52">
        <f t="shared" si="2"/>
        <v>779706.95731964335</v>
      </c>
      <c r="K30" s="53">
        <f>+'AMI Electric AMA 20 Yr'!K35+'AMI Electric AMA 5 Yr'!K33</f>
        <v>-168303.14409739277</v>
      </c>
      <c r="L30" s="49">
        <f t="shared" si="3"/>
        <v>47274.75512852543</v>
      </c>
      <c r="M30" s="55"/>
      <c r="N30" s="54"/>
      <c r="O30" s="54"/>
      <c r="P30" s="54"/>
      <c r="Q30" s="54"/>
      <c r="R30" s="54"/>
      <c r="S30" s="54"/>
      <c r="T30" s="54"/>
    </row>
    <row r="31" spans="1:20" x14ac:dyDescent="0.25">
      <c r="A31" s="47">
        <v>43220</v>
      </c>
      <c r="B31" s="48">
        <f>+'AMI Electric AMA 20 Yr'!B36+'AMI Electric AMA 5 Yr'!B34</f>
        <v>15798324.189999999</v>
      </c>
      <c r="C31" s="49">
        <f>+'AMI Electric AMA 20 Yr'!C36+'AMI Electric AMA 5 Yr'!C34</f>
        <v>15798324.189999999</v>
      </c>
      <c r="D31" s="48">
        <f>+'AMI Electric AMA 20 Yr'!D36+'AMI Electric AMA 5 Yr'!D34</f>
        <v>261358.19755761666</v>
      </c>
      <c r="E31" s="49">
        <f>+'AMI Electric AMA 20 Yr'!E36+'AMI Electric AMA 5 Yr'!E34</f>
        <v>72108.876560083329</v>
      </c>
      <c r="F31" s="50">
        <f t="shared" si="4"/>
        <v>-1078450.2837304666</v>
      </c>
      <c r="G31" s="51">
        <f t="shared" si="4"/>
        <v>-109494.00541329166</v>
      </c>
      <c r="H31" s="48">
        <f t="shared" si="5"/>
        <v>14719873.906269534</v>
      </c>
      <c r="I31" s="49">
        <f t="shared" si="5"/>
        <v>15688830.184586708</v>
      </c>
      <c r="J31" s="52">
        <f t="shared" si="2"/>
        <v>968956.27831717394</v>
      </c>
      <c r="K31" s="53">
        <f>+'AMI Electric AMA 20 Yr'!K36+'AMI Electric AMA 5 Yr'!K34</f>
        <v>-208045.50150687509</v>
      </c>
      <c r="L31" s="49">
        <f t="shared" si="3"/>
        <v>39742.357409482327</v>
      </c>
      <c r="M31" s="55"/>
      <c r="N31" s="56"/>
      <c r="O31" s="54"/>
      <c r="P31" s="54"/>
      <c r="Q31" s="54"/>
      <c r="R31" s="54"/>
      <c r="S31" s="54"/>
      <c r="T31" s="54"/>
    </row>
    <row r="32" spans="1:20" x14ac:dyDescent="0.25">
      <c r="A32" s="47">
        <v>43251</v>
      </c>
      <c r="B32" s="48">
        <f>+'AMI Electric AMA 20 Yr'!B37+'AMI Electric AMA 5 Yr'!B35</f>
        <v>15824724.08</v>
      </c>
      <c r="C32" s="49">
        <f>+'AMI Electric AMA 20 Yr'!C37+'AMI Electric AMA 5 Yr'!C35</f>
        <v>15824724.08</v>
      </c>
      <c r="D32" s="48">
        <f>+'AMI Electric AMA 20 Yr'!D37+'AMI Electric AMA 5 Yr'!D35</f>
        <v>261358.19755761666</v>
      </c>
      <c r="E32" s="49">
        <f>+'AMI Electric AMA 20 Yr'!E37+'AMI Electric AMA 5 Yr'!E35</f>
        <v>72218.62416183333</v>
      </c>
      <c r="F32" s="50">
        <f t="shared" si="4"/>
        <v>-1339808.4812880834</v>
      </c>
      <c r="G32" s="51">
        <f t="shared" si="4"/>
        <v>-181712.629575125</v>
      </c>
      <c r="H32" s="48">
        <f t="shared" si="5"/>
        <v>14484915.598711917</v>
      </c>
      <c r="I32" s="49">
        <f t="shared" si="5"/>
        <v>15643011.450424874</v>
      </c>
      <c r="J32" s="52">
        <f t="shared" si="2"/>
        <v>1158095.851712957</v>
      </c>
      <c r="K32" s="53">
        <f>+'AMI Electric AMA 20 Yr'!K37+'AMI Electric AMA 5 Yr'!K35</f>
        <v>-247764.8119199895</v>
      </c>
      <c r="L32" s="49">
        <f t="shared" si="3"/>
        <v>39719.310413114406</v>
      </c>
      <c r="M32" s="55"/>
      <c r="N32" s="54"/>
      <c r="O32" s="54"/>
      <c r="P32" s="54"/>
      <c r="Q32" s="54"/>
      <c r="R32" s="54"/>
      <c r="S32" s="54"/>
      <c r="T32" s="54"/>
    </row>
    <row r="33" spans="1:20" ht="13.8" thickBot="1" x14ac:dyDescent="0.3">
      <c r="A33" s="133">
        <v>43281</v>
      </c>
      <c r="B33" s="134">
        <f>+'AMI Electric AMA 20 Yr'!B38+'AMI Electric AMA 5 Yr'!B36</f>
        <v>15855390.35</v>
      </c>
      <c r="C33" s="135">
        <f>+'AMI Electric AMA 20 Yr'!C38+'AMI Electric AMA 5 Yr'!C36</f>
        <v>15855390.35</v>
      </c>
      <c r="D33" s="134">
        <f>+'AMI Electric AMA 20 Yr'!D38+'AMI Electric AMA 5 Yr'!D36</f>
        <v>261358.19755761666</v>
      </c>
      <c r="E33" s="135">
        <f>+'AMI Electric AMA 20 Yr'!E38+'AMI Electric AMA 5 Yr'!E36</f>
        <v>72302.610483458324</v>
      </c>
      <c r="F33" s="136">
        <f t="shared" si="4"/>
        <v>-1601166.6788457001</v>
      </c>
      <c r="G33" s="137">
        <f t="shared" si="4"/>
        <v>-254015.24005858332</v>
      </c>
      <c r="H33" s="134">
        <f t="shared" si="5"/>
        <v>14254223.6711543</v>
      </c>
      <c r="I33" s="135">
        <f t="shared" si="5"/>
        <v>15601375.109941415</v>
      </c>
      <c r="J33" s="138">
        <f t="shared" si="2"/>
        <v>1347151.4387871157</v>
      </c>
      <c r="K33" s="139">
        <f>+'AMI Electric AMA 20 Yr'!K38+'AMI Electric AMA 5 Yr'!K36</f>
        <v>-287466.48520556302</v>
      </c>
      <c r="L33" s="135">
        <f t="shared" si="3"/>
        <v>39701.673285573517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43312</v>
      </c>
      <c r="B34" s="48">
        <f>+'AMI Electric AMA 20 Yr'!B39+'AMI Electric AMA 5 Yr'!B37</f>
        <v>15855390.35</v>
      </c>
      <c r="C34" s="49">
        <f>+'AMI Electric AMA 20 Yr'!C39+'AMI Electric AMA 5 Yr'!C37</f>
        <v>15855390.35</v>
      </c>
      <c r="D34" s="48">
        <f>+'AMI Electric AMA 20 Yr'!D39+'AMI Electric AMA 5 Yr'!D37</f>
        <v>261358.19755761666</v>
      </c>
      <c r="E34" s="49">
        <f>+'AMI Electric AMA 20 Yr'!E39+'AMI Electric AMA 5 Yr'!E37</f>
        <v>72302.610483458324</v>
      </c>
      <c r="F34" s="50">
        <f t="shared" ref="F34:F53" si="6">+F33-D34</f>
        <v>-1862524.8764033169</v>
      </c>
      <c r="G34" s="51">
        <f t="shared" ref="G34:G53" si="7">+G33-E34</f>
        <v>-326317.85054204165</v>
      </c>
      <c r="H34" s="48">
        <f t="shared" ref="H34:H53" si="8">B34+F34</f>
        <v>13992865.473596683</v>
      </c>
      <c r="I34" s="49">
        <f t="shared" ref="I34:I53" si="9">C34+G34</f>
        <v>15529072.499457957</v>
      </c>
      <c r="J34" s="52">
        <f t="shared" ref="J34:J53" si="10">I34-H34</f>
        <v>1536207.0258612745</v>
      </c>
      <c r="K34" s="53">
        <f>+'AMI Electric AMA 20 Yr'!K39+'AMI Electric AMA 5 Yr'!K37</f>
        <v>-327168.15849113616</v>
      </c>
      <c r="L34" s="49">
        <f t="shared" ref="L34:L53" si="11">-K34+K33</f>
        <v>39701.673285573139</v>
      </c>
      <c r="M34" s="55"/>
      <c r="N34" s="54"/>
      <c r="O34" s="54"/>
      <c r="P34" s="54"/>
      <c r="Q34" s="54"/>
      <c r="R34" s="54"/>
      <c r="S34" s="54"/>
      <c r="T34" s="54"/>
    </row>
    <row r="35" spans="1:20" x14ac:dyDescent="0.25">
      <c r="A35" s="47">
        <v>43343</v>
      </c>
      <c r="B35" s="48">
        <f>+'AMI Electric AMA 20 Yr'!B40+'AMI Electric AMA 5 Yr'!B38</f>
        <v>15855390.35</v>
      </c>
      <c r="C35" s="49">
        <f>+'AMI Electric AMA 20 Yr'!C40+'AMI Electric AMA 5 Yr'!C38</f>
        <v>15855390.35</v>
      </c>
      <c r="D35" s="48">
        <f>+'AMI Electric AMA 20 Yr'!D40+'AMI Electric AMA 5 Yr'!D38</f>
        <v>261358.19755761666</v>
      </c>
      <c r="E35" s="49">
        <f>+'AMI Electric AMA 20 Yr'!E40+'AMI Electric AMA 5 Yr'!E38</f>
        <v>72302.610483458324</v>
      </c>
      <c r="F35" s="50">
        <f t="shared" si="6"/>
        <v>-2123883.0739609334</v>
      </c>
      <c r="G35" s="51">
        <f t="shared" si="7"/>
        <v>-398620.46102549997</v>
      </c>
      <c r="H35" s="48">
        <f t="shared" si="8"/>
        <v>13731507.276039066</v>
      </c>
      <c r="I35" s="49">
        <f t="shared" si="9"/>
        <v>15456769.888974499</v>
      </c>
      <c r="J35" s="52">
        <f t="shared" si="10"/>
        <v>1725262.6129354332</v>
      </c>
      <c r="K35" s="53">
        <f>+'AMI Electric AMA 20 Yr'!K40+'AMI Electric AMA 5 Yr'!K38</f>
        <v>-366869.8317767093</v>
      </c>
      <c r="L35" s="49">
        <f t="shared" si="11"/>
        <v>39701.673285573139</v>
      </c>
      <c r="M35" s="55"/>
      <c r="N35" s="54"/>
      <c r="O35" s="54"/>
      <c r="P35" s="54"/>
      <c r="Q35" s="54"/>
      <c r="R35" s="54"/>
      <c r="S35" s="54"/>
      <c r="T35" s="54"/>
    </row>
    <row r="36" spans="1:20" x14ac:dyDescent="0.25">
      <c r="A36" s="47">
        <v>43373</v>
      </c>
      <c r="B36" s="48">
        <f>+'AMI Electric AMA 20 Yr'!B41+'AMI Electric AMA 5 Yr'!B39</f>
        <v>15855390.35</v>
      </c>
      <c r="C36" s="49">
        <f>+'AMI Electric AMA 20 Yr'!C41+'AMI Electric AMA 5 Yr'!C39</f>
        <v>15855390.35</v>
      </c>
      <c r="D36" s="48">
        <f>+'AMI Electric AMA 20 Yr'!D41+'AMI Electric AMA 5 Yr'!D39</f>
        <v>261358.19755761666</v>
      </c>
      <c r="E36" s="49">
        <f>+'AMI Electric AMA 20 Yr'!E41+'AMI Electric AMA 5 Yr'!E39</f>
        <v>72302.610483458324</v>
      </c>
      <c r="F36" s="50">
        <f t="shared" si="6"/>
        <v>-2385241.2715185499</v>
      </c>
      <c r="G36" s="51">
        <f t="shared" si="7"/>
        <v>-470923.0715089583</v>
      </c>
      <c r="H36" s="48">
        <f t="shared" si="8"/>
        <v>13470149.078481451</v>
      </c>
      <c r="I36" s="49">
        <f t="shared" si="9"/>
        <v>15384467.278491041</v>
      </c>
      <c r="J36" s="52">
        <f t="shared" si="10"/>
        <v>1914318.20000959</v>
      </c>
      <c r="K36" s="53">
        <f>+'AMI Electric AMA 20 Yr'!K41+'AMI Electric AMA 5 Yr'!K39</f>
        <v>-406571.50506228243</v>
      </c>
      <c r="L36" s="49">
        <f t="shared" si="11"/>
        <v>39701.673285573139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43404</v>
      </c>
      <c r="B37" s="48">
        <f>+'AMI Electric AMA 20 Yr'!B42+'AMI Electric AMA 5 Yr'!B40</f>
        <v>15855390.35</v>
      </c>
      <c r="C37" s="49">
        <f>+'AMI Electric AMA 20 Yr'!C42+'AMI Electric AMA 5 Yr'!C40</f>
        <v>15855390.35</v>
      </c>
      <c r="D37" s="48">
        <f>+'AMI Electric AMA 20 Yr'!D42+'AMI Electric AMA 5 Yr'!D40</f>
        <v>261358.19755761666</v>
      </c>
      <c r="E37" s="49">
        <f>+'AMI Electric AMA 20 Yr'!E42+'AMI Electric AMA 5 Yr'!E40</f>
        <v>72302.610483458324</v>
      </c>
      <c r="F37" s="50">
        <f t="shared" si="6"/>
        <v>-2646599.4690761664</v>
      </c>
      <c r="G37" s="51">
        <f t="shared" si="7"/>
        <v>-543225.68199241662</v>
      </c>
      <c r="H37" s="48">
        <f t="shared" si="8"/>
        <v>13208790.880923834</v>
      </c>
      <c r="I37" s="49">
        <f t="shared" si="9"/>
        <v>15312164.668007582</v>
      </c>
      <c r="J37" s="52">
        <f t="shared" si="10"/>
        <v>2103373.7870837487</v>
      </c>
      <c r="K37" s="53">
        <f>+'AMI Electric AMA 20 Yr'!K42+'AMI Electric AMA 5 Yr'!K40</f>
        <v>-446273.17834785598</v>
      </c>
      <c r="L37" s="49">
        <f t="shared" si="11"/>
        <v>39701.673285573546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43434</v>
      </c>
      <c r="B38" s="48">
        <f>+'AMI Electric AMA 20 Yr'!B43+'AMI Electric AMA 5 Yr'!B41</f>
        <v>15855390.35</v>
      </c>
      <c r="C38" s="49">
        <f>+'AMI Electric AMA 20 Yr'!C43+'AMI Electric AMA 5 Yr'!C41</f>
        <v>15855390.35</v>
      </c>
      <c r="D38" s="48">
        <f>+'AMI Electric AMA 20 Yr'!D43+'AMI Electric AMA 5 Yr'!D41</f>
        <v>261358.19755761666</v>
      </c>
      <c r="E38" s="49">
        <f>+'AMI Electric AMA 20 Yr'!E43+'AMI Electric AMA 5 Yr'!E41</f>
        <v>72302.610483458324</v>
      </c>
      <c r="F38" s="50">
        <f t="shared" si="6"/>
        <v>-2907957.6666337829</v>
      </c>
      <c r="G38" s="51">
        <f t="shared" si="7"/>
        <v>-615528.292475875</v>
      </c>
      <c r="H38" s="48">
        <f t="shared" si="8"/>
        <v>12947432.683366217</v>
      </c>
      <c r="I38" s="49">
        <f t="shared" si="9"/>
        <v>15239862.057524124</v>
      </c>
      <c r="J38" s="52">
        <f t="shared" si="10"/>
        <v>2292429.3741579074</v>
      </c>
      <c r="K38" s="53">
        <f>+'AMI Electric AMA 20 Yr'!K43+'AMI Electric AMA 5 Yr'!K41</f>
        <v>-485974.85163342912</v>
      </c>
      <c r="L38" s="49">
        <f t="shared" si="11"/>
        <v>39701.673285573139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43465</v>
      </c>
      <c r="B39" s="48">
        <f>+'AMI Electric AMA 20 Yr'!B44+'AMI Electric AMA 5 Yr'!B42</f>
        <v>15855390.35</v>
      </c>
      <c r="C39" s="49">
        <f>+'AMI Electric AMA 20 Yr'!C44+'AMI Electric AMA 5 Yr'!C42</f>
        <v>15855390.35</v>
      </c>
      <c r="D39" s="48">
        <f>+'AMI Electric AMA 20 Yr'!D44+'AMI Electric AMA 5 Yr'!D42</f>
        <v>261358.19755761666</v>
      </c>
      <c r="E39" s="49">
        <f>+'AMI Electric AMA 20 Yr'!E44+'AMI Electric AMA 5 Yr'!E42</f>
        <v>72302.610483458324</v>
      </c>
      <c r="F39" s="50">
        <f t="shared" si="6"/>
        <v>-3169315.8641913994</v>
      </c>
      <c r="G39" s="51">
        <f t="shared" si="7"/>
        <v>-687830.90295933327</v>
      </c>
      <c r="H39" s="48">
        <f t="shared" si="8"/>
        <v>12686074.4858086</v>
      </c>
      <c r="I39" s="49">
        <f t="shared" si="9"/>
        <v>15167559.447040666</v>
      </c>
      <c r="J39" s="52">
        <f t="shared" si="10"/>
        <v>2481484.9612320662</v>
      </c>
      <c r="K39" s="53">
        <f>+'AMI Electric AMA 20 Yr'!K44+'AMI Electric AMA 5 Yr'!K42</f>
        <v>-525676.52491900267</v>
      </c>
      <c r="L39" s="49">
        <f t="shared" si="11"/>
        <v>39701.673285573546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43496</v>
      </c>
      <c r="B40" s="48">
        <f>+'AMI Electric AMA 20 Yr'!B45+'AMI Electric AMA 5 Yr'!B43</f>
        <v>15855390.35</v>
      </c>
      <c r="C40" s="49">
        <f>+'AMI Electric AMA 20 Yr'!C45+'AMI Electric AMA 5 Yr'!C43</f>
        <v>15855390.35</v>
      </c>
      <c r="D40" s="48">
        <f>+'AMI Electric AMA 20 Yr'!D45+'AMI Electric AMA 5 Yr'!D43</f>
        <v>417819.11316679168</v>
      </c>
      <c r="E40" s="49">
        <f>+'AMI Electric AMA 20 Yr'!E45+'AMI Electric AMA 5 Yr'!E43</f>
        <v>72302.610483458324</v>
      </c>
      <c r="F40" s="50">
        <f t="shared" si="6"/>
        <v>-3587134.9773581913</v>
      </c>
      <c r="G40" s="51">
        <f t="shared" si="7"/>
        <v>-760133.51344279153</v>
      </c>
      <c r="H40" s="48">
        <f t="shared" si="8"/>
        <v>12268255.372641809</v>
      </c>
      <c r="I40" s="49">
        <f t="shared" si="9"/>
        <v>15095256.836557208</v>
      </c>
      <c r="J40" s="52">
        <f t="shared" si="10"/>
        <v>2827001.4639153983</v>
      </c>
      <c r="K40" s="53">
        <f>+'AMI Electric AMA 20 Yr'!K45+'AMI Electric AMA 5 Yr'!K43</f>
        <v>-598234.99048250227</v>
      </c>
      <c r="L40" s="49">
        <f t="shared" si="11"/>
        <v>72558.465563499602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43524</v>
      </c>
      <c r="B41" s="48">
        <f>+'AMI Electric AMA 20 Yr'!B46+'AMI Electric AMA 5 Yr'!B44</f>
        <v>15855390.35</v>
      </c>
      <c r="C41" s="49">
        <f>+'AMI Electric AMA 20 Yr'!C46+'AMI Electric AMA 5 Yr'!C44</f>
        <v>15855390.35</v>
      </c>
      <c r="D41" s="48">
        <f>+'AMI Electric AMA 20 Yr'!D46+'AMI Electric AMA 5 Yr'!D44</f>
        <v>417819.11316679168</v>
      </c>
      <c r="E41" s="49">
        <f>+'AMI Electric AMA 20 Yr'!E46+'AMI Electric AMA 5 Yr'!E44</f>
        <v>72302.610483458324</v>
      </c>
      <c r="F41" s="50">
        <f t="shared" si="6"/>
        <v>-4004954.0905249831</v>
      </c>
      <c r="G41" s="51">
        <f t="shared" si="7"/>
        <v>-832436.1239262498</v>
      </c>
      <c r="H41" s="48">
        <f t="shared" si="8"/>
        <v>11850436.259475017</v>
      </c>
      <c r="I41" s="49">
        <f t="shared" si="9"/>
        <v>15022954.226073749</v>
      </c>
      <c r="J41" s="52">
        <f t="shared" si="10"/>
        <v>3172517.9665987324</v>
      </c>
      <c r="K41" s="53">
        <f>+'AMI Electric AMA 20 Yr'!K46+'AMI Electric AMA 5 Yr'!K44</f>
        <v>-670793.45604600233</v>
      </c>
      <c r="L41" s="49">
        <f t="shared" si="11"/>
        <v>72558.465563500067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43555</v>
      </c>
      <c r="B42" s="48">
        <f>+'AMI Electric AMA 20 Yr'!B47+'AMI Electric AMA 5 Yr'!B45</f>
        <v>15855390.35</v>
      </c>
      <c r="C42" s="49">
        <f>+'AMI Electric AMA 20 Yr'!C47+'AMI Electric AMA 5 Yr'!C45</f>
        <v>15855390.35</v>
      </c>
      <c r="D42" s="48">
        <f>+'AMI Electric AMA 20 Yr'!D47+'AMI Electric AMA 5 Yr'!D45</f>
        <v>417819.11316679168</v>
      </c>
      <c r="E42" s="49">
        <f>+'AMI Electric AMA 20 Yr'!E47+'AMI Electric AMA 5 Yr'!E45</f>
        <v>72302.610483458324</v>
      </c>
      <c r="F42" s="50">
        <f t="shared" si="6"/>
        <v>-4422773.203691775</v>
      </c>
      <c r="G42" s="51">
        <f t="shared" si="7"/>
        <v>-904738.73440970806</v>
      </c>
      <c r="H42" s="48">
        <f t="shared" si="8"/>
        <v>11432617.146308225</v>
      </c>
      <c r="I42" s="49">
        <f t="shared" si="9"/>
        <v>14950651.615590291</v>
      </c>
      <c r="J42" s="52">
        <f t="shared" si="10"/>
        <v>3518034.4692820664</v>
      </c>
      <c r="K42" s="53">
        <f>+'AMI Electric AMA 20 Yr'!K47+'AMI Electric AMA 5 Yr'!K45</f>
        <v>-743351.92160950229</v>
      </c>
      <c r="L42" s="49">
        <f t="shared" si="11"/>
        <v>72558.465563499951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43585</v>
      </c>
      <c r="B43" s="48">
        <f>+'AMI Electric AMA 20 Yr'!B48+'AMI Electric AMA 5 Yr'!B46</f>
        <v>15855390.35</v>
      </c>
      <c r="C43" s="49">
        <f>+'AMI Electric AMA 20 Yr'!C48+'AMI Electric AMA 5 Yr'!C46</f>
        <v>15855390.35</v>
      </c>
      <c r="D43" s="48">
        <f>+'AMI Electric AMA 20 Yr'!D48+'AMI Electric AMA 5 Yr'!D46</f>
        <v>417819.11316679168</v>
      </c>
      <c r="E43" s="49">
        <f>+'AMI Electric AMA 20 Yr'!E48+'AMI Electric AMA 5 Yr'!E46</f>
        <v>72302.610483458324</v>
      </c>
      <c r="F43" s="50">
        <f t="shared" si="6"/>
        <v>-4840592.3168585664</v>
      </c>
      <c r="G43" s="51">
        <f t="shared" si="7"/>
        <v>-977041.34489316633</v>
      </c>
      <c r="H43" s="48">
        <f t="shared" si="8"/>
        <v>11014798.033141434</v>
      </c>
      <c r="I43" s="49">
        <f t="shared" si="9"/>
        <v>14878349.005106833</v>
      </c>
      <c r="J43" s="52">
        <f t="shared" si="10"/>
        <v>3863550.9719653986</v>
      </c>
      <c r="K43" s="53">
        <f>+'AMI Electric AMA 20 Yr'!K48+'AMI Electric AMA 5 Yr'!K46</f>
        <v>-815910.38717300224</v>
      </c>
      <c r="L43" s="49">
        <f t="shared" si="11"/>
        <v>72558.465563499951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43616</v>
      </c>
      <c r="B44" s="48">
        <f>+'AMI Electric AMA 20 Yr'!B49+'AMI Electric AMA 5 Yr'!B47</f>
        <v>15855390.35</v>
      </c>
      <c r="C44" s="49">
        <f>+'AMI Electric AMA 20 Yr'!C49+'AMI Electric AMA 5 Yr'!C47</f>
        <v>15855390.35</v>
      </c>
      <c r="D44" s="48">
        <f>+'AMI Electric AMA 20 Yr'!D49+'AMI Electric AMA 5 Yr'!D47</f>
        <v>417819.11316679168</v>
      </c>
      <c r="E44" s="49">
        <f>+'AMI Electric AMA 20 Yr'!E49+'AMI Electric AMA 5 Yr'!E47</f>
        <v>72302.610483458324</v>
      </c>
      <c r="F44" s="50">
        <f t="shared" si="6"/>
        <v>-5258411.4300253578</v>
      </c>
      <c r="G44" s="51">
        <f t="shared" si="7"/>
        <v>-1049343.9553766246</v>
      </c>
      <c r="H44" s="48">
        <f t="shared" si="8"/>
        <v>10596978.919974642</v>
      </c>
      <c r="I44" s="49">
        <f t="shared" si="9"/>
        <v>14806046.394623375</v>
      </c>
      <c r="J44" s="52">
        <f t="shared" si="10"/>
        <v>4209067.4746487327</v>
      </c>
      <c r="K44" s="53">
        <f>+'AMI Electric AMA 20 Yr'!K49+'AMI Electric AMA 5 Yr'!K47</f>
        <v>-888468.8527365023</v>
      </c>
      <c r="L44" s="49">
        <f t="shared" si="11"/>
        <v>72558.465563500067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43646</v>
      </c>
      <c r="B45" s="48">
        <f>+'AMI Electric AMA 20 Yr'!B50+'AMI Electric AMA 5 Yr'!B48</f>
        <v>15855390.35</v>
      </c>
      <c r="C45" s="49">
        <f>+'AMI Electric AMA 20 Yr'!C50+'AMI Electric AMA 5 Yr'!C48</f>
        <v>15855390.35</v>
      </c>
      <c r="D45" s="48">
        <f>+'AMI Electric AMA 20 Yr'!D50+'AMI Electric AMA 5 Yr'!D48</f>
        <v>417819.11316679168</v>
      </c>
      <c r="E45" s="49">
        <f>+'AMI Electric AMA 20 Yr'!E50+'AMI Electric AMA 5 Yr'!E48</f>
        <v>72302.610483458324</v>
      </c>
      <c r="F45" s="50">
        <f t="shared" si="6"/>
        <v>-5676230.5431921491</v>
      </c>
      <c r="G45" s="51">
        <f t="shared" si="7"/>
        <v>-1121646.5658600829</v>
      </c>
      <c r="H45" s="48">
        <f t="shared" si="8"/>
        <v>10179159.80680785</v>
      </c>
      <c r="I45" s="49">
        <f t="shared" si="9"/>
        <v>14733743.784139916</v>
      </c>
      <c r="J45" s="52">
        <f t="shared" si="10"/>
        <v>4554583.9773320667</v>
      </c>
      <c r="K45" s="53">
        <f>+'AMI Electric AMA 20 Yr'!K50+'AMI Electric AMA 5 Yr'!K48</f>
        <v>-961027.31830000191</v>
      </c>
      <c r="L45" s="49">
        <f t="shared" si="11"/>
        <v>72558.465563499602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43677</v>
      </c>
      <c r="B46" s="48">
        <f>+'AMI Electric AMA 20 Yr'!B51+'AMI Electric AMA 5 Yr'!B49</f>
        <v>15855390.35</v>
      </c>
      <c r="C46" s="49">
        <f>+'AMI Electric AMA 20 Yr'!C51+'AMI Electric AMA 5 Yr'!C49</f>
        <v>15855390.35</v>
      </c>
      <c r="D46" s="48">
        <f>+'AMI Electric AMA 20 Yr'!D51+'AMI Electric AMA 5 Yr'!D49</f>
        <v>417819.11316679168</v>
      </c>
      <c r="E46" s="49">
        <f>+'AMI Electric AMA 20 Yr'!E51+'AMI Electric AMA 5 Yr'!E49</f>
        <v>72302.610483458324</v>
      </c>
      <c r="F46" s="50">
        <f t="shared" si="6"/>
        <v>-6094049.6563589405</v>
      </c>
      <c r="G46" s="51">
        <f t="shared" si="7"/>
        <v>-1193949.1763435411</v>
      </c>
      <c r="H46" s="48">
        <f t="shared" si="8"/>
        <v>9761340.6936410591</v>
      </c>
      <c r="I46" s="49">
        <f t="shared" si="9"/>
        <v>14661441.173656458</v>
      </c>
      <c r="J46" s="52">
        <f t="shared" si="10"/>
        <v>4900100.4800153989</v>
      </c>
      <c r="K46" s="53">
        <f>+'AMI Electric AMA 20 Yr'!K51+'AMI Electric AMA 5 Yr'!K49</f>
        <v>-1033585.783863502</v>
      </c>
      <c r="L46" s="49">
        <f t="shared" si="11"/>
        <v>72558.465563500067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43708</v>
      </c>
      <c r="B47" s="48">
        <f>+'AMI Electric AMA 20 Yr'!B52+'AMI Electric AMA 5 Yr'!B50</f>
        <v>15855390.35</v>
      </c>
      <c r="C47" s="49">
        <f>+'AMI Electric AMA 20 Yr'!C52+'AMI Electric AMA 5 Yr'!C50</f>
        <v>15855390.35</v>
      </c>
      <c r="D47" s="48">
        <f>+'AMI Electric AMA 20 Yr'!D52+'AMI Electric AMA 5 Yr'!D50</f>
        <v>417819.11316679168</v>
      </c>
      <c r="E47" s="49">
        <f>+'AMI Electric AMA 20 Yr'!E52+'AMI Electric AMA 5 Yr'!E50</f>
        <v>72302.610483458324</v>
      </c>
      <c r="F47" s="50">
        <f t="shared" si="6"/>
        <v>-6511868.7695257319</v>
      </c>
      <c r="G47" s="51">
        <f t="shared" si="7"/>
        <v>-1266251.7868269994</v>
      </c>
      <c r="H47" s="48">
        <f t="shared" si="8"/>
        <v>9343521.5804742686</v>
      </c>
      <c r="I47" s="49">
        <f t="shared" si="9"/>
        <v>14589138.563173</v>
      </c>
      <c r="J47" s="52">
        <f t="shared" si="10"/>
        <v>5245616.9826987311</v>
      </c>
      <c r="K47" s="53">
        <f>+'AMI Electric AMA 20 Yr'!K52+'AMI Electric AMA 5 Yr'!K50</f>
        <v>-1106144.2494270022</v>
      </c>
      <c r="L47" s="49">
        <f t="shared" si="11"/>
        <v>72558.465563500184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43738</v>
      </c>
      <c r="B48" s="48">
        <f>+'AMI Electric AMA 20 Yr'!B53+'AMI Electric AMA 5 Yr'!B51</f>
        <v>15855390.35</v>
      </c>
      <c r="C48" s="49">
        <f>+'AMI Electric AMA 20 Yr'!C53+'AMI Electric AMA 5 Yr'!C51</f>
        <v>15855390.35</v>
      </c>
      <c r="D48" s="48">
        <f>+'AMI Electric AMA 20 Yr'!D53+'AMI Electric AMA 5 Yr'!D51</f>
        <v>417819.11316679168</v>
      </c>
      <c r="E48" s="49">
        <f>+'AMI Electric AMA 20 Yr'!E53+'AMI Electric AMA 5 Yr'!E51</f>
        <v>72302.610483458324</v>
      </c>
      <c r="F48" s="50">
        <f t="shared" si="6"/>
        <v>-6929687.8826925233</v>
      </c>
      <c r="G48" s="51">
        <f t="shared" si="7"/>
        <v>-1338554.3973104577</v>
      </c>
      <c r="H48" s="48">
        <f t="shared" si="8"/>
        <v>8925702.4673074763</v>
      </c>
      <c r="I48" s="49">
        <f t="shared" si="9"/>
        <v>14516835.952689542</v>
      </c>
      <c r="J48" s="52">
        <f t="shared" si="10"/>
        <v>5591133.4853820652</v>
      </c>
      <c r="K48" s="53">
        <f>+'AMI Electric AMA 20 Yr'!K53+'AMI Electric AMA 5 Yr'!K51</f>
        <v>-1178702.714990502</v>
      </c>
      <c r="L48" s="49">
        <f t="shared" si="11"/>
        <v>72558.465563499834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43769</v>
      </c>
      <c r="B49" s="48">
        <f>+'AMI Electric AMA 20 Yr'!B54+'AMI Electric AMA 5 Yr'!B52</f>
        <v>15855390.35</v>
      </c>
      <c r="C49" s="49">
        <f>+'AMI Electric AMA 20 Yr'!C54+'AMI Electric AMA 5 Yr'!C52</f>
        <v>15855390.35</v>
      </c>
      <c r="D49" s="48">
        <f>+'AMI Electric AMA 20 Yr'!D54+'AMI Electric AMA 5 Yr'!D52</f>
        <v>417819.11316679168</v>
      </c>
      <c r="E49" s="49">
        <f>+'AMI Electric AMA 20 Yr'!E54+'AMI Electric AMA 5 Yr'!E52</f>
        <v>72302.610483458324</v>
      </c>
      <c r="F49" s="50">
        <f t="shared" si="6"/>
        <v>-7347506.9958593147</v>
      </c>
      <c r="G49" s="51">
        <f t="shared" si="7"/>
        <v>-1410857.0077939159</v>
      </c>
      <c r="H49" s="48">
        <f t="shared" si="8"/>
        <v>8507883.354140684</v>
      </c>
      <c r="I49" s="49">
        <f t="shared" si="9"/>
        <v>14444533.342206083</v>
      </c>
      <c r="J49" s="52">
        <f t="shared" si="10"/>
        <v>5936649.9880653992</v>
      </c>
      <c r="K49" s="53">
        <f>+'AMI Electric AMA 20 Yr'!K54+'AMI Electric AMA 5 Yr'!K52</f>
        <v>-1251261.1805540021</v>
      </c>
      <c r="L49" s="49">
        <f t="shared" si="11"/>
        <v>72558.465563500067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43799</v>
      </c>
      <c r="B50" s="48">
        <f>+'AMI Electric AMA 20 Yr'!B55+'AMI Electric AMA 5 Yr'!B53</f>
        <v>15855390.35</v>
      </c>
      <c r="C50" s="49">
        <f>+'AMI Electric AMA 20 Yr'!C55+'AMI Electric AMA 5 Yr'!C53</f>
        <v>15855390.35</v>
      </c>
      <c r="D50" s="48">
        <f>+'AMI Electric AMA 20 Yr'!D55+'AMI Electric AMA 5 Yr'!D53</f>
        <v>417819.11316679168</v>
      </c>
      <c r="E50" s="49">
        <f>+'AMI Electric AMA 20 Yr'!E55+'AMI Electric AMA 5 Yr'!E53</f>
        <v>72302.610483458324</v>
      </c>
      <c r="F50" s="50">
        <f t="shared" si="6"/>
        <v>-7765326.1090261061</v>
      </c>
      <c r="G50" s="51">
        <f t="shared" si="7"/>
        <v>-1483159.6182773742</v>
      </c>
      <c r="H50" s="48">
        <f t="shared" si="8"/>
        <v>8090064.2409738936</v>
      </c>
      <c r="I50" s="49">
        <f t="shared" si="9"/>
        <v>14372230.731722625</v>
      </c>
      <c r="J50" s="52">
        <f t="shared" si="10"/>
        <v>6282166.4907487314</v>
      </c>
      <c r="K50" s="53">
        <f>+'AMI Electric AMA 20 Yr'!K55+'AMI Electric AMA 5 Yr'!K53</f>
        <v>-1323819.6461175017</v>
      </c>
      <c r="L50" s="49">
        <f t="shared" si="11"/>
        <v>72558.465563499602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43830</v>
      </c>
      <c r="B51" s="48">
        <f>+'AMI Electric AMA 20 Yr'!B56+'AMI Electric AMA 5 Yr'!B54</f>
        <v>15855390.35</v>
      </c>
      <c r="C51" s="49">
        <f>+'AMI Electric AMA 20 Yr'!C56+'AMI Electric AMA 5 Yr'!C54</f>
        <v>15855390.35</v>
      </c>
      <c r="D51" s="48">
        <f>+'AMI Electric AMA 20 Yr'!D56+'AMI Electric AMA 5 Yr'!D54</f>
        <v>417819.11316679168</v>
      </c>
      <c r="E51" s="49">
        <f>+'AMI Electric AMA 20 Yr'!E56+'AMI Electric AMA 5 Yr'!E54</f>
        <v>72302.610483458324</v>
      </c>
      <c r="F51" s="50">
        <f t="shared" si="6"/>
        <v>-8183145.2221928975</v>
      </c>
      <c r="G51" s="51">
        <f t="shared" si="7"/>
        <v>-1555462.2287608325</v>
      </c>
      <c r="H51" s="48">
        <f t="shared" si="8"/>
        <v>7672245.1278071022</v>
      </c>
      <c r="I51" s="49">
        <f t="shared" si="9"/>
        <v>14299928.121239167</v>
      </c>
      <c r="J51" s="52">
        <f t="shared" si="10"/>
        <v>6627682.9934320645</v>
      </c>
      <c r="K51" s="53">
        <f>+'AMI Electric AMA 20 Yr'!K56+'AMI Electric AMA 5 Yr'!K54</f>
        <v>-1396378.1116810015</v>
      </c>
      <c r="L51" s="49">
        <f t="shared" si="11"/>
        <v>72558.465563499834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43861</v>
      </c>
      <c r="B52" s="48">
        <f>+'AMI Electric AMA 20 Yr'!B57+'AMI Electric AMA 5 Yr'!B55</f>
        <v>15855390.35</v>
      </c>
      <c r="C52" s="49">
        <f>+'AMI Electric AMA 20 Yr'!C57+'AMI Electric AMA 5 Yr'!C55</f>
        <v>15855390.35</v>
      </c>
      <c r="D52" s="48">
        <f>+'AMI Electric AMA 20 Yr'!D57+'AMI Electric AMA 5 Yr'!D55</f>
        <v>251070.15309800833</v>
      </c>
      <c r="E52" s="49">
        <f>+'AMI Electric AMA 20 Yr'!E57+'AMI Electric AMA 5 Yr'!E55</f>
        <v>72302.610483458324</v>
      </c>
      <c r="F52" s="50">
        <f t="shared" si="6"/>
        <v>-8434215.3752909061</v>
      </c>
      <c r="G52" s="51">
        <f t="shared" si="7"/>
        <v>-1627764.8392442907</v>
      </c>
      <c r="H52" s="48">
        <f t="shared" si="8"/>
        <v>7421174.9747090936</v>
      </c>
      <c r="I52" s="49">
        <f t="shared" si="9"/>
        <v>14227625.510755708</v>
      </c>
      <c r="J52" s="52">
        <f t="shared" si="10"/>
        <v>6806450.5360466149</v>
      </c>
      <c r="K52" s="53">
        <f>+'AMI Electric AMA 20 Yr'!K57+'AMI Electric AMA 5 Yr'!K55</f>
        <v>-1433919.2956300571</v>
      </c>
      <c r="L52" s="49">
        <f t="shared" si="11"/>
        <v>37541.183949055616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43890</v>
      </c>
      <c r="B53" s="48">
        <f>+'AMI Electric AMA 20 Yr'!B58+'AMI Electric AMA 5 Yr'!B56</f>
        <v>15855390.35</v>
      </c>
      <c r="C53" s="49">
        <f>+'AMI Electric AMA 20 Yr'!C58+'AMI Electric AMA 5 Yr'!C56</f>
        <v>15855390.35</v>
      </c>
      <c r="D53" s="48">
        <f>+'AMI Electric AMA 20 Yr'!D58+'AMI Electric AMA 5 Yr'!D56</f>
        <v>251070.15309800833</v>
      </c>
      <c r="E53" s="49">
        <f>+'AMI Electric AMA 20 Yr'!E58+'AMI Electric AMA 5 Yr'!E56</f>
        <v>72302.610483458324</v>
      </c>
      <c r="F53" s="50">
        <f t="shared" si="6"/>
        <v>-8685285.5283889137</v>
      </c>
      <c r="G53" s="51">
        <f t="shared" si="7"/>
        <v>-1700067.449727749</v>
      </c>
      <c r="H53" s="48">
        <f t="shared" si="8"/>
        <v>7170104.8216110859</v>
      </c>
      <c r="I53" s="49">
        <f t="shared" si="9"/>
        <v>14155322.90027225</v>
      </c>
      <c r="J53" s="52">
        <f t="shared" si="10"/>
        <v>6985218.0786611643</v>
      </c>
      <c r="K53" s="53">
        <f>+'AMI Electric AMA 20 Yr'!K58+'AMI Electric AMA 5 Yr'!K56</f>
        <v>-1471460.4795791123</v>
      </c>
      <c r="L53" s="49">
        <f t="shared" si="11"/>
        <v>37541.18394905515</v>
      </c>
      <c r="M53" s="55"/>
      <c r="N53" s="54"/>
      <c r="O53" s="54"/>
      <c r="P53" s="54"/>
      <c r="Q53" s="54"/>
      <c r="R53" s="54"/>
      <c r="S53" s="54"/>
      <c r="T53" s="54"/>
    </row>
    <row r="54" spans="1:20" ht="13.8" thickBot="1" x14ac:dyDescent="0.3">
      <c r="A54" s="57"/>
      <c r="B54" s="58"/>
      <c r="C54" s="59"/>
      <c r="D54" s="58"/>
      <c r="E54" s="59"/>
      <c r="F54" s="58"/>
      <c r="G54" s="59"/>
      <c r="H54" s="58"/>
      <c r="I54" s="59"/>
      <c r="J54" s="60"/>
      <c r="K54" s="59"/>
      <c r="L54" s="59"/>
      <c r="M54" s="55"/>
      <c r="N54" s="54"/>
      <c r="O54" s="54"/>
      <c r="P54" s="54"/>
      <c r="Q54" s="54"/>
      <c r="R54" s="54"/>
      <c r="S54" s="54"/>
      <c r="T54" s="54"/>
    </row>
    <row r="55" spans="1:20" ht="13.8" thickBot="1" x14ac:dyDescent="0.3">
      <c r="A55" s="61"/>
      <c r="B55" s="61"/>
      <c r="C55" s="62"/>
      <c r="D55" s="61"/>
      <c r="E55" s="62"/>
      <c r="F55" s="61"/>
      <c r="G55" s="62"/>
      <c r="H55" s="61"/>
      <c r="I55" s="63"/>
      <c r="J55" s="64"/>
      <c r="K55" s="65"/>
      <c r="L55" s="66"/>
      <c r="M55" s="55"/>
      <c r="N55" s="67"/>
      <c r="O55" s="68"/>
      <c r="P55" s="54"/>
      <c r="Q55" s="54"/>
      <c r="R55" s="54"/>
      <c r="S55" s="54"/>
      <c r="T55" s="54"/>
    </row>
    <row r="56" spans="1:20" ht="13.8" thickTop="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4"/>
      <c r="O56" s="54"/>
      <c r="P56" s="54"/>
      <c r="Q56" s="54"/>
      <c r="R56" s="54"/>
      <c r="S56" s="54"/>
      <c r="T56" s="54"/>
    </row>
    <row r="57" spans="1:20" x14ac:dyDescent="0.25">
      <c r="A57" s="54"/>
      <c r="B57" s="54"/>
      <c r="C57" s="69"/>
      <c r="D57" s="54"/>
      <c r="E57" s="54"/>
      <c r="F57" s="70"/>
      <c r="G57" s="69"/>
      <c r="H57" s="54"/>
      <c r="I57" s="69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x14ac:dyDescent="0.25">
      <c r="A59" s="18" t="s">
        <v>43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4.4" x14ac:dyDescent="0.3">
      <c r="A60" s="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6"/>
      <c r="N60" s="6"/>
      <c r="O60" s="6"/>
    </row>
    <row r="61" spans="1:20" ht="14.4" x14ac:dyDescent="0.3">
      <c r="A61" s="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6"/>
      <c r="N61" s="6"/>
      <c r="O61" s="6"/>
      <c r="P61" s="6"/>
    </row>
    <row r="62" spans="1:20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20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W68"/>
  <sheetViews>
    <sheetView zoomScale="110" zoomScaleNormal="110" workbookViewId="0">
      <pane xSplit="1" ySplit="16" topLeftCell="B37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83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 t="s">
        <v>62</v>
      </c>
      <c r="C2" s="12"/>
      <c r="D2" s="13"/>
      <c r="F2" s="14"/>
      <c r="G2" s="15"/>
      <c r="H2" s="15"/>
      <c r="I2" s="16"/>
      <c r="J2" s="5"/>
      <c r="K2" s="5"/>
      <c r="L2" s="82" t="s">
        <v>45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63</v>
      </c>
      <c r="B4" s="72" t="s">
        <v>47</v>
      </c>
      <c r="C4" s="72" t="s">
        <v>48</v>
      </c>
      <c r="D4" s="72" t="s">
        <v>49</v>
      </c>
      <c r="E4" s="72" t="s">
        <v>50</v>
      </c>
      <c r="F4" s="72" t="s">
        <v>56</v>
      </c>
      <c r="G4" s="72" t="s">
        <v>57</v>
      </c>
      <c r="H4" s="72" t="s">
        <v>58</v>
      </c>
      <c r="I4" s="72" t="s">
        <v>59</v>
      </c>
      <c r="J4" s="72" t="s">
        <v>64</v>
      </c>
      <c r="K4" s="72" t="s">
        <v>65</v>
      </c>
      <c r="L4" s="72" t="s">
        <v>66</v>
      </c>
    </row>
    <row r="5" spans="1:23" s="10" customFormat="1" x14ac:dyDescent="0.25">
      <c r="A5" s="74" t="s">
        <v>51</v>
      </c>
      <c r="B5" s="75">
        <v>0.51875000000000004</v>
      </c>
      <c r="C5" s="75">
        <v>3.6095000000000002E-2</v>
      </c>
      <c r="D5" s="75">
        <v>3.3384999999999998E-2</v>
      </c>
      <c r="E5" s="75">
        <v>3.0884999999999999E-2</v>
      </c>
      <c r="F5" s="75">
        <v>2.8565E-2</v>
      </c>
      <c r="G5" s="75">
        <v>2.6425000000000001E-2</v>
      </c>
      <c r="H5" s="83">
        <v>2.444E-2</v>
      </c>
      <c r="I5" s="75">
        <v>2.2610000000000002E-2</v>
      </c>
      <c r="J5" s="75">
        <v>2.231E-2</v>
      </c>
      <c r="K5" s="75">
        <v>2.2305000000000002E-2</v>
      </c>
      <c r="L5" s="75">
        <v>2.231E-2</v>
      </c>
    </row>
    <row r="6" spans="1:23" s="10" customFormat="1" ht="14.4" x14ac:dyDescent="0.3">
      <c r="A6" s="20" t="s">
        <v>52</v>
      </c>
      <c r="B6" s="21">
        <v>3.7499999999999999E-2</v>
      </c>
      <c r="C6" s="21">
        <v>7.2190000000000004E-2</v>
      </c>
      <c r="D6" s="21">
        <v>6.6769999999999996E-2</v>
      </c>
      <c r="E6" s="21">
        <v>6.1769999999999999E-2</v>
      </c>
      <c r="F6" s="21">
        <v>5.713E-2</v>
      </c>
      <c r="G6" s="21">
        <v>5.2850000000000001E-2</v>
      </c>
      <c r="H6" s="21">
        <v>4.888E-2</v>
      </c>
      <c r="I6" s="21">
        <v>4.5220000000000003E-2</v>
      </c>
      <c r="J6" s="22"/>
      <c r="K6" s="6"/>
      <c r="L6" s="6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72" t="s">
        <v>67</v>
      </c>
      <c r="C8" s="72" t="s">
        <v>68</v>
      </c>
      <c r="D8" s="72" t="s">
        <v>69</v>
      </c>
      <c r="E8" s="72" t="s">
        <v>70</v>
      </c>
      <c r="F8" s="72" t="s">
        <v>71</v>
      </c>
      <c r="G8" s="72" t="s">
        <v>72</v>
      </c>
      <c r="H8" s="72" t="s">
        <v>73</v>
      </c>
      <c r="I8" s="72" t="s">
        <v>74</v>
      </c>
      <c r="J8" s="72" t="s">
        <v>75</v>
      </c>
      <c r="K8" s="72" t="s">
        <v>76</v>
      </c>
      <c r="L8" s="72" t="s">
        <v>77</v>
      </c>
      <c r="M8" s="6"/>
      <c r="N8" s="6"/>
      <c r="O8" s="6"/>
      <c r="P8" s="6"/>
    </row>
    <row r="9" spans="1:23" s="10" customFormat="1" ht="14.4" x14ac:dyDescent="0.3">
      <c r="A9" s="20"/>
      <c r="B9" s="75">
        <v>2.2305000000000002E-2</v>
      </c>
      <c r="C9" s="75">
        <v>2.231E-2</v>
      </c>
      <c r="D9" s="83">
        <v>2.2305000000000002E-2</v>
      </c>
      <c r="E9" s="75">
        <v>2.231E-2</v>
      </c>
      <c r="F9" s="75">
        <v>2.2305000000000002E-2</v>
      </c>
      <c r="G9" s="75">
        <v>2.231E-2</v>
      </c>
      <c r="H9" s="75">
        <v>2.2305000000000002E-2</v>
      </c>
      <c r="I9" s="75">
        <v>2.231E-2</v>
      </c>
      <c r="J9" s="75">
        <v>2.2305000000000002E-2</v>
      </c>
      <c r="K9" s="75">
        <v>1.1155E-2</v>
      </c>
      <c r="L9" s="83">
        <f>SUM(B5:P5,B9:K9)</f>
        <v>1.0000000000000004</v>
      </c>
      <c r="M9" s="6"/>
      <c r="N9" s="6"/>
      <c r="O9" s="84"/>
      <c r="P9" s="6"/>
    </row>
    <row r="10" spans="1:23" s="10" customFormat="1" ht="14.4" x14ac:dyDescent="0.3">
      <c r="A10" s="20"/>
      <c r="B10" s="6"/>
      <c r="C10" s="6"/>
      <c r="D10" s="6"/>
      <c r="E10" s="6"/>
      <c r="I10" s="23"/>
      <c r="J10" s="23"/>
      <c r="K10" s="6"/>
      <c r="L10" s="6"/>
      <c r="M10" s="6"/>
      <c r="N10" s="6"/>
      <c r="O10" s="23"/>
      <c r="P10" s="23"/>
      <c r="Q10" s="23"/>
      <c r="R10" s="23"/>
      <c r="S10" s="23"/>
      <c r="T10" s="23"/>
      <c r="U10" s="23"/>
      <c r="V10" s="23"/>
      <c r="W10" s="24"/>
    </row>
    <row r="11" spans="1:23" ht="5.0999999999999996" customHeight="1" thickBot="1" x14ac:dyDescent="0.3"/>
    <row r="12" spans="1:23" x14ac:dyDescent="0.25">
      <c r="A12" s="25" t="s">
        <v>13</v>
      </c>
      <c r="B12" s="26" t="s">
        <v>14</v>
      </c>
      <c r="C12" s="27"/>
      <c r="D12" s="26" t="s">
        <v>15</v>
      </c>
      <c r="E12" s="27"/>
      <c r="F12" s="26" t="s">
        <v>16</v>
      </c>
      <c r="G12" s="27"/>
      <c r="H12" s="26" t="s">
        <v>17</v>
      </c>
      <c r="I12" s="27"/>
      <c r="J12" s="28" t="s">
        <v>18</v>
      </c>
      <c r="K12" s="29" t="s">
        <v>19</v>
      </c>
      <c r="L12" s="29" t="s">
        <v>20</v>
      </c>
    </row>
    <row r="13" spans="1:23" x14ac:dyDescent="0.25">
      <c r="A13" s="30"/>
      <c r="B13" s="31"/>
      <c r="C13" s="32"/>
      <c r="D13" s="33"/>
      <c r="E13" s="34"/>
      <c r="F13" s="33"/>
      <c r="G13" s="32"/>
      <c r="H13" s="31"/>
      <c r="I13" s="35"/>
      <c r="J13" s="36"/>
      <c r="K13" s="37"/>
      <c r="L13" s="37" t="s">
        <v>21</v>
      </c>
    </row>
    <row r="14" spans="1:23" x14ac:dyDescent="0.25">
      <c r="A14" s="38"/>
      <c r="B14" s="39" t="s">
        <v>22</v>
      </c>
      <c r="C14" s="35" t="s">
        <v>23</v>
      </c>
      <c r="D14" s="39" t="s">
        <v>24</v>
      </c>
      <c r="E14" s="35" t="s">
        <v>25</v>
      </c>
      <c r="F14" s="39" t="s">
        <v>22</v>
      </c>
      <c r="G14" s="35" t="s">
        <v>23</v>
      </c>
      <c r="H14" s="39" t="s">
        <v>22</v>
      </c>
      <c r="I14" s="35" t="s">
        <v>26</v>
      </c>
      <c r="J14" s="36" t="s">
        <v>27</v>
      </c>
      <c r="K14" s="40">
        <v>0.35</v>
      </c>
      <c r="L14" s="37" t="s">
        <v>28</v>
      </c>
    </row>
    <row r="15" spans="1:23" x14ac:dyDescent="0.25">
      <c r="A15" s="38"/>
      <c r="B15" s="39"/>
      <c r="C15" s="35"/>
      <c r="D15" s="39" t="s">
        <v>29</v>
      </c>
      <c r="E15" s="35" t="s">
        <v>30</v>
      </c>
      <c r="F15" s="39" t="s">
        <v>31</v>
      </c>
      <c r="G15" s="35" t="s">
        <v>32</v>
      </c>
      <c r="H15" s="39"/>
      <c r="I15" s="35"/>
      <c r="J15" s="36" t="s">
        <v>27</v>
      </c>
      <c r="K15" s="40">
        <v>0.21</v>
      </c>
      <c r="L15" s="37" t="s">
        <v>33</v>
      </c>
    </row>
    <row r="16" spans="1:23" x14ac:dyDescent="0.25">
      <c r="A16" s="41"/>
      <c r="B16" s="42" t="s">
        <v>34</v>
      </c>
      <c r="C16" s="43" t="s">
        <v>35</v>
      </c>
      <c r="D16" s="42"/>
      <c r="E16" s="43"/>
      <c r="F16" s="42" t="s">
        <v>36</v>
      </c>
      <c r="G16" s="43" t="s">
        <v>37</v>
      </c>
      <c r="H16" s="42" t="s">
        <v>38</v>
      </c>
      <c r="I16" s="43" t="s">
        <v>39</v>
      </c>
      <c r="J16" s="44" t="s">
        <v>40</v>
      </c>
      <c r="K16" s="45" t="s">
        <v>41</v>
      </c>
      <c r="L16" s="46" t="s">
        <v>42</v>
      </c>
    </row>
    <row r="17" spans="1:20" outlineLevel="1" x14ac:dyDescent="0.25">
      <c r="A17" s="47"/>
      <c r="B17" s="48"/>
      <c r="C17" s="49"/>
      <c r="D17" s="48"/>
      <c r="E17" s="49"/>
      <c r="F17" s="50"/>
      <c r="G17" s="51"/>
      <c r="H17" s="48"/>
      <c r="I17" s="49"/>
      <c r="J17" s="52"/>
      <c r="K17" s="53"/>
      <c r="L17" s="49"/>
    </row>
    <row r="18" spans="1:20" outlineLevel="1" x14ac:dyDescent="0.25">
      <c r="A18" s="47">
        <v>42674</v>
      </c>
      <c r="B18" s="48">
        <f t="shared" ref="B18:B26" si="0">C18</f>
        <v>0</v>
      </c>
      <c r="C18" s="49">
        <v>0</v>
      </c>
      <c r="D18" s="48"/>
      <c r="E18" s="49">
        <v>0</v>
      </c>
      <c r="F18" s="50">
        <f>+F17-D18</f>
        <v>0</v>
      </c>
      <c r="G18" s="51">
        <f t="shared" ref="G18:G33" si="1">+G17-E18</f>
        <v>0</v>
      </c>
      <c r="H18" s="48">
        <f>B18+F18</f>
        <v>0</v>
      </c>
      <c r="I18" s="49">
        <f t="shared" ref="H18:I33" si="2">C18+G18</f>
        <v>0</v>
      </c>
      <c r="J18" s="52">
        <f>I18-H18</f>
        <v>0</v>
      </c>
      <c r="K18" s="85">
        <f>(-(J18-J17)*$K$14)+K17</f>
        <v>0</v>
      </c>
      <c r="L18" s="49">
        <f t="shared" ref="L18:L38" si="3">-K18+K17</f>
        <v>0</v>
      </c>
    </row>
    <row r="19" spans="1:20" outlineLevel="1" x14ac:dyDescent="0.25">
      <c r="A19" s="47">
        <v>42704</v>
      </c>
      <c r="B19" s="48">
        <f t="shared" si="0"/>
        <v>0</v>
      </c>
      <c r="C19" s="49">
        <v>0</v>
      </c>
      <c r="D19" s="48"/>
      <c r="E19" s="49">
        <v>0</v>
      </c>
      <c r="F19" s="50">
        <f t="shared" ref="F19:G34" si="4">+F18-D19</f>
        <v>0</v>
      </c>
      <c r="G19" s="51">
        <f t="shared" si="1"/>
        <v>0</v>
      </c>
      <c r="H19" s="48">
        <f t="shared" si="2"/>
        <v>0</v>
      </c>
      <c r="I19" s="49">
        <f t="shared" si="2"/>
        <v>0</v>
      </c>
      <c r="J19" s="52">
        <f t="shared" ref="J19:J38" si="5">I19-H19</f>
        <v>0</v>
      </c>
      <c r="K19" s="53">
        <f t="shared" ref="K19:K32" si="6">(-(J19-J18)*$K$14)+K18</f>
        <v>0</v>
      </c>
      <c r="L19" s="49">
        <f t="shared" si="3"/>
        <v>0</v>
      </c>
    </row>
    <row r="20" spans="1:20" outlineLevel="1" x14ac:dyDescent="0.25">
      <c r="A20" s="47">
        <v>42735</v>
      </c>
      <c r="B20" s="48">
        <f t="shared" si="0"/>
        <v>0</v>
      </c>
      <c r="C20" s="49">
        <v>0</v>
      </c>
      <c r="D20" s="48"/>
      <c r="E20" s="49">
        <v>0</v>
      </c>
      <c r="F20" s="50">
        <f t="shared" si="4"/>
        <v>0</v>
      </c>
      <c r="G20" s="51">
        <f t="shared" si="1"/>
        <v>0</v>
      </c>
      <c r="H20" s="48">
        <f t="shared" si="2"/>
        <v>0</v>
      </c>
      <c r="I20" s="49">
        <f t="shared" si="2"/>
        <v>0</v>
      </c>
      <c r="J20" s="52">
        <f t="shared" si="5"/>
        <v>0</v>
      </c>
      <c r="K20" s="53">
        <f t="shared" si="6"/>
        <v>0</v>
      </c>
      <c r="L20" s="49">
        <f t="shared" si="3"/>
        <v>0</v>
      </c>
    </row>
    <row r="21" spans="1:20" outlineLevel="1" x14ac:dyDescent="0.25">
      <c r="A21" s="47">
        <v>42766</v>
      </c>
      <c r="B21" s="48">
        <f t="shared" si="0"/>
        <v>0</v>
      </c>
      <c r="C21" s="49">
        <v>0</v>
      </c>
      <c r="D21" s="48"/>
      <c r="E21" s="49">
        <v>0</v>
      </c>
      <c r="F21" s="50">
        <f t="shared" si="4"/>
        <v>0</v>
      </c>
      <c r="G21" s="51">
        <f t="shared" si="1"/>
        <v>0</v>
      </c>
      <c r="H21" s="48">
        <f t="shared" si="2"/>
        <v>0</v>
      </c>
      <c r="I21" s="49">
        <f t="shared" si="2"/>
        <v>0</v>
      </c>
      <c r="J21" s="52">
        <f t="shared" si="5"/>
        <v>0</v>
      </c>
      <c r="K21" s="53">
        <f>(-(J21-J20)*$K$14)+K20</f>
        <v>0</v>
      </c>
      <c r="L21" s="49">
        <f t="shared" si="3"/>
        <v>0</v>
      </c>
    </row>
    <row r="22" spans="1:20" outlineLevel="1" x14ac:dyDescent="0.25">
      <c r="A22" s="47">
        <v>42794</v>
      </c>
      <c r="B22" s="48">
        <f t="shared" si="0"/>
        <v>5154.54</v>
      </c>
      <c r="C22" s="49">
        <v>5154.54</v>
      </c>
      <c r="D22" s="48">
        <f>+($B$32*$B$5/11)</f>
        <v>955.59031818181859</v>
      </c>
      <c r="E22" s="49">
        <v>6.0780617499999998</v>
      </c>
      <c r="F22" s="50">
        <f t="shared" si="4"/>
        <v>-955.59031818181859</v>
      </c>
      <c r="G22" s="51">
        <f t="shared" si="1"/>
        <v>-6.0780617499999998</v>
      </c>
      <c r="H22" s="48">
        <f t="shared" si="2"/>
        <v>4198.9496818181815</v>
      </c>
      <c r="I22" s="49">
        <f t="shared" si="2"/>
        <v>5148.4619382499995</v>
      </c>
      <c r="J22" s="52">
        <f t="shared" si="5"/>
        <v>949.51225643181806</v>
      </c>
      <c r="K22" s="53">
        <f t="shared" si="6"/>
        <v>-332.32928975113629</v>
      </c>
      <c r="L22" s="49">
        <f t="shared" si="3"/>
        <v>332.32928975113629</v>
      </c>
    </row>
    <row r="23" spans="1:20" outlineLevel="1" x14ac:dyDescent="0.25">
      <c r="A23" s="47">
        <v>42825</v>
      </c>
      <c r="B23" s="48">
        <f t="shared" si="0"/>
        <v>9842.33</v>
      </c>
      <c r="C23" s="49">
        <v>9842.33</v>
      </c>
      <c r="D23" s="48">
        <f t="shared" ref="D23:D32" si="7">+($B$32*$B$5/11)</f>
        <v>955.59031818181859</v>
      </c>
      <c r="E23" s="49">
        <v>17.683809208333333</v>
      </c>
      <c r="F23" s="50">
        <f t="shared" si="4"/>
        <v>-1911.1806363636372</v>
      </c>
      <c r="G23" s="51">
        <f t="shared" si="1"/>
        <v>-23.761870958333333</v>
      </c>
      <c r="H23" s="48">
        <f t="shared" si="2"/>
        <v>7931.149363636363</v>
      </c>
      <c r="I23" s="49">
        <f t="shared" si="2"/>
        <v>9818.5681290416669</v>
      </c>
      <c r="J23" s="52">
        <f t="shared" si="5"/>
        <v>1887.4187654053039</v>
      </c>
      <c r="K23" s="53">
        <f t="shared" si="6"/>
        <v>-660.59656789185624</v>
      </c>
      <c r="L23" s="49">
        <f t="shared" si="3"/>
        <v>328.26727814071995</v>
      </c>
    </row>
    <row r="24" spans="1:20" outlineLevel="1" x14ac:dyDescent="0.25">
      <c r="A24" s="47">
        <v>42855</v>
      </c>
      <c r="B24" s="48">
        <f t="shared" si="0"/>
        <v>12405.130000000001</v>
      </c>
      <c r="C24" s="49">
        <v>12405.130000000001</v>
      </c>
      <c r="D24" s="48">
        <f t="shared" si="7"/>
        <v>955.59031818181859</v>
      </c>
      <c r="E24" s="49">
        <v>26.23346325</v>
      </c>
      <c r="F24" s="50">
        <f t="shared" si="4"/>
        <v>-2866.7709545454559</v>
      </c>
      <c r="G24" s="51">
        <f t="shared" si="1"/>
        <v>-49.995334208333333</v>
      </c>
      <c r="H24" s="48">
        <f t="shared" si="2"/>
        <v>9538.3590454545447</v>
      </c>
      <c r="I24" s="49">
        <f t="shared" si="2"/>
        <v>12355.134665791667</v>
      </c>
      <c r="J24" s="52">
        <f t="shared" si="5"/>
        <v>2816.7756203371227</v>
      </c>
      <c r="K24" s="53">
        <f t="shared" si="6"/>
        <v>-985.87146711799278</v>
      </c>
      <c r="L24" s="49">
        <f t="shared" si="3"/>
        <v>325.27489922613654</v>
      </c>
    </row>
    <row r="25" spans="1:20" outlineLevel="1" x14ac:dyDescent="0.25">
      <c r="A25" s="47">
        <v>42886</v>
      </c>
      <c r="B25" s="48">
        <f t="shared" si="0"/>
        <v>13214.990000000002</v>
      </c>
      <c r="C25" s="49">
        <v>13214.990000000002</v>
      </c>
      <c r="D25" s="48">
        <f t="shared" si="7"/>
        <v>955.59031818181859</v>
      </c>
      <c r="E25" s="49">
        <v>30.2103915</v>
      </c>
      <c r="F25" s="50">
        <f t="shared" si="4"/>
        <v>-3822.3612727272744</v>
      </c>
      <c r="G25" s="51">
        <f t="shared" si="1"/>
        <v>-80.205725708333333</v>
      </c>
      <c r="H25" s="48">
        <f t="shared" si="2"/>
        <v>9392.6287272727277</v>
      </c>
      <c r="I25" s="49">
        <f t="shared" si="2"/>
        <v>13134.784274291669</v>
      </c>
      <c r="J25" s="52">
        <f t="shared" si="5"/>
        <v>3742.1555470189414</v>
      </c>
      <c r="K25" s="53">
        <f t="shared" si="6"/>
        <v>-1309.7544414566294</v>
      </c>
      <c r="L25" s="49">
        <f t="shared" si="3"/>
        <v>323.88297433863659</v>
      </c>
    </row>
    <row r="26" spans="1:20" outlineLevel="1" x14ac:dyDescent="0.25">
      <c r="A26" s="47">
        <v>42916</v>
      </c>
      <c r="B26" s="48">
        <f t="shared" si="0"/>
        <v>13347.520000000002</v>
      </c>
      <c r="C26" s="49">
        <v>13347.520000000002</v>
      </c>
      <c r="D26" s="48">
        <f t="shared" si="7"/>
        <v>955.59031818181859</v>
      </c>
      <c r="E26" s="49">
        <v>31.321626375000001</v>
      </c>
      <c r="F26" s="50">
        <f t="shared" si="4"/>
        <v>-4777.9515909090933</v>
      </c>
      <c r="G26" s="51">
        <f t="shared" si="1"/>
        <v>-111.52735208333334</v>
      </c>
      <c r="H26" s="48">
        <f t="shared" si="2"/>
        <v>8569.568409090909</v>
      </c>
      <c r="I26" s="49">
        <f t="shared" si="2"/>
        <v>13235.99264791667</v>
      </c>
      <c r="J26" s="52">
        <f t="shared" si="5"/>
        <v>4666.4242388257608</v>
      </c>
      <c r="K26" s="53">
        <f t="shared" si="6"/>
        <v>-1633.2484835890161</v>
      </c>
      <c r="L26" s="49">
        <f t="shared" si="3"/>
        <v>323.49404213238677</v>
      </c>
    </row>
    <row r="27" spans="1:20" x14ac:dyDescent="0.25">
      <c r="A27" s="47">
        <v>42947</v>
      </c>
      <c r="B27" s="48">
        <f>C27</f>
        <v>13347.520000000002</v>
      </c>
      <c r="C27" s="49">
        <v>13347.520000000002</v>
      </c>
      <c r="D27" s="48">
        <f t="shared" si="7"/>
        <v>955.59031818181859</v>
      </c>
      <c r="E27" s="49">
        <v>31.477901333333335</v>
      </c>
      <c r="F27" s="50">
        <f t="shared" si="4"/>
        <v>-5733.5419090909118</v>
      </c>
      <c r="G27" s="51">
        <f t="shared" si="1"/>
        <v>-143.00525341666668</v>
      </c>
      <c r="H27" s="48">
        <f t="shared" si="2"/>
        <v>7613.9780909090905</v>
      </c>
      <c r="I27" s="49">
        <f t="shared" si="2"/>
        <v>13204.514746583336</v>
      </c>
      <c r="J27" s="52">
        <f t="shared" si="5"/>
        <v>5590.5366556742456</v>
      </c>
      <c r="K27" s="53">
        <f t="shared" si="6"/>
        <v>-1956.6878294859857</v>
      </c>
      <c r="L27" s="49">
        <f t="shared" si="3"/>
        <v>323.4393458969696</v>
      </c>
    </row>
    <row r="28" spans="1:20" x14ac:dyDescent="0.25">
      <c r="A28" s="47">
        <v>42978</v>
      </c>
      <c r="B28" s="48">
        <f t="shared" ref="B28:B38" si="8">C28</f>
        <v>13347.520000000002</v>
      </c>
      <c r="C28" s="49">
        <v>13347.520000000002</v>
      </c>
      <c r="D28" s="48">
        <f t="shared" si="7"/>
        <v>955.59031818181859</v>
      </c>
      <c r="E28" s="49">
        <v>31.477901333333335</v>
      </c>
      <c r="F28" s="50">
        <f t="shared" si="4"/>
        <v>-6689.1322272727302</v>
      </c>
      <c r="G28" s="51">
        <f t="shared" si="1"/>
        <v>-174.48315475000001</v>
      </c>
      <c r="H28" s="48">
        <f t="shared" si="2"/>
        <v>6658.387772727272</v>
      </c>
      <c r="I28" s="49">
        <f t="shared" si="2"/>
        <v>13173.036845250002</v>
      </c>
      <c r="J28" s="52">
        <f t="shared" si="5"/>
        <v>6514.6490725227304</v>
      </c>
      <c r="K28" s="53">
        <f t="shared" si="6"/>
        <v>-2280.1271753829556</v>
      </c>
      <c r="L28" s="49">
        <f t="shared" si="3"/>
        <v>323.43934589696983</v>
      </c>
    </row>
    <row r="29" spans="1:20" ht="14.4" x14ac:dyDescent="0.3">
      <c r="A29" s="47">
        <v>43008</v>
      </c>
      <c r="B29" s="48">
        <f t="shared" si="8"/>
        <v>13347.520000000002</v>
      </c>
      <c r="C29" s="49">
        <v>13347.520000000002</v>
      </c>
      <c r="D29" s="48">
        <f t="shared" si="7"/>
        <v>955.59031818181859</v>
      </c>
      <c r="E29" s="49">
        <v>31.477901333333335</v>
      </c>
      <c r="F29" s="50">
        <f t="shared" si="4"/>
        <v>-7644.7225454545487</v>
      </c>
      <c r="G29" s="51">
        <f t="shared" si="1"/>
        <v>-205.96105608333335</v>
      </c>
      <c r="H29" s="48">
        <f t="shared" si="2"/>
        <v>5702.7974545454535</v>
      </c>
      <c r="I29" s="49">
        <f t="shared" si="2"/>
        <v>13141.558943916669</v>
      </c>
      <c r="J29" s="52">
        <f t="shared" si="5"/>
        <v>7438.7614893712152</v>
      </c>
      <c r="K29" s="53">
        <f t="shared" si="6"/>
        <v>-2603.5665212799254</v>
      </c>
      <c r="L29" s="49">
        <f t="shared" si="3"/>
        <v>323.43934589696983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43039</v>
      </c>
      <c r="B30" s="48">
        <f t="shared" si="8"/>
        <v>14045.040000000003</v>
      </c>
      <c r="C30" s="49">
        <v>14045.040000000003</v>
      </c>
      <c r="D30" s="48">
        <f t="shared" si="7"/>
        <v>955.59031818181859</v>
      </c>
      <c r="E30" s="49">
        <v>32.300393666666672</v>
      </c>
      <c r="F30" s="50">
        <f t="shared" si="4"/>
        <v>-8600.3128636363672</v>
      </c>
      <c r="G30" s="51">
        <f t="shared" si="1"/>
        <v>-238.26144975000003</v>
      </c>
      <c r="H30" s="48">
        <f t="shared" si="2"/>
        <v>5444.7271363636355</v>
      </c>
      <c r="I30" s="49">
        <f t="shared" si="2"/>
        <v>13806.778550250003</v>
      </c>
      <c r="J30" s="52">
        <f t="shared" si="5"/>
        <v>8362.0514138863673</v>
      </c>
      <c r="K30" s="53">
        <f t="shared" si="6"/>
        <v>-2926.7179948602288</v>
      </c>
      <c r="L30" s="49">
        <f t="shared" si="3"/>
        <v>323.15147358030345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43069</v>
      </c>
      <c r="B31" s="48">
        <f t="shared" si="8"/>
        <v>18873.370000000003</v>
      </c>
      <c r="C31" s="49">
        <v>18873.370000000003</v>
      </c>
      <c r="D31" s="48">
        <f t="shared" si="7"/>
        <v>955.59031818181859</v>
      </c>
      <c r="E31" s="49">
        <v>38.430702333333336</v>
      </c>
      <c r="F31" s="50">
        <f t="shared" si="4"/>
        <v>-9555.9031818181866</v>
      </c>
      <c r="G31" s="51">
        <f t="shared" si="1"/>
        <v>-276.69215208333338</v>
      </c>
      <c r="H31" s="48">
        <f t="shared" si="2"/>
        <v>9317.4668181818161</v>
      </c>
      <c r="I31" s="49">
        <f t="shared" si="2"/>
        <v>18596.677847916668</v>
      </c>
      <c r="J31" s="52">
        <f t="shared" si="5"/>
        <v>9279.2110297348518</v>
      </c>
      <c r="K31" s="53">
        <f t="shared" si="6"/>
        <v>-3247.7238604071981</v>
      </c>
      <c r="L31" s="49">
        <f t="shared" si="3"/>
        <v>321.00586554696929</v>
      </c>
      <c r="M31" s="6"/>
      <c r="N31" s="54"/>
      <c r="O31" s="54"/>
      <c r="P31" s="54"/>
      <c r="Q31" s="54"/>
      <c r="R31" s="54"/>
      <c r="S31" s="54"/>
      <c r="T31" s="54"/>
    </row>
    <row r="32" spans="1:20" ht="14.4" x14ac:dyDescent="0.3">
      <c r="A32" s="47">
        <v>43100</v>
      </c>
      <c r="B32" s="48">
        <f t="shared" si="8"/>
        <v>20263.120000000006</v>
      </c>
      <c r="C32" s="49">
        <v>20263.120000000006</v>
      </c>
      <c r="D32" s="48">
        <f t="shared" si="7"/>
        <v>955.59031818181859</v>
      </c>
      <c r="E32" s="49">
        <v>49.961929333333337</v>
      </c>
      <c r="F32" s="50">
        <f t="shared" si="4"/>
        <v>-10511.493500000006</v>
      </c>
      <c r="G32" s="51">
        <f t="shared" si="1"/>
        <v>-326.65408141666671</v>
      </c>
      <c r="H32" s="48">
        <f t="shared" si="2"/>
        <v>9751.6265000000003</v>
      </c>
      <c r="I32" s="49">
        <f t="shared" si="2"/>
        <v>19936.465918583341</v>
      </c>
      <c r="J32" s="52">
        <f t="shared" si="5"/>
        <v>10184.83941858334</v>
      </c>
      <c r="K32" s="53">
        <f t="shared" si="6"/>
        <v>-3564.6937965041689</v>
      </c>
      <c r="L32" s="49">
        <f t="shared" si="3"/>
        <v>316.96993609697074</v>
      </c>
      <c r="M32" s="6"/>
      <c r="N32" s="54"/>
      <c r="O32" s="54"/>
      <c r="P32" s="54"/>
      <c r="Q32" s="54"/>
      <c r="R32" s="54"/>
      <c r="S32" s="54"/>
      <c r="T32" s="54"/>
    </row>
    <row r="33" spans="1:20" ht="14.4" x14ac:dyDescent="0.3">
      <c r="A33" s="47">
        <v>43131</v>
      </c>
      <c r="B33" s="48">
        <f t="shared" si="8"/>
        <v>78402.98</v>
      </c>
      <c r="C33" s="49">
        <v>78402.98</v>
      </c>
      <c r="D33" s="140">
        <f>+((($B$44-$B$32)*$B$6/12)+($B$32*$C$5/12))</f>
        <v>637.06655761666661</v>
      </c>
      <c r="E33" s="49">
        <v>141.65776929166668</v>
      </c>
      <c r="F33" s="50">
        <f t="shared" si="4"/>
        <v>-11148.560057616673</v>
      </c>
      <c r="G33" s="51">
        <f t="shared" si="1"/>
        <v>-468.3118507083334</v>
      </c>
      <c r="H33" s="48">
        <f t="shared" si="2"/>
        <v>67254.41994238332</v>
      </c>
      <c r="I33" s="49">
        <f t="shared" si="2"/>
        <v>77934.668149291669</v>
      </c>
      <c r="J33" s="52">
        <f t="shared" si="5"/>
        <v>10680.248206908349</v>
      </c>
      <c r="K33" s="53">
        <f>(-(J33-J32)*$K$15)+K32</f>
        <v>-3668.7296420524208</v>
      </c>
      <c r="L33" s="49">
        <f t="shared" si="3"/>
        <v>104.03584554825193</v>
      </c>
      <c r="M33" s="6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43159</v>
      </c>
      <c r="B34" s="48">
        <f t="shared" si="8"/>
        <v>92140.57</v>
      </c>
      <c r="C34" s="49">
        <v>92140.57</v>
      </c>
      <c r="D34" s="140">
        <f t="shared" ref="D34:D44" si="9">+((($B$44-$B$32)*$B$6/12)+($B$32*$C$5/12))</f>
        <v>637.06655761666661</v>
      </c>
      <c r="E34" s="49">
        <v>246.6989259583334</v>
      </c>
      <c r="F34" s="50">
        <f t="shared" si="4"/>
        <v>-11785.626615233339</v>
      </c>
      <c r="G34" s="51">
        <f t="shared" si="4"/>
        <v>-715.01077666666674</v>
      </c>
      <c r="H34" s="48">
        <f t="shared" ref="H34:I38" si="10">B34+F34</f>
        <v>80354.943384766666</v>
      </c>
      <c r="I34" s="49">
        <f t="shared" si="10"/>
        <v>91425.559223333345</v>
      </c>
      <c r="J34" s="52">
        <f t="shared" si="5"/>
        <v>11070.615838566679</v>
      </c>
      <c r="K34" s="53">
        <f t="shared" ref="K34:K38" si="11">(-(J34-J33)*$K$15)+K33</f>
        <v>-3750.70684470067</v>
      </c>
      <c r="L34" s="49">
        <f t="shared" si="3"/>
        <v>81.977202648249204</v>
      </c>
      <c r="M34" s="55"/>
      <c r="N34" s="54"/>
      <c r="O34" s="54"/>
      <c r="P34" s="54"/>
      <c r="Q34" s="54"/>
      <c r="R34" s="54"/>
      <c r="S34" s="54"/>
      <c r="T34" s="54"/>
    </row>
    <row r="35" spans="1:20" x14ac:dyDescent="0.25">
      <c r="A35" s="47">
        <v>43190</v>
      </c>
      <c r="B35" s="48">
        <f t="shared" si="8"/>
        <v>101082.25</v>
      </c>
      <c r="C35" s="49">
        <v>101082.25</v>
      </c>
      <c r="D35" s="140">
        <f t="shared" si="9"/>
        <v>637.06655761666661</v>
      </c>
      <c r="E35" s="49">
        <v>282.16115987500001</v>
      </c>
      <c r="F35" s="50">
        <f t="shared" ref="F35:G38" si="12">+F34-D35</f>
        <v>-12422.693172850006</v>
      </c>
      <c r="G35" s="51">
        <f t="shared" si="12"/>
        <v>-997.17193654166681</v>
      </c>
      <c r="H35" s="48">
        <f t="shared" si="10"/>
        <v>88659.556827149994</v>
      </c>
      <c r="I35" s="49">
        <f t="shared" si="10"/>
        <v>100085.07806345834</v>
      </c>
      <c r="J35" s="52">
        <f t="shared" si="5"/>
        <v>11425.521236308341</v>
      </c>
      <c r="K35" s="53">
        <f t="shared" si="11"/>
        <v>-3825.2369782264191</v>
      </c>
      <c r="L35" s="49">
        <f t="shared" si="3"/>
        <v>74.530133525749079</v>
      </c>
      <c r="M35" s="55"/>
      <c r="N35" s="54"/>
      <c r="O35" s="54"/>
      <c r="P35" s="54"/>
      <c r="Q35" s="54"/>
      <c r="R35" s="54"/>
      <c r="S35" s="54"/>
      <c r="T35" s="54"/>
    </row>
    <row r="36" spans="1:20" x14ac:dyDescent="0.25">
      <c r="A36" s="47">
        <v>43220</v>
      </c>
      <c r="B36" s="48">
        <f t="shared" si="8"/>
        <v>145002.99</v>
      </c>
      <c r="C36" s="49">
        <v>145002.99</v>
      </c>
      <c r="D36" s="140">
        <f t="shared" si="9"/>
        <v>637.06655761666661</v>
      </c>
      <c r="E36" s="49">
        <v>364.48772674999998</v>
      </c>
      <c r="F36" s="50">
        <f t="shared" si="12"/>
        <v>-13059.759730466672</v>
      </c>
      <c r="G36" s="51">
        <f t="shared" si="12"/>
        <v>-1361.6596632916667</v>
      </c>
      <c r="H36" s="48">
        <f t="shared" si="10"/>
        <v>131943.23026953332</v>
      </c>
      <c r="I36" s="49">
        <f t="shared" si="10"/>
        <v>143641.33033670831</v>
      </c>
      <c r="J36" s="52">
        <f t="shared" si="5"/>
        <v>11698.100067174993</v>
      </c>
      <c r="K36" s="53">
        <f t="shared" si="11"/>
        <v>-3882.478532708416</v>
      </c>
      <c r="L36" s="49">
        <f t="shared" si="3"/>
        <v>57.2415544819969</v>
      </c>
      <c r="M36" s="55"/>
      <c r="N36" s="56"/>
      <c r="O36" s="54"/>
      <c r="P36" s="54"/>
      <c r="Q36" s="54"/>
      <c r="R36" s="54"/>
      <c r="S36" s="54"/>
      <c r="T36" s="54"/>
    </row>
    <row r="37" spans="1:20" x14ac:dyDescent="0.25">
      <c r="A37" s="47">
        <v>43251</v>
      </c>
      <c r="B37" s="48">
        <f t="shared" si="8"/>
        <v>171402.88</v>
      </c>
      <c r="C37" s="49">
        <v>171402.88</v>
      </c>
      <c r="D37" s="140">
        <f t="shared" si="9"/>
        <v>637.06655761666661</v>
      </c>
      <c r="E37" s="49">
        <v>474.23532850000004</v>
      </c>
      <c r="F37" s="50">
        <f t="shared" si="12"/>
        <v>-13696.826288083339</v>
      </c>
      <c r="G37" s="51">
        <f t="shared" si="12"/>
        <v>-1835.8949917916666</v>
      </c>
      <c r="H37" s="48">
        <f t="shared" si="10"/>
        <v>157706.05371191667</v>
      </c>
      <c r="I37" s="49">
        <f t="shared" si="10"/>
        <v>169566.98500820834</v>
      </c>
      <c r="J37" s="52">
        <f t="shared" si="5"/>
        <v>11860.931296291674</v>
      </c>
      <c r="K37" s="53">
        <f t="shared" si="11"/>
        <v>-3916.6730908229188</v>
      </c>
      <c r="L37" s="49">
        <f t="shared" si="3"/>
        <v>34.194558114502797</v>
      </c>
      <c r="M37" s="55"/>
      <c r="N37" s="54"/>
      <c r="O37" s="54"/>
      <c r="P37" s="54"/>
      <c r="Q37" s="54"/>
      <c r="R37" s="54"/>
      <c r="S37" s="54"/>
      <c r="T37" s="54"/>
    </row>
    <row r="38" spans="1:20" ht="13.8" thickBot="1" x14ac:dyDescent="0.3">
      <c r="A38" s="133">
        <v>43281</v>
      </c>
      <c r="B38" s="134">
        <f t="shared" si="8"/>
        <v>204620.49</v>
      </c>
      <c r="C38" s="135">
        <v>204620.49</v>
      </c>
      <c r="D38" s="141">
        <f t="shared" si="9"/>
        <v>637.06655761666661</v>
      </c>
      <c r="E38" s="135">
        <v>564.06847095833325</v>
      </c>
      <c r="F38" s="136">
        <f t="shared" si="12"/>
        <v>-14333.892845700006</v>
      </c>
      <c r="G38" s="137">
        <f t="shared" si="12"/>
        <v>-2399.96346275</v>
      </c>
      <c r="H38" s="134">
        <f t="shared" si="10"/>
        <v>190286.59715429999</v>
      </c>
      <c r="I38" s="135">
        <f t="shared" si="10"/>
        <v>202220.52653725</v>
      </c>
      <c r="J38" s="138">
        <f t="shared" si="5"/>
        <v>11933.929382950009</v>
      </c>
      <c r="K38" s="139">
        <f t="shared" si="11"/>
        <v>-3932.0026890211693</v>
      </c>
      <c r="L38" s="135">
        <f t="shared" si="3"/>
        <v>15.329598198250551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43312</v>
      </c>
      <c r="B39" s="48">
        <f>B38</f>
        <v>204620.49</v>
      </c>
      <c r="C39" s="49">
        <f>C38</f>
        <v>204620.49</v>
      </c>
      <c r="D39" s="48">
        <f t="shared" si="9"/>
        <v>637.06655761666661</v>
      </c>
      <c r="E39" s="49">
        <f>E38</f>
        <v>564.06847095833325</v>
      </c>
      <c r="F39" s="50">
        <f t="shared" ref="F39:F58" si="13">+F38-D39</f>
        <v>-14970.959403316672</v>
      </c>
      <c r="G39" s="51">
        <f t="shared" ref="G39:G58" si="14">+G38-E39</f>
        <v>-2964.0319337083333</v>
      </c>
      <c r="H39" s="48">
        <f t="shared" ref="H39:H58" si="15">B39+F39</f>
        <v>189649.53059668333</v>
      </c>
      <c r="I39" s="49">
        <f t="shared" ref="I39:I58" si="16">C39+G39</f>
        <v>201656.45806629167</v>
      </c>
      <c r="J39" s="52">
        <f t="shared" ref="J39:J58" si="17">I39-H39</f>
        <v>12006.927469608345</v>
      </c>
      <c r="K39" s="53">
        <f t="shared" ref="K39:K58" si="18">(-(J39-J38)*$K$15)+K38</f>
        <v>-3947.3322872194199</v>
      </c>
      <c r="L39" s="49">
        <f t="shared" ref="L39:L58" si="19">-K39+K38</f>
        <v>15.329598198250551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43343</v>
      </c>
      <c r="B40" s="48">
        <f t="shared" ref="B40:B58" si="20">B39</f>
        <v>204620.49</v>
      </c>
      <c r="C40" s="49">
        <f t="shared" ref="C40:C58" si="21">C39</f>
        <v>204620.49</v>
      </c>
      <c r="D40" s="48">
        <f t="shared" si="9"/>
        <v>637.06655761666661</v>
      </c>
      <c r="E40" s="49">
        <f>E39</f>
        <v>564.06847095833325</v>
      </c>
      <c r="F40" s="50">
        <f t="shared" si="13"/>
        <v>-15608.025960933339</v>
      </c>
      <c r="G40" s="51">
        <f t="shared" si="14"/>
        <v>-3528.1004046666667</v>
      </c>
      <c r="H40" s="48">
        <f t="shared" si="15"/>
        <v>189012.46403906666</v>
      </c>
      <c r="I40" s="49">
        <f t="shared" si="16"/>
        <v>201092.38959533331</v>
      </c>
      <c r="J40" s="52">
        <f t="shared" si="17"/>
        <v>12079.925556266651</v>
      </c>
      <c r="K40" s="53">
        <f t="shared" si="18"/>
        <v>-3962.6618854176641</v>
      </c>
      <c r="L40" s="49">
        <f t="shared" si="19"/>
        <v>15.329598198244184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43373</v>
      </c>
      <c r="B41" s="48">
        <f t="shared" si="20"/>
        <v>204620.49</v>
      </c>
      <c r="C41" s="49">
        <f t="shared" si="21"/>
        <v>204620.49</v>
      </c>
      <c r="D41" s="48">
        <f t="shared" si="9"/>
        <v>637.06655761666661</v>
      </c>
      <c r="E41" s="49">
        <f t="shared" ref="E41:E58" si="22">E40</f>
        <v>564.06847095833325</v>
      </c>
      <c r="F41" s="50">
        <f t="shared" si="13"/>
        <v>-16245.092518550005</v>
      </c>
      <c r="G41" s="51">
        <f t="shared" si="14"/>
        <v>-4092.1688756250001</v>
      </c>
      <c r="H41" s="48">
        <f t="shared" si="15"/>
        <v>188375.39748145</v>
      </c>
      <c r="I41" s="49">
        <f t="shared" si="16"/>
        <v>200528.32112437498</v>
      </c>
      <c r="J41" s="52">
        <f t="shared" si="17"/>
        <v>12152.923642924987</v>
      </c>
      <c r="K41" s="53">
        <f t="shared" si="18"/>
        <v>-3977.9914836159146</v>
      </c>
      <c r="L41" s="49">
        <f t="shared" si="19"/>
        <v>15.329598198250551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43404</v>
      </c>
      <c r="B42" s="48">
        <f t="shared" si="20"/>
        <v>204620.49</v>
      </c>
      <c r="C42" s="49">
        <f t="shared" si="21"/>
        <v>204620.49</v>
      </c>
      <c r="D42" s="48">
        <f t="shared" si="9"/>
        <v>637.06655761666661</v>
      </c>
      <c r="E42" s="49">
        <f t="shared" si="22"/>
        <v>564.06847095833325</v>
      </c>
      <c r="F42" s="50">
        <f t="shared" si="13"/>
        <v>-16882.159076166674</v>
      </c>
      <c r="G42" s="51">
        <f t="shared" si="14"/>
        <v>-4656.2373465833334</v>
      </c>
      <c r="H42" s="48">
        <f t="shared" si="15"/>
        <v>187738.3309238333</v>
      </c>
      <c r="I42" s="49">
        <f t="shared" si="16"/>
        <v>199964.25265341665</v>
      </c>
      <c r="J42" s="52">
        <f t="shared" si="17"/>
        <v>12225.921729583351</v>
      </c>
      <c r="K42" s="53">
        <f t="shared" si="18"/>
        <v>-3993.3210818141711</v>
      </c>
      <c r="L42" s="49">
        <f t="shared" si="19"/>
        <v>15.329598198256463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43434</v>
      </c>
      <c r="B43" s="48">
        <f t="shared" si="20"/>
        <v>204620.49</v>
      </c>
      <c r="C43" s="49">
        <f t="shared" si="21"/>
        <v>204620.49</v>
      </c>
      <c r="D43" s="48">
        <f t="shared" si="9"/>
        <v>637.06655761666661</v>
      </c>
      <c r="E43" s="49">
        <f t="shared" si="22"/>
        <v>564.06847095833325</v>
      </c>
      <c r="F43" s="50">
        <f t="shared" si="13"/>
        <v>-17519.225633783339</v>
      </c>
      <c r="G43" s="51">
        <f t="shared" si="14"/>
        <v>-5220.3058175416663</v>
      </c>
      <c r="H43" s="48">
        <f t="shared" si="15"/>
        <v>187101.26436621667</v>
      </c>
      <c r="I43" s="49">
        <f t="shared" si="16"/>
        <v>199400.18418245832</v>
      </c>
      <c r="J43" s="52">
        <f t="shared" si="17"/>
        <v>12298.919816241658</v>
      </c>
      <c r="K43" s="53">
        <f t="shared" si="18"/>
        <v>-4008.6506800124153</v>
      </c>
      <c r="L43" s="49">
        <f t="shared" si="19"/>
        <v>15.329598198244184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43465</v>
      </c>
      <c r="B44" s="48">
        <f t="shared" si="20"/>
        <v>204620.49</v>
      </c>
      <c r="C44" s="49">
        <f t="shared" si="21"/>
        <v>204620.49</v>
      </c>
      <c r="D44" s="48">
        <f t="shared" si="9"/>
        <v>637.06655761666661</v>
      </c>
      <c r="E44" s="49">
        <f t="shared" si="22"/>
        <v>564.06847095833325</v>
      </c>
      <c r="F44" s="50">
        <f t="shared" si="13"/>
        <v>-18156.292191400004</v>
      </c>
      <c r="G44" s="51">
        <f t="shared" si="14"/>
        <v>-5784.3742884999992</v>
      </c>
      <c r="H44" s="48">
        <f t="shared" si="15"/>
        <v>186464.19780859997</v>
      </c>
      <c r="I44" s="49">
        <f t="shared" si="16"/>
        <v>198836.1157115</v>
      </c>
      <c r="J44" s="52">
        <f t="shared" si="17"/>
        <v>12371.917902900022</v>
      </c>
      <c r="K44" s="53">
        <f t="shared" si="18"/>
        <v>-4023.9802782106717</v>
      </c>
      <c r="L44" s="49">
        <f t="shared" si="19"/>
        <v>15.329598198256463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43496</v>
      </c>
      <c r="B45" s="48">
        <f t="shared" si="20"/>
        <v>204620.49</v>
      </c>
      <c r="C45" s="49">
        <f t="shared" si="21"/>
        <v>204620.49</v>
      </c>
      <c r="D45" s="48">
        <f>+((($B$44-$B$32)*$C$6/12)+($B$32*$D$5/12))</f>
        <v>1165.4369001250002</v>
      </c>
      <c r="E45" s="49">
        <f t="shared" si="22"/>
        <v>564.06847095833325</v>
      </c>
      <c r="F45" s="50">
        <f t="shared" si="13"/>
        <v>-19321.729091525005</v>
      </c>
      <c r="G45" s="51">
        <f t="shared" si="14"/>
        <v>-6348.4427594583321</v>
      </c>
      <c r="H45" s="48">
        <f t="shared" si="15"/>
        <v>185298.76090847497</v>
      </c>
      <c r="I45" s="49">
        <f t="shared" si="16"/>
        <v>198272.04724054167</v>
      </c>
      <c r="J45" s="52">
        <f t="shared" si="17"/>
        <v>12973.286332066695</v>
      </c>
      <c r="K45" s="53">
        <f t="shared" si="18"/>
        <v>-4150.2676483356727</v>
      </c>
      <c r="L45" s="49">
        <f t="shared" si="19"/>
        <v>126.28737012500096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43524</v>
      </c>
      <c r="B46" s="48">
        <f t="shared" si="20"/>
        <v>204620.49</v>
      </c>
      <c r="C46" s="49">
        <f t="shared" si="21"/>
        <v>204620.49</v>
      </c>
      <c r="D46" s="48">
        <f t="shared" ref="D46:D56" si="23">+((($B$44-$B$32)*$C$6/12)+($B$32*$D$5/12))</f>
        <v>1165.4369001250002</v>
      </c>
      <c r="E46" s="49">
        <f t="shared" si="22"/>
        <v>564.06847095833325</v>
      </c>
      <c r="F46" s="50">
        <f t="shared" si="13"/>
        <v>-20487.165991650007</v>
      </c>
      <c r="G46" s="51">
        <f t="shared" si="14"/>
        <v>-6912.5112304166651</v>
      </c>
      <c r="H46" s="48">
        <f t="shared" si="15"/>
        <v>184133.32400834997</v>
      </c>
      <c r="I46" s="49">
        <f t="shared" si="16"/>
        <v>197707.97876958334</v>
      </c>
      <c r="J46" s="52">
        <f t="shared" si="17"/>
        <v>13574.654761233367</v>
      </c>
      <c r="K46" s="53">
        <f t="shared" si="18"/>
        <v>-4276.5550184606736</v>
      </c>
      <c r="L46" s="49">
        <f t="shared" si="19"/>
        <v>126.28737012500096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43555</v>
      </c>
      <c r="B47" s="48">
        <f t="shared" si="20"/>
        <v>204620.49</v>
      </c>
      <c r="C47" s="49">
        <f t="shared" si="21"/>
        <v>204620.49</v>
      </c>
      <c r="D47" s="48">
        <f t="shared" si="23"/>
        <v>1165.4369001250002</v>
      </c>
      <c r="E47" s="49">
        <f t="shared" si="22"/>
        <v>564.06847095833325</v>
      </c>
      <c r="F47" s="50">
        <f t="shared" si="13"/>
        <v>-21652.602891775008</v>
      </c>
      <c r="G47" s="51">
        <f t="shared" si="14"/>
        <v>-7476.579701374998</v>
      </c>
      <c r="H47" s="48">
        <f t="shared" si="15"/>
        <v>182967.88710822497</v>
      </c>
      <c r="I47" s="49">
        <f t="shared" si="16"/>
        <v>197143.91029862501</v>
      </c>
      <c r="J47" s="52">
        <f t="shared" si="17"/>
        <v>14176.023190400039</v>
      </c>
      <c r="K47" s="53">
        <f t="shared" si="18"/>
        <v>-4402.8423885856746</v>
      </c>
      <c r="L47" s="49">
        <f t="shared" si="19"/>
        <v>126.28737012500096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43585</v>
      </c>
      <c r="B48" s="48">
        <f t="shared" si="20"/>
        <v>204620.49</v>
      </c>
      <c r="C48" s="49">
        <f t="shared" si="21"/>
        <v>204620.49</v>
      </c>
      <c r="D48" s="48">
        <f t="shared" si="23"/>
        <v>1165.4369001250002</v>
      </c>
      <c r="E48" s="49">
        <f t="shared" si="22"/>
        <v>564.06847095833325</v>
      </c>
      <c r="F48" s="50">
        <f t="shared" si="13"/>
        <v>-22818.03979190001</v>
      </c>
      <c r="G48" s="51">
        <f t="shared" si="14"/>
        <v>-8040.6481723333309</v>
      </c>
      <c r="H48" s="48">
        <f t="shared" si="15"/>
        <v>181802.45020809997</v>
      </c>
      <c r="I48" s="49">
        <f t="shared" si="16"/>
        <v>196579.84182766665</v>
      </c>
      <c r="J48" s="52">
        <f t="shared" si="17"/>
        <v>14777.391619566682</v>
      </c>
      <c r="K48" s="53">
        <f t="shared" si="18"/>
        <v>-4529.1297587106701</v>
      </c>
      <c r="L48" s="49">
        <f t="shared" si="19"/>
        <v>126.2873701249955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43616</v>
      </c>
      <c r="B49" s="48">
        <f t="shared" si="20"/>
        <v>204620.49</v>
      </c>
      <c r="C49" s="49">
        <f t="shared" si="21"/>
        <v>204620.49</v>
      </c>
      <c r="D49" s="48">
        <f t="shared" si="23"/>
        <v>1165.4369001250002</v>
      </c>
      <c r="E49" s="49">
        <f t="shared" si="22"/>
        <v>564.06847095833325</v>
      </c>
      <c r="F49" s="50">
        <f t="shared" si="13"/>
        <v>-23983.476692025011</v>
      </c>
      <c r="G49" s="51">
        <f t="shared" si="14"/>
        <v>-8604.7166432916638</v>
      </c>
      <c r="H49" s="48">
        <f t="shared" si="15"/>
        <v>180637.01330797496</v>
      </c>
      <c r="I49" s="49">
        <f t="shared" si="16"/>
        <v>196015.77335670832</v>
      </c>
      <c r="J49" s="52">
        <f t="shared" si="17"/>
        <v>15378.760048733355</v>
      </c>
      <c r="K49" s="53">
        <f t="shared" si="18"/>
        <v>-4655.4171288356711</v>
      </c>
      <c r="L49" s="49">
        <f t="shared" si="19"/>
        <v>126.28737012500096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43646</v>
      </c>
      <c r="B50" s="48">
        <f t="shared" si="20"/>
        <v>204620.49</v>
      </c>
      <c r="C50" s="49">
        <f t="shared" si="21"/>
        <v>204620.49</v>
      </c>
      <c r="D50" s="48">
        <f t="shared" si="23"/>
        <v>1165.4369001250002</v>
      </c>
      <c r="E50" s="49">
        <f t="shared" si="22"/>
        <v>564.06847095833325</v>
      </c>
      <c r="F50" s="50">
        <f t="shared" si="13"/>
        <v>-25148.913592150013</v>
      </c>
      <c r="G50" s="51">
        <f t="shared" si="14"/>
        <v>-9168.7851142499967</v>
      </c>
      <c r="H50" s="48">
        <f t="shared" si="15"/>
        <v>179471.57640784996</v>
      </c>
      <c r="I50" s="49">
        <f t="shared" si="16"/>
        <v>195451.70488574999</v>
      </c>
      <c r="J50" s="52">
        <f t="shared" si="17"/>
        <v>15980.128477900027</v>
      </c>
      <c r="K50" s="53">
        <f t="shared" si="18"/>
        <v>-4781.704498960672</v>
      </c>
      <c r="L50" s="49">
        <f t="shared" si="19"/>
        <v>126.28737012500096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43677</v>
      </c>
      <c r="B51" s="48">
        <f t="shared" si="20"/>
        <v>204620.49</v>
      </c>
      <c r="C51" s="49">
        <f t="shared" si="21"/>
        <v>204620.49</v>
      </c>
      <c r="D51" s="48">
        <f t="shared" si="23"/>
        <v>1165.4369001250002</v>
      </c>
      <c r="E51" s="49">
        <f t="shared" si="22"/>
        <v>564.06847095833325</v>
      </c>
      <c r="F51" s="50">
        <f t="shared" si="13"/>
        <v>-26314.350492275014</v>
      </c>
      <c r="G51" s="51">
        <f t="shared" si="14"/>
        <v>-9732.8535852083296</v>
      </c>
      <c r="H51" s="48">
        <f t="shared" si="15"/>
        <v>178306.13950772496</v>
      </c>
      <c r="I51" s="49">
        <f t="shared" si="16"/>
        <v>194887.63641479166</v>
      </c>
      <c r="J51" s="52">
        <f t="shared" si="17"/>
        <v>16581.496907066699</v>
      </c>
      <c r="K51" s="53">
        <f t="shared" si="18"/>
        <v>-4907.991869085673</v>
      </c>
      <c r="L51" s="49">
        <f t="shared" si="19"/>
        <v>126.28737012500096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43708</v>
      </c>
      <c r="B52" s="48">
        <f t="shared" si="20"/>
        <v>204620.49</v>
      </c>
      <c r="C52" s="49">
        <f t="shared" si="21"/>
        <v>204620.49</v>
      </c>
      <c r="D52" s="48">
        <f t="shared" si="23"/>
        <v>1165.4369001250002</v>
      </c>
      <c r="E52" s="49">
        <f t="shared" si="22"/>
        <v>564.06847095833325</v>
      </c>
      <c r="F52" s="50">
        <f t="shared" si="13"/>
        <v>-27479.787392400016</v>
      </c>
      <c r="G52" s="51">
        <f t="shared" si="14"/>
        <v>-10296.922056166663</v>
      </c>
      <c r="H52" s="48">
        <f t="shared" si="15"/>
        <v>177140.70260759996</v>
      </c>
      <c r="I52" s="49">
        <f t="shared" si="16"/>
        <v>194323.56794383333</v>
      </c>
      <c r="J52" s="52">
        <f t="shared" si="17"/>
        <v>17182.865336233372</v>
      </c>
      <c r="K52" s="53">
        <f t="shared" si="18"/>
        <v>-5034.2792392106739</v>
      </c>
      <c r="L52" s="49">
        <f t="shared" si="19"/>
        <v>126.28737012500096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43738</v>
      </c>
      <c r="B53" s="48">
        <f t="shared" si="20"/>
        <v>204620.49</v>
      </c>
      <c r="C53" s="49">
        <f t="shared" si="21"/>
        <v>204620.49</v>
      </c>
      <c r="D53" s="48">
        <f t="shared" si="23"/>
        <v>1165.4369001250002</v>
      </c>
      <c r="E53" s="49">
        <f t="shared" si="22"/>
        <v>564.06847095833325</v>
      </c>
      <c r="F53" s="50">
        <f t="shared" si="13"/>
        <v>-28645.224292525018</v>
      </c>
      <c r="G53" s="51">
        <f t="shared" si="14"/>
        <v>-10860.990527124995</v>
      </c>
      <c r="H53" s="48">
        <f t="shared" si="15"/>
        <v>175975.26570747496</v>
      </c>
      <c r="I53" s="49">
        <f t="shared" si="16"/>
        <v>193759.499472875</v>
      </c>
      <c r="J53" s="52">
        <f t="shared" si="17"/>
        <v>17784.233765400044</v>
      </c>
      <c r="K53" s="53">
        <f t="shared" si="18"/>
        <v>-5160.5666093356749</v>
      </c>
      <c r="L53" s="49">
        <f t="shared" si="19"/>
        <v>126.28737012500096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43769</v>
      </c>
      <c r="B54" s="48">
        <f t="shared" si="20"/>
        <v>204620.49</v>
      </c>
      <c r="C54" s="49">
        <f t="shared" si="21"/>
        <v>204620.49</v>
      </c>
      <c r="D54" s="48">
        <f t="shared" si="23"/>
        <v>1165.4369001250002</v>
      </c>
      <c r="E54" s="49">
        <f t="shared" si="22"/>
        <v>564.06847095833325</v>
      </c>
      <c r="F54" s="50">
        <f t="shared" si="13"/>
        <v>-29810.661192650019</v>
      </c>
      <c r="G54" s="51">
        <f t="shared" si="14"/>
        <v>-11425.058998083328</v>
      </c>
      <c r="H54" s="48">
        <f t="shared" si="15"/>
        <v>174809.82880734996</v>
      </c>
      <c r="I54" s="49">
        <f t="shared" si="16"/>
        <v>193195.43100191667</v>
      </c>
      <c r="J54" s="52">
        <f t="shared" si="17"/>
        <v>18385.602194566716</v>
      </c>
      <c r="K54" s="53">
        <f t="shared" si="18"/>
        <v>-5286.8539794606759</v>
      </c>
      <c r="L54" s="49">
        <f t="shared" si="19"/>
        <v>126.28737012500096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43799</v>
      </c>
      <c r="B55" s="48">
        <f t="shared" si="20"/>
        <v>204620.49</v>
      </c>
      <c r="C55" s="49">
        <f t="shared" si="21"/>
        <v>204620.49</v>
      </c>
      <c r="D55" s="48">
        <f t="shared" si="23"/>
        <v>1165.4369001250002</v>
      </c>
      <c r="E55" s="49">
        <f t="shared" si="22"/>
        <v>564.06847095833325</v>
      </c>
      <c r="F55" s="50">
        <f t="shared" si="13"/>
        <v>-30976.098092775021</v>
      </c>
      <c r="G55" s="51">
        <f t="shared" si="14"/>
        <v>-11989.127469041661</v>
      </c>
      <c r="H55" s="48">
        <f t="shared" si="15"/>
        <v>173644.39190722496</v>
      </c>
      <c r="I55" s="49">
        <f t="shared" si="16"/>
        <v>192631.36253095831</v>
      </c>
      <c r="J55" s="52">
        <f t="shared" si="17"/>
        <v>18986.970623733359</v>
      </c>
      <c r="K55" s="53">
        <f t="shared" si="18"/>
        <v>-5413.1413495856714</v>
      </c>
      <c r="L55" s="49">
        <f t="shared" si="19"/>
        <v>126.2873701249955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43830</v>
      </c>
      <c r="B56" s="48">
        <f t="shared" si="20"/>
        <v>204620.49</v>
      </c>
      <c r="C56" s="49">
        <f t="shared" si="21"/>
        <v>204620.49</v>
      </c>
      <c r="D56" s="48">
        <f t="shared" si="23"/>
        <v>1165.4369001250002</v>
      </c>
      <c r="E56" s="49">
        <f t="shared" si="22"/>
        <v>564.06847095833325</v>
      </c>
      <c r="F56" s="50">
        <f t="shared" si="13"/>
        <v>-32141.534992900022</v>
      </c>
      <c r="G56" s="51">
        <f t="shared" si="14"/>
        <v>-12553.195939999994</v>
      </c>
      <c r="H56" s="48">
        <f t="shared" si="15"/>
        <v>172478.95500709995</v>
      </c>
      <c r="I56" s="49">
        <f t="shared" si="16"/>
        <v>192067.29405999999</v>
      </c>
      <c r="J56" s="52">
        <f t="shared" si="17"/>
        <v>19588.339052900032</v>
      </c>
      <c r="K56" s="53">
        <f t="shared" si="18"/>
        <v>-5539.4287197106723</v>
      </c>
      <c r="L56" s="49">
        <f t="shared" si="19"/>
        <v>126.28737012500096</v>
      </c>
      <c r="M56" s="55"/>
      <c r="N56" s="54"/>
      <c r="O56" s="54"/>
      <c r="P56" s="54"/>
      <c r="Q56" s="54"/>
      <c r="R56" s="54"/>
      <c r="S56" s="54"/>
      <c r="T56" s="54"/>
    </row>
    <row r="57" spans="1:20" x14ac:dyDescent="0.25">
      <c r="A57" s="47">
        <v>43861</v>
      </c>
      <c r="B57" s="48">
        <f t="shared" si="20"/>
        <v>204620.49</v>
      </c>
      <c r="C57" s="49">
        <f t="shared" si="21"/>
        <v>204620.49</v>
      </c>
      <c r="D57" s="48">
        <f>+((($B$44-$B$32)*$D$6/12)+($B$32*$E$5/12))</f>
        <v>1077.9473380083332</v>
      </c>
      <c r="E57" s="49">
        <f t="shared" si="22"/>
        <v>564.06847095833325</v>
      </c>
      <c r="F57" s="50">
        <f t="shared" si="13"/>
        <v>-33219.482330908359</v>
      </c>
      <c r="G57" s="51">
        <f t="shared" si="14"/>
        <v>-13117.264410958327</v>
      </c>
      <c r="H57" s="48">
        <f t="shared" si="15"/>
        <v>171401.00766909163</v>
      </c>
      <c r="I57" s="49">
        <f t="shared" si="16"/>
        <v>191503.22558904166</v>
      </c>
      <c r="J57" s="52">
        <f t="shared" si="17"/>
        <v>20102.217919950024</v>
      </c>
      <c r="K57" s="53">
        <f t="shared" si="18"/>
        <v>-5647.3432817911707</v>
      </c>
      <c r="L57" s="49">
        <f t="shared" si="19"/>
        <v>107.9145620804984</v>
      </c>
      <c r="M57" s="55"/>
      <c r="N57" s="54"/>
      <c r="O57" s="54"/>
      <c r="P57" s="54"/>
      <c r="Q57" s="54"/>
      <c r="R57" s="54"/>
      <c r="S57" s="54"/>
      <c r="T57" s="54"/>
    </row>
    <row r="58" spans="1:20" x14ac:dyDescent="0.25">
      <c r="A58" s="47">
        <v>43890</v>
      </c>
      <c r="B58" s="48">
        <f t="shared" si="20"/>
        <v>204620.49</v>
      </c>
      <c r="C58" s="49">
        <f t="shared" si="21"/>
        <v>204620.49</v>
      </c>
      <c r="D58" s="48">
        <f>+((($B$44-$B$32)*$D$6/12)+($B$32*$E$5/12))</f>
        <v>1077.9473380083332</v>
      </c>
      <c r="E58" s="49">
        <f t="shared" si="22"/>
        <v>564.06847095833325</v>
      </c>
      <c r="F58" s="50">
        <f t="shared" si="13"/>
        <v>-34297.429668916695</v>
      </c>
      <c r="G58" s="51">
        <f t="shared" si="14"/>
        <v>-13681.33288191666</v>
      </c>
      <c r="H58" s="48">
        <f t="shared" si="15"/>
        <v>170323.06033108331</v>
      </c>
      <c r="I58" s="49">
        <f t="shared" si="16"/>
        <v>190939.15711808333</v>
      </c>
      <c r="J58" s="52">
        <f t="shared" si="17"/>
        <v>20616.096787000017</v>
      </c>
      <c r="K58" s="53">
        <f t="shared" si="18"/>
        <v>-5755.2578438716691</v>
      </c>
      <c r="L58" s="49">
        <f t="shared" si="19"/>
        <v>107.9145620804984</v>
      </c>
      <c r="M58" s="55"/>
      <c r="N58" s="54"/>
      <c r="O58" s="54"/>
      <c r="P58" s="54"/>
      <c r="Q58" s="54"/>
      <c r="R58" s="54"/>
      <c r="S58" s="54"/>
      <c r="T58" s="54"/>
    </row>
    <row r="59" spans="1:20" ht="13.8" thickBot="1" x14ac:dyDescent="0.3">
      <c r="A59" s="57"/>
      <c r="B59" s="58"/>
      <c r="C59" s="59"/>
      <c r="D59" s="58"/>
      <c r="E59" s="59"/>
      <c r="F59" s="58"/>
      <c r="G59" s="59"/>
      <c r="H59" s="58"/>
      <c r="I59" s="59"/>
      <c r="J59" s="60"/>
      <c r="K59" s="59"/>
      <c r="L59" s="59"/>
      <c r="M59" s="55"/>
      <c r="N59" s="54"/>
      <c r="O59" s="54"/>
      <c r="P59" s="54"/>
      <c r="Q59" s="54"/>
      <c r="R59" s="54"/>
      <c r="S59" s="54"/>
      <c r="T59" s="54"/>
    </row>
    <row r="60" spans="1:20" ht="13.8" thickBot="1" x14ac:dyDescent="0.3">
      <c r="A60" s="61"/>
      <c r="B60" s="61"/>
      <c r="C60" s="62"/>
      <c r="D60" s="61"/>
      <c r="E60" s="62"/>
      <c r="F60" s="61"/>
      <c r="G60" s="62"/>
      <c r="H60" s="61"/>
      <c r="I60" s="63"/>
      <c r="J60" s="64"/>
      <c r="K60" s="65"/>
      <c r="L60" s="66"/>
      <c r="M60" s="55"/>
      <c r="N60" s="67"/>
      <c r="O60" s="68"/>
      <c r="P60" s="54"/>
      <c r="Q60" s="54"/>
      <c r="R60" s="54"/>
      <c r="S60" s="54"/>
      <c r="T60" s="54"/>
    </row>
    <row r="61" spans="1:20" ht="13.8" thickTop="1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4"/>
      <c r="O61" s="54"/>
      <c r="P61" s="54"/>
      <c r="Q61" s="54"/>
      <c r="R61" s="54"/>
      <c r="S61" s="54"/>
      <c r="T61" s="54"/>
    </row>
    <row r="62" spans="1:20" x14ac:dyDescent="0.25">
      <c r="A62" s="54"/>
      <c r="B62" s="54"/>
      <c r="C62" s="69"/>
      <c r="D62" s="54"/>
      <c r="E62" s="54"/>
      <c r="F62" s="78"/>
      <c r="G62" s="69"/>
      <c r="H62" s="54"/>
      <c r="I62" s="69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x14ac:dyDescent="0.25">
      <c r="A63" s="54"/>
      <c r="B63" s="54"/>
      <c r="C63" s="54"/>
      <c r="D63" s="54"/>
      <c r="E63" s="54"/>
      <c r="F63" s="54"/>
      <c r="G63" s="54"/>
      <c r="H63" s="78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x14ac:dyDescent="0.25">
      <c r="A64" s="18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16" ht="14.4" x14ac:dyDescent="0.3">
      <c r="A65" s="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6"/>
      <c r="N65" s="6"/>
      <c r="O65" s="6"/>
    </row>
    <row r="66" spans="1:16" ht="14.4" x14ac:dyDescent="0.3">
      <c r="A66" s="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6"/>
      <c r="N66" s="6"/>
      <c r="O66" s="6"/>
      <c r="P66" s="6"/>
    </row>
    <row r="67" spans="1:16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6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W66"/>
  <sheetViews>
    <sheetView zoomScale="120" zoomScaleNormal="120" workbookViewId="0">
      <pane xSplit="1" ySplit="14" topLeftCell="B40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61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83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 t="s">
        <v>78</v>
      </c>
      <c r="C2" s="12"/>
      <c r="D2" s="13"/>
      <c r="F2" s="14"/>
      <c r="G2" s="15"/>
      <c r="H2" s="15"/>
      <c r="I2" s="16"/>
      <c r="J2" s="5"/>
      <c r="K2" s="5"/>
      <c r="L2" s="82" t="s">
        <v>54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79</v>
      </c>
      <c r="B4" s="72" t="s">
        <v>47</v>
      </c>
      <c r="C4" s="72" t="s">
        <v>48</v>
      </c>
      <c r="D4" s="72" t="s">
        <v>49</v>
      </c>
      <c r="E4" s="72" t="s">
        <v>50</v>
      </c>
      <c r="F4" s="72" t="s">
        <v>56</v>
      </c>
      <c r="G4" s="72" t="s">
        <v>57</v>
      </c>
      <c r="H4" s="73"/>
      <c r="I4" s="73"/>
      <c r="J4" s="73"/>
      <c r="K4" s="73"/>
      <c r="L4" s="73"/>
    </row>
    <row r="5" spans="1:23" s="10" customFormat="1" x14ac:dyDescent="0.25">
      <c r="A5" s="74" t="s">
        <v>51</v>
      </c>
      <c r="B5" s="75">
        <v>0.6</v>
      </c>
      <c r="C5" s="75">
        <v>0.16</v>
      </c>
      <c r="D5" s="75">
        <v>9.6000000000000002E-2</v>
      </c>
      <c r="E5" s="80">
        <v>5.7599999999999998E-2</v>
      </c>
      <c r="F5" s="80">
        <v>5.7599999999999998E-2</v>
      </c>
      <c r="G5" s="75">
        <v>2.8799999999999999E-2</v>
      </c>
      <c r="H5" s="22"/>
      <c r="I5" s="22"/>
      <c r="J5" s="22"/>
      <c r="K5" s="22"/>
      <c r="L5" s="22"/>
    </row>
    <row r="6" spans="1:23" s="10" customFormat="1" ht="14.4" x14ac:dyDescent="0.3">
      <c r="A6" s="20" t="s">
        <v>52</v>
      </c>
      <c r="B6" s="21">
        <v>0.2</v>
      </c>
      <c r="C6" s="21">
        <v>0.32</v>
      </c>
      <c r="D6" s="21">
        <v>0.192</v>
      </c>
      <c r="E6" s="21">
        <v>0.1152</v>
      </c>
      <c r="F6" s="21">
        <v>0.1152</v>
      </c>
      <c r="G6" s="21">
        <v>5.7599999999999998E-2</v>
      </c>
      <c r="H6" s="21"/>
      <c r="I6" s="21"/>
      <c r="J6" s="22"/>
      <c r="K6" s="77"/>
      <c r="L6" s="77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6"/>
      <c r="C8" s="6"/>
      <c r="D8" s="6"/>
      <c r="E8" s="6"/>
      <c r="I8" s="23"/>
      <c r="J8" s="23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4"/>
    </row>
    <row r="9" spans="1:23" ht="5.0999999999999996" customHeight="1" thickBot="1" x14ac:dyDescent="0.3"/>
    <row r="10" spans="1:23" x14ac:dyDescent="0.25">
      <c r="A10" s="25" t="s">
        <v>13</v>
      </c>
      <c r="B10" s="26" t="s">
        <v>14</v>
      </c>
      <c r="C10" s="27"/>
      <c r="D10" s="26" t="s">
        <v>15</v>
      </c>
      <c r="E10" s="27"/>
      <c r="F10" s="26" t="s">
        <v>16</v>
      </c>
      <c r="G10" s="27"/>
      <c r="H10" s="26" t="s">
        <v>17</v>
      </c>
      <c r="I10" s="27"/>
      <c r="J10" s="28" t="s">
        <v>18</v>
      </c>
      <c r="K10" s="29" t="s">
        <v>19</v>
      </c>
      <c r="L10" s="29" t="s">
        <v>20</v>
      </c>
    </row>
    <row r="11" spans="1:23" x14ac:dyDescent="0.25">
      <c r="A11" s="30"/>
      <c r="B11" s="31"/>
      <c r="C11" s="32"/>
      <c r="D11" s="33"/>
      <c r="E11" s="34"/>
      <c r="F11" s="33"/>
      <c r="G11" s="32"/>
      <c r="H11" s="31"/>
      <c r="I11" s="35"/>
      <c r="J11" s="36"/>
      <c r="K11" s="37"/>
      <c r="L11" s="37" t="s">
        <v>21</v>
      </c>
    </row>
    <row r="12" spans="1:23" x14ac:dyDescent="0.25">
      <c r="A12" s="38"/>
      <c r="B12" s="39" t="s">
        <v>22</v>
      </c>
      <c r="C12" s="35" t="s">
        <v>23</v>
      </c>
      <c r="D12" s="39" t="s">
        <v>24</v>
      </c>
      <c r="E12" s="35" t="s">
        <v>25</v>
      </c>
      <c r="F12" s="39" t="s">
        <v>22</v>
      </c>
      <c r="G12" s="35" t="s">
        <v>23</v>
      </c>
      <c r="H12" s="39" t="s">
        <v>22</v>
      </c>
      <c r="I12" s="35" t="s">
        <v>26</v>
      </c>
      <c r="J12" s="36" t="s">
        <v>27</v>
      </c>
      <c r="K12" s="40">
        <v>0.35</v>
      </c>
      <c r="L12" s="37" t="s">
        <v>28</v>
      </c>
    </row>
    <row r="13" spans="1:23" x14ac:dyDescent="0.25">
      <c r="A13" s="38"/>
      <c r="B13" s="39"/>
      <c r="C13" s="35"/>
      <c r="D13" s="39" t="s">
        <v>29</v>
      </c>
      <c r="E13" s="35" t="s">
        <v>30</v>
      </c>
      <c r="F13" s="39" t="s">
        <v>31</v>
      </c>
      <c r="G13" s="35" t="s">
        <v>32</v>
      </c>
      <c r="H13" s="39"/>
      <c r="I13" s="35"/>
      <c r="J13" s="36" t="s">
        <v>27</v>
      </c>
      <c r="K13" s="40">
        <v>0.21</v>
      </c>
      <c r="L13" s="37" t="s">
        <v>33</v>
      </c>
    </row>
    <row r="14" spans="1:23" x14ac:dyDescent="0.25">
      <c r="A14" s="41"/>
      <c r="B14" s="42" t="s">
        <v>34</v>
      </c>
      <c r="C14" s="43" t="s">
        <v>35</v>
      </c>
      <c r="D14" s="42"/>
      <c r="E14" s="43"/>
      <c r="F14" s="42" t="s">
        <v>36</v>
      </c>
      <c r="G14" s="43" t="s">
        <v>37</v>
      </c>
      <c r="H14" s="42" t="s">
        <v>38</v>
      </c>
      <c r="I14" s="43" t="s">
        <v>39</v>
      </c>
      <c r="J14" s="44" t="s">
        <v>40</v>
      </c>
      <c r="K14" s="45" t="s">
        <v>41</v>
      </c>
      <c r="L14" s="46" t="s">
        <v>42</v>
      </c>
    </row>
    <row r="15" spans="1:23" outlineLevel="1" x14ac:dyDescent="0.25">
      <c r="A15" s="47"/>
      <c r="B15" s="48"/>
      <c r="C15" s="49"/>
      <c r="D15" s="48"/>
      <c r="E15" s="49"/>
      <c r="F15" s="50"/>
      <c r="G15" s="51"/>
      <c r="H15" s="48"/>
      <c r="I15" s="49"/>
      <c r="J15" s="52"/>
      <c r="K15" s="53"/>
      <c r="L15" s="49"/>
    </row>
    <row r="16" spans="1:23" outlineLevel="1" x14ac:dyDescent="0.25">
      <c r="A16" s="47">
        <v>42674</v>
      </c>
      <c r="B16" s="48">
        <f t="shared" ref="B16:B24" si="0">C16</f>
        <v>0</v>
      </c>
      <c r="C16" s="49">
        <v>0</v>
      </c>
      <c r="D16" s="48"/>
      <c r="E16" s="49">
        <v>0</v>
      </c>
      <c r="F16" s="50">
        <f>+F15-D16</f>
        <v>0</v>
      </c>
      <c r="G16" s="51">
        <f t="shared" ref="G16:G31" si="1">+G15-E16</f>
        <v>0</v>
      </c>
      <c r="H16" s="48">
        <f>B16+F16</f>
        <v>0</v>
      </c>
      <c r="I16" s="49">
        <f t="shared" ref="H16:I31" si="2">C16+G16</f>
        <v>0</v>
      </c>
      <c r="J16" s="52">
        <f>I16-H16</f>
        <v>0</v>
      </c>
      <c r="K16" s="85">
        <f>(-(J16-J15)*$K$12)+K15</f>
        <v>0</v>
      </c>
      <c r="L16" s="49">
        <f t="shared" ref="L16:L36" si="3">-K16+K15</f>
        <v>0</v>
      </c>
    </row>
    <row r="17" spans="1:20" outlineLevel="1" x14ac:dyDescent="0.25">
      <c r="A17" s="47">
        <v>42704</v>
      </c>
      <c r="B17" s="48">
        <f t="shared" si="0"/>
        <v>0</v>
      </c>
      <c r="C17" s="49">
        <v>0</v>
      </c>
      <c r="D17" s="48"/>
      <c r="E17" s="49">
        <v>0</v>
      </c>
      <c r="F17" s="50">
        <f t="shared" ref="F17:G32" si="4">+F16-D17</f>
        <v>0</v>
      </c>
      <c r="G17" s="51">
        <f t="shared" si="1"/>
        <v>0</v>
      </c>
      <c r="H17" s="48">
        <f t="shared" si="2"/>
        <v>0</v>
      </c>
      <c r="I17" s="49">
        <f t="shared" si="2"/>
        <v>0</v>
      </c>
      <c r="J17" s="52">
        <f t="shared" ref="J17:J36" si="5">I17-H17</f>
        <v>0</v>
      </c>
      <c r="K17" s="53">
        <f t="shared" ref="K17:K29" si="6">(-(J17-J16)*$K$12)+K16</f>
        <v>0</v>
      </c>
      <c r="L17" s="49">
        <f t="shared" si="3"/>
        <v>0</v>
      </c>
    </row>
    <row r="18" spans="1:20" outlineLevel="1" x14ac:dyDescent="0.25">
      <c r="A18" s="47">
        <v>42735</v>
      </c>
      <c r="B18" s="48">
        <f t="shared" si="0"/>
        <v>0</v>
      </c>
      <c r="C18" s="49">
        <v>0</v>
      </c>
      <c r="D18" s="48"/>
      <c r="E18" s="49">
        <v>0</v>
      </c>
      <c r="F18" s="50">
        <f t="shared" si="4"/>
        <v>0</v>
      </c>
      <c r="G18" s="51">
        <f t="shared" si="1"/>
        <v>0</v>
      </c>
      <c r="H18" s="48">
        <f t="shared" si="2"/>
        <v>0</v>
      </c>
      <c r="I18" s="49">
        <f t="shared" si="2"/>
        <v>0</v>
      </c>
      <c r="J18" s="52">
        <f t="shared" si="5"/>
        <v>0</v>
      </c>
      <c r="K18" s="53">
        <f t="shared" si="6"/>
        <v>0</v>
      </c>
      <c r="L18" s="49">
        <f t="shared" si="3"/>
        <v>0</v>
      </c>
    </row>
    <row r="19" spans="1:20" outlineLevel="1" x14ac:dyDescent="0.25">
      <c r="A19" s="47">
        <v>42766</v>
      </c>
      <c r="B19" s="48">
        <f t="shared" si="0"/>
        <v>0</v>
      </c>
      <c r="C19" s="49">
        <v>0</v>
      </c>
      <c r="D19" s="48"/>
      <c r="E19" s="49">
        <v>0</v>
      </c>
      <c r="F19" s="50">
        <f t="shared" si="4"/>
        <v>0</v>
      </c>
      <c r="G19" s="51">
        <f t="shared" si="1"/>
        <v>0</v>
      </c>
      <c r="H19" s="48">
        <f t="shared" si="2"/>
        <v>0</v>
      </c>
      <c r="I19" s="49">
        <f t="shared" si="2"/>
        <v>0</v>
      </c>
      <c r="J19" s="52">
        <f t="shared" si="5"/>
        <v>0</v>
      </c>
      <c r="K19" s="53">
        <f>(-(J19-J18)*$K$12)+K18</f>
        <v>0</v>
      </c>
      <c r="L19" s="49">
        <f t="shared" si="3"/>
        <v>0</v>
      </c>
    </row>
    <row r="20" spans="1:20" outlineLevel="1" x14ac:dyDescent="0.25">
      <c r="A20" s="47">
        <v>42794</v>
      </c>
      <c r="B20" s="48">
        <f t="shared" si="0"/>
        <v>0</v>
      </c>
      <c r="C20" s="49">
        <v>0</v>
      </c>
      <c r="D20" s="48"/>
      <c r="E20" s="49">
        <v>0</v>
      </c>
      <c r="F20" s="50">
        <f t="shared" si="4"/>
        <v>0</v>
      </c>
      <c r="G20" s="51">
        <f t="shared" si="1"/>
        <v>0</v>
      </c>
      <c r="H20" s="48">
        <f t="shared" si="2"/>
        <v>0</v>
      </c>
      <c r="I20" s="49">
        <f t="shared" si="2"/>
        <v>0</v>
      </c>
      <c r="J20" s="52">
        <f t="shared" si="5"/>
        <v>0</v>
      </c>
      <c r="K20" s="53">
        <f t="shared" si="6"/>
        <v>0</v>
      </c>
      <c r="L20" s="49">
        <f t="shared" si="3"/>
        <v>0</v>
      </c>
    </row>
    <row r="21" spans="1:20" outlineLevel="1" x14ac:dyDescent="0.25">
      <c r="A21" s="47">
        <v>42825</v>
      </c>
      <c r="B21" s="48">
        <f t="shared" si="0"/>
        <v>0</v>
      </c>
      <c r="C21" s="49">
        <v>0</v>
      </c>
      <c r="D21" s="48">
        <f t="shared" ref="D21:D29" si="7">+(($B$28-$B$16)*$B$5/10)</f>
        <v>0</v>
      </c>
      <c r="E21" s="49">
        <v>0</v>
      </c>
      <c r="F21" s="50">
        <f t="shared" si="4"/>
        <v>0</v>
      </c>
      <c r="G21" s="51">
        <f t="shared" si="1"/>
        <v>0</v>
      </c>
      <c r="H21" s="48">
        <f t="shared" si="2"/>
        <v>0</v>
      </c>
      <c r="I21" s="49">
        <f t="shared" si="2"/>
        <v>0</v>
      </c>
      <c r="J21" s="52">
        <f t="shared" si="5"/>
        <v>0</v>
      </c>
      <c r="K21" s="85">
        <f>(-(J21-J20)*$K$12)+K20</f>
        <v>0</v>
      </c>
      <c r="L21" s="49">
        <f t="shared" si="3"/>
        <v>0</v>
      </c>
    </row>
    <row r="22" spans="1:20" outlineLevel="1" x14ac:dyDescent="0.25">
      <c r="A22" s="47">
        <v>42855</v>
      </c>
      <c r="B22" s="48">
        <f t="shared" si="0"/>
        <v>0</v>
      </c>
      <c r="C22" s="49">
        <v>0</v>
      </c>
      <c r="D22" s="48">
        <f t="shared" si="7"/>
        <v>0</v>
      </c>
      <c r="E22" s="49">
        <v>0</v>
      </c>
      <c r="F22" s="50">
        <f t="shared" si="4"/>
        <v>0</v>
      </c>
      <c r="G22" s="51">
        <f t="shared" si="1"/>
        <v>0</v>
      </c>
      <c r="H22" s="48">
        <f t="shared" si="2"/>
        <v>0</v>
      </c>
      <c r="I22" s="49">
        <f t="shared" si="2"/>
        <v>0</v>
      </c>
      <c r="J22" s="52">
        <f t="shared" si="5"/>
        <v>0</v>
      </c>
      <c r="K22" s="53">
        <f t="shared" si="6"/>
        <v>0</v>
      </c>
      <c r="L22" s="49">
        <f t="shared" si="3"/>
        <v>0</v>
      </c>
    </row>
    <row r="23" spans="1:20" outlineLevel="1" x14ac:dyDescent="0.25">
      <c r="A23" s="47">
        <v>42886</v>
      </c>
      <c r="B23" s="48">
        <f t="shared" si="0"/>
        <v>0</v>
      </c>
      <c r="C23" s="49">
        <v>0</v>
      </c>
      <c r="D23" s="48">
        <f t="shared" si="7"/>
        <v>0</v>
      </c>
      <c r="E23" s="49">
        <v>0</v>
      </c>
      <c r="F23" s="50">
        <f t="shared" si="4"/>
        <v>0</v>
      </c>
      <c r="G23" s="51">
        <f t="shared" si="1"/>
        <v>0</v>
      </c>
      <c r="H23" s="48">
        <f t="shared" si="2"/>
        <v>0</v>
      </c>
      <c r="I23" s="49">
        <f t="shared" si="2"/>
        <v>0</v>
      </c>
      <c r="J23" s="52">
        <f t="shared" si="5"/>
        <v>0</v>
      </c>
      <c r="K23" s="53">
        <f t="shared" si="6"/>
        <v>0</v>
      </c>
      <c r="L23" s="49">
        <f t="shared" si="3"/>
        <v>0</v>
      </c>
    </row>
    <row r="24" spans="1:20" outlineLevel="1" x14ac:dyDescent="0.25">
      <c r="A24" s="47">
        <v>42916</v>
      </c>
      <c r="B24" s="48">
        <f t="shared" si="0"/>
        <v>0</v>
      </c>
      <c r="C24" s="49">
        <v>0</v>
      </c>
      <c r="D24" s="48">
        <f t="shared" si="7"/>
        <v>0</v>
      </c>
      <c r="E24" s="49">
        <v>0</v>
      </c>
      <c r="F24" s="50">
        <f t="shared" si="4"/>
        <v>0</v>
      </c>
      <c r="G24" s="51">
        <f t="shared" si="1"/>
        <v>0</v>
      </c>
      <c r="H24" s="48">
        <f t="shared" si="2"/>
        <v>0</v>
      </c>
      <c r="I24" s="49">
        <f t="shared" si="2"/>
        <v>0</v>
      </c>
      <c r="J24" s="52">
        <f t="shared" si="5"/>
        <v>0</v>
      </c>
      <c r="K24" s="53">
        <f t="shared" si="6"/>
        <v>0</v>
      </c>
      <c r="L24" s="49">
        <f t="shared" si="3"/>
        <v>0</v>
      </c>
    </row>
    <row r="25" spans="1:20" x14ac:dyDescent="0.25">
      <c r="A25" s="47">
        <v>42947</v>
      </c>
      <c r="B25" s="48">
        <f>C25</f>
        <v>0</v>
      </c>
      <c r="C25" s="49">
        <v>0</v>
      </c>
      <c r="D25" s="48">
        <f t="shared" si="7"/>
        <v>0</v>
      </c>
      <c r="E25" s="49">
        <v>0</v>
      </c>
      <c r="F25" s="50">
        <f t="shared" si="4"/>
        <v>0</v>
      </c>
      <c r="G25" s="51">
        <f t="shared" si="1"/>
        <v>0</v>
      </c>
      <c r="H25" s="48">
        <f t="shared" si="2"/>
        <v>0</v>
      </c>
      <c r="I25" s="49">
        <f t="shared" si="2"/>
        <v>0</v>
      </c>
      <c r="J25" s="52">
        <f t="shared" si="5"/>
        <v>0</v>
      </c>
      <c r="K25" s="53">
        <f t="shared" si="6"/>
        <v>0</v>
      </c>
      <c r="L25" s="49">
        <f t="shared" si="3"/>
        <v>0</v>
      </c>
    </row>
    <row r="26" spans="1:20" x14ac:dyDescent="0.25">
      <c r="A26" s="47">
        <v>42978</v>
      </c>
      <c r="B26" s="48">
        <f t="shared" ref="B26:B36" si="8">C26</f>
        <v>0</v>
      </c>
      <c r="C26" s="49">
        <v>0</v>
      </c>
      <c r="D26" s="48">
        <f t="shared" si="7"/>
        <v>0</v>
      </c>
      <c r="E26" s="49">
        <v>0</v>
      </c>
      <c r="F26" s="50">
        <f t="shared" si="4"/>
        <v>0</v>
      </c>
      <c r="G26" s="51">
        <f t="shared" si="1"/>
        <v>0</v>
      </c>
      <c r="H26" s="48">
        <f t="shared" si="2"/>
        <v>0</v>
      </c>
      <c r="I26" s="49">
        <f t="shared" si="2"/>
        <v>0</v>
      </c>
      <c r="J26" s="52">
        <f t="shared" si="5"/>
        <v>0</v>
      </c>
      <c r="K26" s="53">
        <f t="shared" si="6"/>
        <v>0</v>
      </c>
      <c r="L26" s="49">
        <f t="shared" si="3"/>
        <v>0</v>
      </c>
    </row>
    <row r="27" spans="1:20" ht="14.4" x14ac:dyDescent="0.3">
      <c r="A27" s="47">
        <v>43008</v>
      </c>
      <c r="B27" s="48">
        <f t="shared" si="8"/>
        <v>0</v>
      </c>
      <c r="C27" s="49">
        <v>0</v>
      </c>
      <c r="D27" s="48">
        <f t="shared" si="7"/>
        <v>0</v>
      </c>
      <c r="E27" s="49">
        <v>0</v>
      </c>
      <c r="F27" s="50">
        <f t="shared" si="4"/>
        <v>0</v>
      </c>
      <c r="G27" s="51">
        <f t="shared" si="1"/>
        <v>0</v>
      </c>
      <c r="H27" s="48">
        <f t="shared" si="2"/>
        <v>0</v>
      </c>
      <c r="I27" s="49">
        <f t="shared" si="2"/>
        <v>0</v>
      </c>
      <c r="J27" s="52">
        <f t="shared" si="5"/>
        <v>0</v>
      </c>
      <c r="K27" s="53">
        <f t="shared" si="6"/>
        <v>0</v>
      </c>
      <c r="L27" s="49">
        <f t="shared" si="3"/>
        <v>0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43039</v>
      </c>
      <c r="B28" s="48">
        <f t="shared" si="8"/>
        <v>0</v>
      </c>
      <c r="C28" s="49">
        <v>0</v>
      </c>
      <c r="D28" s="48">
        <f t="shared" si="7"/>
        <v>0</v>
      </c>
      <c r="E28" s="49">
        <v>0</v>
      </c>
      <c r="F28" s="50">
        <f t="shared" si="4"/>
        <v>0</v>
      </c>
      <c r="G28" s="51">
        <f t="shared" si="1"/>
        <v>0</v>
      </c>
      <c r="H28" s="48">
        <f t="shared" si="2"/>
        <v>0</v>
      </c>
      <c r="I28" s="49">
        <f t="shared" si="2"/>
        <v>0</v>
      </c>
      <c r="J28" s="52">
        <f t="shared" si="5"/>
        <v>0</v>
      </c>
      <c r="K28" s="53">
        <f t="shared" si="6"/>
        <v>0</v>
      </c>
      <c r="L28" s="49">
        <f t="shared" si="3"/>
        <v>0</v>
      </c>
      <c r="M28" s="6"/>
      <c r="N28" s="54"/>
      <c r="O28" s="54"/>
      <c r="P28" s="54"/>
      <c r="Q28" s="54"/>
      <c r="R28" s="54"/>
      <c r="S28" s="54"/>
      <c r="T28" s="54"/>
    </row>
    <row r="29" spans="1:20" ht="14.4" x14ac:dyDescent="0.3">
      <c r="A29" s="47">
        <v>43069</v>
      </c>
      <c r="B29" s="48">
        <f t="shared" si="8"/>
        <v>0</v>
      </c>
      <c r="C29" s="49">
        <v>0</v>
      </c>
      <c r="D29" s="48">
        <f t="shared" si="7"/>
        <v>0</v>
      </c>
      <c r="E29" s="49">
        <v>0</v>
      </c>
      <c r="F29" s="50">
        <f t="shared" si="4"/>
        <v>0</v>
      </c>
      <c r="G29" s="51">
        <f t="shared" si="1"/>
        <v>0</v>
      </c>
      <c r="H29" s="48">
        <f t="shared" si="2"/>
        <v>0</v>
      </c>
      <c r="I29" s="49">
        <f t="shared" si="2"/>
        <v>0</v>
      </c>
      <c r="J29" s="52">
        <f t="shared" si="5"/>
        <v>0</v>
      </c>
      <c r="K29" s="53">
        <f t="shared" si="6"/>
        <v>0</v>
      </c>
      <c r="L29" s="49">
        <f t="shared" si="3"/>
        <v>0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43100</v>
      </c>
      <c r="B30" s="48">
        <f t="shared" si="8"/>
        <v>37510</v>
      </c>
      <c r="C30" s="49">
        <v>37510</v>
      </c>
      <c r="D30" s="48">
        <f>+(($B$30)*$B$5)</f>
        <v>22506</v>
      </c>
      <c r="E30" s="49">
        <v>85.960416666666674</v>
      </c>
      <c r="F30" s="50">
        <f t="shared" si="4"/>
        <v>-22506</v>
      </c>
      <c r="G30" s="51">
        <f t="shared" si="1"/>
        <v>-85.960416666666674</v>
      </c>
      <c r="H30" s="48">
        <f t="shared" si="2"/>
        <v>15004</v>
      </c>
      <c r="I30" s="49">
        <f t="shared" si="2"/>
        <v>37424.039583333331</v>
      </c>
      <c r="J30" s="52">
        <f t="shared" si="5"/>
        <v>22420.039583333331</v>
      </c>
      <c r="K30" s="53">
        <f>(-(J30-J29)*$K$12)+K29</f>
        <v>-7847.0138541666656</v>
      </c>
      <c r="L30" s="49">
        <f t="shared" si="3"/>
        <v>7847.0138541666656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43131</v>
      </c>
      <c r="B31" s="48">
        <f t="shared" si="8"/>
        <v>37510</v>
      </c>
      <c r="C31" s="49">
        <v>37510</v>
      </c>
      <c r="D31" s="140">
        <f>+((($B$42-$B$30)*$B$6/12)+($B$30)*$C$5/12)</f>
        <v>260721.13099999999</v>
      </c>
      <c r="E31" s="49">
        <v>171.92083333333335</v>
      </c>
      <c r="F31" s="50">
        <f t="shared" si="4"/>
        <v>-283227.13099999999</v>
      </c>
      <c r="G31" s="51">
        <f t="shared" si="1"/>
        <v>-257.88125000000002</v>
      </c>
      <c r="H31" s="48">
        <f t="shared" si="2"/>
        <v>-245717.13099999999</v>
      </c>
      <c r="I31" s="49">
        <f t="shared" si="2"/>
        <v>37252.118750000001</v>
      </c>
      <c r="J31" s="52">
        <f t="shared" si="5"/>
        <v>282969.24975000002</v>
      </c>
      <c r="K31" s="53">
        <f>(-(J31-J30)*$K$13)+K30</f>
        <v>-62562.347989166672</v>
      </c>
      <c r="L31" s="49">
        <f t="shared" si="3"/>
        <v>54715.334135000005</v>
      </c>
      <c r="M31" s="6"/>
      <c r="N31" s="54"/>
      <c r="O31" s="54"/>
      <c r="P31" s="54"/>
      <c r="Q31" s="54"/>
      <c r="R31" s="54"/>
      <c r="S31" s="54"/>
      <c r="T31" s="54"/>
    </row>
    <row r="32" spans="1:20" x14ac:dyDescent="0.25">
      <c r="A32" s="47">
        <v>43159</v>
      </c>
      <c r="B32" s="48">
        <f t="shared" si="8"/>
        <v>37510</v>
      </c>
      <c r="C32" s="49">
        <v>37510</v>
      </c>
      <c r="D32" s="140">
        <f t="shared" ref="D32:D42" si="9">+((($B$42-$B$30)*$B$6/12)+($B$30)*$C$5/12)</f>
        <v>260721.13099999999</v>
      </c>
      <c r="E32" s="49">
        <v>171.92083333333335</v>
      </c>
      <c r="F32" s="50">
        <f t="shared" si="4"/>
        <v>-543948.26199999999</v>
      </c>
      <c r="G32" s="51">
        <f t="shared" si="4"/>
        <v>-429.80208333333337</v>
      </c>
      <c r="H32" s="48">
        <f t="shared" ref="H32:I36" si="10">B32+F32</f>
        <v>-506438.26199999999</v>
      </c>
      <c r="I32" s="49">
        <f t="shared" si="10"/>
        <v>37080.197916666664</v>
      </c>
      <c r="J32" s="52">
        <f t="shared" si="5"/>
        <v>543518.45991666662</v>
      </c>
      <c r="K32" s="53">
        <f t="shared" ref="K32:K36" si="11">(-(J32-J31)*$K$13)+K31</f>
        <v>-117277.68212416666</v>
      </c>
      <c r="L32" s="49">
        <f t="shared" si="3"/>
        <v>54715.33413499999</v>
      </c>
      <c r="M32" s="55"/>
      <c r="N32" s="54"/>
      <c r="O32" s="54"/>
      <c r="P32" s="54"/>
      <c r="Q32" s="54"/>
      <c r="R32" s="54"/>
      <c r="S32" s="54"/>
      <c r="T32" s="54"/>
    </row>
    <row r="33" spans="1:20" x14ac:dyDescent="0.25">
      <c r="A33" s="47">
        <v>43190</v>
      </c>
      <c r="B33" s="48">
        <f t="shared" si="8"/>
        <v>15653321.199999999</v>
      </c>
      <c r="C33" s="49">
        <v>15653321.199999999</v>
      </c>
      <c r="D33" s="140">
        <f t="shared" si="9"/>
        <v>260721.13099999999</v>
      </c>
      <c r="E33" s="49">
        <v>35958.154833333327</v>
      </c>
      <c r="F33" s="50">
        <f t="shared" ref="F33:G36" si="12">+F32-D33</f>
        <v>-804669.39299999992</v>
      </c>
      <c r="G33" s="51">
        <f t="shared" si="12"/>
        <v>-36387.956916666662</v>
      </c>
      <c r="H33" s="48">
        <f t="shared" si="10"/>
        <v>14848651.807</v>
      </c>
      <c r="I33" s="49">
        <f t="shared" si="10"/>
        <v>15616933.243083332</v>
      </c>
      <c r="J33" s="52">
        <f t="shared" si="5"/>
        <v>768281.4360833317</v>
      </c>
      <c r="K33" s="53">
        <f t="shared" si="11"/>
        <v>-164477.90711916634</v>
      </c>
      <c r="L33" s="49">
        <f t="shared" si="3"/>
        <v>47200.224994999677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43220</v>
      </c>
      <c r="B34" s="48">
        <f t="shared" si="8"/>
        <v>15653321.199999999</v>
      </c>
      <c r="C34" s="49">
        <v>15653321.199999999</v>
      </c>
      <c r="D34" s="140">
        <f t="shared" si="9"/>
        <v>260721.13099999999</v>
      </c>
      <c r="E34" s="49">
        <v>71744.388833333331</v>
      </c>
      <c r="F34" s="50">
        <f t="shared" si="12"/>
        <v>-1065390.524</v>
      </c>
      <c r="G34" s="51">
        <f t="shared" si="12"/>
        <v>-108132.34574999999</v>
      </c>
      <c r="H34" s="48">
        <f t="shared" si="10"/>
        <v>14587930.675999999</v>
      </c>
      <c r="I34" s="49">
        <f t="shared" si="10"/>
        <v>15545188.854249999</v>
      </c>
      <c r="J34" s="52">
        <f t="shared" si="5"/>
        <v>957258.17824999988</v>
      </c>
      <c r="K34" s="53">
        <f t="shared" si="11"/>
        <v>-204163.02297416667</v>
      </c>
      <c r="L34" s="49">
        <f t="shared" si="3"/>
        <v>39685.115855000331</v>
      </c>
      <c r="M34" s="55"/>
      <c r="N34" s="56"/>
      <c r="O34" s="54"/>
      <c r="P34" s="54"/>
      <c r="Q34" s="54"/>
      <c r="R34" s="54"/>
      <c r="S34" s="54"/>
      <c r="T34" s="54"/>
    </row>
    <row r="35" spans="1:20" x14ac:dyDescent="0.25">
      <c r="A35" s="47">
        <v>43251</v>
      </c>
      <c r="B35" s="48">
        <f t="shared" si="8"/>
        <v>15653321.199999999</v>
      </c>
      <c r="C35" s="49">
        <v>15653321.199999999</v>
      </c>
      <c r="D35" s="140">
        <f t="shared" si="9"/>
        <v>260721.13099999999</v>
      </c>
      <c r="E35" s="49">
        <v>71744.388833333331</v>
      </c>
      <c r="F35" s="50">
        <f t="shared" si="12"/>
        <v>-1326111.655</v>
      </c>
      <c r="G35" s="51">
        <f t="shared" si="12"/>
        <v>-179876.73458333331</v>
      </c>
      <c r="H35" s="48">
        <f t="shared" si="10"/>
        <v>14327209.545</v>
      </c>
      <c r="I35" s="49">
        <f t="shared" si="10"/>
        <v>15473444.465416666</v>
      </c>
      <c r="J35" s="52">
        <f t="shared" si="5"/>
        <v>1146234.9204166662</v>
      </c>
      <c r="K35" s="53">
        <f t="shared" si="11"/>
        <v>-243848.13882916659</v>
      </c>
      <c r="L35" s="49">
        <f t="shared" si="3"/>
        <v>39685.115854999924</v>
      </c>
      <c r="M35" s="55"/>
      <c r="N35" s="54"/>
      <c r="O35" s="54"/>
      <c r="P35" s="54"/>
      <c r="Q35" s="54"/>
      <c r="R35" s="54"/>
      <c r="S35" s="54"/>
      <c r="T35" s="54"/>
    </row>
    <row r="36" spans="1:20" ht="13.8" thickBot="1" x14ac:dyDescent="0.3">
      <c r="A36" s="133">
        <v>43281</v>
      </c>
      <c r="B36" s="134">
        <f t="shared" si="8"/>
        <v>15650769.859999999</v>
      </c>
      <c r="C36" s="135">
        <v>15650769.859999999</v>
      </c>
      <c r="D36" s="141">
        <f t="shared" si="9"/>
        <v>260721.13099999999</v>
      </c>
      <c r="E36" s="135">
        <v>71738.542012499995</v>
      </c>
      <c r="F36" s="136">
        <f t="shared" si="12"/>
        <v>-1586832.7860000001</v>
      </c>
      <c r="G36" s="137">
        <f t="shared" si="12"/>
        <v>-251615.2765958333</v>
      </c>
      <c r="H36" s="134">
        <f t="shared" si="10"/>
        <v>14063937.073999999</v>
      </c>
      <c r="I36" s="135">
        <f t="shared" si="10"/>
        <v>15399154.583404167</v>
      </c>
      <c r="J36" s="138">
        <f t="shared" si="5"/>
        <v>1335217.5094041675</v>
      </c>
      <c r="K36" s="139">
        <f t="shared" si="11"/>
        <v>-283534.48251654184</v>
      </c>
      <c r="L36" s="135">
        <f t="shared" si="3"/>
        <v>39686.343687375251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43312</v>
      </c>
      <c r="B37" s="48">
        <f>B36</f>
        <v>15650769.859999999</v>
      </c>
      <c r="C37" s="49">
        <f>C36</f>
        <v>15650769.859999999</v>
      </c>
      <c r="D37" s="48">
        <f t="shared" si="9"/>
        <v>260721.13099999999</v>
      </c>
      <c r="E37" s="49">
        <f>E36</f>
        <v>71738.542012499995</v>
      </c>
      <c r="F37" s="50">
        <f t="shared" ref="F37" si="13">+F36-D37</f>
        <v>-1847553.9170000001</v>
      </c>
      <c r="G37" s="51">
        <f t="shared" ref="G37" si="14">+G36-E37</f>
        <v>-323353.8186083333</v>
      </c>
      <c r="H37" s="48">
        <f t="shared" ref="H37" si="15">B37+F37</f>
        <v>13803215.943</v>
      </c>
      <c r="I37" s="49">
        <f t="shared" ref="I37" si="16">C37+G37</f>
        <v>15327416.041391667</v>
      </c>
      <c r="J37" s="52">
        <f t="shared" ref="J37" si="17">I37-H37</f>
        <v>1524200.098391667</v>
      </c>
      <c r="K37" s="53">
        <f t="shared" ref="K37" si="18">(-(J37-J36)*$K$13)+K36</f>
        <v>-323220.82620391675</v>
      </c>
      <c r="L37" s="49">
        <f t="shared" ref="L37" si="19">-K37+K36</f>
        <v>39686.343687374901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43343</v>
      </c>
      <c r="B38" s="48">
        <f t="shared" ref="B38:B56" si="20">B37</f>
        <v>15650769.859999999</v>
      </c>
      <c r="C38" s="49">
        <f t="shared" ref="C38:C56" si="21">C37</f>
        <v>15650769.859999999</v>
      </c>
      <c r="D38" s="48">
        <f t="shared" si="9"/>
        <v>260721.13099999999</v>
      </c>
      <c r="E38" s="49">
        <f t="shared" ref="E38:E56" si="22">E37</f>
        <v>71738.542012499995</v>
      </c>
      <c r="F38" s="50">
        <f t="shared" ref="F38:F56" si="23">+F37-D38</f>
        <v>-2108275.048</v>
      </c>
      <c r="G38" s="51">
        <f t="shared" ref="G38:G56" si="24">+G37-E38</f>
        <v>-395092.36062083329</v>
      </c>
      <c r="H38" s="48">
        <f t="shared" ref="H38:H56" si="25">B38+F38</f>
        <v>13542494.811999999</v>
      </c>
      <c r="I38" s="49">
        <f t="shared" ref="I38:I56" si="26">C38+G38</f>
        <v>15255677.499379165</v>
      </c>
      <c r="J38" s="52">
        <f t="shared" ref="J38:J56" si="27">I38-H38</f>
        <v>1713182.6873791665</v>
      </c>
      <c r="K38" s="53">
        <f t="shared" ref="K38:K56" si="28">(-(J38-J37)*$K$13)+K37</f>
        <v>-362907.16989129165</v>
      </c>
      <c r="L38" s="49">
        <f t="shared" ref="L38:L56" si="29">-K38+K37</f>
        <v>39686.343687374901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43373</v>
      </c>
      <c r="B39" s="48">
        <f t="shared" si="20"/>
        <v>15650769.859999999</v>
      </c>
      <c r="C39" s="49">
        <f t="shared" si="21"/>
        <v>15650769.859999999</v>
      </c>
      <c r="D39" s="48">
        <f t="shared" si="9"/>
        <v>260721.13099999999</v>
      </c>
      <c r="E39" s="49">
        <f t="shared" si="22"/>
        <v>71738.542012499995</v>
      </c>
      <c r="F39" s="50">
        <f t="shared" si="23"/>
        <v>-2368996.179</v>
      </c>
      <c r="G39" s="51">
        <f t="shared" si="24"/>
        <v>-466830.90263333329</v>
      </c>
      <c r="H39" s="48">
        <f t="shared" si="25"/>
        <v>13281773.681</v>
      </c>
      <c r="I39" s="49">
        <f t="shared" si="26"/>
        <v>15183938.957366666</v>
      </c>
      <c r="J39" s="52">
        <f t="shared" si="27"/>
        <v>1902165.276366666</v>
      </c>
      <c r="K39" s="53">
        <f t="shared" si="28"/>
        <v>-402593.51357866655</v>
      </c>
      <c r="L39" s="49">
        <f t="shared" si="29"/>
        <v>39686.343687374901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43404</v>
      </c>
      <c r="B40" s="48">
        <f t="shared" si="20"/>
        <v>15650769.859999999</v>
      </c>
      <c r="C40" s="49">
        <f t="shared" si="21"/>
        <v>15650769.859999999</v>
      </c>
      <c r="D40" s="48">
        <f t="shared" si="9"/>
        <v>260721.13099999999</v>
      </c>
      <c r="E40" s="49">
        <f t="shared" si="22"/>
        <v>71738.542012499995</v>
      </c>
      <c r="F40" s="50">
        <f t="shared" si="23"/>
        <v>-2629717.31</v>
      </c>
      <c r="G40" s="51">
        <f t="shared" si="24"/>
        <v>-538569.44464583322</v>
      </c>
      <c r="H40" s="48">
        <f t="shared" si="25"/>
        <v>13021052.549999999</v>
      </c>
      <c r="I40" s="49">
        <f t="shared" si="26"/>
        <v>15112200.415354166</v>
      </c>
      <c r="J40" s="52">
        <f t="shared" si="27"/>
        <v>2091147.8653541673</v>
      </c>
      <c r="K40" s="53">
        <f t="shared" si="28"/>
        <v>-442279.8572660418</v>
      </c>
      <c r="L40" s="49">
        <f t="shared" si="29"/>
        <v>39686.343687375251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43434</v>
      </c>
      <c r="B41" s="48">
        <f t="shared" si="20"/>
        <v>15650769.859999999</v>
      </c>
      <c r="C41" s="49">
        <f t="shared" si="21"/>
        <v>15650769.859999999</v>
      </c>
      <c r="D41" s="48">
        <f t="shared" si="9"/>
        <v>260721.13099999999</v>
      </c>
      <c r="E41" s="49">
        <f t="shared" si="22"/>
        <v>71738.542012499995</v>
      </c>
      <c r="F41" s="50">
        <f t="shared" si="23"/>
        <v>-2890438.4410000001</v>
      </c>
      <c r="G41" s="51">
        <f t="shared" si="24"/>
        <v>-610307.98665833322</v>
      </c>
      <c r="H41" s="48">
        <f t="shared" si="25"/>
        <v>12760331.419</v>
      </c>
      <c r="I41" s="49">
        <f t="shared" si="26"/>
        <v>15040461.873341667</v>
      </c>
      <c r="J41" s="52">
        <f t="shared" si="27"/>
        <v>2280130.4543416668</v>
      </c>
      <c r="K41" s="53">
        <f t="shared" si="28"/>
        <v>-481966.2009534167</v>
      </c>
      <c r="L41" s="49">
        <f t="shared" si="29"/>
        <v>39686.343687374901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43465</v>
      </c>
      <c r="B42" s="48">
        <f t="shared" si="20"/>
        <v>15650769.859999999</v>
      </c>
      <c r="C42" s="49">
        <f t="shared" si="21"/>
        <v>15650769.859999999</v>
      </c>
      <c r="D42" s="48">
        <f t="shared" si="9"/>
        <v>260721.13099999999</v>
      </c>
      <c r="E42" s="49">
        <f t="shared" si="22"/>
        <v>71738.542012499995</v>
      </c>
      <c r="F42" s="50">
        <f t="shared" si="23"/>
        <v>-3151159.5720000002</v>
      </c>
      <c r="G42" s="51">
        <f t="shared" si="24"/>
        <v>-682046.52867083321</v>
      </c>
      <c r="H42" s="48">
        <f t="shared" si="25"/>
        <v>12499610.287999999</v>
      </c>
      <c r="I42" s="49">
        <f t="shared" si="26"/>
        <v>14968723.331329167</v>
      </c>
      <c r="J42" s="52">
        <f t="shared" si="27"/>
        <v>2469113.0433291681</v>
      </c>
      <c r="K42" s="53">
        <f t="shared" si="28"/>
        <v>-521652.54464079195</v>
      </c>
      <c r="L42" s="49">
        <f t="shared" si="29"/>
        <v>39686.343687375251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43496</v>
      </c>
      <c r="B43" s="48">
        <f t="shared" si="20"/>
        <v>15650769.859999999</v>
      </c>
      <c r="C43" s="49">
        <f t="shared" si="21"/>
        <v>15650769.859999999</v>
      </c>
      <c r="D43" s="48">
        <f>+((($B$36-$B$30)*$C$6/12)+($B$30)*$D$5/12)</f>
        <v>416653.67626666668</v>
      </c>
      <c r="E43" s="49">
        <f t="shared" si="22"/>
        <v>71738.542012499995</v>
      </c>
      <c r="F43" s="50">
        <f t="shared" si="23"/>
        <v>-3567813.2482666667</v>
      </c>
      <c r="G43" s="51">
        <f t="shared" si="24"/>
        <v>-753785.07068333321</v>
      </c>
      <c r="H43" s="48">
        <f t="shared" si="25"/>
        <v>12082956.611733332</v>
      </c>
      <c r="I43" s="49">
        <f t="shared" si="26"/>
        <v>14896984.789316665</v>
      </c>
      <c r="J43" s="52">
        <f t="shared" si="27"/>
        <v>2814028.1775833331</v>
      </c>
      <c r="K43" s="53">
        <f t="shared" si="28"/>
        <v>-594084.72283416661</v>
      </c>
      <c r="L43" s="49">
        <f t="shared" si="29"/>
        <v>72432.178193374653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43524</v>
      </c>
      <c r="B44" s="48">
        <f t="shared" si="20"/>
        <v>15650769.859999999</v>
      </c>
      <c r="C44" s="49">
        <f t="shared" si="21"/>
        <v>15650769.859999999</v>
      </c>
      <c r="D44" s="48">
        <f t="shared" ref="D44:D54" si="30">+((($B$36-$B$30)*$C$6/12)+($B$30)*$D$5/12)</f>
        <v>416653.67626666668</v>
      </c>
      <c r="E44" s="49">
        <f t="shared" si="22"/>
        <v>71738.542012499995</v>
      </c>
      <c r="F44" s="50">
        <f t="shared" si="23"/>
        <v>-3984466.9245333332</v>
      </c>
      <c r="G44" s="51">
        <f t="shared" si="24"/>
        <v>-825523.6126958332</v>
      </c>
      <c r="H44" s="48">
        <f t="shared" si="25"/>
        <v>11666302.935466666</v>
      </c>
      <c r="I44" s="49">
        <f t="shared" si="26"/>
        <v>14825246.247304166</v>
      </c>
      <c r="J44" s="52">
        <f t="shared" si="27"/>
        <v>3158943.3118375</v>
      </c>
      <c r="K44" s="53">
        <f t="shared" si="28"/>
        <v>-666516.90102754161</v>
      </c>
      <c r="L44" s="49">
        <f t="shared" si="29"/>
        <v>72432.178193375003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43555</v>
      </c>
      <c r="B45" s="48">
        <f t="shared" si="20"/>
        <v>15650769.859999999</v>
      </c>
      <c r="C45" s="49">
        <f t="shared" si="21"/>
        <v>15650769.859999999</v>
      </c>
      <c r="D45" s="48">
        <f t="shared" si="30"/>
        <v>416653.67626666668</v>
      </c>
      <c r="E45" s="49">
        <f t="shared" si="22"/>
        <v>71738.542012499995</v>
      </c>
      <c r="F45" s="50">
        <f t="shared" si="23"/>
        <v>-4401120.6008000001</v>
      </c>
      <c r="G45" s="51">
        <f t="shared" si="24"/>
        <v>-897262.1547083332</v>
      </c>
      <c r="H45" s="48">
        <f t="shared" si="25"/>
        <v>11249649.259199999</v>
      </c>
      <c r="I45" s="49">
        <f t="shared" si="26"/>
        <v>14753507.705291666</v>
      </c>
      <c r="J45" s="52">
        <f t="shared" si="27"/>
        <v>3503858.4460916668</v>
      </c>
      <c r="K45" s="53">
        <f t="shared" si="28"/>
        <v>-738949.07922091661</v>
      </c>
      <c r="L45" s="49">
        <f t="shared" si="29"/>
        <v>72432.178193375003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43585</v>
      </c>
      <c r="B46" s="48">
        <f t="shared" si="20"/>
        <v>15650769.859999999</v>
      </c>
      <c r="C46" s="49">
        <f t="shared" si="21"/>
        <v>15650769.859999999</v>
      </c>
      <c r="D46" s="48">
        <f t="shared" si="30"/>
        <v>416653.67626666668</v>
      </c>
      <c r="E46" s="49">
        <f t="shared" si="22"/>
        <v>71738.542012499995</v>
      </c>
      <c r="F46" s="50">
        <f t="shared" si="23"/>
        <v>-4817774.2770666666</v>
      </c>
      <c r="G46" s="51">
        <f t="shared" si="24"/>
        <v>-969000.69672083319</v>
      </c>
      <c r="H46" s="48">
        <f t="shared" si="25"/>
        <v>10832995.582933333</v>
      </c>
      <c r="I46" s="49">
        <f t="shared" si="26"/>
        <v>14681769.163279166</v>
      </c>
      <c r="J46" s="52">
        <f t="shared" si="27"/>
        <v>3848773.5803458337</v>
      </c>
      <c r="K46" s="53">
        <f t="shared" si="28"/>
        <v>-811381.25741429161</v>
      </c>
      <c r="L46" s="49">
        <f t="shared" si="29"/>
        <v>72432.178193375003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43616</v>
      </c>
      <c r="B47" s="48">
        <f t="shared" si="20"/>
        <v>15650769.859999999</v>
      </c>
      <c r="C47" s="49">
        <f t="shared" si="21"/>
        <v>15650769.859999999</v>
      </c>
      <c r="D47" s="48">
        <f t="shared" si="30"/>
        <v>416653.67626666668</v>
      </c>
      <c r="E47" s="49">
        <f t="shared" si="22"/>
        <v>71738.542012499995</v>
      </c>
      <c r="F47" s="50">
        <f t="shared" si="23"/>
        <v>-5234427.9533333331</v>
      </c>
      <c r="G47" s="51">
        <f t="shared" si="24"/>
        <v>-1040739.2387333332</v>
      </c>
      <c r="H47" s="48">
        <f t="shared" si="25"/>
        <v>10416341.906666666</v>
      </c>
      <c r="I47" s="49">
        <f t="shared" si="26"/>
        <v>14610030.621266667</v>
      </c>
      <c r="J47" s="52">
        <f t="shared" si="27"/>
        <v>4193688.7146000005</v>
      </c>
      <c r="K47" s="53">
        <f t="shared" si="28"/>
        <v>-883813.43560766662</v>
      </c>
      <c r="L47" s="49">
        <f t="shared" si="29"/>
        <v>72432.178193375003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43646</v>
      </c>
      <c r="B48" s="48">
        <f t="shared" si="20"/>
        <v>15650769.859999999</v>
      </c>
      <c r="C48" s="49">
        <f t="shared" si="21"/>
        <v>15650769.859999999</v>
      </c>
      <c r="D48" s="48">
        <f t="shared" si="30"/>
        <v>416653.67626666668</v>
      </c>
      <c r="E48" s="49">
        <f t="shared" si="22"/>
        <v>71738.542012499995</v>
      </c>
      <c r="F48" s="50">
        <f t="shared" si="23"/>
        <v>-5651081.6295999996</v>
      </c>
      <c r="G48" s="51">
        <f t="shared" si="24"/>
        <v>-1112477.7807458332</v>
      </c>
      <c r="H48" s="48">
        <f t="shared" si="25"/>
        <v>9999688.2303999998</v>
      </c>
      <c r="I48" s="49">
        <f t="shared" si="26"/>
        <v>14538292.079254165</v>
      </c>
      <c r="J48" s="52">
        <f t="shared" si="27"/>
        <v>4538603.8488541655</v>
      </c>
      <c r="K48" s="53">
        <f t="shared" si="28"/>
        <v>-956245.61380104127</v>
      </c>
      <c r="L48" s="49">
        <f t="shared" si="29"/>
        <v>72432.178193374653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43677</v>
      </c>
      <c r="B49" s="48">
        <f t="shared" si="20"/>
        <v>15650769.859999999</v>
      </c>
      <c r="C49" s="49">
        <f t="shared" si="21"/>
        <v>15650769.859999999</v>
      </c>
      <c r="D49" s="48">
        <f t="shared" si="30"/>
        <v>416653.67626666668</v>
      </c>
      <c r="E49" s="49">
        <f t="shared" si="22"/>
        <v>71738.542012499995</v>
      </c>
      <c r="F49" s="50">
        <f t="shared" si="23"/>
        <v>-6067735.3058666661</v>
      </c>
      <c r="G49" s="51">
        <f t="shared" si="24"/>
        <v>-1184216.3227583333</v>
      </c>
      <c r="H49" s="48">
        <f t="shared" si="25"/>
        <v>9583034.5541333333</v>
      </c>
      <c r="I49" s="49">
        <f t="shared" si="26"/>
        <v>14466553.537241666</v>
      </c>
      <c r="J49" s="52">
        <f t="shared" si="27"/>
        <v>4883518.9831083324</v>
      </c>
      <c r="K49" s="53">
        <f t="shared" si="28"/>
        <v>-1028677.7919944163</v>
      </c>
      <c r="L49" s="49">
        <f t="shared" si="29"/>
        <v>72432.178193375003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43708</v>
      </c>
      <c r="B50" s="48">
        <f t="shared" si="20"/>
        <v>15650769.859999999</v>
      </c>
      <c r="C50" s="49">
        <f t="shared" si="21"/>
        <v>15650769.859999999</v>
      </c>
      <c r="D50" s="48">
        <f t="shared" si="30"/>
        <v>416653.67626666668</v>
      </c>
      <c r="E50" s="49">
        <f t="shared" si="22"/>
        <v>71738.542012499995</v>
      </c>
      <c r="F50" s="50">
        <f t="shared" si="23"/>
        <v>-6484388.9821333326</v>
      </c>
      <c r="G50" s="51">
        <f t="shared" si="24"/>
        <v>-1255954.8647708334</v>
      </c>
      <c r="H50" s="48">
        <f t="shared" si="25"/>
        <v>9166380.8778666668</v>
      </c>
      <c r="I50" s="49">
        <f t="shared" si="26"/>
        <v>14394814.995229166</v>
      </c>
      <c r="J50" s="52">
        <f t="shared" si="27"/>
        <v>5228434.1173624992</v>
      </c>
      <c r="K50" s="53">
        <f t="shared" si="28"/>
        <v>-1101109.9701877914</v>
      </c>
      <c r="L50" s="49">
        <f t="shared" si="29"/>
        <v>72432.178193375119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43738</v>
      </c>
      <c r="B51" s="48">
        <f t="shared" si="20"/>
        <v>15650769.859999999</v>
      </c>
      <c r="C51" s="49">
        <f t="shared" si="21"/>
        <v>15650769.859999999</v>
      </c>
      <c r="D51" s="48">
        <f t="shared" si="30"/>
        <v>416653.67626666668</v>
      </c>
      <c r="E51" s="49">
        <f t="shared" si="22"/>
        <v>71738.542012499995</v>
      </c>
      <c r="F51" s="50">
        <f t="shared" si="23"/>
        <v>-6901042.6583999991</v>
      </c>
      <c r="G51" s="51">
        <f t="shared" si="24"/>
        <v>-1327693.4067833335</v>
      </c>
      <c r="H51" s="48">
        <f t="shared" si="25"/>
        <v>8749727.2016000003</v>
      </c>
      <c r="I51" s="49">
        <f t="shared" si="26"/>
        <v>14323076.453216666</v>
      </c>
      <c r="J51" s="52">
        <f t="shared" si="27"/>
        <v>5573349.2516166661</v>
      </c>
      <c r="K51" s="53">
        <f t="shared" si="28"/>
        <v>-1173542.1483811664</v>
      </c>
      <c r="L51" s="49">
        <f t="shared" si="29"/>
        <v>72432.178193375003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43769</v>
      </c>
      <c r="B52" s="48">
        <f t="shared" si="20"/>
        <v>15650769.859999999</v>
      </c>
      <c r="C52" s="49">
        <f t="shared" si="21"/>
        <v>15650769.859999999</v>
      </c>
      <c r="D52" s="48">
        <f t="shared" si="30"/>
        <v>416653.67626666668</v>
      </c>
      <c r="E52" s="49">
        <f t="shared" si="22"/>
        <v>71738.542012499995</v>
      </c>
      <c r="F52" s="50">
        <f t="shared" si="23"/>
        <v>-7317696.3346666656</v>
      </c>
      <c r="G52" s="51">
        <f t="shared" si="24"/>
        <v>-1399431.9487958336</v>
      </c>
      <c r="H52" s="48">
        <f t="shared" si="25"/>
        <v>8333073.5253333338</v>
      </c>
      <c r="I52" s="49">
        <f t="shared" si="26"/>
        <v>14251337.911204167</v>
      </c>
      <c r="J52" s="52">
        <f t="shared" si="27"/>
        <v>5918264.3858708329</v>
      </c>
      <c r="K52" s="53">
        <f t="shared" si="28"/>
        <v>-1245974.3265745414</v>
      </c>
      <c r="L52" s="49">
        <f t="shared" si="29"/>
        <v>72432.178193375003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43799</v>
      </c>
      <c r="B53" s="48">
        <f t="shared" si="20"/>
        <v>15650769.859999999</v>
      </c>
      <c r="C53" s="49">
        <f t="shared" si="21"/>
        <v>15650769.859999999</v>
      </c>
      <c r="D53" s="48">
        <f t="shared" si="30"/>
        <v>416653.67626666668</v>
      </c>
      <c r="E53" s="49">
        <f t="shared" si="22"/>
        <v>71738.542012499995</v>
      </c>
      <c r="F53" s="50">
        <f t="shared" si="23"/>
        <v>-7734350.0109333321</v>
      </c>
      <c r="G53" s="51">
        <f t="shared" si="24"/>
        <v>-1471170.4908083337</v>
      </c>
      <c r="H53" s="48">
        <f t="shared" si="25"/>
        <v>7916419.8490666673</v>
      </c>
      <c r="I53" s="49">
        <f t="shared" si="26"/>
        <v>14179599.369191665</v>
      </c>
      <c r="J53" s="52">
        <f t="shared" si="27"/>
        <v>6263179.5201249979</v>
      </c>
      <c r="K53" s="53">
        <f t="shared" si="28"/>
        <v>-1318406.5047679159</v>
      </c>
      <c r="L53" s="49">
        <f t="shared" si="29"/>
        <v>72432.178193374537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43830</v>
      </c>
      <c r="B54" s="48">
        <f t="shared" si="20"/>
        <v>15650769.859999999</v>
      </c>
      <c r="C54" s="49">
        <f t="shared" si="21"/>
        <v>15650769.859999999</v>
      </c>
      <c r="D54" s="48">
        <f t="shared" si="30"/>
        <v>416653.67626666668</v>
      </c>
      <c r="E54" s="49">
        <f t="shared" si="22"/>
        <v>71738.542012499995</v>
      </c>
      <c r="F54" s="50">
        <f t="shared" si="23"/>
        <v>-8151003.6871999986</v>
      </c>
      <c r="G54" s="51">
        <f t="shared" si="24"/>
        <v>-1542909.0328208338</v>
      </c>
      <c r="H54" s="48">
        <f t="shared" si="25"/>
        <v>7499766.1728000008</v>
      </c>
      <c r="I54" s="49">
        <f t="shared" si="26"/>
        <v>14107860.827179166</v>
      </c>
      <c r="J54" s="52">
        <f t="shared" si="27"/>
        <v>6608094.6543791648</v>
      </c>
      <c r="K54" s="53">
        <f t="shared" si="28"/>
        <v>-1390838.6829612909</v>
      </c>
      <c r="L54" s="49">
        <f t="shared" si="29"/>
        <v>72432.178193375003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43861</v>
      </c>
      <c r="B55" s="48">
        <f t="shared" si="20"/>
        <v>15650769.859999999</v>
      </c>
      <c r="C55" s="49">
        <f t="shared" si="21"/>
        <v>15650769.859999999</v>
      </c>
      <c r="D55" s="48">
        <f>+((($B$36-$B$30)*$D$6/12)+($B$30)*$E$5/12)</f>
        <v>249992.20576000001</v>
      </c>
      <c r="E55" s="49">
        <f t="shared" si="22"/>
        <v>71738.542012499995</v>
      </c>
      <c r="F55" s="50">
        <f t="shared" si="23"/>
        <v>-8400995.8929599989</v>
      </c>
      <c r="G55" s="51">
        <f t="shared" si="24"/>
        <v>-1614647.574833334</v>
      </c>
      <c r="H55" s="48">
        <f t="shared" si="25"/>
        <v>7249773.9670400005</v>
      </c>
      <c r="I55" s="49">
        <f t="shared" si="26"/>
        <v>14036122.285166666</v>
      </c>
      <c r="J55" s="52">
        <f t="shared" si="27"/>
        <v>6786348.3181266654</v>
      </c>
      <c r="K55" s="53">
        <f t="shared" si="28"/>
        <v>-1428271.952348266</v>
      </c>
      <c r="L55" s="49">
        <f t="shared" si="29"/>
        <v>37433.269386975095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43890</v>
      </c>
      <c r="B56" s="48">
        <f t="shared" si="20"/>
        <v>15650769.859999999</v>
      </c>
      <c r="C56" s="49">
        <f t="shared" si="21"/>
        <v>15650769.859999999</v>
      </c>
      <c r="D56" s="48">
        <f>+((($B$36-$B$30)*$D$6/12)+($B$30)*$E$5/12)</f>
        <v>249992.20576000001</v>
      </c>
      <c r="E56" s="49">
        <f t="shared" si="22"/>
        <v>71738.542012499995</v>
      </c>
      <c r="F56" s="50">
        <f t="shared" si="23"/>
        <v>-8650988.0987199992</v>
      </c>
      <c r="G56" s="51">
        <f t="shared" si="24"/>
        <v>-1686386.1168458341</v>
      </c>
      <c r="H56" s="48">
        <f t="shared" si="25"/>
        <v>6999781.7612800002</v>
      </c>
      <c r="I56" s="49">
        <f t="shared" si="26"/>
        <v>13964383.743154164</v>
      </c>
      <c r="J56" s="52">
        <f t="shared" si="27"/>
        <v>6964601.9818741642</v>
      </c>
      <c r="K56" s="53">
        <f t="shared" si="28"/>
        <v>-1465705.2217352407</v>
      </c>
      <c r="L56" s="49">
        <f t="shared" si="29"/>
        <v>37433.269386974629</v>
      </c>
      <c r="M56" s="55"/>
      <c r="N56" s="54"/>
      <c r="O56" s="54"/>
      <c r="P56" s="54"/>
      <c r="Q56" s="54"/>
      <c r="R56" s="54"/>
      <c r="S56" s="54"/>
      <c r="T56" s="54"/>
    </row>
    <row r="57" spans="1:20" ht="13.8" thickBot="1" x14ac:dyDescent="0.3">
      <c r="A57" s="57"/>
      <c r="B57" s="58"/>
      <c r="C57" s="59"/>
      <c r="D57" s="58"/>
      <c r="E57" s="59"/>
      <c r="F57" s="58"/>
      <c r="G57" s="59"/>
      <c r="H57" s="58"/>
      <c r="I57" s="59"/>
      <c r="J57" s="60"/>
      <c r="K57" s="59"/>
      <c r="L57" s="59"/>
      <c r="M57" s="55"/>
      <c r="N57" s="54"/>
      <c r="O57" s="54"/>
      <c r="P57" s="54"/>
      <c r="Q57" s="54"/>
      <c r="R57" s="54"/>
      <c r="S57" s="54"/>
      <c r="T57" s="54"/>
    </row>
    <row r="58" spans="1:20" ht="13.8" thickBot="1" x14ac:dyDescent="0.3">
      <c r="A58" s="61"/>
      <c r="B58" s="61">
        <f>(B24+B36+SUM(B25:B35)*2)/24</f>
        <v>4574823.2108333325</v>
      </c>
      <c r="C58" s="62">
        <f>(C24+C36+SUM(C25:C35)*2)/24</f>
        <v>4574823.2108333325</v>
      </c>
      <c r="D58" s="61">
        <f>SUM(D25:D57)</f>
        <v>8650988.0987199992</v>
      </c>
      <c r="E58" s="62">
        <f>SUM(E25:E57)</f>
        <v>1686386.1168458341</v>
      </c>
      <c r="F58" s="61">
        <f>(F24+F36+SUM(F25:F35)*2)/24</f>
        <v>-403272.44650000002</v>
      </c>
      <c r="G58" s="62">
        <f>(G24+G36+SUM(G25:G35)*2)/24</f>
        <v>-37581.526608159715</v>
      </c>
      <c r="H58" s="61">
        <f t="shared" ref="H58:K58" si="31">(H24+H36+SUM(H25:H35)*2)/24</f>
        <v>4171550.7643333334</v>
      </c>
      <c r="I58" s="63">
        <f t="shared" si="31"/>
        <v>4537241.6842251737</v>
      </c>
      <c r="J58" s="64">
        <f t="shared" ref="J58" si="32">I58-H58</f>
        <v>365690.91989184031</v>
      </c>
      <c r="K58" s="65">
        <f t="shared" si="31"/>
        <v>-78495.279512355875</v>
      </c>
      <c r="L58" s="66">
        <f>SUM(L25:L57)</f>
        <v>1465705.2217352407</v>
      </c>
      <c r="M58" s="55"/>
      <c r="N58" s="67"/>
      <c r="O58" s="68"/>
      <c r="P58" s="54"/>
      <c r="Q58" s="54"/>
      <c r="R58" s="54"/>
      <c r="S58" s="54"/>
      <c r="T58" s="54"/>
    </row>
    <row r="59" spans="1:20" ht="13.8" thickTop="1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4"/>
      <c r="O59" s="54"/>
      <c r="P59" s="54"/>
      <c r="Q59" s="54"/>
      <c r="R59" s="54"/>
      <c r="S59" s="54"/>
      <c r="T59" s="54"/>
    </row>
    <row r="60" spans="1:20" x14ac:dyDescent="0.25">
      <c r="A60" s="54"/>
      <c r="B60" s="54"/>
      <c r="C60" s="69"/>
      <c r="D60" s="54"/>
      <c r="E60" s="54"/>
      <c r="F60" s="54"/>
      <c r="G60" s="69"/>
      <c r="H60" s="78"/>
      <c r="I60" s="69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5">
      <c r="A61" s="54"/>
      <c r="B61" s="54"/>
      <c r="C61" s="54"/>
      <c r="D61" s="54"/>
      <c r="E61" s="54"/>
      <c r="F61" s="54"/>
      <c r="G61" s="54"/>
      <c r="H61" s="78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5">
      <c r="A62" s="18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4.4" x14ac:dyDescent="0.3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6"/>
      <c r="N63" s="6"/>
      <c r="O63" s="6"/>
    </row>
    <row r="64" spans="1:20" ht="14.4" x14ac:dyDescent="0.3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6"/>
      <c r="N64" s="6"/>
      <c r="O64" s="6"/>
      <c r="P64" s="6"/>
    </row>
    <row r="65" spans="2:12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92D050"/>
  </sheetPr>
  <dimension ref="A1:O61"/>
  <sheetViews>
    <sheetView workbookViewId="0">
      <pane xSplit="2" ySplit="7" topLeftCell="C8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4.4" x14ac:dyDescent="0.3"/>
  <cols>
    <col min="1" max="1" width="5.109375" bestFit="1" customWidth="1"/>
    <col min="2" max="2" width="33.44140625" bestFit="1" customWidth="1"/>
    <col min="3" max="14" width="12.5546875" bestFit="1" customWidth="1"/>
    <col min="15" max="15" width="11.5546875" bestFit="1" customWidth="1"/>
  </cols>
  <sheetData>
    <row r="1" spans="1:14" x14ac:dyDescent="0.3">
      <c r="A1" s="1" t="s">
        <v>170</v>
      </c>
    </row>
    <row r="3" spans="1:14" x14ac:dyDescent="0.3">
      <c r="B3" t="s">
        <v>94</v>
      </c>
      <c r="C3" s="88">
        <f>'ERF ROR'!E17</f>
        <v>7.4899999999999994E-2</v>
      </c>
      <c r="G3" s="88"/>
    </row>
    <row r="4" spans="1:14" x14ac:dyDescent="0.3">
      <c r="B4" t="s">
        <v>115</v>
      </c>
      <c r="C4" s="88">
        <f>'ERF ROR'!E15</f>
        <v>2.8799999999999999E-2</v>
      </c>
      <c r="G4" s="88"/>
    </row>
    <row r="5" spans="1:14" x14ac:dyDescent="0.3">
      <c r="B5" t="s">
        <v>116</v>
      </c>
      <c r="C5" s="130">
        <v>0.21</v>
      </c>
    </row>
    <row r="6" spans="1:14" x14ac:dyDescent="0.3">
      <c r="A6" s="86" t="s">
        <v>88</v>
      </c>
    </row>
    <row r="7" spans="1:14" x14ac:dyDescent="0.3">
      <c r="A7" s="87" t="s">
        <v>87</v>
      </c>
      <c r="B7" s="87" t="s">
        <v>86</v>
      </c>
      <c r="C7" s="126">
        <v>43555</v>
      </c>
      <c r="D7" s="126">
        <v>43585</v>
      </c>
      <c r="E7" s="126">
        <v>43616</v>
      </c>
      <c r="F7" s="126">
        <v>43646</v>
      </c>
      <c r="G7" s="126">
        <v>43677</v>
      </c>
      <c r="H7" s="126">
        <v>43708</v>
      </c>
      <c r="I7" s="126">
        <v>43738</v>
      </c>
      <c r="J7" s="126">
        <v>43769</v>
      </c>
      <c r="K7" s="126">
        <v>43799</v>
      </c>
      <c r="L7" s="126">
        <v>43830</v>
      </c>
      <c r="M7" s="126">
        <v>43861</v>
      </c>
      <c r="N7" s="126">
        <v>43890</v>
      </c>
    </row>
    <row r="9" spans="1:14" x14ac:dyDescent="0.3">
      <c r="A9">
        <v>1</v>
      </c>
      <c r="B9" s="146" t="s">
        <v>165</v>
      </c>
    </row>
    <row r="10" spans="1:14" x14ac:dyDescent="0.3">
      <c r="A10">
        <v>2</v>
      </c>
      <c r="B10" t="s">
        <v>89</v>
      </c>
      <c r="C10" s="127">
        <f>C26+C42</f>
        <v>16472886.358219998</v>
      </c>
      <c r="D10" s="127">
        <f t="shared" ref="D10:N10" si="0">D26+D42</f>
        <v>16472886.358219998</v>
      </c>
      <c r="E10" s="127">
        <f t="shared" si="0"/>
        <v>16472886.358219998</v>
      </c>
      <c r="F10" s="127">
        <f t="shared" si="0"/>
        <v>16472886.358219998</v>
      </c>
      <c r="G10" s="127">
        <f t="shared" si="0"/>
        <v>16472886.358219998</v>
      </c>
      <c r="H10" s="127">
        <f t="shared" si="0"/>
        <v>16472886.358219998</v>
      </c>
      <c r="I10" s="127">
        <f t="shared" si="0"/>
        <v>16472886.358219998</v>
      </c>
      <c r="J10" s="127">
        <f t="shared" si="0"/>
        <v>16472886.358219998</v>
      </c>
      <c r="K10" s="127">
        <f t="shared" si="0"/>
        <v>16472886.358219998</v>
      </c>
      <c r="L10" s="127">
        <f t="shared" si="0"/>
        <v>16472886.358219998</v>
      </c>
      <c r="M10" s="127">
        <f t="shared" si="0"/>
        <v>16472886.358219998</v>
      </c>
      <c r="N10" s="127">
        <f t="shared" si="0"/>
        <v>16472886.358219998</v>
      </c>
    </row>
    <row r="11" spans="1:14" x14ac:dyDescent="0.3">
      <c r="A11">
        <v>3</v>
      </c>
      <c r="B11" t="s">
        <v>16</v>
      </c>
      <c r="C11" s="128">
        <f t="shared" ref="C11:N12" si="1">C27+C43</f>
        <v>-2379022.1025321204</v>
      </c>
      <c r="D11" s="128">
        <f t="shared" si="1"/>
        <v>-2546803.1551509122</v>
      </c>
      <c r="E11" s="128">
        <f t="shared" si="1"/>
        <v>-2714584.2077697041</v>
      </c>
      <c r="F11" s="128">
        <f t="shared" si="1"/>
        <v>-2882365.2603884954</v>
      </c>
      <c r="G11" s="128">
        <f t="shared" si="1"/>
        <v>-3050146.3130072867</v>
      </c>
      <c r="H11" s="128">
        <f t="shared" si="1"/>
        <v>-3217927.365626079</v>
      </c>
      <c r="I11" s="128">
        <f t="shared" si="1"/>
        <v>-3385708.4182448708</v>
      </c>
      <c r="J11" s="128">
        <f t="shared" si="1"/>
        <v>-3553489.4708636622</v>
      </c>
      <c r="K11" s="128">
        <f t="shared" si="1"/>
        <v>-3721270.523482454</v>
      </c>
      <c r="L11" s="128">
        <f t="shared" si="1"/>
        <v>-3889051.5761012458</v>
      </c>
      <c r="M11" s="128">
        <f t="shared" si="1"/>
        <v>-4056832.6287200372</v>
      </c>
      <c r="N11" s="128">
        <f t="shared" si="1"/>
        <v>-4224613.681338829</v>
      </c>
    </row>
    <row r="12" spans="1:14" x14ac:dyDescent="0.3">
      <c r="A12">
        <v>4</v>
      </c>
      <c r="B12" t="s">
        <v>90</v>
      </c>
      <c r="C12" s="128">
        <f t="shared" si="1"/>
        <v>-1264924.1766327838</v>
      </c>
      <c r="D12" s="128">
        <f t="shared" si="1"/>
        <v>-1299177.9307079297</v>
      </c>
      <c r="E12" s="128">
        <f t="shared" si="1"/>
        <v>-1333431.684783075</v>
      </c>
      <c r="F12" s="128">
        <f t="shared" si="1"/>
        <v>-1367685.4388582211</v>
      </c>
      <c r="G12" s="128">
        <f t="shared" si="1"/>
        <v>-1401939.1929333671</v>
      </c>
      <c r="H12" s="128">
        <f t="shared" si="1"/>
        <v>-1436192.9470085127</v>
      </c>
      <c r="I12" s="128">
        <f t="shared" si="1"/>
        <v>-1470446.7010836585</v>
      </c>
      <c r="J12" s="128">
        <f t="shared" si="1"/>
        <v>-1504700.4551588041</v>
      </c>
      <c r="K12" s="128">
        <f t="shared" si="1"/>
        <v>-1538954.2092339501</v>
      </c>
      <c r="L12" s="128">
        <f t="shared" si="1"/>
        <v>-1573207.9633090959</v>
      </c>
      <c r="M12" s="128">
        <f t="shared" si="1"/>
        <v>-1597882.570988751</v>
      </c>
      <c r="N12" s="128">
        <f t="shared" si="1"/>
        <v>-1622557.1786684061</v>
      </c>
    </row>
    <row r="13" spans="1:14" x14ac:dyDescent="0.3">
      <c r="A13">
        <v>5</v>
      </c>
      <c r="B13" t="s">
        <v>91</v>
      </c>
      <c r="C13" s="129">
        <f>SUM(C10:C12)</f>
        <v>12828940.079055093</v>
      </c>
      <c r="D13" s="129">
        <f>SUM(D10:D12)</f>
        <v>12626905.272361156</v>
      </c>
      <c r="E13" s="129">
        <f t="shared" ref="E13:N13" si="2">SUM(E10:E12)</f>
        <v>12424870.465667218</v>
      </c>
      <c r="F13" s="129">
        <f t="shared" si="2"/>
        <v>12222835.658973282</v>
      </c>
      <c r="G13" s="129">
        <f t="shared" si="2"/>
        <v>12020800.852279345</v>
      </c>
      <c r="H13" s="129">
        <f t="shared" si="2"/>
        <v>11818766.045585405</v>
      </c>
      <c r="I13" s="129">
        <f t="shared" si="2"/>
        <v>11616731.238891469</v>
      </c>
      <c r="J13" s="129">
        <f t="shared" si="2"/>
        <v>11414696.432197532</v>
      </c>
      <c r="K13" s="129">
        <f t="shared" si="2"/>
        <v>11212661.625503592</v>
      </c>
      <c r="L13" s="129">
        <f t="shared" si="2"/>
        <v>11010626.818809656</v>
      </c>
      <c r="M13" s="129">
        <f t="shared" si="2"/>
        <v>10818171.15851121</v>
      </c>
      <c r="N13" s="129">
        <f t="shared" si="2"/>
        <v>10625715.498212762</v>
      </c>
    </row>
    <row r="14" spans="1:14" x14ac:dyDescent="0.3">
      <c r="A14">
        <v>6</v>
      </c>
      <c r="B14" t="s">
        <v>94</v>
      </c>
      <c r="C14" s="88">
        <f>$C$3</f>
        <v>7.4899999999999994E-2</v>
      </c>
      <c r="D14" s="88">
        <f>$C$3</f>
        <v>7.4899999999999994E-2</v>
      </c>
      <c r="E14" s="88">
        <f t="shared" ref="E14:N14" si="3">$C$3</f>
        <v>7.4899999999999994E-2</v>
      </c>
      <c r="F14" s="88">
        <f t="shared" si="3"/>
        <v>7.4899999999999994E-2</v>
      </c>
      <c r="G14" s="88">
        <f t="shared" si="3"/>
        <v>7.4899999999999994E-2</v>
      </c>
      <c r="H14" s="88">
        <f t="shared" si="3"/>
        <v>7.4899999999999994E-2</v>
      </c>
      <c r="I14" s="88">
        <f t="shared" si="3"/>
        <v>7.4899999999999994E-2</v>
      </c>
      <c r="J14" s="88">
        <f t="shared" si="3"/>
        <v>7.4899999999999994E-2</v>
      </c>
      <c r="K14" s="88">
        <f t="shared" si="3"/>
        <v>7.4899999999999994E-2</v>
      </c>
      <c r="L14" s="88">
        <f t="shared" si="3"/>
        <v>7.4899999999999994E-2</v>
      </c>
      <c r="M14" s="88">
        <f t="shared" si="3"/>
        <v>7.4899999999999994E-2</v>
      </c>
      <c r="N14" s="88">
        <f t="shared" si="3"/>
        <v>7.4899999999999994E-2</v>
      </c>
    </row>
    <row r="15" spans="1:14" x14ac:dyDescent="0.3">
      <c r="A15">
        <v>7</v>
      </c>
      <c r="B15" t="s">
        <v>92</v>
      </c>
      <c r="C15" s="128">
        <f>C13*C14</f>
        <v>960887.61192122637</v>
      </c>
      <c r="D15" s="128">
        <f>D13*D14</f>
        <v>945755.20489985053</v>
      </c>
      <c r="E15" s="128">
        <f t="shared" ref="E15:N15" si="4">E13*E14</f>
        <v>930622.79787847458</v>
      </c>
      <c r="F15" s="128">
        <f t="shared" si="4"/>
        <v>915490.39085709874</v>
      </c>
      <c r="G15" s="128">
        <f t="shared" si="4"/>
        <v>900357.98383572279</v>
      </c>
      <c r="H15" s="128">
        <f t="shared" si="4"/>
        <v>885225.57681434683</v>
      </c>
      <c r="I15" s="128">
        <f t="shared" si="4"/>
        <v>870093.16979297099</v>
      </c>
      <c r="J15" s="128">
        <f t="shared" si="4"/>
        <v>854960.76277159504</v>
      </c>
      <c r="K15" s="128">
        <f t="shared" si="4"/>
        <v>839828.35575021897</v>
      </c>
      <c r="L15" s="128">
        <f t="shared" si="4"/>
        <v>824695.94872884324</v>
      </c>
      <c r="M15" s="128">
        <f t="shared" si="4"/>
        <v>810281.01977248956</v>
      </c>
      <c r="N15" s="128">
        <f t="shared" si="4"/>
        <v>795866.09081613587</v>
      </c>
    </row>
    <row r="16" spans="1:14" x14ac:dyDescent="0.3">
      <c r="A16">
        <v>8</v>
      </c>
      <c r="B16" t="s">
        <v>93</v>
      </c>
      <c r="C16" s="128">
        <f>-C13*$C$4*$C$5</f>
        <v>-77589.429598125193</v>
      </c>
      <c r="D16" s="128">
        <f>-D13*$C$4*$C$5</f>
        <v>-76367.523087240261</v>
      </c>
      <c r="E16" s="128">
        <f t="shared" ref="E16:N16" si="5">-E13*$C$4*$C$5</f>
        <v>-75145.616576355329</v>
      </c>
      <c r="F16" s="128">
        <f t="shared" si="5"/>
        <v>-73923.710065470412</v>
      </c>
      <c r="G16" s="128">
        <f t="shared" si="5"/>
        <v>-72701.803554585465</v>
      </c>
      <c r="H16" s="128">
        <f t="shared" si="5"/>
        <v>-71479.897043700519</v>
      </c>
      <c r="I16" s="128">
        <f t="shared" si="5"/>
        <v>-70257.990532815602</v>
      </c>
      <c r="J16" s="128">
        <f t="shared" si="5"/>
        <v>-69036.08402193067</v>
      </c>
      <c r="K16" s="128">
        <f t="shared" si="5"/>
        <v>-67814.177511045724</v>
      </c>
      <c r="L16" s="128">
        <f t="shared" si="5"/>
        <v>-66592.271000160807</v>
      </c>
      <c r="M16" s="128">
        <f t="shared" si="5"/>
        <v>-65428.299166675795</v>
      </c>
      <c r="N16" s="128">
        <f t="shared" si="5"/>
        <v>-64264.327333190784</v>
      </c>
    </row>
    <row r="17" spans="1:15" x14ac:dyDescent="0.3">
      <c r="A17">
        <v>9</v>
      </c>
      <c r="B17" t="s">
        <v>117</v>
      </c>
      <c r="C17" s="129">
        <f>SUM(C15:C16)</f>
        <v>883298.18232310121</v>
      </c>
      <c r="D17" s="129">
        <f>SUM(D15:D16)</f>
        <v>869387.68181261024</v>
      </c>
      <c r="E17" s="129">
        <f t="shared" ref="E17:N17" si="6">SUM(E15:E16)</f>
        <v>855477.18130211928</v>
      </c>
      <c r="F17" s="129">
        <f t="shared" si="6"/>
        <v>841566.68079162831</v>
      </c>
      <c r="G17" s="129">
        <f t="shared" si="6"/>
        <v>827656.18028113735</v>
      </c>
      <c r="H17" s="129">
        <f t="shared" si="6"/>
        <v>813745.67977064627</v>
      </c>
      <c r="I17" s="129">
        <f t="shared" si="6"/>
        <v>799835.17926015542</v>
      </c>
      <c r="J17" s="129">
        <f t="shared" si="6"/>
        <v>785924.67874966434</v>
      </c>
      <c r="K17" s="129">
        <f t="shared" si="6"/>
        <v>772014.17823917326</v>
      </c>
      <c r="L17" s="129">
        <f t="shared" si="6"/>
        <v>758103.67772868241</v>
      </c>
      <c r="M17" s="129">
        <f t="shared" si="6"/>
        <v>744852.72060581378</v>
      </c>
      <c r="N17" s="129">
        <f t="shared" si="6"/>
        <v>731601.76348294504</v>
      </c>
    </row>
    <row r="18" spans="1:15" x14ac:dyDescent="0.3">
      <c r="A18">
        <v>10</v>
      </c>
      <c r="B18" t="s">
        <v>118</v>
      </c>
      <c r="C18" s="131">
        <f>1-$C$5</f>
        <v>0.79</v>
      </c>
      <c r="D18" s="131">
        <f>1-$C$5</f>
        <v>0.79</v>
      </c>
      <c r="E18" s="131">
        <f t="shared" ref="E18:N18" si="7">1-$C$5</f>
        <v>0.79</v>
      </c>
      <c r="F18" s="131">
        <f t="shared" si="7"/>
        <v>0.79</v>
      </c>
      <c r="G18" s="131">
        <f t="shared" si="7"/>
        <v>0.79</v>
      </c>
      <c r="H18" s="131">
        <f t="shared" si="7"/>
        <v>0.79</v>
      </c>
      <c r="I18" s="131">
        <f t="shared" si="7"/>
        <v>0.79</v>
      </c>
      <c r="J18" s="131">
        <f t="shared" si="7"/>
        <v>0.79</v>
      </c>
      <c r="K18" s="131">
        <f t="shared" si="7"/>
        <v>0.79</v>
      </c>
      <c r="L18" s="131">
        <f t="shared" si="7"/>
        <v>0.79</v>
      </c>
      <c r="M18" s="131">
        <f t="shared" si="7"/>
        <v>0.79</v>
      </c>
      <c r="N18" s="131">
        <f t="shared" si="7"/>
        <v>0.79</v>
      </c>
    </row>
    <row r="19" spans="1:15" x14ac:dyDescent="0.3">
      <c r="A19">
        <v>11</v>
      </c>
      <c r="B19" t="s">
        <v>120</v>
      </c>
      <c r="C19" s="129">
        <f>C17/C18</f>
        <v>1118098.9649659509</v>
      </c>
      <c r="D19" s="129">
        <f>D17/D18</f>
        <v>1100490.7364716586</v>
      </c>
      <c r="E19" s="129">
        <f t="shared" ref="E19:N19" si="8">E17/E18</f>
        <v>1082882.5079773662</v>
      </c>
      <c r="F19" s="129">
        <f t="shared" si="8"/>
        <v>1065274.2794830739</v>
      </c>
      <c r="G19" s="129">
        <f t="shared" si="8"/>
        <v>1047666.0509887814</v>
      </c>
      <c r="H19" s="129">
        <f t="shared" si="8"/>
        <v>1030057.8224944889</v>
      </c>
      <c r="I19" s="129">
        <f t="shared" si="8"/>
        <v>1012449.5940001967</v>
      </c>
      <c r="J19" s="129">
        <f t="shared" si="8"/>
        <v>994841.36550590419</v>
      </c>
      <c r="K19" s="129">
        <f t="shared" si="8"/>
        <v>977233.13701161172</v>
      </c>
      <c r="L19" s="129">
        <f t="shared" si="8"/>
        <v>959624.90851731948</v>
      </c>
      <c r="M19" s="129">
        <f t="shared" si="8"/>
        <v>942851.54507065029</v>
      </c>
      <c r="N19" s="129">
        <f t="shared" si="8"/>
        <v>926078.18162398099</v>
      </c>
    </row>
    <row r="20" spans="1:15" x14ac:dyDescent="0.3">
      <c r="A20">
        <v>12</v>
      </c>
      <c r="B20" t="s">
        <v>121</v>
      </c>
      <c r="C20" s="128">
        <v>12</v>
      </c>
      <c r="D20" s="128">
        <v>12</v>
      </c>
      <c r="E20" s="128">
        <v>12</v>
      </c>
      <c r="F20" s="128">
        <v>12</v>
      </c>
      <c r="G20" s="128">
        <v>12</v>
      </c>
      <c r="H20" s="128">
        <v>12</v>
      </c>
      <c r="I20" s="128">
        <v>12</v>
      </c>
      <c r="J20" s="128">
        <v>12</v>
      </c>
      <c r="K20" s="128">
        <v>12</v>
      </c>
      <c r="L20" s="128">
        <v>12</v>
      </c>
      <c r="M20" s="128">
        <v>12</v>
      </c>
      <c r="N20" s="128">
        <v>12</v>
      </c>
    </row>
    <row r="21" spans="1:15" ht="15" thickBot="1" x14ac:dyDescent="0.35">
      <c r="A21">
        <v>13</v>
      </c>
      <c r="B21" t="s">
        <v>119</v>
      </c>
      <c r="C21" s="132">
        <f>C19/C20</f>
        <v>93174.913747162573</v>
      </c>
      <c r="D21" s="132">
        <f>D19/D20</f>
        <v>91707.561372638214</v>
      </c>
      <c r="E21" s="132">
        <f t="shared" ref="E21:N21" si="9">E19/E20</f>
        <v>90240.208998113856</v>
      </c>
      <c r="F21" s="132">
        <f t="shared" si="9"/>
        <v>88772.856623589483</v>
      </c>
      <c r="G21" s="132">
        <f t="shared" si="9"/>
        <v>87305.50424906511</v>
      </c>
      <c r="H21" s="132">
        <f t="shared" si="9"/>
        <v>85838.151874540737</v>
      </c>
      <c r="I21" s="132">
        <f t="shared" si="9"/>
        <v>84370.799500016394</v>
      </c>
      <c r="J21" s="132">
        <f t="shared" si="9"/>
        <v>82903.447125492021</v>
      </c>
      <c r="K21" s="132">
        <f t="shared" si="9"/>
        <v>81436.094750967648</v>
      </c>
      <c r="L21" s="132">
        <f t="shared" si="9"/>
        <v>79968.74237644329</v>
      </c>
      <c r="M21" s="132">
        <f t="shared" si="9"/>
        <v>78570.962089220862</v>
      </c>
      <c r="N21" s="132">
        <f t="shared" si="9"/>
        <v>77173.18180199842</v>
      </c>
    </row>
    <row r="22" spans="1:15" ht="15" thickTop="1" x14ac:dyDescent="0.3">
      <c r="A22">
        <v>14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5" ht="15" thickBot="1" x14ac:dyDescent="0.35">
      <c r="A23">
        <v>15</v>
      </c>
      <c r="B23" t="s">
        <v>122</v>
      </c>
      <c r="C23" s="145">
        <f>SUM($C21:C21)</f>
        <v>93174.913747162573</v>
      </c>
      <c r="D23" s="145">
        <f>SUM($C21:D21)</f>
        <v>184882.47511980077</v>
      </c>
      <c r="E23" s="145">
        <f>SUM($C21:E21)</f>
        <v>275122.68411791464</v>
      </c>
      <c r="F23" s="145">
        <f>SUM($C21:F21)</f>
        <v>363895.54074150411</v>
      </c>
      <c r="G23" s="145">
        <f>SUM($C21:G21)</f>
        <v>451201.04499056924</v>
      </c>
      <c r="H23" s="145">
        <f>SUM($C21:H21)</f>
        <v>537039.19686510996</v>
      </c>
      <c r="I23" s="145">
        <f>SUM($C21:I21)</f>
        <v>621409.99636512634</v>
      </c>
      <c r="J23" s="145">
        <f>SUM($C21:J21)</f>
        <v>704313.44349061837</v>
      </c>
      <c r="K23" s="145">
        <f>SUM($C21:K21)</f>
        <v>785749.53824158607</v>
      </c>
      <c r="L23" s="145">
        <f>SUM($C21:L21)</f>
        <v>865718.28061802941</v>
      </c>
      <c r="M23" s="145">
        <f>SUM($C21:M21)</f>
        <v>944289.24270725029</v>
      </c>
      <c r="N23" s="145">
        <f>SUM($C21:N21)</f>
        <v>1021462.4245092487</v>
      </c>
    </row>
    <row r="24" spans="1:15" ht="15" thickTop="1" x14ac:dyDescent="0.3">
      <c r="A24">
        <v>16</v>
      </c>
    </row>
    <row r="25" spans="1:15" x14ac:dyDescent="0.3">
      <c r="A25">
        <v>17</v>
      </c>
      <c r="B25" s="146" t="s">
        <v>164</v>
      </c>
    </row>
    <row r="26" spans="1:15" x14ac:dyDescent="0.3">
      <c r="A26">
        <v>18</v>
      </c>
      <c r="B26" t="s">
        <v>89</v>
      </c>
      <c r="C26" s="127">
        <f>VLOOKUP(C$7,'AMI Gas AMA Combined'!$A$42:$L$53,3,FALSE)</f>
        <v>1575936.3100000003</v>
      </c>
      <c r="D26" s="127">
        <f>VLOOKUP(D$7,'AMI Gas AMA Combined'!$A$42:$L$53,3,FALSE)</f>
        <v>1575936.3100000003</v>
      </c>
      <c r="E26" s="127">
        <f>VLOOKUP(E$7,'AMI Gas AMA Combined'!$A$42:$L$53,3,FALSE)</f>
        <v>1575936.3100000003</v>
      </c>
      <c r="F26" s="127">
        <f>VLOOKUP(F$7,'AMI Gas AMA Combined'!$A$42:$L$53,3,FALSE)</f>
        <v>1575936.3100000003</v>
      </c>
      <c r="G26" s="127">
        <f>VLOOKUP(G$7,'AMI Gas AMA Combined'!$A$42:$L$53,3,FALSE)</f>
        <v>1575936.3100000003</v>
      </c>
      <c r="H26" s="127">
        <f>VLOOKUP(H$7,'AMI Gas AMA Combined'!$A$42:$L$53,3,FALSE)</f>
        <v>1575936.3100000003</v>
      </c>
      <c r="I26" s="127">
        <f>VLOOKUP(I$7,'AMI Gas AMA Combined'!$A$42:$L$53,3,FALSE)</f>
        <v>1575936.3100000003</v>
      </c>
      <c r="J26" s="127">
        <f>VLOOKUP(J$7,'AMI Gas AMA Combined'!$A$42:$L$53,3,FALSE)</f>
        <v>1575936.3100000003</v>
      </c>
      <c r="K26" s="127">
        <f>VLOOKUP(K$7,'AMI Gas AMA Combined'!$A$42:$L$53,3,FALSE)</f>
        <v>1575936.3100000003</v>
      </c>
      <c r="L26" s="127">
        <f>VLOOKUP(L$7,'AMI Gas AMA Combined'!$A$42:$L$53,3,FALSE)</f>
        <v>1575936.3100000003</v>
      </c>
      <c r="M26" s="127">
        <f>VLOOKUP(M$7,'AMI Gas AMA Combined'!$A$42:$L$53,3,FALSE)</f>
        <v>1575936.3100000003</v>
      </c>
      <c r="N26" s="127">
        <f>VLOOKUP(N$7,'AMI Gas AMA Combined'!$A$42:$L$53,3,FALSE)</f>
        <v>1575936.3100000003</v>
      </c>
      <c r="O26" s="128"/>
    </row>
    <row r="27" spans="1:15" x14ac:dyDescent="0.3">
      <c r="A27">
        <v>19</v>
      </c>
      <c r="B27" t="s">
        <v>16</v>
      </c>
      <c r="C27" s="128">
        <f>VLOOKUP(C$7,'AMI Gas AMA Combined'!$A$42:$L$53,7,FALSE)</f>
        <v>-55943.470783083321</v>
      </c>
      <c r="D27" s="128">
        <f>VLOOKUP(D$7,'AMI Gas AMA Combined'!$A$42:$L$53,7,FALSE)</f>
        <v>-60953.644874458318</v>
      </c>
      <c r="E27" s="128">
        <f>VLOOKUP(E$7,'AMI Gas AMA Combined'!$A$42:$L$53,7,FALSE)</f>
        <v>-65963.818965833314</v>
      </c>
      <c r="F27" s="128">
        <f>VLOOKUP(F$7,'AMI Gas AMA Combined'!$A$42:$L$53,7,FALSE)</f>
        <v>-70973.99305720831</v>
      </c>
      <c r="G27" s="128">
        <f>VLOOKUP(G$7,'AMI Gas AMA Combined'!$A$42:$L$53,7,FALSE)</f>
        <v>-75984.167148583307</v>
      </c>
      <c r="H27" s="128">
        <f>VLOOKUP(H$7,'AMI Gas AMA Combined'!$A$42:$L$53,7,FALSE)</f>
        <v>-80994.341239958303</v>
      </c>
      <c r="I27" s="128">
        <f>VLOOKUP(I$7,'AMI Gas AMA Combined'!$A$42:$L$53,7,FALSE)</f>
        <v>-86004.515331333299</v>
      </c>
      <c r="J27" s="128">
        <f>VLOOKUP(J$7,'AMI Gas AMA Combined'!$A$42:$L$53,7,FALSE)</f>
        <v>-91014.689422708296</v>
      </c>
      <c r="K27" s="128">
        <f>VLOOKUP(K$7,'AMI Gas AMA Combined'!$A$42:$L$53,7,FALSE)</f>
        <v>-96024.863514083292</v>
      </c>
      <c r="L27" s="128">
        <f>VLOOKUP(L$7,'AMI Gas AMA Combined'!$A$42:$L$53,7,FALSE)</f>
        <v>-101035.03760545829</v>
      </c>
      <c r="M27" s="128">
        <f>VLOOKUP(M$7,'AMI Gas AMA Combined'!$A$42:$L$53,7,FALSE)</f>
        <v>-106045.21169683328</v>
      </c>
      <c r="N27" s="128">
        <f>VLOOKUP(N$7,'AMI Gas AMA Combined'!$A$42:$L$53,7,FALSE)</f>
        <v>-111055.38578820828</v>
      </c>
    </row>
    <row r="28" spans="1:15" x14ac:dyDescent="0.3">
      <c r="A28">
        <v>20</v>
      </c>
      <c r="B28" t="s">
        <v>90</v>
      </c>
      <c r="C28" s="128">
        <f>VLOOKUP(C$7,'AMI Gas AMA Combined'!$A$42:$L$53,11,FALSE)</f>
        <v>-59758.121251668221</v>
      </c>
      <c r="D28" s="128">
        <f>VLOOKUP(D$7,'AMI Gas AMA Combined'!$A$42:$L$53,11,FALSE)</f>
        <v>-64168.977932126596</v>
      </c>
      <c r="E28" s="128">
        <f>VLOOKUP(E$7,'AMI Gas AMA Combined'!$A$42:$L$53,11,FALSE)</f>
        <v>-68579.834612584964</v>
      </c>
      <c r="F28" s="128">
        <f>VLOOKUP(F$7,'AMI Gas AMA Combined'!$A$42:$L$53,11,FALSE)</f>
        <v>-72990.691293043346</v>
      </c>
      <c r="G28" s="128">
        <f>VLOOKUP(G$7,'AMI Gas AMA Combined'!$A$42:$L$53,11,FALSE)</f>
        <v>-77401.547973501729</v>
      </c>
      <c r="H28" s="128">
        <f>VLOOKUP(H$7,'AMI Gas AMA Combined'!$A$42:$L$53,11,FALSE)</f>
        <v>-81812.404653960097</v>
      </c>
      <c r="I28" s="128">
        <f>VLOOKUP(I$7,'AMI Gas AMA Combined'!$A$42:$L$53,11,FALSE)</f>
        <v>-86223.261334418465</v>
      </c>
      <c r="J28" s="128">
        <f>VLOOKUP(J$7,'AMI Gas AMA Combined'!$A$42:$L$53,11,FALSE)</f>
        <v>-90634.118014876833</v>
      </c>
      <c r="K28" s="128">
        <f>VLOOKUP(K$7,'AMI Gas AMA Combined'!$A$42:$L$53,11,FALSE)</f>
        <v>-95044.974695335215</v>
      </c>
      <c r="L28" s="128">
        <f>VLOOKUP(L$7,'AMI Gas AMA Combined'!$A$42:$L$53,11,FALSE)</f>
        <v>-99455.831375793583</v>
      </c>
      <c r="M28" s="128">
        <f>VLOOKUP(M$7,'AMI Gas AMA Combined'!$A$42:$L$53,11,FALSE)</f>
        <v>-102398.22571020195</v>
      </c>
      <c r="N28" s="128">
        <f>VLOOKUP(N$7,'AMI Gas AMA Combined'!$A$42:$L$53,11,FALSE)</f>
        <v>-105340.62004461029</v>
      </c>
    </row>
    <row r="29" spans="1:15" x14ac:dyDescent="0.3">
      <c r="A29">
        <v>21</v>
      </c>
      <c r="B29" t="s">
        <v>91</v>
      </c>
      <c r="C29" s="129">
        <f>SUM(C26:C28)</f>
        <v>1460234.7179652487</v>
      </c>
      <c r="D29" s="129">
        <f t="shared" ref="D29:N29" si="10">SUM(D26:D28)</f>
        <v>1450813.6871934154</v>
      </c>
      <c r="E29" s="129">
        <f t="shared" si="10"/>
        <v>1441392.656421582</v>
      </c>
      <c r="F29" s="129">
        <f t="shared" si="10"/>
        <v>1431971.6256497486</v>
      </c>
      <c r="G29" s="129">
        <f t="shared" si="10"/>
        <v>1422550.5948779152</v>
      </c>
      <c r="H29" s="129">
        <f t="shared" si="10"/>
        <v>1413129.5641060818</v>
      </c>
      <c r="I29" s="129">
        <f t="shared" si="10"/>
        <v>1403708.5333342485</v>
      </c>
      <c r="J29" s="129">
        <f t="shared" si="10"/>
        <v>1394287.5025624153</v>
      </c>
      <c r="K29" s="129">
        <f t="shared" si="10"/>
        <v>1384866.4717905819</v>
      </c>
      <c r="L29" s="129">
        <f t="shared" si="10"/>
        <v>1375445.4410187486</v>
      </c>
      <c r="M29" s="129">
        <f t="shared" si="10"/>
        <v>1367492.8725929649</v>
      </c>
      <c r="N29" s="129">
        <f t="shared" si="10"/>
        <v>1359540.3041671817</v>
      </c>
    </row>
    <row r="30" spans="1:15" x14ac:dyDescent="0.3">
      <c r="A30">
        <v>22</v>
      </c>
      <c r="B30" t="s">
        <v>94</v>
      </c>
      <c r="C30" s="88">
        <f>$C$3</f>
        <v>7.4899999999999994E-2</v>
      </c>
      <c r="D30" s="88">
        <f t="shared" ref="D30:N30" si="11">$C$3</f>
        <v>7.4899999999999994E-2</v>
      </c>
      <c r="E30" s="88">
        <f t="shared" si="11"/>
        <v>7.4899999999999994E-2</v>
      </c>
      <c r="F30" s="88">
        <f t="shared" si="11"/>
        <v>7.4899999999999994E-2</v>
      </c>
      <c r="G30" s="88">
        <f t="shared" si="11"/>
        <v>7.4899999999999994E-2</v>
      </c>
      <c r="H30" s="88">
        <f t="shared" si="11"/>
        <v>7.4899999999999994E-2</v>
      </c>
      <c r="I30" s="88">
        <f t="shared" si="11"/>
        <v>7.4899999999999994E-2</v>
      </c>
      <c r="J30" s="88">
        <f t="shared" si="11"/>
        <v>7.4899999999999994E-2</v>
      </c>
      <c r="K30" s="88">
        <f t="shared" si="11"/>
        <v>7.4899999999999994E-2</v>
      </c>
      <c r="L30" s="88">
        <f t="shared" si="11"/>
        <v>7.4899999999999994E-2</v>
      </c>
      <c r="M30" s="88">
        <f t="shared" si="11"/>
        <v>7.4899999999999994E-2</v>
      </c>
      <c r="N30" s="88">
        <f t="shared" si="11"/>
        <v>7.4899999999999994E-2</v>
      </c>
    </row>
    <row r="31" spans="1:15" x14ac:dyDescent="0.3">
      <c r="A31">
        <v>23</v>
      </c>
      <c r="B31" t="s">
        <v>92</v>
      </c>
      <c r="C31" s="128">
        <f>C29*C30</f>
        <v>109371.58037559713</v>
      </c>
      <c r="D31" s="128">
        <f t="shared" ref="D31:N31" si="12">D29*D30</f>
        <v>108665.9451707868</v>
      </c>
      <c r="E31" s="128">
        <f t="shared" si="12"/>
        <v>107960.30996597648</v>
      </c>
      <c r="F31" s="128">
        <f t="shared" si="12"/>
        <v>107254.67476116616</v>
      </c>
      <c r="G31" s="128">
        <f t="shared" si="12"/>
        <v>106549.03955635584</v>
      </c>
      <c r="H31" s="128">
        <f t="shared" si="12"/>
        <v>105843.40435154553</v>
      </c>
      <c r="I31" s="128">
        <f t="shared" si="12"/>
        <v>105137.7691467352</v>
      </c>
      <c r="J31" s="128">
        <f t="shared" si="12"/>
        <v>104432.1339419249</v>
      </c>
      <c r="K31" s="128">
        <f t="shared" si="12"/>
        <v>103726.49873711458</v>
      </c>
      <c r="L31" s="128">
        <f t="shared" si="12"/>
        <v>103020.86353230425</v>
      </c>
      <c r="M31" s="128">
        <f t="shared" si="12"/>
        <v>102425.21615721306</v>
      </c>
      <c r="N31" s="128">
        <f t="shared" si="12"/>
        <v>101829.5687821219</v>
      </c>
    </row>
    <row r="32" spans="1:15" x14ac:dyDescent="0.3">
      <c r="A32">
        <v>24</v>
      </c>
      <c r="B32" t="s">
        <v>93</v>
      </c>
      <c r="C32" s="128">
        <f>-C29*$C$4*$C$5</f>
        <v>-8831.4995742538231</v>
      </c>
      <c r="D32" s="128">
        <f t="shared" ref="D32:N32" si="13">-D29*$C$4*$C$5</f>
        <v>-8774.5211801457754</v>
      </c>
      <c r="E32" s="128">
        <f t="shared" si="13"/>
        <v>-8717.5427860377276</v>
      </c>
      <c r="F32" s="128">
        <f t="shared" si="13"/>
        <v>-8660.5643919296799</v>
      </c>
      <c r="G32" s="128">
        <f t="shared" si="13"/>
        <v>-8603.5859978216304</v>
      </c>
      <c r="H32" s="128">
        <f t="shared" si="13"/>
        <v>-8546.6076037135826</v>
      </c>
      <c r="I32" s="128">
        <f t="shared" si="13"/>
        <v>-8489.6292096055349</v>
      </c>
      <c r="J32" s="128">
        <f t="shared" si="13"/>
        <v>-8432.6508154974872</v>
      </c>
      <c r="K32" s="128">
        <f t="shared" si="13"/>
        <v>-8375.6724213894395</v>
      </c>
      <c r="L32" s="128">
        <f t="shared" si="13"/>
        <v>-8318.6940272813918</v>
      </c>
      <c r="M32" s="128">
        <f t="shared" si="13"/>
        <v>-8270.5968934422508</v>
      </c>
      <c r="N32" s="128">
        <f t="shared" si="13"/>
        <v>-8222.4997596031153</v>
      </c>
    </row>
    <row r="33" spans="1:14" x14ac:dyDescent="0.3">
      <c r="A33">
        <v>25</v>
      </c>
      <c r="B33" t="s">
        <v>117</v>
      </c>
      <c r="C33" s="129">
        <f>SUM(C31:C32)</f>
        <v>100540.08080134331</v>
      </c>
      <c r="D33" s="129">
        <f t="shared" ref="D33:N33" si="14">SUM(D31:D32)</f>
        <v>99891.423990641022</v>
      </c>
      <c r="E33" s="129">
        <f t="shared" si="14"/>
        <v>99242.767179938761</v>
      </c>
      <c r="F33" s="129">
        <f t="shared" si="14"/>
        <v>98594.11036923647</v>
      </c>
      <c r="G33" s="129">
        <f t="shared" si="14"/>
        <v>97945.453558534209</v>
      </c>
      <c r="H33" s="129">
        <f t="shared" si="14"/>
        <v>97296.796747831948</v>
      </c>
      <c r="I33" s="129">
        <f t="shared" si="14"/>
        <v>96648.139937129657</v>
      </c>
      <c r="J33" s="129">
        <f t="shared" si="14"/>
        <v>95999.483126427411</v>
      </c>
      <c r="K33" s="129">
        <f t="shared" si="14"/>
        <v>95350.826315725149</v>
      </c>
      <c r="L33" s="129">
        <f t="shared" si="14"/>
        <v>94702.169505022859</v>
      </c>
      <c r="M33" s="129">
        <f t="shared" si="14"/>
        <v>94154.619263770801</v>
      </c>
      <c r="N33" s="129">
        <f t="shared" si="14"/>
        <v>93607.069022518786</v>
      </c>
    </row>
    <row r="34" spans="1:14" x14ac:dyDescent="0.3">
      <c r="A34">
        <v>26</v>
      </c>
      <c r="B34" t="s">
        <v>118</v>
      </c>
      <c r="C34" s="131">
        <f>1-$C$5</f>
        <v>0.79</v>
      </c>
      <c r="D34" s="131">
        <f t="shared" ref="D34:N34" si="15">1-$C$5</f>
        <v>0.79</v>
      </c>
      <c r="E34" s="131">
        <f t="shared" si="15"/>
        <v>0.79</v>
      </c>
      <c r="F34" s="131">
        <f t="shared" si="15"/>
        <v>0.79</v>
      </c>
      <c r="G34" s="131">
        <f t="shared" si="15"/>
        <v>0.79</v>
      </c>
      <c r="H34" s="131">
        <f t="shared" si="15"/>
        <v>0.79</v>
      </c>
      <c r="I34" s="131">
        <f t="shared" si="15"/>
        <v>0.79</v>
      </c>
      <c r="J34" s="131">
        <f t="shared" si="15"/>
        <v>0.79</v>
      </c>
      <c r="K34" s="131">
        <f t="shared" si="15"/>
        <v>0.79</v>
      </c>
      <c r="L34" s="131">
        <f t="shared" si="15"/>
        <v>0.79</v>
      </c>
      <c r="M34" s="131">
        <f t="shared" si="15"/>
        <v>0.79</v>
      </c>
      <c r="N34" s="131">
        <f t="shared" si="15"/>
        <v>0.79</v>
      </c>
    </row>
    <row r="35" spans="1:14" x14ac:dyDescent="0.3">
      <c r="A35">
        <v>27</v>
      </c>
      <c r="B35" t="s">
        <v>120</v>
      </c>
      <c r="C35" s="129">
        <f>C33/C34</f>
        <v>127265.92506499153</v>
      </c>
      <c r="D35" s="129">
        <f t="shared" ref="D35:N35" si="16">D33/D34</f>
        <v>126444.8404944823</v>
      </c>
      <c r="E35" s="129">
        <f t="shared" si="16"/>
        <v>125623.75592397311</v>
      </c>
      <c r="F35" s="129">
        <f t="shared" si="16"/>
        <v>124802.67135346388</v>
      </c>
      <c r="G35" s="129">
        <f t="shared" si="16"/>
        <v>123981.58678295469</v>
      </c>
      <c r="H35" s="129">
        <f t="shared" si="16"/>
        <v>123160.5022124455</v>
      </c>
      <c r="I35" s="129">
        <f t="shared" si="16"/>
        <v>122339.41764193626</v>
      </c>
      <c r="J35" s="129">
        <f t="shared" si="16"/>
        <v>121518.3330714271</v>
      </c>
      <c r="K35" s="129">
        <f t="shared" si="16"/>
        <v>120697.24850091791</v>
      </c>
      <c r="L35" s="129">
        <f t="shared" si="16"/>
        <v>119876.16393040867</v>
      </c>
      <c r="M35" s="129">
        <f t="shared" si="16"/>
        <v>119183.06235920354</v>
      </c>
      <c r="N35" s="129">
        <f t="shared" si="16"/>
        <v>118489.96078799845</v>
      </c>
    </row>
    <row r="36" spans="1:14" x14ac:dyDescent="0.3">
      <c r="A36">
        <v>28</v>
      </c>
      <c r="B36" t="s">
        <v>121</v>
      </c>
      <c r="C36" s="128">
        <v>12</v>
      </c>
      <c r="D36" s="128">
        <v>12</v>
      </c>
      <c r="E36" s="128">
        <v>12</v>
      </c>
      <c r="F36" s="128">
        <v>12</v>
      </c>
      <c r="G36" s="128">
        <v>12</v>
      </c>
      <c r="H36" s="128">
        <v>12</v>
      </c>
      <c r="I36" s="128">
        <v>12</v>
      </c>
      <c r="J36" s="128">
        <v>12</v>
      </c>
      <c r="K36" s="128">
        <v>12</v>
      </c>
      <c r="L36" s="128">
        <v>12</v>
      </c>
      <c r="M36" s="128">
        <v>12</v>
      </c>
      <c r="N36" s="128">
        <v>12</v>
      </c>
    </row>
    <row r="37" spans="1:14" ht="15" thickBot="1" x14ac:dyDescent="0.35">
      <c r="A37">
        <v>29</v>
      </c>
      <c r="B37" t="s">
        <v>119</v>
      </c>
      <c r="C37" s="132">
        <f>C35/C36</f>
        <v>10605.493755415961</v>
      </c>
      <c r="D37" s="132">
        <f t="shared" ref="D37:N37" si="17">D35/D36</f>
        <v>10537.070041206858</v>
      </c>
      <c r="E37" s="132">
        <f t="shared" si="17"/>
        <v>10468.646326997759</v>
      </c>
      <c r="F37" s="132">
        <f t="shared" si="17"/>
        <v>10400.222612788657</v>
      </c>
      <c r="G37" s="132">
        <f t="shared" si="17"/>
        <v>10331.798898579558</v>
      </c>
      <c r="H37" s="132">
        <f t="shared" si="17"/>
        <v>10263.375184370458</v>
      </c>
      <c r="I37" s="132">
        <f t="shared" si="17"/>
        <v>10194.951470161355</v>
      </c>
      <c r="J37" s="132">
        <f t="shared" si="17"/>
        <v>10126.527755952258</v>
      </c>
      <c r="K37" s="132">
        <f t="shared" si="17"/>
        <v>10058.10404174316</v>
      </c>
      <c r="L37" s="132">
        <f t="shared" si="17"/>
        <v>9989.6803275340553</v>
      </c>
      <c r="M37" s="132">
        <f t="shared" si="17"/>
        <v>9931.9218632669617</v>
      </c>
      <c r="N37" s="132">
        <f t="shared" si="17"/>
        <v>9874.1633989998718</v>
      </c>
    </row>
    <row r="38" spans="1:14" ht="15" thickTop="1" x14ac:dyDescent="0.3">
      <c r="A38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ht="15" thickBot="1" x14ac:dyDescent="0.35">
      <c r="A39">
        <v>31</v>
      </c>
      <c r="B39" t="s">
        <v>122</v>
      </c>
      <c r="C39" s="145">
        <f>SUM($C37:C37)</f>
        <v>10605.493755415961</v>
      </c>
      <c r="D39" s="145">
        <f>SUM($C37:D37)</f>
        <v>21142.563796622817</v>
      </c>
      <c r="E39" s="145">
        <f>SUM($C37:E37)</f>
        <v>31611.210123620578</v>
      </c>
      <c r="F39" s="145">
        <f>SUM($C37:F37)</f>
        <v>42011.432736409231</v>
      </c>
      <c r="G39" s="145">
        <f>SUM($C37:G37)</f>
        <v>52343.231634988791</v>
      </c>
      <c r="H39" s="145">
        <f>SUM($C37:H37)</f>
        <v>62606.606819359251</v>
      </c>
      <c r="I39" s="145">
        <f>SUM($C37:I37)</f>
        <v>72801.558289520603</v>
      </c>
      <c r="J39" s="145">
        <f>SUM($C37:J37)</f>
        <v>82928.086045472854</v>
      </c>
      <c r="K39" s="145">
        <f>SUM($C37:K37)</f>
        <v>92986.190087216019</v>
      </c>
      <c r="L39" s="145">
        <f>SUM($C37:L37)</f>
        <v>102975.87041475007</v>
      </c>
      <c r="M39" s="145">
        <f>SUM($C37:M37)</f>
        <v>112907.79227801703</v>
      </c>
      <c r="N39" s="145">
        <f>SUM($C37:N37)</f>
        <v>122781.9556770169</v>
      </c>
    </row>
    <row r="40" spans="1:14" ht="15" thickTop="1" x14ac:dyDescent="0.3">
      <c r="A40">
        <v>32</v>
      </c>
    </row>
    <row r="41" spans="1:14" x14ac:dyDescent="0.3">
      <c r="A41">
        <v>33</v>
      </c>
      <c r="B41" s="146" t="s">
        <v>166</v>
      </c>
    </row>
    <row r="42" spans="1:14" x14ac:dyDescent="0.3">
      <c r="A42">
        <v>34</v>
      </c>
      <c r="B42" t="s">
        <v>89</v>
      </c>
      <c r="C42" s="127">
        <f>'Return Common'!C42</f>
        <v>14896950.048219997</v>
      </c>
      <c r="D42" s="127">
        <f>'Return Common'!D42</f>
        <v>14896950.048219997</v>
      </c>
      <c r="E42" s="127">
        <f>'Return Common'!E42</f>
        <v>14896950.048219997</v>
      </c>
      <c r="F42" s="127">
        <f>'Return Common'!F42</f>
        <v>14896950.048219997</v>
      </c>
      <c r="G42" s="127">
        <f>'Return Common'!G42</f>
        <v>14896950.048219997</v>
      </c>
      <c r="H42" s="127">
        <f>'Return Common'!H42</f>
        <v>14896950.048219997</v>
      </c>
      <c r="I42" s="127">
        <f>'Return Common'!I42</f>
        <v>14896950.048219997</v>
      </c>
      <c r="J42" s="127">
        <f>'Return Common'!J42</f>
        <v>14896950.048219997</v>
      </c>
      <c r="K42" s="127">
        <f>'Return Common'!K42</f>
        <v>14896950.048219997</v>
      </c>
      <c r="L42" s="127">
        <f>'Return Common'!L42</f>
        <v>14896950.048219997</v>
      </c>
      <c r="M42" s="127">
        <f>'Return Common'!M42</f>
        <v>14896950.048219997</v>
      </c>
      <c r="N42" s="127">
        <f>'Return Common'!N42</f>
        <v>14896950.048219997</v>
      </c>
    </row>
    <row r="43" spans="1:14" x14ac:dyDescent="0.3">
      <c r="A43">
        <v>35</v>
      </c>
      <c r="B43" t="s">
        <v>16</v>
      </c>
      <c r="C43" s="128">
        <f>'Return Common'!C43</f>
        <v>-2323078.6317490372</v>
      </c>
      <c r="D43" s="128">
        <f>'Return Common'!D43</f>
        <v>-2485849.510276454</v>
      </c>
      <c r="E43" s="128">
        <f>'Return Common'!E43</f>
        <v>-2648620.3888038709</v>
      </c>
      <c r="F43" s="128">
        <f>'Return Common'!F43</f>
        <v>-2811391.2673312873</v>
      </c>
      <c r="G43" s="128">
        <f>'Return Common'!G43</f>
        <v>-2974162.1458587036</v>
      </c>
      <c r="H43" s="128">
        <f>'Return Common'!H43</f>
        <v>-3136933.0243861205</v>
      </c>
      <c r="I43" s="128">
        <f>'Return Common'!I43</f>
        <v>-3299703.9029135373</v>
      </c>
      <c r="J43" s="128">
        <f>'Return Common'!J43</f>
        <v>-3462474.7814409537</v>
      </c>
      <c r="K43" s="128">
        <f>'Return Common'!K43</f>
        <v>-3625245.6599683706</v>
      </c>
      <c r="L43" s="128">
        <f>'Return Common'!L43</f>
        <v>-3788016.5384957874</v>
      </c>
      <c r="M43" s="128">
        <f>'Return Common'!M43</f>
        <v>-3950787.4170232038</v>
      </c>
      <c r="N43" s="128">
        <f>'Return Common'!N43</f>
        <v>-4113558.2955506206</v>
      </c>
    </row>
    <row r="44" spans="1:14" x14ac:dyDescent="0.3">
      <c r="A44">
        <v>36</v>
      </c>
      <c r="B44" t="s">
        <v>90</v>
      </c>
      <c r="C44" s="128">
        <f>'Return Common'!C44</f>
        <v>-1205166.0553811155</v>
      </c>
      <c r="D44" s="128">
        <f>'Return Common'!D44</f>
        <v>-1235008.9527758032</v>
      </c>
      <c r="E44" s="128">
        <f>'Return Common'!E44</f>
        <v>-1264851.8501704901</v>
      </c>
      <c r="F44" s="128">
        <f>'Return Common'!F44</f>
        <v>-1294694.7475651777</v>
      </c>
      <c r="G44" s="128">
        <f>'Return Common'!G44</f>
        <v>-1324537.6449598654</v>
      </c>
      <c r="H44" s="128">
        <f>'Return Common'!H44</f>
        <v>-1354380.5423545525</v>
      </c>
      <c r="I44" s="128">
        <f>'Return Common'!I44</f>
        <v>-1384223.4397492399</v>
      </c>
      <c r="J44" s="128">
        <f>'Return Common'!J44</f>
        <v>-1414066.3371439273</v>
      </c>
      <c r="K44" s="128">
        <f>'Return Common'!K44</f>
        <v>-1443909.234538615</v>
      </c>
      <c r="L44" s="128">
        <f>'Return Common'!L44</f>
        <v>-1473752.1319333024</v>
      </c>
      <c r="M44" s="128">
        <f>'Return Common'!M44</f>
        <v>-1495484.345278549</v>
      </c>
      <c r="N44" s="128">
        <f>'Return Common'!N44</f>
        <v>-1517216.5586237959</v>
      </c>
    </row>
    <row r="45" spans="1:14" x14ac:dyDescent="0.3">
      <c r="A45">
        <v>37</v>
      </c>
      <c r="B45" t="s">
        <v>91</v>
      </c>
      <c r="C45" s="129">
        <f>SUM(C42:C44)</f>
        <v>11368705.361089844</v>
      </c>
      <c r="D45" s="129">
        <f t="shared" ref="D45:N45" si="18">SUM(D42:D44)</f>
        <v>11176091.585167741</v>
      </c>
      <c r="E45" s="129">
        <f t="shared" si="18"/>
        <v>10983477.809245637</v>
      </c>
      <c r="F45" s="129">
        <f t="shared" si="18"/>
        <v>10790864.033323532</v>
      </c>
      <c r="G45" s="129">
        <f t="shared" si="18"/>
        <v>10598250.257401429</v>
      </c>
      <c r="H45" s="129">
        <f t="shared" si="18"/>
        <v>10405636.481479324</v>
      </c>
      <c r="I45" s="129">
        <f t="shared" si="18"/>
        <v>10213022.70555722</v>
      </c>
      <c r="J45" s="129">
        <f t="shared" si="18"/>
        <v>10020408.929635115</v>
      </c>
      <c r="K45" s="129">
        <f t="shared" si="18"/>
        <v>9827795.1537130121</v>
      </c>
      <c r="L45" s="129">
        <f t="shared" si="18"/>
        <v>9635181.3777909093</v>
      </c>
      <c r="M45" s="129">
        <f t="shared" si="18"/>
        <v>9450678.2859182432</v>
      </c>
      <c r="N45" s="129">
        <f t="shared" si="18"/>
        <v>9266175.1940455809</v>
      </c>
    </row>
    <row r="46" spans="1:14" x14ac:dyDescent="0.3">
      <c r="A46">
        <v>38</v>
      </c>
      <c r="B46" t="s">
        <v>94</v>
      </c>
      <c r="C46" s="88">
        <f>$C$3</f>
        <v>7.4899999999999994E-2</v>
      </c>
      <c r="D46" s="88">
        <f t="shared" ref="D46:N46" si="19">$C$3</f>
        <v>7.4899999999999994E-2</v>
      </c>
      <c r="E46" s="88">
        <f t="shared" si="19"/>
        <v>7.4899999999999994E-2</v>
      </c>
      <c r="F46" s="88">
        <f t="shared" si="19"/>
        <v>7.4899999999999994E-2</v>
      </c>
      <c r="G46" s="88">
        <f t="shared" si="19"/>
        <v>7.4899999999999994E-2</v>
      </c>
      <c r="H46" s="88">
        <f t="shared" si="19"/>
        <v>7.4899999999999994E-2</v>
      </c>
      <c r="I46" s="88">
        <f t="shared" si="19"/>
        <v>7.4899999999999994E-2</v>
      </c>
      <c r="J46" s="88">
        <f t="shared" si="19"/>
        <v>7.4899999999999994E-2</v>
      </c>
      <c r="K46" s="88">
        <f t="shared" si="19"/>
        <v>7.4899999999999994E-2</v>
      </c>
      <c r="L46" s="88">
        <f t="shared" si="19"/>
        <v>7.4899999999999994E-2</v>
      </c>
      <c r="M46" s="88">
        <f t="shared" si="19"/>
        <v>7.4899999999999994E-2</v>
      </c>
      <c r="N46" s="88">
        <f t="shared" si="19"/>
        <v>7.4899999999999994E-2</v>
      </c>
    </row>
    <row r="47" spans="1:14" x14ac:dyDescent="0.3">
      <c r="A47">
        <v>39</v>
      </c>
      <c r="B47" t="s">
        <v>92</v>
      </c>
      <c r="C47" s="128">
        <f>C45*C46</f>
        <v>851516.03154562926</v>
      </c>
      <c r="D47" s="128">
        <f t="shared" ref="D47:N47" si="20">D45*D46</f>
        <v>837089.25972906372</v>
      </c>
      <c r="E47" s="128">
        <f t="shared" si="20"/>
        <v>822662.48791249818</v>
      </c>
      <c r="F47" s="128">
        <f t="shared" si="20"/>
        <v>808235.71609593253</v>
      </c>
      <c r="G47" s="128">
        <f t="shared" si="20"/>
        <v>793808.94427936699</v>
      </c>
      <c r="H47" s="128">
        <f t="shared" si="20"/>
        <v>779382.17246280133</v>
      </c>
      <c r="I47" s="128">
        <f t="shared" si="20"/>
        <v>764955.40064623568</v>
      </c>
      <c r="J47" s="128">
        <f t="shared" si="20"/>
        <v>750528.62882967002</v>
      </c>
      <c r="K47" s="128">
        <f t="shared" si="20"/>
        <v>736101.8570131046</v>
      </c>
      <c r="L47" s="128">
        <f t="shared" si="20"/>
        <v>721675.08519653906</v>
      </c>
      <c r="M47" s="128">
        <f t="shared" si="20"/>
        <v>707855.80361527635</v>
      </c>
      <c r="N47" s="128">
        <f t="shared" si="20"/>
        <v>694036.52203401399</v>
      </c>
    </row>
    <row r="48" spans="1:14" x14ac:dyDescent="0.3">
      <c r="A48">
        <v>40</v>
      </c>
      <c r="B48" t="s">
        <v>93</v>
      </c>
      <c r="C48" s="128">
        <f>-C45*$C$4*$C$5</f>
        <v>-68757.930023871362</v>
      </c>
      <c r="D48" s="128">
        <f t="shared" ref="D48:N48" si="21">-D45*$C$4*$C$5</f>
        <v>-67593.001907094498</v>
      </c>
      <c r="E48" s="128">
        <f t="shared" si="21"/>
        <v>-66428.073790317605</v>
      </c>
      <c r="F48" s="128">
        <f t="shared" si="21"/>
        <v>-65263.145673540719</v>
      </c>
      <c r="G48" s="128">
        <f t="shared" si="21"/>
        <v>-64098.217556763833</v>
      </c>
      <c r="H48" s="128">
        <f t="shared" si="21"/>
        <v>-62933.289439986947</v>
      </c>
      <c r="I48" s="128">
        <f t="shared" si="21"/>
        <v>-61768.361323210062</v>
      </c>
      <c r="J48" s="128">
        <f t="shared" si="21"/>
        <v>-60603.433206433176</v>
      </c>
      <c r="K48" s="128">
        <f t="shared" si="21"/>
        <v>-59438.50508965629</v>
      </c>
      <c r="L48" s="128">
        <f t="shared" si="21"/>
        <v>-58273.576972879411</v>
      </c>
      <c r="M48" s="128">
        <f t="shared" si="21"/>
        <v>-57157.702273233532</v>
      </c>
      <c r="N48" s="128">
        <f t="shared" si="21"/>
        <v>-56041.827573587667</v>
      </c>
    </row>
    <row r="49" spans="1:14" x14ac:dyDescent="0.3">
      <c r="A49">
        <v>41</v>
      </c>
      <c r="B49" t="s">
        <v>117</v>
      </c>
      <c r="C49" s="129">
        <f>SUM(C47:C48)</f>
        <v>782758.1015217579</v>
      </c>
      <c r="D49" s="129">
        <f t="shared" ref="D49:N49" si="22">SUM(D47:D48)</f>
        <v>769496.25782196922</v>
      </c>
      <c r="E49" s="129">
        <f t="shared" si="22"/>
        <v>756234.41412218055</v>
      </c>
      <c r="F49" s="129">
        <f t="shared" si="22"/>
        <v>742972.57042239176</v>
      </c>
      <c r="G49" s="129">
        <f t="shared" si="22"/>
        <v>729710.7267226032</v>
      </c>
      <c r="H49" s="129">
        <f t="shared" si="22"/>
        <v>716448.88302281441</v>
      </c>
      <c r="I49" s="129">
        <f t="shared" si="22"/>
        <v>703187.03932302562</v>
      </c>
      <c r="J49" s="129">
        <f t="shared" si="22"/>
        <v>689925.19562323682</v>
      </c>
      <c r="K49" s="129">
        <f t="shared" si="22"/>
        <v>676663.35192344827</v>
      </c>
      <c r="L49" s="129">
        <f t="shared" si="22"/>
        <v>663401.50822365959</v>
      </c>
      <c r="M49" s="129">
        <f t="shared" si="22"/>
        <v>650698.10134204279</v>
      </c>
      <c r="N49" s="129">
        <f t="shared" si="22"/>
        <v>637994.69446042634</v>
      </c>
    </row>
    <row r="50" spans="1:14" x14ac:dyDescent="0.3">
      <c r="A50">
        <v>42</v>
      </c>
      <c r="B50" t="s">
        <v>118</v>
      </c>
      <c r="C50" s="131">
        <f>1-$C$5</f>
        <v>0.79</v>
      </c>
      <c r="D50" s="131">
        <f t="shared" ref="D50:N50" si="23">1-$C$5</f>
        <v>0.79</v>
      </c>
      <c r="E50" s="131">
        <f t="shared" si="23"/>
        <v>0.79</v>
      </c>
      <c r="F50" s="131">
        <f t="shared" si="23"/>
        <v>0.79</v>
      </c>
      <c r="G50" s="131">
        <f t="shared" si="23"/>
        <v>0.79</v>
      </c>
      <c r="H50" s="131">
        <f t="shared" si="23"/>
        <v>0.79</v>
      </c>
      <c r="I50" s="131">
        <f t="shared" si="23"/>
        <v>0.79</v>
      </c>
      <c r="J50" s="131">
        <f t="shared" si="23"/>
        <v>0.79</v>
      </c>
      <c r="K50" s="131">
        <f t="shared" si="23"/>
        <v>0.79</v>
      </c>
      <c r="L50" s="131">
        <f t="shared" si="23"/>
        <v>0.79</v>
      </c>
      <c r="M50" s="131">
        <f t="shared" si="23"/>
        <v>0.79</v>
      </c>
      <c r="N50" s="131">
        <f t="shared" si="23"/>
        <v>0.79</v>
      </c>
    </row>
    <row r="51" spans="1:14" x14ac:dyDescent="0.3">
      <c r="A51">
        <v>43</v>
      </c>
      <c r="B51" t="s">
        <v>120</v>
      </c>
      <c r="C51" s="129">
        <f>C49/C50</f>
        <v>990833.03990095935</v>
      </c>
      <c r="D51" s="129">
        <f t="shared" ref="D51:N51" si="24">D49/D50</f>
        <v>974045.89597717614</v>
      </c>
      <c r="E51" s="129">
        <f t="shared" si="24"/>
        <v>957258.75205339305</v>
      </c>
      <c r="F51" s="129">
        <f t="shared" si="24"/>
        <v>940471.60812960973</v>
      </c>
      <c r="G51" s="129">
        <f t="shared" si="24"/>
        <v>923684.46420582675</v>
      </c>
      <c r="H51" s="129">
        <f t="shared" si="24"/>
        <v>906897.32028204354</v>
      </c>
      <c r="I51" s="129">
        <f t="shared" si="24"/>
        <v>890110.17635826021</v>
      </c>
      <c r="J51" s="129">
        <f t="shared" si="24"/>
        <v>873323.03243447701</v>
      </c>
      <c r="K51" s="129">
        <f t="shared" si="24"/>
        <v>856535.88851069391</v>
      </c>
      <c r="L51" s="129">
        <f t="shared" si="24"/>
        <v>839748.74458691082</v>
      </c>
      <c r="M51" s="129">
        <f t="shared" si="24"/>
        <v>823668.48271144659</v>
      </c>
      <c r="N51" s="129">
        <f t="shared" si="24"/>
        <v>807588.22083598271</v>
      </c>
    </row>
    <row r="52" spans="1:14" x14ac:dyDescent="0.3">
      <c r="A52">
        <v>44</v>
      </c>
      <c r="B52" t="s">
        <v>121</v>
      </c>
      <c r="C52" s="128">
        <v>12</v>
      </c>
      <c r="D52" s="128">
        <v>12</v>
      </c>
      <c r="E52" s="128">
        <v>12</v>
      </c>
      <c r="F52" s="128">
        <v>12</v>
      </c>
      <c r="G52" s="128">
        <v>12</v>
      </c>
      <c r="H52" s="128">
        <v>12</v>
      </c>
      <c r="I52" s="128">
        <v>12</v>
      </c>
      <c r="J52" s="128">
        <v>12</v>
      </c>
      <c r="K52" s="128">
        <v>12</v>
      </c>
      <c r="L52" s="128">
        <v>12</v>
      </c>
      <c r="M52" s="128">
        <v>12</v>
      </c>
      <c r="N52" s="128">
        <v>12</v>
      </c>
    </row>
    <row r="53" spans="1:14" ht="15" thickBot="1" x14ac:dyDescent="0.35">
      <c r="A53">
        <v>45</v>
      </c>
      <c r="B53" t="s">
        <v>119</v>
      </c>
      <c r="C53" s="132">
        <f>C51/C52</f>
        <v>82569.419991746618</v>
      </c>
      <c r="D53" s="132">
        <f t="shared" ref="D53:N53" si="25">D51/D52</f>
        <v>81170.491331431345</v>
      </c>
      <c r="E53" s="132">
        <f t="shared" si="25"/>
        <v>79771.562671116088</v>
      </c>
      <c r="F53" s="132">
        <f t="shared" si="25"/>
        <v>78372.634010800815</v>
      </c>
      <c r="G53" s="132">
        <f t="shared" si="25"/>
        <v>76973.705350485558</v>
      </c>
      <c r="H53" s="132">
        <f t="shared" si="25"/>
        <v>75574.7766901703</v>
      </c>
      <c r="I53" s="132">
        <f t="shared" si="25"/>
        <v>74175.848029855013</v>
      </c>
      <c r="J53" s="132">
        <f t="shared" si="25"/>
        <v>72776.919369539755</v>
      </c>
      <c r="K53" s="132">
        <f t="shared" si="25"/>
        <v>71377.990709224498</v>
      </c>
      <c r="L53" s="132">
        <f t="shared" si="25"/>
        <v>69979.06204890924</v>
      </c>
      <c r="M53" s="132">
        <f t="shared" si="25"/>
        <v>68639.040225953882</v>
      </c>
      <c r="N53" s="132">
        <f t="shared" si="25"/>
        <v>67299.018402998554</v>
      </c>
    </row>
    <row r="54" spans="1:14" ht="15" thickTop="1" x14ac:dyDescent="0.3">
      <c r="A54">
        <v>46</v>
      </c>
      <c r="C54" s="144"/>
    </row>
    <row r="55" spans="1:14" ht="15" thickBot="1" x14ac:dyDescent="0.35">
      <c r="A55">
        <v>47</v>
      </c>
      <c r="B55" t="s">
        <v>122</v>
      </c>
      <c r="C55" s="145">
        <f>SUM($C53:C53)</f>
        <v>82569.419991746618</v>
      </c>
      <c r="D55" s="145">
        <f>SUM($C53:D53)</f>
        <v>163739.91132317798</v>
      </c>
      <c r="E55" s="145">
        <f>SUM($C53:E53)</f>
        <v>243511.47399429407</v>
      </c>
      <c r="F55" s="145">
        <f>SUM($C53:F53)</f>
        <v>321884.10800509487</v>
      </c>
      <c r="G55" s="145">
        <f>SUM($C53:G53)</f>
        <v>398857.81335558044</v>
      </c>
      <c r="H55" s="145">
        <f>SUM($C53:H53)</f>
        <v>474432.59004575072</v>
      </c>
      <c r="I55" s="145">
        <f>SUM($C53:I53)</f>
        <v>548608.43807560578</v>
      </c>
      <c r="J55" s="145">
        <f>SUM($C53:J53)</f>
        <v>621385.35744514549</v>
      </c>
      <c r="K55" s="145">
        <f>SUM($C53:K53)</f>
        <v>692763.34815436997</v>
      </c>
      <c r="L55" s="145">
        <f>SUM($C53:L53)</f>
        <v>762742.41020327923</v>
      </c>
      <c r="M55" s="145">
        <f>SUM($C53:M53)</f>
        <v>831381.45042923314</v>
      </c>
      <c r="N55" s="145">
        <f>SUM($C53:N53)</f>
        <v>898680.46883223171</v>
      </c>
    </row>
    <row r="56" spans="1:14" ht="15" thickTop="1" x14ac:dyDescent="0.3"/>
    <row r="57" spans="1:14" x14ac:dyDescent="0.3">
      <c r="B57" s="175" t="s">
        <v>160</v>
      </c>
      <c r="C57" s="176">
        <f>C37+C53-C21</f>
        <v>0</v>
      </c>
      <c r="D57" s="176">
        <f t="shared" ref="D57:N57" si="26">D37+D53-D21</f>
        <v>0</v>
      </c>
      <c r="E57" s="176">
        <f t="shared" si="26"/>
        <v>0</v>
      </c>
      <c r="F57" s="176">
        <f t="shared" si="26"/>
        <v>0</v>
      </c>
      <c r="G57" s="176">
        <f t="shared" si="26"/>
        <v>0</v>
      </c>
      <c r="H57" s="176">
        <f t="shared" si="26"/>
        <v>0</v>
      </c>
      <c r="I57" s="176">
        <f t="shared" si="26"/>
        <v>0</v>
      </c>
      <c r="J57" s="176">
        <f t="shared" si="26"/>
        <v>0</v>
      </c>
      <c r="K57" s="176">
        <f t="shared" si="26"/>
        <v>0</v>
      </c>
      <c r="L57" s="176">
        <f t="shared" si="26"/>
        <v>0</v>
      </c>
      <c r="M57" s="176">
        <f t="shared" si="26"/>
        <v>0</v>
      </c>
      <c r="N57" s="176">
        <f t="shared" si="26"/>
        <v>0</v>
      </c>
    </row>
    <row r="58" spans="1:14" x14ac:dyDescent="0.3">
      <c r="B58" s="175" t="s">
        <v>160</v>
      </c>
      <c r="C58" s="176">
        <f t="shared" ref="C58:N58" si="27">C39+C55-C23</f>
        <v>0</v>
      </c>
      <c r="D58" s="176">
        <f t="shared" si="27"/>
        <v>0</v>
      </c>
      <c r="E58" s="176">
        <f t="shared" si="27"/>
        <v>0</v>
      </c>
      <c r="F58" s="176">
        <f t="shared" si="27"/>
        <v>0</v>
      </c>
      <c r="G58" s="176">
        <f t="shared" si="27"/>
        <v>0</v>
      </c>
      <c r="H58" s="176">
        <f t="shared" si="27"/>
        <v>0</v>
      </c>
      <c r="I58" s="176">
        <f t="shared" si="27"/>
        <v>0</v>
      </c>
      <c r="J58" s="176">
        <f t="shared" si="27"/>
        <v>0</v>
      </c>
      <c r="K58" s="176">
        <f t="shared" si="27"/>
        <v>0</v>
      </c>
      <c r="L58" s="176">
        <f t="shared" si="27"/>
        <v>0</v>
      </c>
      <c r="M58" s="176">
        <f t="shared" si="27"/>
        <v>0</v>
      </c>
      <c r="N58" s="176">
        <f t="shared" si="27"/>
        <v>0</v>
      </c>
    </row>
    <row r="60" spans="1:14" x14ac:dyDescent="0.3">
      <c r="B60" s="175" t="s">
        <v>160</v>
      </c>
      <c r="C60" s="176">
        <f>C53-'Return Common'!C53</f>
        <v>0</v>
      </c>
      <c r="D60" s="176">
        <f>D53-'Return Common'!D53</f>
        <v>0</v>
      </c>
      <c r="E60" s="176">
        <f>E53-'Return Common'!E53</f>
        <v>0</v>
      </c>
      <c r="F60" s="176">
        <f>F53-'Return Common'!F53</f>
        <v>0</v>
      </c>
      <c r="G60" s="176">
        <f>G53-'Return Common'!G53</f>
        <v>0</v>
      </c>
      <c r="H60" s="176">
        <f>H53-'Return Common'!H53</f>
        <v>0</v>
      </c>
      <c r="I60" s="176">
        <f>I53-'Return Common'!I53</f>
        <v>0</v>
      </c>
      <c r="J60" s="176">
        <f>J53-'Return Common'!J53</f>
        <v>0</v>
      </c>
      <c r="K60" s="176">
        <f>K53-'Return Common'!K53</f>
        <v>0</v>
      </c>
      <c r="L60" s="176">
        <f>L53-'Return Common'!L53</f>
        <v>0</v>
      </c>
      <c r="M60" s="176">
        <f>M53-'Return Common'!M53</f>
        <v>0</v>
      </c>
      <c r="N60" s="176">
        <f>N53-'Return Common'!N53</f>
        <v>0</v>
      </c>
    </row>
    <row r="61" spans="1:14" x14ac:dyDescent="0.3">
      <c r="B61" s="175" t="s">
        <v>160</v>
      </c>
      <c r="C61" s="176">
        <f>C55-'Return Common'!C55</f>
        <v>0</v>
      </c>
      <c r="D61" s="176">
        <f>D55-'Return Common'!D55</f>
        <v>0</v>
      </c>
      <c r="E61" s="176">
        <f>E55-'Return Common'!E55</f>
        <v>0</v>
      </c>
      <c r="F61" s="176">
        <f>F55-'Return Common'!F55</f>
        <v>0</v>
      </c>
      <c r="G61" s="176">
        <f>G55-'Return Common'!G55</f>
        <v>0</v>
      </c>
      <c r="H61" s="176">
        <f>H55-'Return Common'!H55</f>
        <v>0</v>
      </c>
      <c r="I61" s="176">
        <f>I55-'Return Common'!I55</f>
        <v>0</v>
      </c>
      <c r="J61" s="176">
        <f>J55-'Return Common'!J55</f>
        <v>0</v>
      </c>
      <c r="K61" s="176">
        <f>K55-'Return Common'!K55</f>
        <v>0</v>
      </c>
      <c r="L61" s="176">
        <f>L55-'Return Common'!L55</f>
        <v>0</v>
      </c>
      <c r="M61" s="176">
        <f>M55-'Return Common'!M55</f>
        <v>0</v>
      </c>
      <c r="N61" s="176">
        <f>N55-'Return Common'!N55</f>
        <v>0</v>
      </c>
    </row>
  </sheetData>
  <pageMargins left="0.2" right="0.2" top="0.25" bottom="0.25" header="0.3" footer="0"/>
  <pageSetup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pageSetUpPr fitToPage="1"/>
  </sheetPr>
  <dimension ref="A1:W63"/>
  <sheetViews>
    <sheetView zoomScale="80" zoomScaleNormal="80" workbookViewId="0">
      <pane xSplit="1" ySplit="11" topLeftCell="B21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60</v>
      </c>
      <c r="B1" s="5"/>
      <c r="C1" s="5"/>
      <c r="D1" s="5"/>
      <c r="E1" s="5"/>
      <c r="F1" s="6"/>
      <c r="G1" s="6"/>
      <c r="H1" s="6"/>
      <c r="I1" s="6"/>
      <c r="J1" s="6"/>
      <c r="K1" s="6"/>
      <c r="L1" s="82" t="s">
        <v>84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/>
      <c r="C2" s="12"/>
      <c r="D2" s="13"/>
      <c r="F2" s="14"/>
      <c r="G2" s="15"/>
      <c r="H2" s="15"/>
      <c r="I2" s="16"/>
      <c r="J2" s="5"/>
      <c r="K2" s="5"/>
      <c r="L2" s="7" t="s">
        <v>12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ht="14.4" x14ac:dyDescent="0.3">
      <c r="A4" s="20"/>
      <c r="B4" s="21"/>
      <c r="C4" s="21"/>
      <c r="D4" s="21"/>
      <c r="E4" s="21"/>
      <c r="F4" s="21"/>
      <c r="G4" s="21"/>
      <c r="H4" s="21"/>
      <c r="I4" s="21"/>
      <c r="J4" s="22"/>
      <c r="K4" s="6"/>
      <c r="L4" s="6"/>
      <c r="M4" s="6"/>
      <c r="N4" s="6"/>
      <c r="O4" s="22"/>
      <c r="P4" s="22"/>
    </row>
    <row r="5" spans="1:23" s="10" customFormat="1" ht="14.4" x14ac:dyDescent="0.3">
      <c r="A5" s="20"/>
      <c r="B5" s="6"/>
      <c r="C5" s="6"/>
      <c r="D5" s="6"/>
      <c r="E5" s="6"/>
      <c r="I5" s="23"/>
      <c r="J5" s="23"/>
      <c r="K5" s="6"/>
      <c r="L5" s="6"/>
      <c r="M5" s="6"/>
      <c r="N5" s="6"/>
      <c r="O5" s="23"/>
      <c r="P5" s="23"/>
      <c r="Q5" s="23"/>
      <c r="R5" s="23"/>
      <c r="S5" s="23"/>
      <c r="T5" s="23"/>
      <c r="U5" s="23"/>
      <c r="V5" s="23"/>
      <c r="W5" s="24"/>
    </row>
    <row r="6" spans="1:23" ht="5.0999999999999996" customHeight="1" thickBot="1" x14ac:dyDescent="0.3"/>
    <row r="7" spans="1:23" x14ac:dyDescent="0.25">
      <c r="A7" s="25" t="s">
        <v>13</v>
      </c>
      <c r="B7" s="26" t="s">
        <v>14</v>
      </c>
      <c r="C7" s="27"/>
      <c r="D7" s="26" t="s">
        <v>15</v>
      </c>
      <c r="E7" s="27"/>
      <c r="F7" s="26" t="s">
        <v>16</v>
      </c>
      <c r="G7" s="27"/>
      <c r="H7" s="26" t="s">
        <v>17</v>
      </c>
      <c r="I7" s="27"/>
      <c r="J7" s="28" t="s">
        <v>18</v>
      </c>
      <c r="K7" s="29" t="s">
        <v>19</v>
      </c>
      <c r="L7" s="29" t="s">
        <v>20</v>
      </c>
    </row>
    <row r="8" spans="1:23" x14ac:dyDescent="0.25">
      <c r="A8" s="30"/>
      <c r="B8" s="31"/>
      <c r="C8" s="32"/>
      <c r="D8" s="33"/>
      <c r="E8" s="34"/>
      <c r="F8" s="33"/>
      <c r="G8" s="32"/>
      <c r="H8" s="31"/>
      <c r="I8" s="35"/>
      <c r="J8" s="36"/>
      <c r="K8" s="37"/>
      <c r="L8" s="37" t="s">
        <v>21</v>
      </c>
    </row>
    <row r="9" spans="1:23" x14ac:dyDescent="0.25">
      <c r="A9" s="38"/>
      <c r="B9" s="39" t="s">
        <v>22</v>
      </c>
      <c r="C9" s="35" t="s">
        <v>23</v>
      </c>
      <c r="D9" s="39" t="s">
        <v>24</v>
      </c>
      <c r="E9" s="35" t="s">
        <v>25</v>
      </c>
      <c r="F9" s="39" t="s">
        <v>22</v>
      </c>
      <c r="G9" s="35" t="s">
        <v>23</v>
      </c>
      <c r="H9" s="39" t="s">
        <v>22</v>
      </c>
      <c r="I9" s="35" t="s">
        <v>26</v>
      </c>
      <c r="J9" s="36" t="s">
        <v>27</v>
      </c>
      <c r="K9" s="40">
        <v>0.35</v>
      </c>
      <c r="L9" s="37" t="s">
        <v>28</v>
      </c>
    </row>
    <row r="10" spans="1:23" x14ac:dyDescent="0.25">
      <c r="A10" s="38"/>
      <c r="B10" s="39"/>
      <c r="C10" s="35"/>
      <c r="D10" s="39" t="s">
        <v>29</v>
      </c>
      <c r="E10" s="35" t="s">
        <v>30</v>
      </c>
      <c r="F10" s="39" t="s">
        <v>31</v>
      </c>
      <c r="G10" s="35" t="s">
        <v>32</v>
      </c>
      <c r="H10" s="39"/>
      <c r="I10" s="35"/>
      <c r="J10" s="36" t="s">
        <v>27</v>
      </c>
      <c r="K10" s="40">
        <v>0.21</v>
      </c>
      <c r="L10" s="37" t="s">
        <v>33</v>
      </c>
    </row>
    <row r="11" spans="1:23" x14ac:dyDescent="0.25">
      <c r="A11" s="41"/>
      <c r="B11" s="42" t="s">
        <v>34</v>
      </c>
      <c r="C11" s="43" t="s">
        <v>35</v>
      </c>
      <c r="D11" s="42"/>
      <c r="E11" s="43"/>
      <c r="F11" s="42" t="s">
        <v>36</v>
      </c>
      <c r="G11" s="43" t="s">
        <v>37</v>
      </c>
      <c r="H11" s="42" t="s">
        <v>38</v>
      </c>
      <c r="I11" s="43" t="s">
        <v>39</v>
      </c>
      <c r="J11" s="44" t="s">
        <v>40</v>
      </c>
      <c r="K11" s="45" t="s">
        <v>41</v>
      </c>
      <c r="L11" s="46" t="s">
        <v>42</v>
      </c>
    </row>
    <row r="12" spans="1:23" outlineLevel="1" x14ac:dyDescent="0.25">
      <c r="A12" s="47"/>
      <c r="B12" s="48"/>
      <c r="C12" s="49"/>
      <c r="D12" s="48"/>
      <c r="E12" s="49"/>
      <c r="F12" s="50">
        <v>0</v>
      </c>
      <c r="G12" s="51">
        <v>0</v>
      </c>
      <c r="H12" s="48">
        <v>0</v>
      </c>
      <c r="I12" s="49">
        <v>0</v>
      </c>
      <c r="J12" s="52">
        <v>0</v>
      </c>
      <c r="K12" s="53">
        <v>0</v>
      </c>
      <c r="L12" s="49">
        <v>0</v>
      </c>
    </row>
    <row r="13" spans="1:23" outlineLevel="1" x14ac:dyDescent="0.25">
      <c r="A13" s="47">
        <v>42674</v>
      </c>
      <c r="B13" s="48">
        <f>+'AMI Gas AMA 20 Yr'!B18+'AMI Gas AMA 7 Yr'!B16</f>
        <v>0</v>
      </c>
      <c r="C13" s="49">
        <f>+'AMI Gas AMA 20 Yr'!C18+'AMI Gas AMA 7 Yr'!C16</f>
        <v>0</v>
      </c>
      <c r="D13" s="48">
        <f>+'AMI Gas AMA 20 Yr'!D18+'AMI Gas AMA 7 Yr'!D16</f>
        <v>0</v>
      </c>
      <c r="E13" s="49">
        <f>+'AMI Gas AMA 20 Yr'!E18+'AMI Gas AMA 7 Yr'!E16</f>
        <v>0</v>
      </c>
      <c r="F13" s="50">
        <f>+F12-D13</f>
        <v>0</v>
      </c>
      <c r="G13" s="51">
        <f t="shared" ref="G13:G28" si="0">+G12-E13</f>
        <v>0</v>
      </c>
      <c r="H13" s="48">
        <f t="shared" ref="H13:I28" si="1">B13+F13</f>
        <v>0</v>
      </c>
      <c r="I13" s="49">
        <f t="shared" si="1"/>
        <v>0</v>
      </c>
      <c r="J13" s="52">
        <f t="shared" ref="J13:J33" si="2">I13-H13</f>
        <v>0</v>
      </c>
      <c r="K13" s="53">
        <f>+'AMI Gas AMA 20 Yr'!K18+'AMI Gas AMA 7 Yr'!K16</f>
        <v>0</v>
      </c>
      <c r="L13" s="49">
        <f t="shared" ref="L13:L33" si="3">-K13+K12</f>
        <v>0</v>
      </c>
    </row>
    <row r="14" spans="1:23" outlineLevel="1" x14ac:dyDescent="0.25">
      <c r="A14" s="47">
        <v>42704</v>
      </c>
      <c r="B14" s="48">
        <f>+'AMI Gas AMA 20 Yr'!B19+'AMI Gas AMA 7 Yr'!B17</f>
        <v>0</v>
      </c>
      <c r="C14" s="49">
        <f>+'AMI Gas AMA 20 Yr'!C19+'AMI Gas AMA 7 Yr'!C17</f>
        <v>0</v>
      </c>
      <c r="D14" s="48">
        <f>+'AMI Gas AMA 20 Yr'!D19+'AMI Gas AMA 7 Yr'!D17</f>
        <v>0</v>
      </c>
      <c r="E14" s="49">
        <f>+'AMI Gas AMA 20 Yr'!E19+'AMI Gas AMA 7 Yr'!E17</f>
        <v>0</v>
      </c>
      <c r="F14" s="50">
        <f t="shared" ref="F14:G29" si="4">+F13-D14</f>
        <v>0</v>
      </c>
      <c r="G14" s="51">
        <f t="shared" si="0"/>
        <v>0</v>
      </c>
      <c r="H14" s="48">
        <f t="shared" si="1"/>
        <v>0</v>
      </c>
      <c r="I14" s="49">
        <f t="shared" si="1"/>
        <v>0</v>
      </c>
      <c r="J14" s="52">
        <f t="shared" si="2"/>
        <v>0</v>
      </c>
      <c r="K14" s="53">
        <f>+'AMI Gas AMA 20 Yr'!K19+'AMI Gas AMA 7 Yr'!K17</f>
        <v>0</v>
      </c>
      <c r="L14" s="49">
        <f t="shared" si="3"/>
        <v>0</v>
      </c>
    </row>
    <row r="15" spans="1:23" outlineLevel="1" x14ac:dyDescent="0.25">
      <c r="A15" s="47">
        <v>42735</v>
      </c>
      <c r="B15" s="48">
        <f>+'AMI Gas AMA 20 Yr'!B20+'AMI Gas AMA 7 Yr'!B18</f>
        <v>0</v>
      </c>
      <c r="C15" s="49">
        <f>+'AMI Gas AMA 20 Yr'!C20+'AMI Gas AMA 7 Yr'!C18</f>
        <v>0</v>
      </c>
      <c r="D15" s="48">
        <f>+'AMI Gas AMA 20 Yr'!D20+'AMI Gas AMA 7 Yr'!D18</f>
        <v>0</v>
      </c>
      <c r="E15" s="49">
        <f>+'AMI Gas AMA 20 Yr'!E20+'AMI Gas AMA 7 Yr'!E18</f>
        <v>0</v>
      </c>
      <c r="F15" s="50">
        <f t="shared" si="4"/>
        <v>0</v>
      </c>
      <c r="G15" s="51">
        <f t="shared" si="0"/>
        <v>0</v>
      </c>
      <c r="H15" s="48">
        <f t="shared" si="1"/>
        <v>0</v>
      </c>
      <c r="I15" s="49">
        <f t="shared" si="1"/>
        <v>0</v>
      </c>
      <c r="J15" s="52">
        <f t="shared" si="2"/>
        <v>0</v>
      </c>
      <c r="K15" s="53">
        <f>+'AMI Gas AMA 20 Yr'!K20+'AMI Gas AMA 7 Yr'!K18</f>
        <v>0</v>
      </c>
      <c r="L15" s="49">
        <f t="shared" si="3"/>
        <v>0</v>
      </c>
    </row>
    <row r="16" spans="1:23" outlineLevel="1" x14ac:dyDescent="0.25">
      <c r="A16" s="47">
        <v>42766</v>
      </c>
      <c r="B16" s="48">
        <f>+'AMI Gas AMA 20 Yr'!B21+'AMI Gas AMA 7 Yr'!B19</f>
        <v>0</v>
      </c>
      <c r="C16" s="49">
        <f>+'AMI Gas AMA 20 Yr'!C21+'AMI Gas AMA 7 Yr'!C19</f>
        <v>0</v>
      </c>
      <c r="D16" s="48">
        <f>+'AMI Gas AMA 20 Yr'!D21+'AMI Gas AMA 7 Yr'!D19</f>
        <v>0</v>
      </c>
      <c r="E16" s="49">
        <f>+'AMI Gas AMA 20 Yr'!E21+'AMI Gas AMA 7 Yr'!E19</f>
        <v>0</v>
      </c>
      <c r="F16" s="50">
        <f t="shared" si="4"/>
        <v>0</v>
      </c>
      <c r="G16" s="51">
        <f t="shared" si="0"/>
        <v>0</v>
      </c>
      <c r="H16" s="48">
        <f t="shared" si="1"/>
        <v>0</v>
      </c>
      <c r="I16" s="49">
        <f t="shared" si="1"/>
        <v>0</v>
      </c>
      <c r="J16" s="52">
        <f t="shared" si="2"/>
        <v>0</v>
      </c>
      <c r="K16" s="53">
        <f>+'AMI Gas AMA 20 Yr'!K21+'AMI Gas AMA 7 Yr'!K19</f>
        <v>0</v>
      </c>
      <c r="L16" s="49">
        <f t="shared" si="3"/>
        <v>0</v>
      </c>
    </row>
    <row r="17" spans="1:20" outlineLevel="1" x14ac:dyDescent="0.25">
      <c r="A17" s="47">
        <v>42794</v>
      </c>
      <c r="B17" s="48">
        <f>+'AMI Gas AMA 20 Yr'!B22+'AMI Gas AMA 7 Yr'!B20</f>
        <v>0</v>
      </c>
      <c r="C17" s="49">
        <f>+'AMI Gas AMA 20 Yr'!C22+'AMI Gas AMA 7 Yr'!C20</f>
        <v>0</v>
      </c>
      <c r="D17" s="48">
        <f>+'AMI Gas AMA 20 Yr'!D22+'AMI Gas AMA 7 Yr'!D20</f>
        <v>0</v>
      </c>
      <c r="E17" s="49">
        <f>+'AMI Gas AMA 20 Yr'!E22+'AMI Gas AMA 7 Yr'!E20</f>
        <v>0</v>
      </c>
      <c r="F17" s="50">
        <f t="shared" si="4"/>
        <v>0</v>
      </c>
      <c r="G17" s="51">
        <f t="shared" si="0"/>
        <v>0</v>
      </c>
      <c r="H17" s="48">
        <f t="shared" si="1"/>
        <v>0</v>
      </c>
      <c r="I17" s="49">
        <f t="shared" si="1"/>
        <v>0</v>
      </c>
      <c r="J17" s="52">
        <f t="shared" si="2"/>
        <v>0</v>
      </c>
      <c r="K17" s="53">
        <f>+'AMI Gas AMA 20 Yr'!K22+'AMI Gas AMA 7 Yr'!K20</f>
        <v>0</v>
      </c>
      <c r="L17" s="49">
        <f t="shared" si="3"/>
        <v>0</v>
      </c>
    </row>
    <row r="18" spans="1:20" outlineLevel="1" x14ac:dyDescent="0.25">
      <c r="A18" s="47">
        <v>42825</v>
      </c>
      <c r="B18" s="48">
        <f>+'AMI Gas AMA 20 Yr'!B23+'AMI Gas AMA 7 Yr'!B21</f>
        <v>0</v>
      </c>
      <c r="C18" s="49">
        <f>+'AMI Gas AMA 20 Yr'!C23+'AMI Gas AMA 7 Yr'!C21</f>
        <v>0</v>
      </c>
      <c r="D18" s="48">
        <f>+'AMI Gas AMA 20 Yr'!D23+'AMI Gas AMA 7 Yr'!D21</f>
        <v>0</v>
      </c>
      <c r="E18" s="49">
        <f>+'AMI Gas AMA 20 Yr'!E23+'AMI Gas AMA 7 Yr'!E21</f>
        <v>0</v>
      </c>
      <c r="F18" s="50">
        <f t="shared" si="4"/>
        <v>0</v>
      </c>
      <c r="G18" s="51">
        <f t="shared" si="0"/>
        <v>0</v>
      </c>
      <c r="H18" s="48">
        <f t="shared" si="1"/>
        <v>0</v>
      </c>
      <c r="I18" s="49">
        <f t="shared" si="1"/>
        <v>0</v>
      </c>
      <c r="J18" s="52">
        <f t="shared" si="2"/>
        <v>0</v>
      </c>
      <c r="K18" s="53">
        <f>+'AMI Gas AMA 20 Yr'!K23+'AMI Gas AMA 7 Yr'!K21</f>
        <v>0</v>
      </c>
      <c r="L18" s="49">
        <f t="shared" si="3"/>
        <v>0</v>
      </c>
    </row>
    <row r="19" spans="1:20" outlineLevel="1" x14ac:dyDescent="0.25">
      <c r="A19" s="47">
        <v>42855</v>
      </c>
      <c r="B19" s="48">
        <f>+'AMI Gas AMA 20 Yr'!B24+'AMI Gas AMA 7 Yr'!B22</f>
        <v>0</v>
      </c>
      <c r="C19" s="49">
        <f>+'AMI Gas AMA 20 Yr'!C24+'AMI Gas AMA 7 Yr'!C22</f>
        <v>0</v>
      </c>
      <c r="D19" s="48">
        <f>+'AMI Gas AMA 20 Yr'!D24+'AMI Gas AMA 7 Yr'!D22</f>
        <v>0</v>
      </c>
      <c r="E19" s="49">
        <f>+'AMI Gas AMA 20 Yr'!E24+'AMI Gas AMA 7 Yr'!E22</f>
        <v>0</v>
      </c>
      <c r="F19" s="50">
        <f t="shared" si="4"/>
        <v>0</v>
      </c>
      <c r="G19" s="51">
        <f t="shared" si="0"/>
        <v>0</v>
      </c>
      <c r="H19" s="48">
        <f t="shared" si="1"/>
        <v>0</v>
      </c>
      <c r="I19" s="49">
        <f t="shared" si="1"/>
        <v>0</v>
      </c>
      <c r="J19" s="52">
        <f t="shared" si="2"/>
        <v>0</v>
      </c>
      <c r="K19" s="53">
        <f>+'AMI Gas AMA 20 Yr'!K24+'AMI Gas AMA 7 Yr'!K22</f>
        <v>0</v>
      </c>
      <c r="L19" s="49">
        <f t="shared" si="3"/>
        <v>0</v>
      </c>
    </row>
    <row r="20" spans="1:20" outlineLevel="1" x14ac:dyDescent="0.25">
      <c r="A20" s="47">
        <v>42886</v>
      </c>
      <c r="B20" s="48">
        <f>+'AMI Gas AMA 20 Yr'!B25+'AMI Gas AMA 7 Yr'!B23</f>
        <v>0</v>
      </c>
      <c r="C20" s="49">
        <f>+'AMI Gas AMA 20 Yr'!C25+'AMI Gas AMA 7 Yr'!C23</f>
        <v>0</v>
      </c>
      <c r="D20" s="48">
        <f>+'AMI Gas AMA 20 Yr'!D25+'AMI Gas AMA 7 Yr'!D23</f>
        <v>0</v>
      </c>
      <c r="E20" s="49">
        <f>+'AMI Gas AMA 20 Yr'!E25+'AMI Gas AMA 7 Yr'!E23</f>
        <v>0</v>
      </c>
      <c r="F20" s="50">
        <f t="shared" si="4"/>
        <v>0</v>
      </c>
      <c r="G20" s="51">
        <f t="shared" si="0"/>
        <v>0</v>
      </c>
      <c r="H20" s="48">
        <f t="shared" si="1"/>
        <v>0</v>
      </c>
      <c r="I20" s="49">
        <f t="shared" si="1"/>
        <v>0</v>
      </c>
      <c r="J20" s="52">
        <f t="shared" si="2"/>
        <v>0</v>
      </c>
      <c r="K20" s="53">
        <f>+'AMI Gas AMA 20 Yr'!K25+'AMI Gas AMA 7 Yr'!K23</f>
        <v>0</v>
      </c>
      <c r="L20" s="49">
        <f t="shared" si="3"/>
        <v>0</v>
      </c>
    </row>
    <row r="21" spans="1:20" outlineLevel="1" x14ac:dyDescent="0.25">
      <c r="A21" s="47">
        <v>42916</v>
      </c>
      <c r="B21" s="48">
        <f>+'AMI Gas AMA 20 Yr'!B26+'AMI Gas AMA 7 Yr'!B24</f>
        <v>0</v>
      </c>
      <c r="C21" s="49">
        <f>+'AMI Gas AMA 20 Yr'!C26+'AMI Gas AMA 7 Yr'!C24</f>
        <v>0</v>
      </c>
      <c r="D21" s="48">
        <f>+'AMI Gas AMA 20 Yr'!D26+'AMI Gas AMA 7 Yr'!D24</f>
        <v>0</v>
      </c>
      <c r="E21" s="49">
        <f>+'AMI Gas AMA 20 Yr'!E26+'AMI Gas AMA 7 Yr'!E24</f>
        <v>0</v>
      </c>
      <c r="F21" s="50">
        <f t="shared" si="4"/>
        <v>0</v>
      </c>
      <c r="G21" s="51">
        <f t="shared" si="0"/>
        <v>0</v>
      </c>
      <c r="H21" s="48">
        <f t="shared" si="1"/>
        <v>0</v>
      </c>
      <c r="I21" s="49">
        <f t="shared" si="1"/>
        <v>0</v>
      </c>
      <c r="J21" s="52">
        <f t="shared" si="2"/>
        <v>0</v>
      </c>
      <c r="K21" s="53">
        <f>+'AMI Gas AMA 20 Yr'!K26+'AMI Gas AMA 7 Yr'!K24</f>
        <v>0</v>
      </c>
      <c r="L21" s="49">
        <f t="shared" si="3"/>
        <v>0</v>
      </c>
    </row>
    <row r="22" spans="1:20" x14ac:dyDescent="0.25">
      <c r="A22" s="47">
        <v>42947</v>
      </c>
      <c r="B22" s="48">
        <f>+'AMI Gas AMA 20 Yr'!B27+'AMI Gas AMA 7 Yr'!B25</f>
        <v>10023.52</v>
      </c>
      <c r="C22" s="49">
        <f>+'AMI Gas AMA 20 Yr'!C27+'AMI Gas AMA 7 Yr'!C25</f>
        <v>10023.52</v>
      </c>
      <c r="D22" s="48">
        <f>+'AMI Gas AMA 20 Yr'!D27+'AMI Gas AMA 7 Yr'!D25</f>
        <v>7841.4812507619054</v>
      </c>
      <c r="E22" s="49">
        <f>+'AMI Gas AMA 20 Yr'!E27+'AMI Gas AMA 7 Yr'!E25</f>
        <v>20.882333333333335</v>
      </c>
      <c r="F22" s="50">
        <f t="shared" si="4"/>
        <v>-7841.4812507619054</v>
      </c>
      <c r="G22" s="51">
        <f t="shared" si="0"/>
        <v>-20.882333333333335</v>
      </c>
      <c r="H22" s="48">
        <f t="shared" si="1"/>
        <v>2182.0387492380951</v>
      </c>
      <c r="I22" s="49">
        <f t="shared" si="1"/>
        <v>10002.637666666667</v>
      </c>
      <c r="J22" s="52">
        <f t="shared" si="2"/>
        <v>7820.5989174285723</v>
      </c>
      <c r="K22" s="53">
        <f>+'AMI Gas AMA 20 Yr'!K27+'AMI Gas AMA 7 Yr'!K25</f>
        <v>-2737.2096211000003</v>
      </c>
      <c r="L22" s="49">
        <f t="shared" si="3"/>
        <v>2737.2096211000003</v>
      </c>
    </row>
    <row r="23" spans="1:20" x14ac:dyDescent="0.25">
      <c r="A23" s="47">
        <v>42978</v>
      </c>
      <c r="B23" s="48">
        <f>+'AMI Gas AMA 20 Yr'!B28+'AMI Gas AMA 7 Yr'!B26</f>
        <v>10023.52</v>
      </c>
      <c r="C23" s="49">
        <f>+'AMI Gas AMA 20 Yr'!C28+'AMI Gas AMA 7 Yr'!C26</f>
        <v>10023.52</v>
      </c>
      <c r="D23" s="48">
        <f>+'AMI Gas AMA 20 Yr'!D28+'AMI Gas AMA 7 Yr'!D26</f>
        <v>7841.4812507619054</v>
      </c>
      <c r="E23" s="49">
        <f>+'AMI Gas AMA 20 Yr'!E28+'AMI Gas AMA 7 Yr'!E26</f>
        <v>41.76466666666667</v>
      </c>
      <c r="F23" s="50">
        <f t="shared" si="4"/>
        <v>-15682.962501523811</v>
      </c>
      <c r="G23" s="51">
        <f t="shared" si="0"/>
        <v>-62.647000000000006</v>
      </c>
      <c r="H23" s="48">
        <f t="shared" si="1"/>
        <v>-5659.4425015238103</v>
      </c>
      <c r="I23" s="49">
        <f t="shared" si="1"/>
        <v>9960.8729999999996</v>
      </c>
      <c r="J23" s="52">
        <f t="shared" si="2"/>
        <v>15620.31550152381</v>
      </c>
      <c r="K23" s="53">
        <f>+'AMI Gas AMA 20 Yr'!K28+'AMI Gas AMA 7 Yr'!K26</f>
        <v>-5467.110425533333</v>
      </c>
      <c r="L23" s="49">
        <f t="shared" si="3"/>
        <v>2729.9008044333327</v>
      </c>
    </row>
    <row r="24" spans="1:20" ht="14.4" x14ac:dyDescent="0.3">
      <c r="A24" s="47">
        <v>43008</v>
      </c>
      <c r="B24" s="48">
        <f>+'AMI Gas AMA 20 Yr'!B29+'AMI Gas AMA 7 Yr'!B27</f>
        <v>10023.52</v>
      </c>
      <c r="C24" s="49">
        <f>+'AMI Gas AMA 20 Yr'!C29+'AMI Gas AMA 7 Yr'!C27</f>
        <v>10023.52</v>
      </c>
      <c r="D24" s="48">
        <f>+'AMI Gas AMA 20 Yr'!D29+'AMI Gas AMA 7 Yr'!D27</f>
        <v>7841.4812507619054</v>
      </c>
      <c r="E24" s="49">
        <f>+'AMI Gas AMA 20 Yr'!E29+'AMI Gas AMA 7 Yr'!E27</f>
        <v>41.76466666666667</v>
      </c>
      <c r="F24" s="50">
        <f t="shared" si="4"/>
        <v>-23524.443752285715</v>
      </c>
      <c r="G24" s="51">
        <f t="shared" si="0"/>
        <v>-104.41166666666668</v>
      </c>
      <c r="H24" s="48">
        <f t="shared" si="1"/>
        <v>-13500.923752285715</v>
      </c>
      <c r="I24" s="49">
        <f t="shared" si="1"/>
        <v>9919.1083333333336</v>
      </c>
      <c r="J24" s="52">
        <f t="shared" si="2"/>
        <v>23420.032085619048</v>
      </c>
      <c r="K24" s="53">
        <f>+'AMI Gas AMA 20 Yr'!K29+'AMI Gas AMA 7 Yr'!K27</f>
        <v>-8197.0112299666671</v>
      </c>
      <c r="L24" s="49">
        <f t="shared" si="3"/>
        <v>2729.9008044333341</v>
      </c>
      <c r="M24" s="6"/>
      <c r="N24" s="54"/>
      <c r="O24" s="54"/>
      <c r="P24" s="54"/>
      <c r="Q24" s="54"/>
      <c r="R24" s="54"/>
      <c r="S24" s="54"/>
      <c r="T24" s="54"/>
    </row>
    <row r="25" spans="1:20" ht="14.4" x14ac:dyDescent="0.3">
      <c r="A25" s="47">
        <v>43039</v>
      </c>
      <c r="B25" s="48">
        <f>+'AMI Gas AMA 20 Yr'!B30+'AMI Gas AMA 7 Yr'!B28</f>
        <v>54837.899999999994</v>
      </c>
      <c r="C25" s="49">
        <f>+'AMI Gas AMA 20 Yr'!C30+'AMI Gas AMA 7 Yr'!C28</f>
        <v>54837.899999999994</v>
      </c>
      <c r="D25" s="48">
        <f>+'AMI Gas AMA 20 Yr'!D30+'AMI Gas AMA 7 Yr'!D28</f>
        <v>7841.4812507619054</v>
      </c>
      <c r="E25" s="49">
        <f>+'AMI Gas AMA 20 Yr'!E30+'AMI Gas AMA 7 Yr'!E28</f>
        <v>82.657788416666676</v>
      </c>
      <c r="F25" s="50">
        <f t="shared" si="4"/>
        <v>-31365.925003047621</v>
      </c>
      <c r="G25" s="51">
        <f t="shared" si="0"/>
        <v>-187.06945508333337</v>
      </c>
      <c r="H25" s="48">
        <f t="shared" si="1"/>
        <v>23471.974996952373</v>
      </c>
      <c r="I25" s="49">
        <f t="shared" si="1"/>
        <v>54650.830544916658</v>
      </c>
      <c r="J25" s="52">
        <f t="shared" si="2"/>
        <v>31178.855547964286</v>
      </c>
      <c r="K25" s="53">
        <f>+'AMI Gas AMA 20 Yr'!K30+'AMI Gas AMA 7 Yr'!K28</f>
        <v>-10912.599441787501</v>
      </c>
      <c r="L25" s="49">
        <f t="shared" si="3"/>
        <v>2715.5882118208337</v>
      </c>
      <c r="M25" s="6"/>
      <c r="N25" s="54"/>
      <c r="O25" s="54"/>
      <c r="P25" s="54"/>
      <c r="Q25" s="54"/>
      <c r="R25" s="54"/>
      <c r="S25" s="54"/>
      <c r="T25" s="54"/>
    </row>
    <row r="26" spans="1:20" ht="14.4" x14ac:dyDescent="0.3">
      <c r="A26" s="47">
        <v>43069</v>
      </c>
      <c r="B26" s="48">
        <f>+'AMI Gas AMA 20 Yr'!B31+'AMI Gas AMA 7 Yr'!B29</f>
        <v>61190.849999999991</v>
      </c>
      <c r="C26" s="49">
        <f>+'AMI Gas AMA 20 Yr'!C31+'AMI Gas AMA 7 Yr'!C29</f>
        <v>61190.849999999991</v>
      </c>
      <c r="D26" s="48">
        <f>+'AMI Gas AMA 20 Yr'!D31+'AMI Gas AMA 7 Yr'!D29</f>
        <v>7841.4812507619054</v>
      </c>
      <c r="E26" s="49">
        <f>+'AMI Gas AMA 20 Yr'!E31+'AMI Gas AMA 7 Yr'!E29</f>
        <v>129.34797704166667</v>
      </c>
      <c r="F26" s="50">
        <f t="shared" si="4"/>
        <v>-39207.406253809524</v>
      </c>
      <c r="G26" s="51">
        <f t="shared" si="0"/>
        <v>-316.417432125</v>
      </c>
      <c r="H26" s="48">
        <f t="shared" si="1"/>
        <v>21983.443746190467</v>
      </c>
      <c r="I26" s="49">
        <f t="shared" si="1"/>
        <v>60874.432567874988</v>
      </c>
      <c r="J26" s="52">
        <f t="shared" si="2"/>
        <v>38890.988821684521</v>
      </c>
      <c r="K26" s="53">
        <f>+'AMI Gas AMA 20 Yr'!K31+'AMI Gas AMA 7 Yr'!K29</f>
        <v>-13611.846087589583</v>
      </c>
      <c r="L26" s="49">
        <f t="shared" si="3"/>
        <v>2699.2466458020826</v>
      </c>
      <c r="M26" s="6"/>
      <c r="N26" s="54"/>
      <c r="O26" s="54"/>
      <c r="P26" s="54"/>
      <c r="Q26" s="54"/>
      <c r="R26" s="54"/>
      <c r="S26" s="54"/>
      <c r="T26" s="54"/>
    </row>
    <row r="27" spans="1:20" ht="14.4" x14ac:dyDescent="0.3">
      <c r="A27" s="47">
        <v>43100</v>
      </c>
      <c r="B27" s="48">
        <f>+'AMI Gas AMA 20 Yr'!B32+'AMI Gas AMA 7 Yr'!B30</f>
        <v>93686.709999999992</v>
      </c>
      <c r="C27" s="49">
        <f>+'AMI Gas AMA 20 Yr'!C32+'AMI Gas AMA 7 Yr'!C30</f>
        <v>93686.709999999992</v>
      </c>
      <c r="D27" s="48">
        <f>+'AMI Gas AMA 20 Yr'!D32+'AMI Gas AMA 7 Yr'!D30</f>
        <v>7841.4812507619054</v>
      </c>
      <c r="E27" s="49">
        <f>+'AMI Gas AMA 20 Yr'!E32+'AMI Gas AMA 7 Yr'!E30</f>
        <v>411.91339908333333</v>
      </c>
      <c r="F27" s="50">
        <f t="shared" si="4"/>
        <v>-47048.88750457143</v>
      </c>
      <c r="G27" s="51">
        <f t="shared" si="0"/>
        <v>-728.33083120833339</v>
      </c>
      <c r="H27" s="48">
        <f t="shared" si="1"/>
        <v>46637.822495428562</v>
      </c>
      <c r="I27" s="49">
        <f t="shared" si="1"/>
        <v>92958.379168791653</v>
      </c>
      <c r="J27" s="52">
        <f t="shared" si="2"/>
        <v>46320.556673363091</v>
      </c>
      <c r="K27" s="53">
        <f>+'AMI Gas AMA 20 Yr'!K32+'AMI Gas AMA 7 Yr'!K30</f>
        <v>-16212.194835677081</v>
      </c>
      <c r="L27" s="49">
        <f t="shared" si="3"/>
        <v>2600.3487480874974</v>
      </c>
      <c r="M27" s="6"/>
      <c r="N27" s="54"/>
      <c r="O27" s="54"/>
      <c r="P27" s="54"/>
      <c r="Q27" s="54"/>
      <c r="R27" s="54"/>
      <c r="S27" s="54"/>
      <c r="T27" s="54"/>
    </row>
    <row r="28" spans="1:20" ht="14.4" x14ac:dyDescent="0.3">
      <c r="A28" s="47">
        <v>43131</v>
      </c>
      <c r="B28" s="48">
        <f>+'AMI Gas AMA 20 Yr'!B33+'AMI Gas AMA 7 Yr'!B31</f>
        <v>93686.709999999992</v>
      </c>
      <c r="C28" s="49">
        <f>+'AMI Gas AMA 20 Yr'!C33+'AMI Gas AMA 7 Yr'!C31</f>
        <v>93686.709999999992</v>
      </c>
      <c r="D28" s="48">
        <f>+'AMI Gas AMA 20 Yr'!D33+'AMI Gas AMA 7 Yr'!D31</f>
        <v>15377.827812279169</v>
      </c>
      <c r="E28" s="49">
        <f>+'AMI Gas AMA 20 Yr'!E33+'AMI Gas AMA 7 Yr'!E31</f>
        <v>691.24012074999996</v>
      </c>
      <c r="F28" s="50">
        <f t="shared" si="4"/>
        <v>-62426.715316850597</v>
      </c>
      <c r="G28" s="51">
        <f t="shared" si="0"/>
        <v>-1419.5709519583334</v>
      </c>
      <c r="H28" s="48">
        <f t="shared" si="1"/>
        <v>31259.994683149394</v>
      </c>
      <c r="I28" s="49">
        <f t="shared" si="1"/>
        <v>92267.139048041659</v>
      </c>
      <c r="J28" s="52">
        <f t="shared" si="2"/>
        <v>61007.144364892265</v>
      </c>
      <c r="K28" s="53">
        <f>+'AMI Gas AMA 20 Yr'!K33+'AMI Gas AMA 7 Yr'!K31</f>
        <v>-19296.378250898208</v>
      </c>
      <c r="L28" s="49">
        <f t="shared" si="3"/>
        <v>3084.1834152211268</v>
      </c>
      <c r="M28" s="6"/>
      <c r="N28" s="54"/>
      <c r="O28" s="54"/>
      <c r="P28" s="54"/>
      <c r="Q28" s="54"/>
      <c r="R28" s="54"/>
      <c r="S28" s="54"/>
      <c r="T28" s="54"/>
    </row>
    <row r="29" spans="1:20" x14ac:dyDescent="0.25">
      <c r="A29" s="47">
        <v>43159</v>
      </c>
      <c r="B29" s="48">
        <f>+'AMI Gas AMA 20 Yr'!B34+'AMI Gas AMA 7 Yr'!B32</f>
        <v>93686.709999999992</v>
      </c>
      <c r="C29" s="49">
        <f>+'AMI Gas AMA 20 Yr'!C34+'AMI Gas AMA 7 Yr'!C32</f>
        <v>93686.709999999992</v>
      </c>
      <c r="D29" s="48">
        <f>+'AMI Gas AMA 20 Yr'!D34+'AMI Gas AMA 7 Yr'!D32</f>
        <v>15377.827812279169</v>
      </c>
      <c r="E29" s="49">
        <f>+'AMI Gas AMA 20 Yr'!E34+'AMI Gas AMA 7 Yr'!E32</f>
        <v>691.24012074999996</v>
      </c>
      <c r="F29" s="50">
        <f t="shared" si="4"/>
        <v>-77804.543129129772</v>
      </c>
      <c r="G29" s="51">
        <f t="shared" si="4"/>
        <v>-2110.8110727083331</v>
      </c>
      <c r="H29" s="48">
        <f t="shared" ref="H29:I33" si="5">B29+F29</f>
        <v>15882.16687087022</v>
      </c>
      <c r="I29" s="49">
        <f t="shared" si="5"/>
        <v>91575.898927291651</v>
      </c>
      <c r="J29" s="52">
        <f t="shared" si="2"/>
        <v>75693.732056421431</v>
      </c>
      <c r="K29" s="53">
        <f>+'AMI Gas AMA 20 Yr'!K34+'AMI Gas AMA 7 Yr'!K32</f>
        <v>-22380.561666119334</v>
      </c>
      <c r="L29" s="49">
        <f t="shared" si="3"/>
        <v>3084.1834152211268</v>
      </c>
      <c r="M29" s="55"/>
      <c r="N29" s="54"/>
      <c r="O29" s="54"/>
      <c r="P29" s="54"/>
      <c r="Q29" s="54"/>
      <c r="R29" s="54"/>
      <c r="S29" s="54"/>
      <c r="T29" s="54"/>
    </row>
    <row r="30" spans="1:20" x14ac:dyDescent="0.25">
      <c r="A30" s="47">
        <v>43190</v>
      </c>
      <c r="B30" s="48">
        <f>+'AMI Gas AMA 20 Yr'!B35+'AMI Gas AMA 7 Yr'!B33</f>
        <v>93686.709999999992</v>
      </c>
      <c r="C30" s="49">
        <f>+'AMI Gas AMA 20 Yr'!C35+'AMI Gas AMA 7 Yr'!C33</f>
        <v>93686.709999999992</v>
      </c>
      <c r="D30" s="48">
        <f>+'AMI Gas AMA 20 Yr'!D35+'AMI Gas AMA 7 Yr'!D33</f>
        <v>15377.827812279169</v>
      </c>
      <c r="E30" s="49">
        <f>+'AMI Gas AMA 20 Yr'!E35+'AMI Gas AMA 7 Yr'!E33</f>
        <v>691.24012074999996</v>
      </c>
      <c r="F30" s="50">
        <f t="shared" ref="F30:G33" si="6">+F29-D30</f>
        <v>-93182.370941408939</v>
      </c>
      <c r="G30" s="51">
        <f t="shared" si="6"/>
        <v>-2802.0511934583328</v>
      </c>
      <c r="H30" s="48">
        <f t="shared" si="5"/>
        <v>504.33905859105289</v>
      </c>
      <c r="I30" s="49">
        <f t="shared" si="5"/>
        <v>90884.658806541658</v>
      </c>
      <c r="J30" s="52">
        <f t="shared" si="2"/>
        <v>90380.319747950605</v>
      </c>
      <c r="K30" s="53">
        <f>+'AMI Gas AMA 20 Yr'!K35+'AMI Gas AMA 7 Yr'!K33</f>
        <v>-25464.745081340458</v>
      </c>
      <c r="L30" s="49">
        <f t="shared" si="3"/>
        <v>3084.1834152211231</v>
      </c>
      <c r="M30" s="55"/>
      <c r="N30" s="54"/>
      <c r="O30" s="54"/>
      <c r="P30" s="54"/>
      <c r="Q30" s="54"/>
      <c r="R30" s="54"/>
      <c r="S30" s="54"/>
      <c r="T30" s="54"/>
    </row>
    <row r="31" spans="1:20" x14ac:dyDescent="0.25">
      <c r="A31" s="47">
        <v>43220</v>
      </c>
      <c r="B31" s="48">
        <f>+'AMI Gas AMA 20 Yr'!B36+'AMI Gas AMA 7 Yr'!B34</f>
        <v>419425.96</v>
      </c>
      <c r="C31" s="49">
        <f>+'AMI Gas AMA 20 Yr'!C36+'AMI Gas AMA 7 Yr'!C34</f>
        <v>419425.96</v>
      </c>
      <c r="D31" s="48">
        <f>+'AMI Gas AMA 20 Yr'!D36+'AMI Gas AMA 7 Yr'!D34</f>
        <v>15377.827812279169</v>
      </c>
      <c r="E31" s="49">
        <f>+'AMI Gas AMA 20 Yr'!E36+'AMI Gas AMA 7 Yr'!E34</f>
        <v>1243.639598875</v>
      </c>
      <c r="F31" s="50">
        <f t="shared" si="6"/>
        <v>-108560.19875368811</v>
      </c>
      <c r="G31" s="51">
        <f t="shared" si="6"/>
        <v>-4045.6907923333329</v>
      </c>
      <c r="H31" s="48">
        <f t="shared" si="5"/>
        <v>310865.76124631194</v>
      </c>
      <c r="I31" s="49">
        <f t="shared" si="5"/>
        <v>415380.26920766669</v>
      </c>
      <c r="J31" s="52">
        <f t="shared" si="2"/>
        <v>104514.50796135474</v>
      </c>
      <c r="K31" s="53">
        <f>+'AMI Gas AMA 20 Yr'!K36+'AMI Gas AMA 7 Yr'!K34</f>
        <v>-28432.924606155331</v>
      </c>
      <c r="L31" s="49">
        <f t="shared" si="3"/>
        <v>2968.1795248148737</v>
      </c>
      <c r="M31" s="55"/>
      <c r="N31" s="56"/>
      <c r="O31" s="54"/>
      <c r="P31" s="54"/>
      <c r="Q31" s="54"/>
      <c r="R31" s="54"/>
      <c r="S31" s="54"/>
      <c r="T31" s="54"/>
    </row>
    <row r="32" spans="1:20" x14ac:dyDescent="0.25">
      <c r="A32" s="47">
        <v>43251</v>
      </c>
      <c r="B32" s="48">
        <f>+'AMI Gas AMA 20 Yr'!B37+'AMI Gas AMA 7 Yr'!B35</f>
        <v>419425.96</v>
      </c>
      <c r="C32" s="49">
        <f>+'AMI Gas AMA 20 Yr'!C37+'AMI Gas AMA 7 Yr'!C35</f>
        <v>419425.96</v>
      </c>
      <c r="D32" s="48">
        <f>+'AMI Gas AMA 20 Yr'!D37+'AMI Gas AMA 7 Yr'!D35</f>
        <v>15377.827812279169</v>
      </c>
      <c r="E32" s="49">
        <f>+'AMI Gas AMA 20 Yr'!E37+'AMI Gas AMA 7 Yr'!E35</f>
        <v>1796.0390769999999</v>
      </c>
      <c r="F32" s="50">
        <f t="shared" si="6"/>
        <v>-123938.02656596727</v>
      </c>
      <c r="G32" s="51">
        <f t="shared" si="6"/>
        <v>-5841.7298693333323</v>
      </c>
      <c r="H32" s="48">
        <f t="shared" si="5"/>
        <v>295487.93343403272</v>
      </c>
      <c r="I32" s="49">
        <f t="shared" si="5"/>
        <v>413584.23013066669</v>
      </c>
      <c r="J32" s="52">
        <f t="shared" si="2"/>
        <v>118096.29669663397</v>
      </c>
      <c r="K32" s="53">
        <f>+'AMI Gas AMA 20 Yr'!K37+'AMI Gas AMA 7 Yr'!K35</f>
        <v>-31285.100240563967</v>
      </c>
      <c r="L32" s="49">
        <f t="shared" si="3"/>
        <v>2852.1756344086352</v>
      </c>
      <c r="M32" s="55"/>
      <c r="N32" s="54"/>
      <c r="O32" s="54"/>
      <c r="P32" s="54"/>
      <c r="Q32" s="54"/>
      <c r="R32" s="54"/>
      <c r="S32" s="54"/>
      <c r="T32" s="54"/>
    </row>
    <row r="33" spans="1:20" x14ac:dyDescent="0.25">
      <c r="A33" s="47">
        <v>43281</v>
      </c>
      <c r="B33" s="48">
        <f>+'AMI Gas AMA 20 Yr'!B38+'AMI Gas AMA 7 Yr'!B36</f>
        <v>1575936.3100000003</v>
      </c>
      <c r="C33" s="49">
        <f>+'AMI Gas AMA 20 Yr'!C38+'AMI Gas AMA 7 Yr'!C36</f>
        <v>1575936.3100000003</v>
      </c>
      <c r="D33" s="48">
        <f>+'AMI Gas AMA 20 Yr'!D38+'AMI Gas AMA 7 Yr'!D36</f>
        <v>15377.827812279169</v>
      </c>
      <c r="E33" s="49">
        <f>+'AMI Gas AMA 20 Yr'!E38+'AMI Gas AMA 7 Yr'!E36</f>
        <v>5010.174091375</v>
      </c>
      <c r="F33" s="50">
        <f t="shared" si="6"/>
        <v>-139315.85437824644</v>
      </c>
      <c r="G33" s="51">
        <f t="shared" si="6"/>
        <v>-10851.903960708332</v>
      </c>
      <c r="H33" s="48">
        <f>B33+F33</f>
        <v>1436620.4556217538</v>
      </c>
      <c r="I33" s="49">
        <f t="shared" si="5"/>
        <v>1565084.406039292</v>
      </c>
      <c r="J33" s="52">
        <f t="shared" si="2"/>
        <v>128463.95041753817</v>
      </c>
      <c r="K33" s="53">
        <f>+'AMI Gas AMA 20 Yr'!K38+'AMI Gas AMA 7 Yr'!K36</f>
        <v>-33462.307521953837</v>
      </c>
      <c r="L33" s="49">
        <f t="shared" si="3"/>
        <v>2177.2072813898703</v>
      </c>
      <c r="M33" s="55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43312</v>
      </c>
      <c r="B34" s="48">
        <f>+'AMI Gas AMA 20 Yr'!B39+'AMI Gas AMA 7 Yr'!B37</f>
        <v>1575936.3100000003</v>
      </c>
      <c r="C34" s="49">
        <f>+'AMI Gas AMA 20 Yr'!C39+'AMI Gas AMA 7 Yr'!C37</f>
        <v>1575936.3100000003</v>
      </c>
      <c r="D34" s="48">
        <f>+'AMI Gas AMA 20 Yr'!D39+'AMI Gas AMA 7 Yr'!D37</f>
        <v>15377.827812279169</v>
      </c>
      <c r="E34" s="49">
        <f>+'AMI Gas AMA 20 Yr'!E39+'AMI Gas AMA 7 Yr'!E37</f>
        <v>5010.174091375</v>
      </c>
      <c r="F34" s="50">
        <f t="shared" ref="F34:F53" si="7">+F33-D34</f>
        <v>-154693.68219052561</v>
      </c>
      <c r="G34" s="51">
        <f t="shared" ref="G34:G53" si="8">+G33-E34</f>
        <v>-15862.078052083332</v>
      </c>
      <c r="H34" s="48">
        <f t="shared" ref="H34:H53" si="9">B34+F34</f>
        <v>1421242.6278094747</v>
      </c>
      <c r="I34" s="49">
        <f t="shared" ref="I34:I53" si="10">C34+G34</f>
        <v>1560074.231947917</v>
      </c>
      <c r="J34" s="52">
        <f t="shared" ref="J34:J53" si="11">I34-H34</f>
        <v>138831.60413844232</v>
      </c>
      <c r="K34" s="53">
        <f>+'AMI Gas AMA 20 Yr'!K39+'AMI Gas AMA 7 Yr'!K37</f>
        <v>-35639.514803343722</v>
      </c>
      <c r="L34" s="49">
        <f t="shared" ref="L34:L53" si="12">-K34+K33</f>
        <v>2177.2072813898849</v>
      </c>
      <c r="M34" s="55"/>
      <c r="N34" s="54"/>
      <c r="O34" s="54"/>
      <c r="P34" s="54"/>
      <c r="Q34" s="54"/>
      <c r="R34" s="54"/>
      <c r="S34" s="54"/>
      <c r="T34" s="54"/>
    </row>
    <row r="35" spans="1:20" x14ac:dyDescent="0.25">
      <c r="A35" s="47">
        <v>43343</v>
      </c>
      <c r="B35" s="48">
        <f>+'AMI Gas AMA 20 Yr'!B40+'AMI Gas AMA 7 Yr'!B38</f>
        <v>1575936.3100000003</v>
      </c>
      <c r="C35" s="49">
        <f>+'AMI Gas AMA 20 Yr'!C40+'AMI Gas AMA 7 Yr'!C38</f>
        <v>1575936.3100000003</v>
      </c>
      <c r="D35" s="48">
        <f>+'AMI Gas AMA 20 Yr'!D40+'AMI Gas AMA 7 Yr'!D38</f>
        <v>15377.827812279169</v>
      </c>
      <c r="E35" s="49">
        <f>+'AMI Gas AMA 20 Yr'!E40+'AMI Gas AMA 7 Yr'!E38</f>
        <v>5010.174091375</v>
      </c>
      <c r="F35" s="50">
        <f t="shared" si="7"/>
        <v>-170071.51000280477</v>
      </c>
      <c r="G35" s="51">
        <f t="shared" si="8"/>
        <v>-20872.252143458332</v>
      </c>
      <c r="H35" s="48">
        <f t="shared" si="9"/>
        <v>1405864.7999971956</v>
      </c>
      <c r="I35" s="49">
        <f t="shared" si="10"/>
        <v>1555064.0578565421</v>
      </c>
      <c r="J35" s="52">
        <f t="shared" si="11"/>
        <v>149199.25785934646</v>
      </c>
      <c r="K35" s="53">
        <f>+'AMI Gas AMA 20 Yr'!K40+'AMI Gas AMA 7 Yr'!K38</f>
        <v>-37816.722084733556</v>
      </c>
      <c r="L35" s="49">
        <f t="shared" si="12"/>
        <v>2177.207281389834</v>
      </c>
      <c r="M35" s="55"/>
      <c r="N35" s="54"/>
      <c r="O35" s="54"/>
      <c r="P35" s="54"/>
      <c r="Q35" s="54"/>
      <c r="R35" s="54"/>
      <c r="S35" s="54"/>
      <c r="T35" s="54"/>
    </row>
    <row r="36" spans="1:20" x14ac:dyDescent="0.25">
      <c r="A36" s="47">
        <v>43373</v>
      </c>
      <c r="B36" s="48">
        <f>+'AMI Gas AMA 20 Yr'!B41+'AMI Gas AMA 7 Yr'!B39</f>
        <v>1575936.3100000003</v>
      </c>
      <c r="C36" s="49">
        <f>+'AMI Gas AMA 20 Yr'!C41+'AMI Gas AMA 7 Yr'!C39</f>
        <v>1575936.3100000003</v>
      </c>
      <c r="D36" s="48">
        <f>+'AMI Gas AMA 20 Yr'!D41+'AMI Gas AMA 7 Yr'!D39</f>
        <v>15377.827812279169</v>
      </c>
      <c r="E36" s="49">
        <f>+'AMI Gas AMA 20 Yr'!E41+'AMI Gas AMA 7 Yr'!E39</f>
        <v>5010.174091375</v>
      </c>
      <c r="F36" s="50">
        <f t="shared" si="7"/>
        <v>-185449.33781508394</v>
      </c>
      <c r="G36" s="51">
        <f t="shared" si="8"/>
        <v>-25882.426234833332</v>
      </c>
      <c r="H36" s="48">
        <f t="shared" si="9"/>
        <v>1390486.9721849163</v>
      </c>
      <c r="I36" s="49">
        <f t="shared" si="10"/>
        <v>1550053.8837651669</v>
      </c>
      <c r="J36" s="52">
        <f t="shared" si="11"/>
        <v>159566.9115802506</v>
      </c>
      <c r="K36" s="53">
        <f>+'AMI Gas AMA 20 Yr'!K41+'AMI Gas AMA 7 Yr'!K39</f>
        <v>-39993.929366123433</v>
      </c>
      <c r="L36" s="49">
        <f t="shared" si="12"/>
        <v>2177.2072813898776</v>
      </c>
      <c r="M36" s="55"/>
      <c r="N36" s="54"/>
      <c r="O36" s="54"/>
      <c r="P36" s="54"/>
      <c r="Q36" s="54"/>
      <c r="R36" s="54"/>
      <c r="S36" s="54"/>
      <c r="T36" s="54"/>
    </row>
    <row r="37" spans="1:20" x14ac:dyDescent="0.25">
      <c r="A37" s="47">
        <v>43404</v>
      </c>
      <c r="B37" s="48">
        <f>+'AMI Gas AMA 20 Yr'!B42+'AMI Gas AMA 7 Yr'!B40</f>
        <v>1575936.3100000003</v>
      </c>
      <c r="C37" s="49">
        <f>+'AMI Gas AMA 20 Yr'!C42+'AMI Gas AMA 7 Yr'!C40</f>
        <v>1575936.3100000003</v>
      </c>
      <c r="D37" s="48">
        <f>+'AMI Gas AMA 20 Yr'!D42+'AMI Gas AMA 7 Yr'!D40</f>
        <v>15377.827812279169</v>
      </c>
      <c r="E37" s="49">
        <f>+'AMI Gas AMA 20 Yr'!E42+'AMI Gas AMA 7 Yr'!E40</f>
        <v>5010.174091375</v>
      </c>
      <c r="F37" s="50">
        <f t="shared" si="7"/>
        <v>-200827.16562736311</v>
      </c>
      <c r="G37" s="51">
        <f t="shared" si="8"/>
        <v>-30892.600326208332</v>
      </c>
      <c r="H37" s="48">
        <f t="shared" si="9"/>
        <v>1375109.1443726372</v>
      </c>
      <c r="I37" s="49">
        <f t="shared" si="10"/>
        <v>1545043.7096737919</v>
      </c>
      <c r="J37" s="52">
        <f t="shared" si="11"/>
        <v>169934.56530115474</v>
      </c>
      <c r="K37" s="53">
        <f>+'AMI Gas AMA 20 Yr'!K42+'AMI Gas AMA 7 Yr'!K40</f>
        <v>-42171.136647513318</v>
      </c>
      <c r="L37" s="49">
        <f t="shared" si="12"/>
        <v>2177.2072813898849</v>
      </c>
      <c r="M37" s="55"/>
      <c r="N37" s="54"/>
      <c r="O37" s="54"/>
      <c r="P37" s="54"/>
      <c r="Q37" s="54"/>
      <c r="R37" s="54"/>
      <c r="S37" s="54"/>
      <c r="T37" s="54"/>
    </row>
    <row r="38" spans="1:20" x14ac:dyDescent="0.25">
      <c r="A38" s="47">
        <v>43434</v>
      </c>
      <c r="B38" s="48">
        <f>+'AMI Gas AMA 20 Yr'!B43+'AMI Gas AMA 7 Yr'!B41</f>
        <v>1575936.3100000003</v>
      </c>
      <c r="C38" s="49">
        <f>+'AMI Gas AMA 20 Yr'!C43+'AMI Gas AMA 7 Yr'!C41</f>
        <v>1575936.3100000003</v>
      </c>
      <c r="D38" s="48">
        <f>+'AMI Gas AMA 20 Yr'!D43+'AMI Gas AMA 7 Yr'!D41</f>
        <v>15377.827812279169</v>
      </c>
      <c r="E38" s="49">
        <f>+'AMI Gas AMA 20 Yr'!E43+'AMI Gas AMA 7 Yr'!E41</f>
        <v>5010.174091375</v>
      </c>
      <c r="F38" s="50">
        <f t="shared" si="7"/>
        <v>-216204.99343964228</v>
      </c>
      <c r="G38" s="51">
        <f t="shared" si="8"/>
        <v>-35902.774417583336</v>
      </c>
      <c r="H38" s="48">
        <f t="shared" si="9"/>
        <v>1359731.316560358</v>
      </c>
      <c r="I38" s="49">
        <f t="shared" si="10"/>
        <v>1540033.5355824169</v>
      </c>
      <c r="J38" s="52">
        <f t="shared" si="11"/>
        <v>180302.21902205888</v>
      </c>
      <c r="K38" s="53">
        <f>+'AMI Gas AMA 20 Yr'!K43+'AMI Gas AMA 7 Yr'!K41</f>
        <v>-44348.343928903196</v>
      </c>
      <c r="L38" s="49">
        <f t="shared" si="12"/>
        <v>2177.2072813898776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43465</v>
      </c>
      <c r="B39" s="48">
        <f>+'AMI Gas AMA 20 Yr'!B44+'AMI Gas AMA 7 Yr'!B42</f>
        <v>1575936.3100000003</v>
      </c>
      <c r="C39" s="49">
        <f>+'AMI Gas AMA 20 Yr'!C44+'AMI Gas AMA 7 Yr'!C42</f>
        <v>1575936.3100000003</v>
      </c>
      <c r="D39" s="48">
        <f>+'AMI Gas AMA 20 Yr'!D44+'AMI Gas AMA 7 Yr'!D42</f>
        <v>15377.827812279169</v>
      </c>
      <c r="E39" s="49">
        <f>+'AMI Gas AMA 20 Yr'!E44+'AMI Gas AMA 7 Yr'!E42</f>
        <v>5010.174091375</v>
      </c>
      <c r="F39" s="50">
        <f t="shared" si="7"/>
        <v>-231582.82125192144</v>
      </c>
      <c r="G39" s="51">
        <f t="shared" si="8"/>
        <v>-40912.948508958332</v>
      </c>
      <c r="H39" s="48">
        <f t="shared" si="9"/>
        <v>1344353.4887480789</v>
      </c>
      <c r="I39" s="49">
        <f t="shared" si="10"/>
        <v>1535023.361491042</v>
      </c>
      <c r="J39" s="52">
        <f t="shared" si="11"/>
        <v>190669.87274296302</v>
      </c>
      <c r="K39" s="53">
        <f>+'AMI Gas AMA 20 Yr'!K44+'AMI Gas AMA 7 Yr'!K42</f>
        <v>-46525.551210293066</v>
      </c>
      <c r="L39" s="49">
        <f t="shared" si="12"/>
        <v>2177.2072813898703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43496</v>
      </c>
      <c r="B40" s="48">
        <f>+'AMI Gas AMA 20 Yr'!B45+'AMI Gas AMA 7 Yr'!B43</f>
        <v>1575936.3100000003</v>
      </c>
      <c r="C40" s="49">
        <f>+'AMI Gas AMA 20 Yr'!C45+'AMI Gas AMA 7 Yr'!C43</f>
        <v>1575936.3100000003</v>
      </c>
      <c r="D40" s="48">
        <f>+'AMI Gas AMA 20 Yr'!D45+'AMI Gas AMA 7 Yr'!D43</f>
        <v>26014.253522129169</v>
      </c>
      <c r="E40" s="49">
        <f>+'AMI Gas AMA 20 Yr'!E45+'AMI Gas AMA 7 Yr'!E43</f>
        <v>5010.174091375</v>
      </c>
      <c r="F40" s="50">
        <f t="shared" si="7"/>
        <v>-257597.07477405062</v>
      </c>
      <c r="G40" s="51">
        <f t="shared" si="8"/>
        <v>-45923.122600333329</v>
      </c>
      <c r="H40" s="48">
        <f t="shared" si="9"/>
        <v>1318339.2352259497</v>
      </c>
      <c r="I40" s="49">
        <f t="shared" si="10"/>
        <v>1530013.187399667</v>
      </c>
      <c r="J40" s="52">
        <f t="shared" si="11"/>
        <v>211673.95217371732</v>
      </c>
      <c r="K40" s="53">
        <f>+'AMI Gas AMA 20 Yr'!K45+'AMI Gas AMA 7 Yr'!K43</f>
        <v>-50936.407890751434</v>
      </c>
      <c r="L40" s="49">
        <f t="shared" si="12"/>
        <v>4410.8566804583679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43524</v>
      </c>
      <c r="B41" s="48">
        <f>+'AMI Gas AMA 20 Yr'!B46+'AMI Gas AMA 7 Yr'!B44</f>
        <v>1575936.3100000003</v>
      </c>
      <c r="C41" s="49">
        <f>+'AMI Gas AMA 20 Yr'!C46+'AMI Gas AMA 7 Yr'!C44</f>
        <v>1575936.3100000003</v>
      </c>
      <c r="D41" s="48">
        <f>+'AMI Gas AMA 20 Yr'!D46+'AMI Gas AMA 7 Yr'!D44</f>
        <v>26014.253522129169</v>
      </c>
      <c r="E41" s="49">
        <f>+'AMI Gas AMA 20 Yr'!E46+'AMI Gas AMA 7 Yr'!E44</f>
        <v>5010.174091375</v>
      </c>
      <c r="F41" s="50">
        <f t="shared" si="7"/>
        <v>-283611.32829617977</v>
      </c>
      <c r="G41" s="51">
        <f t="shared" si="8"/>
        <v>-50933.296691708325</v>
      </c>
      <c r="H41" s="48">
        <f t="shared" si="9"/>
        <v>1292324.9817038206</v>
      </c>
      <c r="I41" s="49">
        <f t="shared" si="10"/>
        <v>1525003.013308292</v>
      </c>
      <c r="J41" s="52">
        <f t="shared" si="11"/>
        <v>232678.03160447138</v>
      </c>
      <c r="K41" s="53">
        <f>+'AMI Gas AMA 20 Yr'!K46+'AMI Gas AMA 7 Yr'!K44</f>
        <v>-55347.264571209816</v>
      </c>
      <c r="L41" s="49">
        <f t="shared" si="12"/>
        <v>4410.8566804583825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43555</v>
      </c>
      <c r="B42" s="48">
        <f>+'AMI Gas AMA 20 Yr'!B47+'AMI Gas AMA 7 Yr'!B45</f>
        <v>1575936.3100000003</v>
      </c>
      <c r="C42" s="49">
        <f>+'AMI Gas AMA 20 Yr'!C47+'AMI Gas AMA 7 Yr'!C45</f>
        <v>1575936.3100000003</v>
      </c>
      <c r="D42" s="48">
        <f>+'AMI Gas AMA 20 Yr'!D47+'AMI Gas AMA 7 Yr'!D45</f>
        <v>26014.253522129169</v>
      </c>
      <c r="E42" s="49">
        <f>+'AMI Gas AMA 20 Yr'!E47+'AMI Gas AMA 7 Yr'!E45</f>
        <v>5010.174091375</v>
      </c>
      <c r="F42" s="50">
        <f t="shared" si="7"/>
        <v>-309625.58181830891</v>
      </c>
      <c r="G42" s="51">
        <f t="shared" si="8"/>
        <v>-55943.470783083321</v>
      </c>
      <c r="H42" s="48">
        <f t="shared" si="9"/>
        <v>1266310.7281816914</v>
      </c>
      <c r="I42" s="49">
        <f t="shared" si="10"/>
        <v>1519992.8392169171</v>
      </c>
      <c r="J42" s="52">
        <f t="shared" si="11"/>
        <v>253682.11103522568</v>
      </c>
      <c r="K42" s="53">
        <f>+'AMI Gas AMA 20 Yr'!K47+'AMI Gas AMA 7 Yr'!K45</f>
        <v>-59758.121251668221</v>
      </c>
      <c r="L42" s="49">
        <f t="shared" si="12"/>
        <v>4410.8566804584043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43585</v>
      </c>
      <c r="B43" s="48">
        <f>+'AMI Gas AMA 20 Yr'!B48+'AMI Gas AMA 7 Yr'!B46</f>
        <v>1575936.3100000003</v>
      </c>
      <c r="C43" s="49">
        <f>+'AMI Gas AMA 20 Yr'!C48+'AMI Gas AMA 7 Yr'!C46</f>
        <v>1575936.3100000003</v>
      </c>
      <c r="D43" s="48">
        <f>+'AMI Gas AMA 20 Yr'!D48+'AMI Gas AMA 7 Yr'!D46</f>
        <v>26014.253522129169</v>
      </c>
      <c r="E43" s="49">
        <f>+'AMI Gas AMA 20 Yr'!E48+'AMI Gas AMA 7 Yr'!E46</f>
        <v>5010.174091375</v>
      </c>
      <c r="F43" s="50">
        <f t="shared" si="7"/>
        <v>-335639.83534043806</v>
      </c>
      <c r="G43" s="51">
        <f t="shared" si="8"/>
        <v>-60953.644874458318</v>
      </c>
      <c r="H43" s="48">
        <f t="shared" si="9"/>
        <v>1240296.4746595621</v>
      </c>
      <c r="I43" s="49">
        <f t="shared" si="10"/>
        <v>1514982.6651255419</v>
      </c>
      <c r="J43" s="52">
        <f t="shared" si="11"/>
        <v>274686.19046597974</v>
      </c>
      <c r="K43" s="53">
        <f>+'AMI Gas AMA 20 Yr'!K48+'AMI Gas AMA 7 Yr'!K46</f>
        <v>-64168.977932126596</v>
      </c>
      <c r="L43" s="49">
        <f t="shared" si="12"/>
        <v>4410.8566804583752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43616</v>
      </c>
      <c r="B44" s="48">
        <f>+'AMI Gas AMA 20 Yr'!B49+'AMI Gas AMA 7 Yr'!B47</f>
        <v>1575936.3100000003</v>
      </c>
      <c r="C44" s="49">
        <f>+'AMI Gas AMA 20 Yr'!C49+'AMI Gas AMA 7 Yr'!C47</f>
        <v>1575936.3100000003</v>
      </c>
      <c r="D44" s="48">
        <f>+'AMI Gas AMA 20 Yr'!D49+'AMI Gas AMA 7 Yr'!D47</f>
        <v>26014.253522129169</v>
      </c>
      <c r="E44" s="49">
        <f>+'AMI Gas AMA 20 Yr'!E49+'AMI Gas AMA 7 Yr'!E47</f>
        <v>5010.174091375</v>
      </c>
      <c r="F44" s="50">
        <f t="shared" si="7"/>
        <v>-361654.08886256721</v>
      </c>
      <c r="G44" s="51">
        <f t="shared" si="8"/>
        <v>-65963.818965833314</v>
      </c>
      <c r="H44" s="48">
        <f t="shared" si="9"/>
        <v>1214282.2211374331</v>
      </c>
      <c r="I44" s="49">
        <f t="shared" si="10"/>
        <v>1509972.4910341669</v>
      </c>
      <c r="J44" s="52">
        <f t="shared" si="11"/>
        <v>295690.26989673381</v>
      </c>
      <c r="K44" s="53">
        <f>+'AMI Gas AMA 20 Yr'!K49+'AMI Gas AMA 7 Yr'!K47</f>
        <v>-68579.834612584964</v>
      </c>
      <c r="L44" s="49">
        <f t="shared" si="12"/>
        <v>4410.8566804583679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43646</v>
      </c>
      <c r="B45" s="48">
        <f>+'AMI Gas AMA 20 Yr'!B50+'AMI Gas AMA 7 Yr'!B48</f>
        <v>1575936.3100000003</v>
      </c>
      <c r="C45" s="49">
        <f>+'AMI Gas AMA 20 Yr'!C50+'AMI Gas AMA 7 Yr'!C48</f>
        <v>1575936.3100000003</v>
      </c>
      <c r="D45" s="48">
        <f>+'AMI Gas AMA 20 Yr'!D50+'AMI Gas AMA 7 Yr'!D48</f>
        <v>26014.253522129169</v>
      </c>
      <c r="E45" s="49">
        <f>+'AMI Gas AMA 20 Yr'!E50+'AMI Gas AMA 7 Yr'!E48</f>
        <v>5010.174091375</v>
      </c>
      <c r="F45" s="50">
        <f t="shared" si="7"/>
        <v>-387668.34238469636</v>
      </c>
      <c r="G45" s="51">
        <f t="shared" si="8"/>
        <v>-70973.99305720831</v>
      </c>
      <c r="H45" s="48">
        <f t="shared" si="9"/>
        <v>1188267.967615304</v>
      </c>
      <c r="I45" s="49">
        <f t="shared" si="10"/>
        <v>1504962.3169427919</v>
      </c>
      <c r="J45" s="52">
        <f t="shared" si="11"/>
        <v>316694.34932748787</v>
      </c>
      <c r="K45" s="53">
        <f>+'AMI Gas AMA 20 Yr'!K50+'AMI Gas AMA 7 Yr'!K48</f>
        <v>-72990.691293043346</v>
      </c>
      <c r="L45" s="49">
        <f t="shared" si="12"/>
        <v>4410.8566804583825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43677</v>
      </c>
      <c r="B46" s="48">
        <f>+'AMI Gas AMA 20 Yr'!B51+'AMI Gas AMA 7 Yr'!B49</f>
        <v>1575936.3100000003</v>
      </c>
      <c r="C46" s="49">
        <f>+'AMI Gas AMA 20 Yr'!C51+'AMI Gas AMA 7 Yr'!C49</f>
        <v>1575936.3100000003</v>
      </c>
      <c r="D46" s="48">
        <f>+'AMI Gas AMA 20 Yr'!D51+'AMI Gas AMA 7 Yr'!D49</f>
        <v>26014.253522129169</v>
      </c>
      <c r="E46" s="49">
        <f>+'AMI Gas AMA 20 Yr'!E51+'AMI Gas AMA 7 Yr'!E49</f>
        <v>5010.174091375</v>
      </c>
      <c r="F46" s="50">
        <f t="shared" si="7"/>
        <v>-413682.5959068255</v>
      </c>
      <c r="G46" s="51">
        <f t="shared" si="8"/>
        <v>-75984.167148583307</v>
      </c>
      <c r="H46" s="48">
        <f t="shared" si="9"/>
        <v>1162253.7140931748</v>
      </c>
      <c r="I46" s="49">
        <f t="shared" si="10"/>
        <v>1499952.142851417</v>
      </c>
      <c r="J46" s="52">
        <f t="shared" si="11"/>
        <v>337698.42875824217</v>
      </c>
      <c r="K46" s="53">
        <f>+'AMI Gas AMA 20 Yr'!K51+'AMI Gas AMA 7 Yr'!K49</f>
        <v>-77401.547973501729</v>
      </c>
      <c r="L46" s="49">
        <f t="shared" si="12"/>
        <v>4410.8566804583825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43708</v>
      </c>
      <c r="B47" s="48">
        <f>+'AMI Gas AMA 20 Yr'!B52+'AMI Gas AMA 7 Yr'!B50</f>
        <v>1575936.3100000003</v>
      </c>
      <c r="C47" s="49">
        <f>+'AMI Gas AMA 20 Yr'!C52+'AMI Gas AMA 7 Yr'!C50</f>
        <v>1575936.3100000003</v>
      </c>
      <c r="D47" s="48">
        <f>+'AMI Gas AMA 20 Yr'!D52+'AMI Gas AMA 7 Yr'!D50</f>
        <v>26014.253522129169</v>
      </c>
      <c r="E47" s="49">
        <f>+'AMI Gas AMA 20 Yr'!E52+'AMI Gas AMA 7 Yr'!E50</f>
        <v>5010.174091375</v>
      </c>
      <c r="F47" s="50">
        <f t="shared" si="7"/>
        <v>-439696.84942895465</v>
      </c>
      <c r="G47" s="51">
        <f t="shared" si="8"/>
        <v>-80994.341239958303</v>
      </c>
      <c r="H47" s="48">
        <f t="shared" si="9"/>
        <v>1136239.4605710455</v>
      </c>
      <c r="I47" s="49">
        <f t="shared" si="10"/>
        <v>1494941.968760042</v>
      </c>
      <c r="J47" s="52">
        <f t="shared" si="11"/>
        <v>358702.50818899646</v>
      </c>
      <c r="K47" s="53">
        <f>+'AMI Gas AMA 20 Yr'!K52+'AMI Gas AMA 7 Yr'!K50</f>
        <v>-81812.404653960097</v>
      </c>
      <c r="L47" s="49">
        <f t="shared" si="12"/>
        <v>4410.8566804583679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43738</v>
      </c>
      <c r="B48" s="48">
        <f>+'AMI Gas AMA 20 Yr'!B53+'AMI Gas AMA 7 Yr'!B51</f>
        <v>1575936.3100000003</v>
      </c>
      <c r="C48" s="49">
        <f>+'AMI Gas AMA 20 Yr'!C53+'AMI Gas AMA 7 Yr'!C51</f>
        <v>1575936.3100000003</v>
      </c>
      <c r="D48" s="48">
        <f>+'AMI Gas AMA 20 Yr'!D53+'AMI Gas AMA 7 Yr'!D51</f>
        <v>26014.253522129169</v>
      </c>
      <c r="E48" s="49">
        <f>+'AMI Gas AMA 20 Yr'!E53+'AMI Gas AMA 7 Yr'!E51</f>
        <v>5010.174091375</v>
      </c>
      <c r="F48" s="50">
        <f t="shared" si="7"/>
        <v>-465711.1029510838</v>
      </c>
      <c r="G48" s="51">
        <f t="shared" si="8"/>
        <v>-86004.515331333299</v>
      </c>
      <c r="H48" s="48">
        <f t="shared" si="9"/>
        <v>1110225.2070489165</v>
      </c>
      <c r="I48" s="49">
        <f t="shared" si="10"/>
        <v>1489931.794668667</v>
      </c>
      <c r="J48" s="52">
        <f t="shared" si="11"/>
        <v>379706.58761975053</v>
      </c>
      <c r="K48" s="53">
        <f>+'AMI Gas AMA 20 Yr'!K53+'AMI Gas AMA 7 Yr'!K51</f>
        <v>-86223.261334418465</v>
      </c>
      <c r="L48" s="49">
        <f t="shared" si="12"/>
        <v>4410.8566804583679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43769</v>
      </c>
      <c r="B49" s="48">
        <f>+'AMI Gas AMA 20 Yr'!B54+'AMI Gas AMA 7 Yr'!B52</f>
        <v>1575936.3100000003</v>
      </c>
      <c r="C49" s="49">
        <f>+'AMI Gas AMA 20 Yr'!C54+'AMI Gas AMA 7 Yr'!C52</f>
        <v>1575936.3100000003</v>
      </c>
      <c r="D49" s="48">
        <f>+'AMI Gas AMA 20 Yr'!D54+'AMI Gas AMA 7 Yr'!D52</f>
        <v>26014.253522129169</v>
      </c>
      <c r="E49" s="49">
        <f>+'AMI Gas AMA 20 Yr'!E54+'AMI Gas AMA 7 Yr'!E52</f>
        <v>5010.174091375</v>
      </c>
      <c r="F49" s="50">
        <f t="shared" si="7"/>
        <v>-491725.35647321295</v>
      </c>
      <c r="G49" s="51">
        <f t="shared" si="8"/>
        <v>-91014.689422708296</v>
      </c>
      <c r="H49" s="48">
        <f t="shared" si="9"/>
        <v>1084210.9535267875</v>
      </c>
      <c r="I49" s="49">
        <f t="shared" si="10"/>
        <v>1484921.6205772921</v>
      </c>
      <c r="J49" s="52">
        <f t="shared" si="11"/>
        <v>400710.66705050459</v>
      </c>
      <c r="K49" s="53">
        <f>+'AMI Gas AMA 20 Yr'!K54+'AMI Gas AMA 7 Yr'!K52</f>
        <v>-90634.118014876833</v>
      </c>
      <c r="L49" s="49">
        <f t="shared" si="12"/>
        <v>4410.8566804583679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43799</v>
      </c>
      <c r="B50" s="48">
        <f>+'AMI Gas AMA 20 Yr'!B55+'AMI Gas AMA 7 Yr'!B53</f>
        <v>1575936.3100000003</v>
      </c>
      <c r="C50" s="49">
        <f>+'AMI Gas AMA 20 Yr'!C55+'AMI Gas AMA 7 Yr'!C53</f>
        <v>1575936.3100000003</v>
      </c>
      <c r="D50" s="48">
        <f>+'AMI Gas AMA 20 Yr'!D55+'AMI Gas AMA 7 Yr'!D53</f>
        <v>26014.253522129169</v>
      </c>
      <c r="E50" s="49">
        <f>+'AMI Gas AMA 20 Yr'!E55+'AMI Gas AMA 7 Yr'!E53</f>
        <v>5010.174091375</v>
      </c>
      <c r="F50" s="50">
        <f t="shared" si="7"/>
        <v>-517739.60999534209</v>
      </c>
      <c r="G50" s="51">
        <f t="shared" si="8"/>
        <v>-96024.863514083292</v>
      </c>
      <c r="H50" s="48">
        <f t="shared" si="9"/>
        <v>1058196.7000046582</v>
      </c>
      <c r="I50" s="49">
        <f t="shared" si="10"/>
        <v>1479911.4464859171</v>
      </c>
      <c r="J50" s="52">
        <f t="shared" si="11"/>
        <v>421714.74648125889</v>
      </c>
      <c r="K50" s="53">
        <f>+'AMI Gas AMA 20 Yr'!K55+'AMI Gas AMA 7 Yr'!K53</f>
        <v>-95044.974695335215</v>
      </c>
      <c r="L50" s="49">
        <f t="shared" si="12"/>
        <v>4410.8566804583825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43830</v>
      </c>
      <c r="B51" s="48">
        <f>+'AMI Gas AMA 20 Yr'!B56+'AMI Gas AMA 7 Yr'!B54</f>
        <v>1575936.3100000003</v>
      </c>
      <c r="C51" s="49">
        <f>+'AMI Gas AMA 20 Yr'!C56+'AMI Gas AMA 7 Yr'!C54</f>
        <v>1575936.3100000003</v>
      </c>
      <c r="D51" s="48">
        <f>+'AMI Gas AMA 20 Yr'!D56+'AMI Gas AMA 7 Yr'!D54</f>
        <v>26014.253522129169</v>
      </c>
      <c r="E51" s="49">
        <f>+'AMI Gas AMA 20 Yr'!E56+'AMI Gas AMA 7 Yr'!E54</f>
        <v>5010.174091375</v>
      </c>
      <c r="F51" s="50">
        <f t="shared" si="7"/>
        <v>-543753.86351747124</v>
      </c>
      <c r="G51" s="51">
        <f t="shared" si="8"/>
        <v>-101035.03760545829</v>
      </c>
      <c r="H51" s="48">
        <f t="shared" si="9"/>
        <v>1032182.446482529</v>
      </c>
      <c r="I51" s="49">
        <f t="shared" si="10"/>
        <v>1474901.2723945421</v>
      </c>
      <c r="J51" s="52">
        <f t="shared" si="11"/>
        <v>442718.82591201307</v>
      </c>
      <c r="K51" s="53">
        <f>+'AMI Gas AMA 20 Yr'!K56+'AMI Gas AMA 7 Yr'!K54</f>
        <v>-99455.831375793583</v>
      </c>
      <c r="L51" s="49">
        <f t="shared" si="12"/>
        <v>4410.8566804583679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43861</v>
      </c>
      <c r="B52" s="48">
        <f>+'AMI Gas AMA 20 Yr'!B57+'AMI Gas AMA 7 Yr'!B55</f>
        <v>1575936.3100000003</v>
      </c>
      <c r="C52" s="49">
        <f>+'AMI Gas AMA 20 Yr'!C57+'AMI Gas AMA 7 Yr'!C55</f>
        <v>1575936.3100000003</v>
      </c>
      <c r="D52" s="48">
        <f>+'AMI Gas AMA 20 Yr'!D57+'AMI Gas AMA 7 Yr'!D55</f>
        <v>19021.575683795836</v>
      </c>
      <c r="E52" s="49">
        <f>+'AMI Gas AMA 20 Yr'!E57+'AMI Gas AMA 7 Yr'!E55</f>
        <v>5010.174091375</v>
      </c>
      <c r="F52" s="50">
        <f t="shared" si="7"/>
        <v>-562775.43920126709</v>
      </c>
      <c r="G52" s="51">
        <f t="shared" si="8"/>
        <v>-106045.21169683328</v>
      </c>
      <c r="H52" s="48">
        <f t="shared" si="9"/>
        <v>1013160.8707987332</v>
      </c>
      <c r="I52" s="49">
        <f t="shared" si="10"/>
        <v>1469891.0983031669</v>
      </c>
      <c r="J52" s="52">
        <f t="shared" si="11"/>
        <v>456730.22750443371</v>
      </c>
      <c r="K52" s="53">
        <f>+'AMI Gas AMA 20 Yr'!K57+'AMI Gas AMA 7 Yr'!K55</f>
        <v>-102398.22571020195</v>
      </c>
      <c r="L52" s="49">
        <f t="shared" si="12"/>
        <v>2942.3943344083673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43890</v>
      </c>
      <c r="B53" s="48">
        <f>+'AMI Gas AMA 20 Yr'!B58+'AMI Gas AMA 7 Yr'!B56</f>
        <v>1575936.3100000003</v>
      </c>
      <c r="C53" s="49">
        <f>+'AMI Gas AMA 20 Yr'!C58+'AMI Gas AMA 7 Yr'!C56</f>
        <v>1575936.3100000003</v>
      </c>
      <c r="D53" s="48">
        <f>+'AMI Gas AMA 20 Yr'!D58+'AMI Gas AMA 7 Yr'!D56</f>
        <v>19021.575683795836</v>
      </c>
      <c r="E53" s="49">
        <f>+'AMI Gas AMA 20 Yr'!E58+'AMI Gas AMA 7 Yr'!E56</f>
        <v>5010.174091375</v>
      </c>
      <c r="F53" s="50">
        <f t="shared" si="7"/>
        <v>-581797.01488506293</v>
      </c>
      <c r="G53" s="51">
        <f t="shared" si="8"/>
        <v>-111055.38578820828</v>
      </c>
      <c r="H53" s="48">
        <f t="shared" si="9"/>
        <v>994139.29511493735</v>
      </c>
      <c r="I53" s="49">
        <f t="shared" si="10"/>
        <v>1464880.9242117919</v>
      </c>
      <c r="J53" s="52">
        <f t="shared" si="11"/>
        <v>470741.62909685459</v>
      </c>
      <c r="K53" s="53">
        <f>+'AMI Gas AMA 20 Yr'!K58+'AMI Gas AMA 7 Yr'!K56</f>
        <v>-105340.62004461029</v>
      </c>
      <c r="L53" s="49">
        <f t="shared" si="12"/>
        <v>2942.3943344083382</v>
      </c>
      <c r="M53" s="55"/>
      <c r="N53" s="54"/>
      <c r="O53" s="54"/>
      <c r="P53" s="54"/>
      <c r="Q53" s="54"/>
      <c r="R53" s="54"/>
      <c r="S53" s="54"/>
      <c r="T53" s="54"/>
    </row>
    <row r="54" spans="1:20" ht="13.8" thickBot="1" x14ac:dyDescent="0.3">
      <c r="A54" s="57"/>
      <c r="B54" s="58"/>
      <c r="C54" s="59"/>
      <c r="D54" s="58"/>
      <c r="E54" s="59"/>
      <c r="F54" s="58"/>
      <c r="G54" s="59"/>
      <c r="H54" s="58"/>
      <c r="I54" s="59"/>
      <c r="J54" s="60"/>
      <c r="K54" s="59"/>
      <c r="L54" s="59"/>
      <c r="M54" s="55"/>
      <c r="N54" s="54"/>
      <c r="O54" s="54"/>
      <c r="P54" s="54"/>
      <c r="Q54" s="54"/>
      <c r="R54" s="54"/>
      <c r="S54" s="54"/>
      <c r="T54" s="54"/>
    </row>
    <row r="55" spans="1:20" ht="13.8" thickBot="1" x14ac:dyDescent="0.3">
      <c r="A55" s="61"/>
      <c r="B55" s="61">
        <f>(B21+B33+SUM(B22:B32)*2)/24</f>
        <v>178972.18541666667</v>
      </c>
      <c r="C55" s="62">
        <f>(C21+C33+SUM(C22:C32)*2)/24</f>
        <v>178972.18541666667</v>
      </c>
      <c r="D55" s="61">
        <f>SUM(D22:D54)</f>
        <v>581797.01488506293</v>
      </c>
      <c r="E55" s="62">
        <f>SUM(E22:E54)</f>
        <v>111055.38578820828</v>
      </c>
      <c r="F55" s="61">
        <f>(F21+F33+SUM(F22:F32)*2)/24</f>
        <v>-58353.407346847329</v>
      </c>
      <c r="G55" s="62">
        <f>(G21+G33+SUM(G22:G32)*2)/24</f>
        <v>-1922.1303815468748</v>
      </c>
      <c r="H55" s="61">
        <f t="shared" ref="H55:K55" si="13">(H21+H33+SUM(H22:H32)*2)/24</f>
        <v>120618.77806981937</v>
      </c>
      <c r="I55" s="63">
        <f t="shared" si="13"/>
        <v>177050.05503511979</v>
      </c>
      <c r="J55" s="64">
        <f t="shared" ref="J55" si="14">I55-H55</f>
        <v>56431.276965300422</v>
      </c>
      <c r="K55" s="65">
        <f t="shared" si="13"/>
        <v>-16727.402937309034</v>
      </c>
      <c r="L55" s="66">
        <f>SUM(L22:L54)</f>
        <v>105340.62004461029</v>
      </c>
      <c r="M55" s="55"/>
      <c r="N55" s="67"/>
      <c r="O55" s="68"/>
      <c r="P55" s="54"/>
      <c r="Q55" s="54"/>
      <c r="R55" s="54"/>
      <c r="S55" s="54"/>
      <c r="T55" s="54"/>
    </row>
    <row r="56" spans="1:20" ht="13.8" thickTop="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4"/>
      <c r="O56" s="54"/>
      <c r="P56" s="54"/>
      <c r="Q56" s="54"/>
      <c r="R56" s="54"/>
      <c r="S56" s="54"/>
      <c r="T56" s="54"/>
    </row>
    <row r="57" spans="1:20" x14ac:dyDescent="0.25">
      <c r="A57" s="54"/>
      <c r="B57" s="54"/>
      <c r="C57" s="69"/>
      <c r="D57" s="54"/>
      <c r="E57" s="54"/>
      <c r="F57" s="70"/>
      <c r="G57" s="69"/>
      <c r="H57" s="54"/>
      <c r="I57" s="69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x14ac:dyDescent="0.25">
      <c r="A59" s="18" t="s">
        <v>43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4.4" x14ac:dyDescent="0.3">
      <c r="A60" s="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6"/>
      <c r="N60" s="6"/>
      <c r="O60" s="6"/>
    </row>
    <row r="61" spans="1:20" ht="14.4" x14ac:dyDescent="0.3">
      <c r="A61" s="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6"/>
      <c r="N61" s="6"/>
      <c r="O61" s="6"/>
      <c r="P61" s="6"/>
    </row>
    <row r="62" spans="1:20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20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W68"/>
  <sheetViews>
    <sheetView zoomScale="80" zoomScaleNormal="80" workbookViewId="0">
      <pane xSplit="1" ySplit="16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8.88671875" defaultRowHeight="13.2" outlineLevelRow="1" x14ac:dyDescent="0.25"/>
  <cols>
    <col min="1" max="1" width="37.33203125" style="18" customWidth="1"/>
    <col min="2" max="2" width="15.88671875" style="18" customWidth="1"/>
    <col min="3" max="3" width="16" style="18" customWidth="1"/>
    <col min="4" max="4" width="14.6640625" style="18" customWidth="1"/>
    <col min="5" max="5" width="13.44140625" style="18" customWidth="1"/>
    <col min="6" max="6" width="14.5546875" style="18" customWidth="1"/>
    <col min="7" max="7" width="12.33203125" style="18" customWidth="1"/>
    <col min="8" max="8" width="13" style="18" customWidth="1"/>
    <col min="9" max="9" width="13.33203125" style="18" customWidth="1"/>
    <col min="10" max="12" width="12.6640625" style="18" customWidth="1"/>
    <col min="13" max="16" width="11.33203125" style="18" customWidth="1"/>
    <col min="17" max="17" width="8.88671875" style="18"/>
    <col min="18" max="18" width="10.6640625" style="18" customWidth="1"/>
    <col min="19" max="22" width="8.88671875" style="18"/>
    <col min="23" max="23" width="9.33203125" style="18" customWidth="1"/>
    <col min="24" max="16384" width="8.88671875" style="18"/>
  </cols>
  <sheetData>
    <row r="1" spans="1:23" s="10" customFormat="1" ht="14.4" x14ac:dyDescent="0.3">
      <c r="A1" s="4" t="s">
        <v>60</v>
      </c>
      <c r="B1" s="5"/>
      <c r="C1" s="5"/>
      <c r="D1" s="5"/>
      <c r="E1" s="5"/>
      <c r="F1" s="6"/>
      <c r="G1" s="6"/>
      <c r="H1" s="6"/>
      <c r="I1" s="6"/>
      <c r="J1" s="6"/>
      <c r="K1" s="6"/>
      <c r="L1" s="7" t="s">
        <v>85</v>
      </c>
      <c r="M1" s="5"/>
      <c r="N1" s="8"/>
      <c r="O1" s="9"/>
      <c r="P1" s="8"/>
      <c r="Q1" s="5"/>
      <c r="R1" s="5"/>
      <c r="S1" s="5"/>
      <c r="T1" s="5"/>
      <c r="U1" s="8"/>
    </row>
    <row r="2" spans="1:23" s="10" customFormat="1" x14ac:dyDescent="0.25">
      <c r="A2" s="11" t="s">
        <v>80</v>
      </c>
      <c r="C2" s="12"/>
      <c r="D2" s="13"/>
      <c r="F2" s="14"/>
      <c r="G2" s="15"/>
      <c r="H2" s="15"/>
      <c r="I2" s="16"/>
      <c r="J2" s="5"/>
      <c r="K2" s="5"/>
      <c r="L2" s="7" t="s">
        <v>45</v>
      </c>
      <c r="M2" s="5"/>
      <c r="N2" s="17"/>
      <c r="O2" s="9"/>
      <c r="P2" s="8"/>
      <c r="S2" s="5"/>
      <c r="T2" s="5"/>
      <c r="U2" s="5"/>
    </row>
    <row r="3" spans="1:23" s="10" customFormat="1" ht="12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3" s="10" customFormat="1" x14ac:dyDescent="0.25">
      <c r="A4" s="71" t="s">
        <v>63</v>
      </c>
      <c r="B4" s="72" t="s">
        <v>47</v>
      </c>
      <c r="C4" s="72" t="s">
        <v>48</v>
      </c>
      <c r="D4" s="72" t="s">
        <v>49</v>
      </c>
      <c r="E4" s="72" t="s">
        <v>50</v>
      </c>
      <c r="F4" s="72" t="s">
        <v>56</v>
      </c>
      <c r="G4" s="72" t="s">
        <v>57</v>
      </c>
      <c r="H4" s="72" t="s">
        <v>58</v>
      </c>
      <c r="I4" s="72" t="s">
        <v>59</v>
      </c>
      <c r="J4" s="72" t="s">
        <v>64</v>
      </c>
      <c r="K4" s="72" t="s">
        <v>65</v>
      </c>
      <c r="L4" s="72" t="s">
        <v>66</v>
      </c>
    </row>
    <row r="5" spans="1:23" s="10" customFormat="1" x14ac:dyDescent="0.25">
      <c r="A5" s="74" t="s">
        <v>51</v>
      </c>
      <c r="B5" s="75">
        <v>0.51875000000000004</v>
      </c>
      <c r="C5" s="75">
        <v>3.6095000000000002E-2</v>
      </c>
      <c r="D5" s="75">
        <v>3.3384999999999998E-2</v>
      </c>
      <c r="E5" s="75">
        <v>3.0884999999999999E-2</v>
      </c>
      <c r="F5" s="75">
        <v>2.8565E-2</v>
      </c>
      <c r="G5" s="75">
        <v>2.6425000000000001E-2</v>
      </c>
      <c r="H5" s="83">
        <v>2.444E-2</v>
      </c>
      <c r="I5" s="75">
        <v>2.2610000000000002E-2</v>
      </c>
      <c r="J5" s="75">
        <v>2.231E-2</v>
      </c>
      <c r="K5" s="75">
        <v>2.2305000000000002E-2</v>
      </c>
      <c r="L5" s="75">
        <v>2.231E-2</v>
      </c>
    </row>
    <row r="6" spans="1:23" s="10" customFormat="1" ht="14.4" x14ac:dyDescent="0.3">
      <c r="A6" s="20" t="s">
        <v>52</v>
      </c>
      <c r="B6" s="21">
        <v>3.7499999999999999E-2</v>
      </c>
      <c r="C6" s="21">
        <v>7.2190000000000004E-2</v>
      </c>
      <c r="D6" s="21">
        <v>6.6769999999999996E-2</v>
      </c>
      <c r="E6" s="21">
        <v>6.1769999999999999E-2</v>
      </c>
      <c r="F6" s="21">
        <v>5.713E-2</v>
      </c>
      <c r="G6" s="21">
        <v>5.2850000000000001E-2</v>
      </c>
      <c r="H6" s="21">
        <v>4.888E-2</v>
      </c>
      <c r="I6" s="21">
        <v>4.5220000000000003E-2</v>
      </c>
      <c r="J6" s="22"/>
      <c r="K6" s="6"/>
      <c r="L6" s="6"/>
      <c r="M6" s="6"/>
      <c r="N6" s="6"/>
      <c r="O6" s="22"/>
      <c r="P6" s="22"/>
    </row>
    <row r="7" spans="1:23" s="10" customFormat="1" ht="14.4" x14ac:dyDescent="0.3">
      <c r="A7" s="20"/>
      <c r="B7" s="21"/>
      <c r="C7" s="21"/>
      <c r="D7" s="21"/>
      <c r="E7" s="21"/>
      <c r="F7" s="21"/>
      <c r="G7" s="21"/>
      <c r="H7" s="21"/>
      <c r="I7" s="21"/>
      <c r="J7" s="22"/>
      <c r="K7" s="6"/>
      <c r="L7" s="6"/>
      <c r="M7" s="6"/>
      <c r="N7" s="6"/>
      <c r="O7" s="22"/>
      <c r="P7" s="22"/>
    </row>
    <row r="8" spans="1:23" s="10" customFormat="1" ht="14.4" x14ac:dyDescent="0.3">
      <c r="A8" s="20"/>
      <c r="B8" s="72" t="s">
        <v>67</v>
      </c>
      <c r="C8" s="72" t="s">
        <v>68</v>
      </c>
      <c r="D8" s="72" t="s">
        <v>69</v>
      </c>
      <c r="E8" s="72" t="s">
        <v>70</v>
      </c>
      <c r="F8" s="72" t="s">
        <v>71</v>
      </c>
      <c r="G8" s="72" t="s">
        <v>72</v>
      </c>
      <c r="H8" s="72" t="s">
        <v>73</v>
      </c>
      <c r="I8" s="72" t="s">
        <v>74</v>
      </c>
      <c r="J8" s="72" t="s">
        <v>75</v>
      </c>
      <c r="K8" s="72" t="s">
        <v>76</v>
      </c>
      <c r="L8" s="72" t="s">
        <v>77</v>
      </c>
      <c r="M8" s="6"/>
      <c r="N8" s="6"/>
      <c r="O8" s="6"/>
      <c r="P8" s="6"/>
    </row>
    <row r="9" spans="1:23" s="10" customFormat="1" ht="14.4" x14ac:dyDescent="0.3">
      <c r="A9" s="20"/>
      <c r="B9" s="75">
        <v>2.2305000000000002E-2</v>
      </c>
      <c r="C9" s="75">
        <v>2.231E-2</v>
      </c>
      <c r="D9" s="83">
        <v>2.2305000000000002E-2</v>
      </c>
      <c r="E9" s="75">
        <v>2.231E-2</v>
      </c>
      <c r="F9" s="75">
        <v>2.2305000000000002E-2</v>
      </c>
      <c r="G9" s="75">
        <v>2.231E-2</v>
      </c>
      <c r="H9" s="75">
        <v>2.2305000000000002E-2</v>
      </c>
      <c r="I9" s="75">
        <v>2.231E-2</v>
      </c>
      <c r="J9" s="75">
        <v>2.2305000000000002E-2</v>
      </c>
      <c r="K9" s="75">
        <v>1.1155E-2</v>
      </c>
      <c r="L9" s="83">
        <f>SUM(B5:P5,B9:K9)</f>
        <v>1.0000000000000004</v>
      </c>
      <c r="M9" s="6"/>
      <c r="N9" s="6"/>
      <c r="O9" s="84"/>
      <c r="P9" s="6"/>
    </row>
    <row r="10" spans="1:23" s="10" customFormat="1" ht="14.4" x14ac:dyDescent="0.3">
      <c r="A10" s="20"/>
      <c r="B10" s="6"/>
      <c r="C10" s="6"/>
      <c r="D10" s="6"/>
      <c r="E10" s="6"/>
      <c r="I10" s="23"/>
      <c r="J10" s="23"/>
      <c r="K10" s="6"/>
      <c r="L10" s="6"/>
      <c r="M10" s="6"/>
      <c r="N10" s="6"/>
      <c r="O10" s="23"/>
      <c r="P10" s="23"/>
      <c r="Q10" s="23"/>
      <c r="R10" s="23"/>
      <c r="S10" s="23"/>
      <c r="T10" s="23"/>
      <c r="U10" s="23"/>
      <c r="V10" s="23"/>
      <c r="W10" s="24"/>
    </row>
    <row r="11" spans="1:23" ht="5.0999999999999996" customHeight="1" thickBot="1" x14ac:dyDescent="0.3"/>
    <row r="12" spans="1:23" x14ac:dyDescent="0.25">
      <c r="A12" s="25" t="s">
        <v>13</v>
      </c>
      <c r="B12" s="26" t="s">
        <v>14</v>
      </c>
      <c r="C12" s="27"/>
      <c r="D12" s="26" t="s">
        <v>15</v>
      </c>
      <c r="E12" s="27"/>
      <c r="F12" s="26" t="s">
        <v>16</v>
      </c>
      <c r="G12" s="27"/>
      <c r="H12" s="26" t="s">
        <v>17</v>
      </c>
      <c r="I12" s="27"/>
      <c r="J12" s="28" t="s">
        <v>18</v>
      </c>
      <c r="K12" s="29" t="s">
        <v>19</v>
      </c>
      <c r="L12" s="29" t="s">
        <v>20</v>
      </c>
    </row>
    <row r="13" spans="1:23" x14ac:dyDescent="0.25">
      <c r="A13" s="30"/>
      <c r="B13" s="31"/>
      <c r="C13" s="32"/>
      <c r="D13" s="33"/>
      <c r="E13" s="34"/>
      <c r="F13" s="33"/>
      <c r="G13" s="32"/>
      <c r="H13" s="31"/>
      <c r="I13" s="35"/>
      <c r="J13" s="36"/>
      <c r="K13" s="37"/>
      <c r="L13" s="37" t="s">
        <v>21</v>
      </c>
    </row>
    <row r="14" spans="1:23" x14ac:dyDescent="0.25">
      <c r="A14" s="38"/>
      <c r="B14" s="39" t="s">
        <v>22</v>
      </c>
      <c r="C14" s="35" t="s">
        <v>23</v>
      </c>
      <c r="D14" s="39" t="s">
        <v>24</v>
      </c>
      <c r="E14" s="35" t="s">
        <v>25</v>
      </c>
      <c r="F14" s="39" t="s">
        <v>22</v>
      </c>
      <c r="G14" s="35" t="s">
        <v>23</v>
      </c>
      <c r="H14" s="39" t="s">
        <v>22</v>
      </c>
      <c r="I14" s="35" t="s">
        <v>26</v>
      </c>
      <c r="J14" s="36" t="s">
        <v>27</v>
      </c>
      <c r="K14" s="40">
        <v>0.35</v>
      </c>
      <c r="L14" s="37" t="s">
        <v>28</v>
      </c>
    </row>
    <row r="15" spans="1:23" x14ac:dyDescent="0.25">
      <c r="A15" s="38"/>
      <c r="B15" s="39"/>
      <c r="C15" s="35"/>
      <c r="D15" s="39" t="s">
        <v>29</v>
      </c>
      <c r="E15" s="35" t="s">
        <v>30</v>
      </c>
      <c r="F15" s="39" t="s">
        <v>31</v>
      </c>
      <c r="G15" s="35" t="s">
        <v>32</v>
      </c>
      <c r="H15" s="39"/>
      <c r="I15" s="35"/>
      <c r="J15" s="36" t="s">
        <v>27</v>
      </c>
      <c r="K15" s="40">
        <v>0.21</v>
      </c>
      <c r="L15" s="37" t="s">
        <v>33</v>
      </c>
    </row>
    <row r="16" spans="1:23" x14ac:dyDescent="0.25">
      <c r="A16" s="41"/>
      <c r="B16" s="42" t="s">
        <v>34</v>
      </c>
      <c r="C16" s="43" t="s">
        <v>35</v>
      </c>
      <c r="D16" s="42"/>
      <c r="E16" s="43"/>
      <c r="F16" s="42" t="s">
        <v>36</v>
      </c>
      <c r="G16" s="43" t="s">
        <v>37</v>
      </c>
      <c r="H16" s="42" t="s">
        <v>38</v>
      </c>
      <c r="I16" s="43" t="s">
        <v>39</v>
      </c>
      <c r="J16" s="44" t="s">
        <v>40</v>
      </c>
      <c r="K16" s="45" t="s">
        <v>41</v>
      </c>
      <c r="L16" s="46" t="s">
        <v>42</v>
      </c>
    </row>
    <row r="17" spans="1:20" outlineLevel="1" x14ac:dyDescent="0.25">
      <c r="A17" s="47"/>
      <c r="B17" s="48"/>
      <c r="C17" s="49"/>
      <c r="D17" s="48"/>
      <c r="E17" s="49"/>
      <c r="F17" s="50"/>
      <c r="G17" s="51"/>
      <c r="H17" s="48"/>
      <c r="I17" s="49"/>
      <c r="J17" s="52"/>
      <c r="K17" s="53"/>
      <c r="L17" s="49"/>
    </row>
    <row r="18" spans="1:20" outlineLevel="1" x14ac:dyDescent="0.25">
      <c r="A18" s="47">
        <v>42674</v>
      </c>
      <c r="B18" s="48">
        <f t="shared" ref="B18:B26" si="0">C18</f>
        <v>0</v>
      </c>
      <c r="C18" s="49">
        <v>0</v>
      </c>
      <c r="D18" s="48"/>
      <c r="E18" s="49">
        <v>0</v>
      </c>
      <c r="F18" s="50">
        <f>+F17-D18</f>
        <v>0</v>
      </c>
      <c r="G18" s="51">
        <f t="shared" ref="G18:G33" si="1">+G17-E18</f>
        <v>0</v>
      </c>
      <c r="H18" s="48">
        <f t="shared" ref="H18:I33" si="2">B18+F18</f>
        <v>0</v>
      </c>
      <c r="I18" s="49">
        <f t="shared" si="2"/>
        <v>0</v>
      </c>
      <c r="J18" s="52">
        <f t="shared" ref="J18:J38" si="3">I18-H18</f>
        <v>0</v>
      </c>
      <c r="K18" s="53">
        <f t="shared" ref="K18:K32" si="4">(-(J18-J17)*$K$14)+K17</f>
        <v>0</v>
      </c>
      <c r="L18" s="49">
        <f t="shared" ref="L18:L38" si="5">-K18+K17</f>
        <v>0</v>
      </c>
    </row>
    <row r="19" spans="1:20" outlineLevel="1" x14ac:dyDescent="0.25">
      <c r="A19" s="47">
        <v>42704</v>
      </c>
      <c r="B19" s="48">
        <f t="shared" si="0"/>
        <v>0</v>
      </c>
      <c r="C19" s="49">
        <v>0</v>
      </c>
      <c r="D19" s="48"/>
      <c r="E19" s="49">
        <v>0</v>
      </c>
      <c r="F19" s="50">
        <f t="shared" ref="F19:G34" si="6">+F18-D19</f>
        <v>0</v>
      </c>
      <c r="G19" s="51">
        <f t="shared" si="1"/>
        <v>0</v>
      </c>
      <c r="H19" s="48">
        <f t="shared" si="2"/>
        <v>0</v>
      </c>
      <c r="I19" s="49">
        <f t="shared" si="2"/>
        <v>0</v>
      </c>
      <c r="J19" s="52">
        <f t="shared" si="3"/>
        <v>0</v>
      </c>
      <c r="K19" s="53">
        <f t="shared" si="4"/>
        <v>0</v>
      </c>
      <c r="L19" s="49">
        <f t="shared" si="5"/>
        <v>0</v>
      </c>
    </row>
    <row r="20" spans="1:20" outlineLevel="1" x14ac:dyDescent="0.25">
      <c r="A20" s="47">
        <v>42735</v>
      </c>
      <c r="B20" s="48">
        <f t="shared" si="0"/>
        <v>0</v>
      </c>
      <c r="C20" s="49">
        <v>0</v>
      </c>
      <c r="D20" s="48"/>
      <c r="E20" s="49">
        <v>0</v>
      </c>
      <c r="F20" s="50">
        <f t="shared" si="6"/>
        <v>0</v>
      </c>
      <c r="G20" s="51">
        <f t="shared" si="1"/>
        <v>0</v>
      </c>
      <c r="H20" s="48">
        <f t="shared" si="2"/>
        <v>0</v>
      </c>
      <c r="I20" s="49">
        <f t="shared" si="2"/>
        <v>0</v>
      </c>
      <c r="J20" s="52">
        <f t="shared" si="3"/>
        <v>0</v>
      </c>
      <c r="K20" s="53">
        <f t="shared" si="4"/>
        <v>0</v>
      </c>
      <c r="L20" s="49">
        <f t="shared" si="5"/>
        <v>0</v>
      </c>
    </row>
    <row r="21" spans="1:20" outlineLevel="1" x14ac:dyDescent="0.25">
      <c r="A21" s="47">
        <v>42766</v>
      </c>
      <c r="B21" s="48">
        <f t="shared" si="0"/>
        <v>0</v>
      </c>
      <c r="C21" s="49">
        <v>0</v>
      </c>
      <c r="D21" s="48"/>
      <c r="E21" s="49">
        <v>0</v>
      </c>
      <c r="F21" s="50">
        <f t="shared" si="6"/>
        <v>0</v>
      </c>
      <c r="G21" s="51">
        <f t="shared" si="1"/>
        <v>0</v>
      </c>
      <c r="H21" s="48">
        <f t="shared" si="2"/>
        <v>0</v>
      </c>
      <c r="I21" s="49">
        <f t="shared" si="2"/>
        <v>0</v>
      </c>
      <c r="J21" s="52">
        <f t="shared" si="3"/>
        <v>0</v>
      </c>
      <c r="K21" s="53">
        <f t="shared" si="4"/>
        <v>0</v>
      </c>
      <c r="L21" s="49">
        <f t="shared" si="5"/>
        <v>0</v>
      </c>
    </row>
    <row r="22" spans="1:20" outlineLevel="1" x14ac:dyDescent="0.25">
      <c r="A22" s="47">
        <v>42794</v>
      </c>
      <c r="B22" s="48">
        <f t="shared" si="0"/>
        <v>0</v>
      </c>
      <c r="C22" s="49">
        <v>0</v>
      </c>
      <c r="D22" s="48"/>
      <c r="E22" s="49">
        <v>0</v>
      </c>
      <c r="F22" s="50">
        <f t="shared" si="6"/>
        <v>0</v>
      </c>
      <c r="G22" s="51">
        <f t="shared" si="1"/>
        <v>0</v>
      </c>
      <c r="H22" s="48">
        <f t="shared" si="2"/>
        <v>0</v>
      </c>
      <c r="I22" s="49">
        <f t="shared" si="2"/>
        <v>0</v>
      </c>
      <c r="J22" s="52">
        <f t="shared" si="3"/>
        <v>0</v>
      </c>
      <c r="K22" s="53">
        <f t="shared" si="4"/>
        <v>0</v>
      </c>
      <c r="L22" s="49">
        <f t="shared" si="5"/>
        <v>0</v>
      </c>
    </row>
    <row r="23" spans="1:20" outlineLevel="1" x14ac:dyDescent="0.25">
      <c r="A23" s="47">
        <v>42825</v>
      </c>
      <c r="B23" s="48">
        <f t="shared" si="0"/>
        <v>0</v>
      </c>
      <c r="C23" s="49">
        <v>0</v>
      </c>
      <c r="D23" s="48"/>
      <c r="E23" s="49">
        <v>0</v>
      </c>
      <c r="F23" s="50">
        <f t="shared" si="6"/>
        <v>0</v>
      </c>
      <c r="G23" s="51">
        <f t="shared" si="1"/>
        <v>0</v>
      </c>
      <c r="H23" s="48">
        <f t="shared" si="2"/>
        <v>0</v>
      </c>
      <c r="I23" s="49">
        <f t="shared" si="2"/>
        <v>0</v>
      </c>
      <c r="J23" s="52">
        <f t="shared" si="3"/>
        <v>0</v>
      </c>
      <c r="K23" s="53">
        <f t="shared" si="4"/>
        <v>0</v>
      </c>
      <c r="L23" s="49">
        <f t="shared" si="5"/>
        <v>0</v>
      </c>
    </row>
    <row r="24" spans="1:20" outlineLevel="1" x14ac:dyDescent="0.25">
      <c r="A24" s="47">
        <v>42855</v>
      </c>
      <c r="B24" s="48">
        <f t="shared" si="0"/>
        <v>0</v>
      </c>
      <c r="C24" s="49">
        <v>0</v>
      </c>
      <c r="D24" s="48"/>
      <c r="E24" s="49">
        <v>0</v>
      </c>
      <c r="F24" s="50">
        <f t="shared" si="6"/>
        <v>0</v>
      </c>
      <c r="G24" s="51">
        <f t="shared" si="1"/>
        <v>0</v>
      </c>
      <c r="H24" s="48">
        <f t="shared" si="2"/>
        <v>0</v>
      </c>
      <c r="I24" s="49">
        <f t="shared" si="2"/>
        <v>0</v>
      </c>
      <c r="J24" s="52">
        <f t="shared" si="3"/>
        <v>0</v>
      </c>
      <c r="K24" s="53">
        <f t="shared" si="4"/>
        <v>0</v>
      </c>
      <c r="L24" s="49">
        <f t="shared" si="5"/>
        <v>0</v>
      </c>
    </row>
    <row r="25" spans="1:20" outlineLevel="1" x14ac:dyDescent="0.25">
      <c r="A25" s="47">
        <v>42886</v>
      </c>
      <c r="B25" s="48">
        <f t="shared" si="0"/>
        <v>0</v>
      </c>
      <c r="C25" s="49">
        <v>0</v>
      </c>
      <c r="D25" s="48"/>
      <c r="E25" s="49">
        <v>0</v>
      </c>
      <c r="F25" s="50">
        <f t="shared" si="6"/>
        <v>0</v>
      </c>
      <c r="G25" s="51">
        <f t="shared" si="1"/>
        <v>0</v>
      </c>
      <c r="H25" s="48">
        <f t="shared" si="2"/>
        <v>0</v>
      </c>
      <c r="I25" s="49">
        <f t="shared" si="2"/>
        <v>0</v>
      </c>
      <c r="J25" s="52">
        <f t="shared" si="3"/>
        <v>0</v>
      </c>
      <c r="K25" s="53">
        <f t="shared" si="4"/>
        <v>0</v>
      </c>
      <c r="L25" s="49">
        <f t="shared" si="5"/>
        <v>0</v>
      </c>
    </row>
    <row r="26" spans="1:20" outlineLevel="1" x14ac:dyDescent="0.25">
      <c r="A26" s="47">
        <v>42916</v>
      </c>
      <c r="B26" s="48">
        <f t="shared" si="0"/>
        <v>0</v>
      </c>
      <c r="C26" s="49">
        <v>0</v>
      </c>
      <c r="D26" s="48"/>
      <c r="E26" s="49">
        <v>0</v>
      </c>
      <c r="F26" s="50">
        <f t="shared" si="6"/>
        <v>0</v>
      </c>
      <c r="G26" s="51">
        <f t="shared" si="1"/>
        <v>0</v>
      </c>
      <c r="H26" s="48">
        <f t="shared" si="2"/>
        <v>0</v>
      </c>
      <c r="I26" s="49">
        <f t="shared" si="2"/>
        <v>0</v>
      </c>
      <c r="J26" s="52">
        <f t="shared" si="3"/>
        <v>0</v>
      </c>
      <c r="K26" s="53">
        <f t="shared" si="4"/>
        <v>0</v>
      </c>
      <c r="L26" s="49">
        <f t="shared" si="5"/>
        <v>0</v>
      </c>
    </row>
    <row r="27" spans="1:20" x14ac:dyDescent="0.25">
      <c r="A27" s="47">
        <v>42947</v>
      </c>
      <c r="B27" s="48">
        <f>C27</f>
        <v>0</v>
      </c>
      <c r="C27" s="49">
        <v>0</v>
      </c>
      <c r="D27" s="48">
        <f>+($B$32*$B$5/7)</f>
        <v>3791.864633928571</v>
      </c>
      <c r="E27" s="49">
        <v>0</v>
      </c>
      <c r="F27" s="50">
        <f t="shared" si="6"/>
        <v>-3791.864633928571</v>
      </c>
      <c r="G27" s="51">
        <f t="shared" si="1"/>
        <v>0</v>
      </c>
      <c r="H27" s="48">
        <f t="shared" si="2"/>
        <v>-3791.864633928571</v>
      </c>
      <c r="I27" s="49">
        <f t="shared" si="2"/>
        <v>0</v>
      </c>
      <c r="J27" s="52">
        <f t="shared" si="3"/>
        <v>3791.864633928571</v>
      </c>
      <c r="K27" s="53">
        <f t="shared" si="4"/>
        <v>-1327.1526218749998</v>
      </c>
      <c r="L27" s="49">
        <f t="shared" si="5"/>
        <v>1327.1526218749998</v>
      </c>
    </row>
    <row r="28" spans="1:20" x14ac:dyDescent="0.25">
      <c r="A28" s="47">
        <v>42978</v>
      </c>
      <c r="B28" s="48">
        <f t="shared" ref="B28:B38" si="7">C28</f>
        <v>0</v>
      </c>
      <c r="C28" s="49">
        <v>0</v>
      </c>
      <c r="D28" s="48">
        <f t="shared" ref="D28:D31" si="8">+($B$32*$B$5/7)</f>
        <v>3791.864633928571</v>
      </c>
      <c r="E28" s="49">
        <v>0</v>
      </c>
      <c r="F28" s="50">
        <f t="shared" si="6"/>
        <v>-7583.7292678571421</v>
      </c>
      <c r="G28" s="51">
        <f t="shared" si="1"/>
        <v>0</v>
      </c>
      <c r="H28" s="48">
        <f t="shared" si="2"/>
        <v>-7583.7292678571421</v>
      </c>
      <c r="I28" s="49">
        <f t="shared" si="2"/>
        <v>0</v>
      </c>
      <c r="J28" s="52">
        <f t="shared" si="3"/>
        <v>7583.7292678571421</v>
      </c>
      <c r="K28" s="53">
        <f t="shared" si="4"/>
        <v>-2654.3052437499996</v>
      </c>
      <c r="L28" s="49">
        <f t="shared" si="5"/>
        <v>1327.1526218749998</v>
      </c>
    </row>
    <row r="29" spans="1:20" ht="14.4" x14ac:dyDescent="0.3">
      <c r="A29" s="47">
        <v>43008</v>
      </c>
      <c r="B29" s="48">
        <f t="shared" si="7"/>
        <v>0</v>
      </c>
      <c r="C29" s="49">
        <v>0</v>
      </c>
      <c r="D29" s="48">
        <f t="shared" si="8"/>
        <v>3791.864633928571</v>
      </c>
      <c r="E29" s="49">
        <v>0</v>
      </c>
      <c r="F29" s="50">
        <f t="shared" si="6"/>
        <v>-11375.593901785713</v>
      </c>
      <c r="G29" s="51">
        <f t="shared" si="1"/>
        <v>0</v>
      </c>
      <c r="H29" s="48">
        <f t="shared" si="2"/>
        <v>-11375.593901785713</v>
      </c>
      <c r="I29" s="49">
        <f t="shared" si="2"/>
        <v>0</v>
      </c>
      <c r="J29" s="52">
        <f t="shared" si="3"/>
        <v>11375.593901785713</v>
      </c>
      <c r="K29" s="53">
        <f t="shared" si="4"/>
        <v>-3981.4578656249992</v>
      </c>
      <c r="L29" s="49">
        <f t="shared" si="5"/>
        <v>1327.1526218749996</v>
      </c>
      <c r="M29" s="6"/>
      <c r="N29" s="54"/>
      <c r="O29" s="54"/>
      <c r="P29" s="54"/>
      <c r="Q29" s="54"/>
      <c r="R29" s="54"/>
      <c r="S29" s="54"/>
      <c r="T29" s="54"/>
    </row>
    <row r="30" spans="1:20" ht="14.4" x14ac:dyDescent="0.3">
      <c r="A30" s="47">
        <v>43039</v>
      </c>
      <c r="B30" s="48">
        <f t="shared" si="7"/>
        <v>44814.38</v>
      </c>
      <c r="C30" s="49">
        <v>44814.38</v>
      </c>
      <c r="D30" s="48">
        <f t="shared" si="8"/>
        <v>3791.864633928571</v>
      </c>
      <c r="E30" s="49">
        <v>40.893121749999999</v>
      </c>
      <c r="F30" s="50">
        <f t="shared" si="6"/>
        <v>-15167.458535714284</v>
      </c>
      <c r="G30" s="51">
        <f t="shared" si="1"/>
        <v>-40.893121749999999</v>
      </c>
      <c r="H30" s="48">
        <f t="shared" si="2"/>
        <v>29646.921464285711</v>
      </c>
      <c r="I30" s="49">
        <f t="shared" si="2"/>
        <v>44773.486878249998</v>
      </c>
      <c r="J30" s="52">
        <f t="shared" si="3"/>
        <v>15126.565413964287</v>
      </c>
      <c r="K30" s="53">
        <f t="shared" si="4"/>
        <v>-5294.2978948874998</v>
      </c>
      <c r="L30" s="49">
        <f t="shared" si="5"/>
        <v>1312.8400292625006</v>
      </c>
      <c r="M30" s="6"/>
      <c r="N30" s="54"/>
      <c r="O30" s="54"/>
      <c r="P30" s="54"/>
      <c r="Q30" s="54"/>
      <c r="R30" s="54"/>
      <c r="S30" s="54"/>
      <c r="T30" s="54"/>
    </row>
    <row r="31" spans="1:20" ht="14.4" x14ac:dyDescent="0.3">
      <c r="A31" s="47">
        <v>43069</v>
      </c>
      <c r="B31" s="48">
        <f t="shared" si="7"/>
        <v>51167.329999999994</v>
      </c>
      <c r="C31" s="49">
        <v>51167.329999999994</v>
      </c>
      <c r="D31" s="48">
        <f t="shared" si="8"/>
        <v>3791.864633928571</v>
      </c>
      <c r="E31" s="49">
        <v>87.583310374999996</v>
      </c>
      <c r="F31" s="50">
        <f t="shared" si="6"/>
        <v>-18959.323169642856</v>
      </c>
      <c r="G31" s="51">
        <f t="shared" si="1"/>
        <v>-128.476432125</v>
      </c>
      <c r="H31" s="48">
        <f t="shared" si="2"/>
        <v>32208.006830357139</v>
      </c>
      <c r="I31" s="49">
        <f t="shared" si="2"/>
        <v>51038.853567874998</v>
      </c>
      <c r="J31" s="52">
        <f t="shared" si="3"/>
        <v>18830.846737517859</v>
      </c>
      <c r="K31" s="53">
        <f t="shared" si="4"/>
        <v>-6590.7963581312497</v>
      </c>
      <c r="L31" s="49">
        <f t="shared" si="5"/>
        <v>1296.4984632437499</v>
      </c>
      <c r="M31" s="6"/>
      <c r="N31" s="54"/>
      <c r="O31" s="54"/>
      <c r="P31" s="54"/>
      <c r="Q31" s="54"/>
      <c r="R31" s="54"/>
      <c r="S31" s="54"/>
      <c r="T31" s="54"/>
    </row>
    <row r="32" spans="1:20" ht="14.4" x14ac:dyDescent="0.3">
      <c r="A32" s="47">
        <v>43100</v>
      </c>
      <c r="B32" s="48">
        <f t="shared" si="7"/>
        <v>51167.329999999994</v>
      </c>
      <c r="C32" s="49">
        <v>51167.329999999994</v>
      </c>
      <c r="D32" s="48">
        <f>+($B$32*$B$5/7)</f>
        <v>3791.864633928571</v>
      </c>
      <c r="E32" s="49">
        <v>99.349899083333341</v>
      </c>
      <c r="F32" s="50">
        <f t="shared" si="6"/>
        <v>-22751.187803571425</v>
      </c>
      <c r="G32" s="51">
        <f t="shared" si="1"/>
        <v>-227.82633120833333</v>
      </c>
      <c r="H32" s="48">
        <f t="shared" si="2"/>
        <v>28416.142196428569</v>
      </c>
      <c r="I32" s="49">
        <f t="shared" si="2"/>
        <v>50939.503668791658</v>
      </c>
      <c r="J32" s="52">
        <f t="shared" si="3"/>
        <v>22523.361472363089</v>
      </c>
      <c r="K32" s="53">
        <f t="shared" si="4"/>
        <v>-7883.1765153270799</v>
      </c>
      <c r="L32" s="49">
        <f t="shared" si="5"/>
        <v>1292.3801571958302</v>
      </c>
      <c r="M32" s="6"/>
      <c r="N32" s="54"/>
      <c r="O32" s="54"/>
      <c r="P32" s="54"/>
      <c r="Q32" s="54"/>
      <c r="R32" s="54"/>
      <c r="S32" s="54"/>
      <c r="T32" s="54"/>
    </row>
    <row r="33" spans="1:20" ht="14.4" x14ac:dyDescent="0.3">
      <c r="A33" s="47">
        <v>43131</v>
      </c>
      <c r="B33" s="48">
        <f t="shared" si="7"/>
        <v>51167.329999999994</v>
      </c>
      <c r="C33" s="49">
        <v>51167.329999999994</v>
      </c>
      <c r="D33" s="140">
        <f>+((($B$44-$B$32)*$B$6/12)+($B$32*$C$5/12))</f>
        <v>1171.8422209458333</v>
      </c>
      <c r="E33" s="49">
        <v>107.87778741666665</v>
      </c>
      <c r="F33" s="50">
        <f t="shared" si="6"/>
        <v>-23923.030024517258</v>
      </c>
      <c r="G33" s="51">
        <f t="shared" si="1"/>
        <v>-335.70411862499998</v>
      </c>
      <c r="H33" s="48">
        <f t="shared" si="2"/>
        <v>27244.299975482736</v>
      </c>
      <c r="I33" s="49">
        <f t="shared" si="2"/>
        <v>50831.625881374996</v>
      </c>
      <c r="J33" s="52">
        <f t="shared" si="3"/>
        <v>23587.325905892259</v>
      </c>
      <c r="K33" s="53">
        <f>(-(J33-J32)*$K$15)+K32</f>
        <v>-8106.6090463682058</v>
      </c>
      <c r="L33" s="49">
        <f t="shared" si="5"/>
        <v>223.43253104112591</v>
      </c>
      <c r="M33" s="6"/>
      <c r="N33" s="54"/>
      <c r="O33" s="54"/>
      <c r="P33" s="54"/>
      <c r="Q33" s="54"/>
      <c r="R33" s="54"/>
      <c r="S33" s="54"/>
      <c r="T33" s="54"/>
    </row>
    <row r="34" spans="1:20" x14ac:dyDescent="0.25">
      <c r="A34" s="47">
        <v>43159</v>
      </c>
      <c r="B34" s="48">
        <f t="shared" si="7"/>
        <v>51167.329999999994</v>
      </c>
      <c r="C34" s="49">
        <v>51167.329999999994</v>
      </c>
      <c r="D34" s="140">
        <f t="shared" ref="D34:D44" si="9">+((($B$44-$B$32)*$B$6/12)+($B$32*$C$5/12))</f>
        <v>1171.8422209458333</v>
      </c>
      <c r="E34" s="49">
        <v>107.87778741666665</v>
      </c>
      <c r="F34" s="50">
        <f t="shared" si="6"/>
        <v>-25094.872245463092</v>
      </c>
      <c r="G34" s="51">
        <f t="shared" si="6"/>
        <v>-443.58190604166663</v>
      </c>
      <c r="H34" s="48">
        <f t="shared" ref="H34:I38" si="10">B34+F34</f>
        <v>26072.457754536903</v>
      </c>
      <c r="I34" s="49">
        <f t="shared" si="10"/>
        <v>50723.748093958326</v>
      </c>
      <c r="J34" s="52">
        <f t="shared" si="3"/>
        <v>24651.290339421423</v>
      </c>
      <c r="K34" s="53">
        <f t="shared" ref="K34:K38" si="11">(-(J34-J33)*$K$15)+K33</f>
        <v>-8330.0415774093308</v>
      </c>
      <c r="L34" s="49">
        <f t="shared" si="5"/>
        <v>223.432531041125</v>
      </c>
      <c r="M34" s="55"/>
      <c r="N34" s="54"/>
      <c r="O34" s="54"/>
      <c r="P34" s="54"/>
      <c r="Q34" s="54"/>
      <c r="R34" s="54"/>
      <c r="S34" s="54"/>
      <c r="T34" s="54"/>
    </row>
    <row r="35" spans="1:20" x14ac:dyDescent="0.25">
      <c r="A35" s="47">
        <v>43190</v>
      </c>
      <c r="B35" s="48">
        <f t="shared" si="7"/>
        <v>51167.329999999994</v>
      </c>
      <c r="C35" s="49">
        <v>51167.329999999994</v>
      </c>
      <c r="D35" s="140">
        <f t="shared" si="9"/>
        <v>1171.8422209458333</v>
      </c>
      <c r="E35" s="49">
        <v>107.87778741666665</v>
      </c>
      <c r="F35" s="50">
        <f t="shared" ref="F35:G38" si="12">+F34-D35</f>
        <v>-26266.714466408925</v>
      </c>
      <c r="G35" s="51">
        <f t="shared" si="12"/>
        <v>-551.45969345833328</v>
      </c>
      <c r="H35" s="48">
        <f t="shared" si="10"/>
        <v>24900.61553359107</v>
      </c>
      <c r="I35" s="49">
        <f t="shared" si="10"/>
        <v>50615.870306541663</v>
      </c>
      <c r="J35" s="52">
        <f t="shared" si="3"/>
        <v>25715.254772950593</v>
      </c>
      <c r="K35" s="53">
        <f t="shared" si="11"/>
        <v>-8553.4741084504567</v>
      </c>
      <c r="L35" s="49">
        <f t="shared" si="5"/>
        <v>223.43253104112591</v>
      </c>
      <c r="M35" s="55"/>
      <c r="N35" s="54"/>
      <c r="O35" s="54"/>
      <c r="P35" s="54"/>
      <c r="Q35" s="54"/>
      <c r="R35" s="54"/>
      <c r="S35" s="54"/>
      <c r="T35" s="54"/>
    </row>
    <row r="36" spans="1:20" x14ac:dyDescent="0.25">
      <c r="A36" s="47">
        <v>43220</v>
      </c>
      <c r="B36" s="48">
        <f t="shared" si="7"/>
        <v>376906.58</v>
      </c>
      <c r="C36" s="49">
        <v>376906.58</v>
      </c>
      <c r="D36" s="140">
        <f t="shared" si="9"/>
        <v>1171.8422209458333</v>
      </c>
      <c r="E36" s="49">
        <v>660.27726554166657</v>
      </c>
      <c r="F36" s="50">
        <f t="shared" si="12"/>
        <v>-27438.556687354758</v>
      </c>
      <c r="G36" s="51">
        <f t="shared" si="12"/>
        <v>-1211.7369589999998</v>
      </c>
      <c r="H36" s="48">
        <f t="shared" si="10"/>
        <v>349468.02331264527</v>
      </c>
      <c r="I36" s="49">
        <f t="shared" si="10"/>
        <v>375694.84304100001</v>
      </c>
      <c r="J36" s="52">
        <f t="shared" si="3"/>
        <v>26226.819728354749</v>
      </c>
      <c r="K36" s="53">
        <f t="shared" si="11"/>
        <v>-8660.9027490853296</v>
      </c>
      <c r="L36" s="49">
        <f t="shared" si="5"/>
        <v>107.42864063487286</v>
      </c>
      <c r="M36" s="55"/>
      <c r="N36" s="56"/>
      <c r="O36" s="54"/>
      <c r="P36" s="54"/>
      <c r="Q36" s="54"/>
      <c r="R36" s="54"/>
      <c r="S36" s="54"/>
      <c r="T36" s="54"/>
    </row>
    <row r="37" spans="1:20" x14ac:dyDescent="0.25">
      <c r="A37" s="47">
        <v>43251</v>
      </c>
      <c r="B37" s="48">
        <f t="shared" si="7"/>
        <v>376906.58</v>
      </c>
      <c r="C37" s="49">
        <v>376906.58</v>
      </c>
      <c r="D37" s="140">
        <f t="shared" si="9"/>
        <v>1171.8422209458333</v>
      </c>
      <c r="E37" s="49">
        <v>1212.6767436666667</v>
      </c>
      <c r="F37" s="50">
        <f t="shared" si="12"/>
        <v>-28610.398908300591</v>
      </c>
      <c r="G37" s="51">
        <f t="shared" si="12"/>
        <v>-2424.4137026666667</v>
      </c>
      <c r="H37" s="48">
        <f t="shared" si="10"/>
        <v>348296.1810916994</v>
      </c>
      <c r="I37" s="49">
        <f t="shared" si="10"/>
        <v>374482.16629733337</v>
      </c>
      <c r="J37" s="52">
        <f t="shared" si="3"/>
        <v>26185.985205633973</v>
      </c>
      <c r="K37" s="53">
        <f t="shared" si="11"/>
        <v>-8652.3274993139676</v>
      </c>
      <c r="L37" s="49">
        <f t="shared" si="5"/>
        <v>-8.575249771361996</v>
      </c>
      <c r="M37" s="55"/>
      <c r="N37" s="54"/>
      <c r="O37" s="54"/>
      <c r="P37" s="54"/>
      <c r="Q37" s="54"/>
      <c r="R37" s="54"/>
      <c r="S37" s="54"/>
      <c r="T37" s="54"/>
    </row>
    <row r="38" spans="1:20" ht="13.8" thickBot="1" x14ac:dyDescent="0.3">
      <c r="A38" s="133">
        <v>43281</v>
      </c>
      <c r="B38" s="134">
        <f t="shared" si="7"/>
        <v>376906.58</v>
      </c>
      <c r="C38" s="135">
        <v>376906.58</v>
      </c>
      <c r="D38" s="141">
        <f t="shared" si="9"/>
        <v>1171.8422209458333</v>
      </c>
      <c r="E38" s="135">
        <v>1212.6767436666667</v>
      </c>
      <c r="F38" s="136">
        <f t="shared" si="12"/>
        <v>-29782.241129246424</v>
      </c>
      <c r="G38" s="137">
        <f t="shared" si="12"/>
        <v>-3637.0904463333336</v>
      </c>
      <c r="H38" s="134">
        <f t="shared" si="10"/>
        <v>347124.33887075359</v>
      </c>
      <c r="I38" s="135">
        <f t="shared" si="10"/>
        <v>373269.48955366667</v>
      </c>
      <c r="J38" s="138">
        <f t="shared" si="3"/>
        <v>26145.150682913081</v>
      </c>
      <c r="K38" s="139">
        <f t="shared" si="11"/>
        <v>-8643.7522495425801</v>
      </c>
      <c r="L38" s="135">
        <f t="shared" si="5"/>
        <v>-8.5752497713874618</v>
      </c>
      <c r="M38" s="55"/>
      <c r="N38" s="54"/>
      <c r="O38" s="54"/>
      <c r="P38" s="54"/>
      <c r="Q38" s="54"/>
      <c r="R38" s="54"/>
      <c r="S38" s="54"/>
      <c r="T38" s="54"/>
    </row>
    <row r="39" spans="1:20" x14ac:dyDescent="0.25">
      <c r="A39" s="47">
        <v>43312</v>
      </c>
      <c r="B39" s="48">
        <f>B38</f>
        <v>376906.58</v>
      </c>
      <c r="C39" s="49">
        <f>C38</f>
        <v>376906.58</v>
      </c>
      <c r="D39" s="48">
        <f t="shared" si="9"/>
        <v>1171.8422209458333</v>
      </c>
      <c r="E39" s="49">
        <f>E38</f>
        <v>1212.6767436666667</v>
      </c>
      <c r="F39" s="50">
        <f t="shared" ref="F39" si="13">+F38-D39</f>
        <v>-30954.083350192257</v>
      </c>
      <c r="G39" s="51">
        <f t="shared" ref="G39" si="14">+G38-E39</f>
        <v>-4849.7671900000005</v>
      </c>
      <c r="H39" s="48">
        <f t="shared" ref="H39" si="15">B39+F39</f>
        <v>345952.49664980778</v>
      </c>
      <c r="I39" s="49">
        <f t="shared" ref="I39" si="16">C39+G39</f>
        <v>372056.81281000003</v>
      </c>
      <c r="J39" s="52">
        <f t="shared" ref="J39" si="17">I39-H39</f>
        <v>26104.316160192247</v>
      </c>
      <c r="K39" s="53">
        <f t="shared" ref="K39" si="18">(-(J39-J38)*$K$15)+K38</f>
        <v>-8635.1769997712054</v>
      </c>
      <c r="L39" s="49">
        <f t="shared" ref="L39" si="19">-K39+K38</f>
        <v>-8.5752497713747289</v>
      </c>
      <c r="M39" s="55"/>
      <c r="N39" s="54"/>
      <c r="O39" s="54"/>
      <c r="P39" s="54"/>
      <c r="Q39" s="54"/>
      <c r="R39" s="54"/>
      <c r="S39" s="54"/>
      <c r="T39" s="54"/>
    </row>
    <row r="40" spans="1:20" x14ac:dyDescent="0.25">
      <c r="A40" s="47">
        <v>43343</v>
      </c>
      <c r="B40" s="48">
        <f t="shared" ref="B40:B58" si="20">B39</f>
        <v>376906.58</v>
      </c>
      <c r="C40" s="49">
        <f t="shared" ref="C40:C58" si="21">C39</f>
        <v>376906.58</v>
      </c>
      <c r="D40" s="48">
        <f t="shared" si="9"/>
        <v>1171.8422209458333</v>
      </c>
      <c r="E40" s="49">
        <f t="shared" ref="E40:E58" si="22">E39</f>
        <v>1212.6767436666667</v>
      </c>
      <c r="F40" s="50">
        <f t="shared" ref="F40:F58" si="23">+F39-D40</f>
        <v>-32125.92557113809</v>
      </c>
      <c r="G40" s="51">
        <f t="shared" ref="G40:G58" si="24">+G39-E40</f>
        <v>-6062.4439336666674</v>
      </c>
      <c r="H40" s="48">
        <f t="shared" ref="H40:H58" si="25">B40+F40</f>
        <v>344780.65442886192</v>
      </c>
      <c r="I40" s="49">
        <f t="shared" ref="I40:I58" si="26">C40+G40</f>
        <v>370844.13606633333</v>
      </c>
      <c r="J40" s="52">
        <f t="shared" ref="J40:J58" si="27">I40-H40</f>
        <v>26063.481637471414</v>
      </c>
      <c r="K40" s="53">
        <f t="shared" ref="K40:K58" si="28">(-(J40-J39)*$K$15)+K39</f>
        <v>-8626.6017499998306</v>
      </c>
      <c r="L40" s="49">
        <f t="shared" ref="L40:L58" si="29">-K40+K39</f>
        <v>-8.5752497713747289</v>
      </c>
      <c r="M40" s="55"/>
      <c r="N40" s="54"/>
      <c r="O40" s="54"/>
      <c r="P40" s="54"/>
      <c r="Q40" s="54"/>
      <c r="R40" s="54"/>
      <c r="S40" s="54"/>
      <c r="T40" s="54"/>
    </row>
    <row r="41" spans="1:20" x14ac:dyDescent="0.25">
      <c r="A41" s="47">
        <v>43373</v>
      </c>
      <c r="B41" s="48">
        <f t="shared" si="20"/>
        <v>376906.58</v>
      </c>
      <c r="C41" s="49">
        <f t="shared" si="21"/>
        <v>376906.58</v>
      </c>
      <c r="D41" s="48">
        <f t="shared" si="9"/>
        <v>1171.8422209458333</v>
      </c>
      <c r="E41" s="49">
        <f t="shared" si="22"/>
        <v>1212.6767436666667</v>
      </c>
      <c r="F41" s="50">
        <f t="shared" si="23"/>
        <v>-33297.767792083927</v>
      </c>
      <c r="G41" s="51">
        <f t="shared" si="24"/>
        <v>-7275.1206773333342</v>
      </c>
      <c r="H41" s="48">
        <f t="shared" si="25"/>
        <v>343608.81220791611</v>
      </c>
      <c r="I41" s="49">
        <f t="shared" si="26"/>
        <v>369631.45932266669</v>
      </c>
      <c r="J41" s="52">
        <f t="shared" si="27"/>
        <v>26022.64711475058</v>
      </c>
      <c r="K41" s="53">
        <f t="shared" si="28"/>
        <v>-8618.0265002284559</v>
      </c>
      <c r="L41" s="49">
        <f t="shared" si="29"/>
        <v>-8.5752497713747289</v>
      </c>
      <c r="M41" s="55"/>
      <c r="N41" s="54"/>
      <c r="O41" s="54"/>
      <c r="P41" s="54"/>
      <c r="Q41" s="54"/>
      <c r="R41" s="54"/>
      <c r="S41" s="54"/>
      <c r="T41" s="54"/>
    </row>
    <row r="42" spans="1:20" x14ac:dyDescent="0.25">
      <c r="A42" s="47">
        <v>43404</v>
      </c>
      <c r="B42" s="48">
        <f t="shared" si="20"/>
        <v>376906.58</v>
      </c>
      <c r="C42" s="49">
        <f t="shared" si="21"/>
        <v>376906.58</v>
      </c>
      <c r="D42" s="48">
        <f t="shared" si="9"/>
        <v>1171.8422209458333</v>
      </c>
      <c r="E42" s="49">
        <f t="shared" si="22"/>
        <v>1212.6767436666667</v>
      </c>
      <c r="F42" s="50">
        <f t="shared" si="23"/>
        <v>-34469.610013029764</v>
      </c>
      <c r="G42" s="51">
        <f t="shared" si="24"/>
        <v>-8487.7974210000011</v>
      </c>
      <c r="H42" s="48">
        <f t="shared" si="25"/>
        <v>342436.96998697025</v>
      </c>
      <c r="I42" s="49">
        <f t="shared" si="26"/>
        <v>368418.78257899999</v>
      </c>
      <c r="J42" s="52">
        <f t="shared" si="27"/>
        <v>25981.812592029746</v>
      </c>
      <c r="K42" s="53">
        <f t="shared" si="28"/>
        <v>-8609.4512504570812</v>
      </c>
      <c r="L42" s="49">
        <f t="shared" si="29"/>
        <v>-8.5752497713747289</v>
      </c>
      <c r="M42" s="55"/>
      <c r="N42" s="54"/>
      <c r="O42" s="54"/>
      <c r="P42" s="54"/>
      <c r="Q42" s="54"/>
      <c r="R42" s="54"/>
      <c r="S42" s="54"/>
      <c r="T42" s="54"/>
    </row>
    <row r="43" spans="1:20" x14ac:dyDescent="0.25">
      <c r="A43" s="47">
        <v>43434</v>
      </c>
      <c r="B43" s="48">
        <f t="shared" si="20"/>
        <v>376906.58</v>
      </c>
      <c r="C43" s="49">
        <f t="shared" si="21"/>
        <v>376906.58</v>
      </c>
      <c r="D43" s="48">
        <f t="shared" si="9"/>
        <v>1171.8422209458333</v>
      </c>
      <c r="E43" s="49">
        <f t="shared" si="22"/>
        <v>1212.6767436666667</v>
      </c>
      <c r="F43" s="50">
        <f t="shared" si="23"/>
        <v>-35641.4522339756</v>
      </c>
      <c r="G43" s="51">
        <f t="shared" si="24"/>
        <v>-9700.474164666668</v>
      </c>
      <c r="H43" s="48">
        <f t="shared" si="25"/>
        <v>341265.12776602444</v>
      </c>
      <c r="I43" s="49">
        <f t="shared" si="26"/>
        <v>367206.10583533335</v>
      </c>
      <c r="J43" s="52">
        <f t="shared" si="27"/>
        <v>25940.978069308912</v>
      </c>
      <c r="K43" s="53">
        <f t="shared" si="28"/>
        <v>-8600.8760006857065</v>
      </c>
      <c r="L43" s="49">
        <f t="shared" si="29"/>
        <v>-8.5752497713747289</v>
      </c>
      <c r="M43" s="55"/>
      <c r="N43" s="54"/>
      <c r="O43" s="54"/>
      <c r="P43" s="54"/>
      <c r="Q43" s="54"/>
      <c r="R43" s="54"/>
      <c r="S43" s="54"/>
      <c r="T43" s="54"/>
    </row>
    <row r="44" spans="1:20" x14ac:dyDescent="0.25">
      <c r="A44" s="47">
        <v>43465</v>
      </c>
      <c r="B44" s="48">
        <f t="shared" si="20"/>
        <v>376906.58</v>
      </c>
      <c r="C44" s="49">
        <f t="shared" si="21"/>
        <v>376906.58</v>
      </c>
      <c r="D44" s="48">
        <f t="shared" si="9"/>
        <v>1171.8422209458333</v>
      </c>
      <c r="E44" s="49">
        <f t="shared" si="22"/>
        <v>1212.6767436666667</v>
      </c>
      <c r="F44" s="50">
        <f t="shared" si="23"/>
        <v>-36813.294454921437</v>
      </c>
      <c r="G44" s="51">
        <f t="shared" si="24"/>
        <v>-10913.150908333335</v>
      </c>
      <c r="H44" s="48">
        <f t="shared" si="25"/>
        <v>340093.28554507857</v>
      </c>
      <c r="I44" s="49">
        <f t="shared" si="26"/>
        <v>365993.42909166671</v>
      </c>
      <c r="J44" s="52">
        <f t="shared" si="27"/>
        <v>25900.143546588137</v>
      </c>
      <c r="K44" s="53">
        <f t="shared" si="28"/>
        <v>-8592.3007509143445</v>
      </c>
      <c r="L44" s="49">
        <f t="shared" si="29"/>
        <v>-8.575249771361996</v>
      </c>
      <c r="M44" s="55"/>
      <c r="N44" s="54"/>
      <c r="O44" s="54"/>
      <c r="P44" s="54"/>
      <c r="Q44" s="54"/>
      <c r="R44" s="54"/>
      <c r="S44" s="54"/>
      <c r="T44" s="54"/>
    </row>
    <row r="45" spans="1:20" x14ac:dyDescent="0.25">
      <c r="A45" s="47">
        <v>43496</v>
      </c>
      <c r="B45" s="48">
        <f t="shared" si="20"/>
        <v>376906.58</v>
      </c>
      <c r="C45" s="49">
        <f t="shared" si="21"/>
        <v>376906.58</v>
      </c>
      <c r="D45" s="48">
        <f>+((($B$44-$B$32)*$C$6/12)+($B$32*$D$5/12))</f>
        <v>2101.9448141291668</v>
      </c>
      <c r="E45" s="49">
        <f t="shared" si="22"/>
        <v>1212.6767436666667</v>
      </c>
      <c r="F45" s="50">
        <f t="shared" si="23"/>
        <v>-38915.239269050602</v>
      </c>
      <c r="G45" s="51">
        <f t="shared" si="24"/>
        <v>-12125.827652000002</v>
      </c>
      <c r="H45" s="48">
        <f t="shared" si="25"/>
        <v>337991.34073094942</v>
      </c>
      <c r="I45" s="49">
        <f t="shared" si="26"/>
        <v>364780.75234800001</v>
      </c>
      <c r="J45" s="52">
        <f t="shared" si="27"/>
        <v>26789.411617050588</v>
      </c>
      <c r="K45" s="53">
        <f t="shared" si="28"/>
        <v>-8779.0470457114588</v>
      </c>
      <c r="L45" s="49">
        <f t="shared" si="29"/>
        <v>186.74629479711439</v>
      </c>
      <c r="M45" s="55"/>
      <c r="N45" s="54"/>
      <c r="O45" s="54"/>
      <c r="P45" s="54"/>
      <c r="Q45" s="54"/>
      <c r="R45" s="54"/>
      <c r="S45" s="54"/>
      <c r="T45" s="54"/>
    </row>
    <row r="46" spans="1:20" x14ac:dyDescent="0.25">
      <c r="A46" s="47">
        <v>43524</v>
      </c>
      <c r="B46" s="48">
        <f t="shared" si="20"/>
        <v>376906.58</v>
      </c>
      <c r="C46" s="49">
        <f t="shared" si="21"/>
        <v>376906.58</v>
      </c>
      <c r="D46" s="48">
        <f t="shared" ref="D46:D56" si="30">+((($B$44-$B$32)*$C$6/12)+($B$32*$D$5/12))</f>
        <v>2101.9448141291668</v>
      </c>
      <c r="E46" s="49">
        <f t="shared" si="22"/>
        <v>1212.6767436666667</v>
      </c>
      <c r="F46" s="50">
        <f t="shared" si="23"/>
        <v>-41017.184083179767</v>
      </c>
      <c r="G46" s="51">
        <f t="shared" si="24"/>
        <v>-13338.504395666669</v>
      </c>
      <c r="H46" s="48">
        <f t="shared" si="25"/>
        <v>335889.39591682027</v>
      </c>
      <c r="I46" s="49">
        <f t="shared" si="26"/>
        <v>363568.07560433337</v>
      </c>
      <c r="J46" s="52">
        <f t="shared" si="27"/>
        <v>27678.679687513097</v>
      </c>
      <c r="K46" s="53">
        <f t="shared" si="28"/>
        <v>-8965.793340508586</v>
      </c>
      <c r="L46" s="49">
        <f t="shared" si="29"/>
        <v>186.74629479712712</v>
      </c>
      <c r="M46" s="55"/>
      <c r="N46" s="54"/>
      <c r="O46" s="54"/>
      <c r="P46" s="54"/>
      <c r="Q46" s="54"/>
      <c r="R46" s="54"/>
      <c r="S46" s="54"/>
      <c r="T46" s="54"/>
    </row>
    <row r="47" spans="1:20" x14ac:dyDescent="0.25">
      <c r="A47" s="47">
        <v>43555</v>
      </c>
      <c r="B47" s="48">
        <f t="shared" si="20"/>
        <v>376906.58</v>
      </c>
      <c r="C47" s="49">
        <f t="shared" si="21"/>
        <v>376906.58</v>
      </c>
      <c r="D47" s="48">
        <f t="shared" si="30"/>
        <v>2101.9448141291668</v>
      </c>
      <c r="E47" s="49">
        <f t="shared" si="22"/>
        <v>1212.6767436666667</v>
      </c>
      <c r="F47" s="50">
        <f t="shared" si="23"/>
        <v>-43119.128897308932</v>
      </c>
      <c r="G47" s="51">
        <f t="shared" si="24"/>
        <v>-14551.181139333336</v>
      </c>
      <c r="H47" s="48">
        <f t="shared" si="25"/>
        <v>333787.45110269106</v>
      </c>
      <c r="I47" s="49">
        <f t="shared" si="26"/>
        <v>362355.39886066667</v>
      </c>
      <c r="J47" s="52">
        <f t="shared" si="27"/>
        <v>28567.947757975606</v>
      </c>
      <c r="K47" s="53">
        <f t="shared" si="28"/>
        <v>-9152.5396353057131</v>
      </c>
      <c r="L47" s="49">
        <f t="shared" si="29"/>
        <v>186.74629479712712</v>
      </c>
      <c r="M47" s="55"/>
      <c r="N47" s="54"/>
      <c r="O47" s="54"/>
      <c r="P47" s="54"/>
      <c r="Q47" s="54"/>
      <c r="R47" s="54"/>
      <c r="S47" s="54"/>
      <c r="T47" s="54"/>
    </row>
    <row r="48" spans="1:20" x14ac:dyDescent="0.25">
      <c r="A48" s="47">
        <v>43585</v>
      </c>
      <c r="B48" s="48">
        <f t="shared" si="20"/>
        <v>376906.58</v>
      </c>
      <c r="C48" s="49">
        <f t="shared" si="21"/>
        <v>376906.58</v>
      </c>
      <c r="D48" s="48">
        <f t="shared" si="30"/>
        <v>2101.9448141291668</v>
      </c>
      <c r="E48" s="49">
        <f t="shared" si="22"/>
        <v>1212.6767436666667</v>
      </c>
      <c r="F48" s="50">
        <f t="shared" si="23"/>
        <v>-45221.073711438097</v>
      </c>
      <c r="G48" s="51">
        <f t="shared" si="24"/>
        <v>-15763.857883000002</v>
      </c>
      <c r="H48" s="48">
        <f t="shared" si="25"/>
        <v>331685.50628856191</v>
      </c>
      <c r="I48" s="49">
        <f t="shared" si="26"/>
        <v>361142.72211700003</v>
      </c>
      <c r="J48" s="52">
        <f t="shared" si="27"/>
        <v>29457.215828438115</v>
      </c>
      <c r="K48" s="53">
        <f t="shared" si="28"/>
        <v>-9339.2859301028402</v>
      </c>
      <c r="L48" s="49">
        <f t="shared" si="29"/>
        <v>186.74629479712712</v>
      </c>
      <c r="M48" s="55"/>
      <c r="N48" s="54"/>
      <c r="O48" s="54"/>
      <c r="P48" s="54"/>
      <c r="Q48" s="54"/>
      <c r="R48" s="54"/>
      <c r="S48" s="54"/>
      <c r="T48" s="54"/>
    </row>
    <row r="49" spans="1:20" x14ac:dyDescent="0.25">
      <c r="A49" s="47">
        <v>43616</v>
      </c>
      <c r="B49" s="48">
        <f t="shared" si="20"/>
        <v>376906.58</v>
      </c>
      <c r="C49" s="49">
        <f t="shared" si="21"/>
        <v>376906.58</v>
      </c>
      <c r="D49" s="48">
        <f t="shared" si="30"/>
        <v>2101.9448141291668</v>
      </c>
      <c r="E49" s="49">
        <f t="shared" si="22"/>
        <v>1212.6767436666667</v>
      </c>
      <c r="F49" s="50">
        <f t="shared" si="23"/>
        <v>-47323.018525567262</v>
      </c>
      <c r="G49" s="51">
        <f t="shared" si="24"/>
        <v>-16976.534626666667</v>
      </c>
      <c r="H49" s="48">
        <f t="shared" si="25"/>
        <v>329583.56147443276</v>
      </c>
      <c r="I49" s="49">
        <f t="shared" si="26"/>
        <v>359930.04537333333</v>
      </c>
      <c r="J49" s="52">
        <f t="shared" si="27"/>
        <v>30346.483898900566</v>
      </c>
      <c r="K49" s="53">
        <f t="shared" si="28"/>
        <v>-9526.0322248999546</v>
      </c>
      <c r="L49" s="49">
        <f t="shared" si="29"/>
        <v>186.74629479711439</v>
      </c>
      <c r="M49" s="55"/>
      <c r="N49" s="54"/>
      <c r="O49" s="54"/>
      <c r="P49" s="54"/>
      <c r="Q49" s="54"/>
      <c r="R49" s="54"/>
      <c r="S49" s="54"/>
      <c r="T49" s="54"/>
    </row>
    <row r="50" spans="1:20" x14ac:dyDescent="0.25">
      <c r="A50" s="47">
        <v>43646</v>
      </c>
      <c r="B50" s="48">
        <f t="shared" si="20"/>
        <v>376906.58</v>
      </c>
      <c r="C50" s="49">
        <f t="shared" si="21"/>
        <v>376906.58</v>
      </c>
      <c r="D50" s="48">
        <f t="shared" si="30"/>
        <v>2101.9448141291668</v>
      </c>
      <c r="E50" s="49">
        <f t="shared" si="22"/>
        <v>1212.6767436666667</v>
      </c>
      <c r="F50" s="50">
        <f t="shared" si="23"/>
        <v>-49424.963339696427</v>
      </c>
      <c r="G50" s="51">
        <f t="shared" si="24"/>
        <v>-18189.211370333334</v>
      </c>
      <c r="H50" s="48">
        <f t="shared" si="25"/>
        <v>327481.61666030361</v>
      </c>
      <c r="I50" s="49">
        <f t="shared" si="26"/>
        <v>358717.36862966669</v>
      </c>
      <c r="J50" s="52">
        <f t="shared" si="27"/>
        <v>31235.751969363075</v>
      </c>
      <c r="K50" s="53">
        <f t="shared" si="28"/>
        <v>-9712.7785196970817</v>
      </c>
      <c r="L50" s="49">
        <f t="shared" si="29"/>
        <v>186.74629479712712</v>
      </c>
      <c r="M50" s="55"/>
      <c r="N50" s="54"/>
      <c r="O50" s="54"/>
      <c r="P50" s="54"/>
      <c r="Q50" s="54"/>
      <c r="R50" s="54"/>
      <c r="S50" s="54"/>
      <c r="T50" s="54"/>
    </row>
    <row r="51" spans="1:20" x14ac:dyDescent="0.25">
      <c r="A51" s="47">
        <v>43677</v>
      </c>
      <c r="B51" s="48">
        <f t="shared" si="20"/>
        <v>376906.58</v>
      </c>
      <c r="C51" s="49">
        <f t="shared" si="21"/>
        <v>376906.58</v>
      </c>
      <c r="D51" s="48">
        <f t="shared" si="30"/>
        <v>2101.9448141291668</v>
      </c>
      <c r="E51" s="49">
        <f t="shared" si="22"/>
        <v>1212.6767436666667</v>
      </c>
      <c r="F51" s="50">
        <f t="shared" si="23"/>
        <v>-51526.908153825592</v>
      </c>
      <c r="G51" s="51">
        <f t="shared" si="24"/>
        <v>-19401.888114000001</v>
      </c>
      <c r="H51" s="48">
        <f t="shared" si="25"/>
        <v>325379.6718461744</v>
      </c>
      <c r="I51" s="49">
        <f t="shared" si="26"/>
        <v>357504.69188599999</v>
      </c>
      <c r="J51" s="52">
        <f t="shared" si="27"/>
        <v>32125.020039825584</v>
      </c>
      <c r="K51" s="53">
        <f t="shared" si="28"/>
        <v>-9899.5248144942088</v>
      </c>
      <c r="L51" s="49">
        <f t="shared" si="29"/>
        <v>186.74629479712712</v>
      </c>
      <c r="M51" s="55"/>
      <c r="N51" s="54"/>
      <c r="O51" s="54"/>
      <c r="P51" s="54"/>
      <c r="Q51" s="54"/>
      <c r="R51" s="54"/>
      <c r="S51" s="54"/>
      <c r="T51" s="54"/>
    </row>
    <row r="52" spans="1:20" x14ac:dyDescent="0.25">
      <c r="A52" s="47">
        <v>43708</v>
      </c>
      <c r="B52" s="48">
        <f t="shared" si="20"/>
        <v>376906.58</v>
      </c>
      <c r="C52" s="49">
        <f t="shared" si="21"/>
        <v>376906.58</v>
      </c>
      <c r="D52" s="48">
        <f t="shared" si="30"/>
        <v>2101.9448141291668</v>
      </c>
      <c r="E52" s="49">
        <f t="shared" si="22"/>
        <v>1212.6767436666667</v>
      </c>
      <c r="F52" s="50">
        <f t="shared" si="23"/>
        <v>-53628.852967954757</v>
      </c>
      <c r="G52" s="51">
        <f t="shared" si="24"/>
        <v>-20614.564857666668</v>
      </c>
      <c r="H52" s="48">
        <f t="shared" si="25"/>
        <v>323277.72703204525</v>
      </c>
      <c r="I52" s="49">
        <f t="shared" si="26"/>
        <v>356292.01514233334</v>
      </c>
      <c r="J52" s="52">
        <f t="shared" si="27"/>
        <v>33014.288110288093</v>
      </c>
      <c r="K52" s="53">
        <f t="shared" si="28"/>
        <v>-10086.271109291336</v>
      </c>
      <c r="L52" s="49">
        <f t="shared" si="29"/>
        <v>186.74629479712712</v>
      </c>
      <c r="M52" s="55"/>
      <c r="N52" s="54"/>
      <c r="O52" s="54"/>
      <c r="P52" s="54"/>
      <c r="Q52" s="54"/>
      <c r="R52" s="54"/>
      <c r="S52" s="54"/>
      <c r="T52" s="54"/>
    </row>
    <row r="53" spans="1:20" x14ac:dyDescent="0.25">
      <c r="A53" s="47">
        <v>43738</v>
      </c>
      <c r="B53" s="48">
        <f t="shared" si="20"/>
        <v>376906.58</v>
      </c>
      <c r="C53" s="49">
        <f t="shared" si="21"/>
        <v>376906.58</v>
      </c>
      <c r="D53" s="48">
        <f t="shared" si="30"/>
        <v>2101.9448141291668</v>
      </c>
      <c r="E53" s="49">
        <f t="shared" si="22"/>
        <v>1212.6767436666667</v>
      </c>
      <c r="F53" s="50">
        <f t="shared" si="23"/>
        <v>-55730.797782083922</v>
      </c>
      <c r="G53" s="51">
        <f t="shared" si="24"/>
        <v>-21827.241601333335</v>
      </c>
      <c r="H53" s="48">
        <f t="shared" si="25"/>
        <v>321175.7822179161</v>
      </c>
      <c r="I53" s="49">
        <f t="shared" si="26"/>
        <v>355079.3383986667</v>
      </c>
      <c r="J53" s="52">
        <f t="shared" si="27"/>
        <v>33903.556180750602</v>
      </c>
      <c r="K53" s="53">
        <f t="shared" si="28"/>
        <v>-10273.017404088463</v>
      </c>
      <c r="L53" s="49">
        <f t="shared" si="29"/>
        <v>186.74629479712712</v>
      </c>
      <c r="M53" s="55"/>
      <c r="N53" s="54"/>
      <c r="O53" s="54"/>
      <c r="P53" s="54"/>
      <c r="Q53" s="54"/>
      <c r="R53" s="54"/>
      <c r="S53" s="54"/>
      <c r="T53" s="54"/>
    </row>
    <row r="54" spans="1:20" x14ac:dyDescent="0.25">
      <c r="A54" s="47">
        <v>43769</v>
      </c>
      <c r="B54" s="48">
        <f t="shared" si="20"/>
        <v>376906.58</v>
      </c>
      <c r="C54" s="49">
        <f t="shared" si="21"/>
        <v>376906.58</v>
      </c>
      <c r="D54" s="48">
        <f t="shared" si="30"/>
        <v>2101.9448141291668</v>
      </c>
      <c r="E54" s="49">
        <f t="shared" si="22"/>
        <v>1212.6767436666667</v>
      </c>
      <c r="F54" s="50">
        <f t="shared" si="23"/>
        <v>-57832.742596213087</v>
      </c>
      <c r="G54" s="51">
        <f t="shared" si="24"/>
        <v>-23039.918345000002</v>
      </c>
      <c r="H54" s="48">
        <f t="shared" si="25"/>
        <v>319073.83740378695</v>
      </c>
      <c r="I54" s="49">
        <f t="shared" si="26"/>
        <v>353866.661655</v>
      </c>
      <c r="J54" s="52">
        <f t="shared" si="27"/>
        <v>34792.824251213053</v>
      </c>
      <c r="K54" s="53">
        <f t="shared" si="28"/>
        <v>-10459.763698885577</v>
      </c>
      <c r="L54" s="49">
        <f t="shared" si="29"/>
        <v>186.74629479711439</v>
      </c>
      <c r="M54" s="55"/>
      <c r="N54" s="54"/>
      <c r="O54" s="54"/>
      <c r="P54" s="54"/>
      <c r="Q54" s="54"/>
      <c r="R54" s="54"/>
      <c r="S54" s="54"/>
      <c r="T54" s="54"/>
    </row>
    <row r="55" spans="1:20" x14ac:dyDescent="0.25">
      <c r="A55" s="47">
        <v>43799</v>
      </c>
      <c r="B55" s="48">
        <f t="shared" si="20"/>
        <v>376906.58</v>
      </c>
      <c r="C55" s="49">
        <f t="shared" si="21"/>
        <v>376906.58</v>
      </c>
      <c r="D55" s="48">
        <f t="shared" si="30"/>
        <v>2101.9448141291668</v>
      </c>
      <c r="E55" s="49">
        <f t="shared" si="22"/>
        <v>1212.6767436666667</v>
      </c>
      <c r="F55" s="50">
        <f t="shared" si="23"/>
        <v>-59934.687410342252</v>
      </c>
      <c r="G55" s="51">
        <f t="shared" si="24"/>
        <v>-24252.595088666669</v>
      </c>
      <c r="H55" s="48">
        <f t="shared" si="25"/>
        <v>316971.89258965774</v>
      </c>
      <c r="I55" s="49">
        <f t="shared" si="26"/>
        <v>352653.98491133336</v>
      </c>
      <c r="J55" s="52">
        <f t="shared" si="27"/>
        <v>35682.09232167562</v>
      </c>
      <c r="K55" s="53">
        <f t="shared" si="28"/>
        <v>-10646.509993682717</v>
      </c>
      <c r="L55" s="49">
        <f t="shared" si="29"/>
        <v>186.74629479713985</v>
      </c>
      <c r="M55" s="55"/>
      <c r="N55" s="54"/>
      <c r="O55" s="54"/>
      <c r="P55" s="54"/>
      <c r="Q55" s="54"/>
      <c r="R55" s="54"/>
      <c r="S55" s="54"/>
      <c r="T55" s="54"/>
    </row>
    <row r="56" spans="1:20" x14ac:dyDescent="0.25">
      <c r="A56" s="47">
        <v>43830</v>
      </c>
      <c r="B56" s="48">
        <f t="shared" si="20"/>
        <v>376906.58</v>
      </c>
      <c r="C56" s="49">
        <f t="shared" si="21"/>
        <v>376906.58</v>
      </c>
      <c r="D56" s="48">
        <f t="shared" si="30"/>
        <v>2101.9448141291668</v>
      </c>
      <c r="E56" s="49">
        <f t="shared" si="22"/>
        <v>1212.6767436666667</v>
      </c>
      <c r="F56" s="50">
        <f t="shared" si="23"/>
        <v>-62036.632224471417</v>
      </c>
      <c r="G56" s="51">
        <f t="shared" si="24"/>
        <v>-25465.271832333336</v>
      </c>
      <c r="H56" s="48">
        <f t="shared" si="25"/>
        <v>314869.94777552859</v>
      </c>
      <c r="I56" s="49">
        <f t="shared" si="26"/>
        <v>351441.30816766666</v>
      </c>
      <c r="J56" s="52">
        <f t="shared" si="27"/>
        <v>36571.360392138071</v>
      </c>
      <c r="K56" s="53">
        <f t="shared" si="28"/>
        <v>-10833.256288479832</v>
      </c>
      <c r="L56" s="49">
        <f t="shared" si="29"/>
        <v>186.74629479711439</v>
      </c>
      <c r="M56" s="55"/>
      <c r="N56" s="54"/>
      <c r="O56" s="54"/>
      <c r="P56" s="54"/>
      <c r="Q56" s="54"/>
      <c r="R56" s="54"/>
      <c r="S56" s="54"/>
      <c r="T56" s="54"/>
    </row>
    <row r="57" spans="1:20" x14ac:dyDescent="0.25">
      <c r="A57" s="47">
        <v>43861</v>
      </c>
      <c r="B57" s="48">
        <f t="shared" si="20"/>
        <v>376906.58</v>
      </c>
      <c r="C57" s="49">
        <f t="shared" si="21"/>
        <v>376906.58</v>
      </c>
      <c r="D57" s="48">
        <f>+((($B$44-$B$32)*$D$6/12)+($B$32*$E$5/12))</f>
        <v>1944.1593924624999</v>
      </c>
      <c r="E57" s="49">
        <f t="shared" si="22"/>
        <v>1212.6767436666667</v>
      </c>
      <c r="F57" s="50">
        <f t="shared" si="23"/>
        <v>-63980.791616933915</v>
      </c>
      <c r="G57" s="51">
        <f t="shared" si="24"/>
        <v>-26677.948576000003</v>
      </c>
      <c r="H57" s="48">
        <f t="shared" si="25"/>
        <v>312925.78838306607</v>
      </c>
      <c r="I57" s="49">
        <f t="shared" si="26"/>
        <v>350228.63142400002</v>
      </c>
      <c r="J57" s="52">
        <f t="shared" si="27"/>
        <v>37302.843040933949</v>
      </c>
      <c r="K57" s="53">
        <f t="shared" si="28"/>
        <v>-10986.867644726966</v>
      </c>
      <c r="L57" s="49">
        <f t="shared" si="29"/>
        <v>153.61135624713461</v>
      </c>
      <c r="M57" s="55"/>
      <c r="N57" s="54"/>
      <c r="O57" s="54"/>
      <c r="P57" s="54"/>
      <c r="Q57" s="54"/>
      <c r="R57" s="54"/>
      <c r="S57" s="54"/>
      <c r="T57" s="54"/>
    </row>
    <row r="58" spans="1:20" x14ac:dyDescent="0.25">
      <c r="A58" s="47">
        <v>43890</v>
      </c>
      <c r="B58" s="48">
        <f t="shared" si="20"/>
        <v>376906.58</v>
      </c>
      <c r="C58" s="49">
        <f t="shared" si="21"/>
        <v>376906.58</v>
      </c>
      <c r="D58" s="48">
        <f>+((($B$44-$B$32)*$D$6/12)+($B$32*$E$5/12))</f>
        <v>1944.1593924624999</v>
      </c>
      <c r="E58" s="49">
        <f t="shared" si="22"/>
        <v>1212.6767436666667</v>
      </c>
      <c r="F58" s="50">
        <f t="shared" si="23"/>
        <v>-65924.95100939642</v>
      </c>
      <c r="G58" s="51">
        <f t="shared" si="24"/>
        <v>-27890.625319666669</v>
      </c>
      <c r="H58" s="48">
        <f t="shared" si="25"/>
        <v>310981.62899060361</v>
      </c>
      <c r="I58" s="49">
        <f t="shared" si="26"/>
        <v>349015.95468033332</v>
      </c>
      <c r="J58" s="52">
        <f t="shared" si="27"/>
        <v>38034.325689729711</v>
      </c>
      <c r="K58" s="53">
        <f t="shared" si="28"/>
        <v>-11140.479000974075</v>
      </c>
      <c r="L58" s="49">
        <f t="shared" si="29"/>
        <v>153.61135624710914</v>
      </c>
      <c r="M58" s="55"/>
      <c r="N58" s="54"/>
      <c r="O58" s="54"/>
      <c r="P58" s="54"/>
      <c r="Q58" s="54"/>
      <c r="R58" s="54"/>
      <c r="S58" s="54"/>
      <c r="T58" s="54"/>
    </row>
    <row r="59" spans="1:20" ht="13.8" thickBot="1" x14ac:dyDescent="0.3">
      <c r="A59" s="57"/>
      <c r="B59" s="58"/>
      <c r="C59" s="59"/>
      <c r="D59" s="58"/>
      <c r="E59" s="59"/>
      <c r="F59" s="58"/>
      <c r="G59" s="59"/>
      <c r="H59" s="58"/>
      <c r="I59" s="59"/>
      <c r="J59" s="60"/>
      <c r="K59" s="59"/>
      <c r="L59" s="59"/>
      <c r="M59" s="55"/>
      <c r="N59" s="54"/>
      <c r="O59" s="54"/>
      <c r="P59" s="54"/>
      <c r="Q59" s="54"/>
      <c r="R59" s="54"/>
      <c r="S59" s="54"/>
      <c r="T59" s="54"/>
    </row>
    <row r="60" spans="1:20" ht="13.8" thickBot="1" x14ac:dyDescent="0.3">
      <c r="A60" s="61"/>
      <c r="B60" s="61"/>
      <c r="C60" s="63"/>
      <c r="D60" s="61"/>
      <c r="E60" s="63"/>
      <c r="F60" s="61"/>
      <c r="G60" s="63"/>
      <c r="H60" s="61"/>
      <c r="I60" s="63"/>
      <c r="J60" s="64"/>
      <c r="K60" s="66"/>
      <c r="L60" s="66"/>
      <c r="M60" s="55"/>
      <c r="N60" s="67"/>
      <c r="O60" s="68"/>
      <c r="P60" s="54"/>
      <c r="Q60" s="54"/>
      <c r="R60" s="54"/>
      <c r="S60" s="54"/>
      <c r="T60" s="54"/>
    </row>
    <row r="61" spans="1:20" ht="13.8" thickTop="1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4"/>
      <c r="O61" s="54"/>
      <c r="P61" s="54"/>
      <c r="Q61" s="54"/>
      <c r="R61" s="54"/>
      <c r="S61" s="54"/>
      <c r="T61" s="54"/>
    </row>
    <row r="62" spans="1:20" x14ac:dyDescent="0.25">
      <c r="A62" s="54"/>
      <c r="B62" s="54"/>
      <c r="C62" s="69"/>
      <c r="D62" s="54"/>
      <c r="E62" s="54"/>
      <c r="F62" s="70"/>
      <c r="G62" s="69"/>
      <c r="H62" s="54"/>
      <c r="I62" s="69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x14ac:dyDescent="0.25">
      <c r="A64" s="18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16" ht="14.4" x14ac:dyDescent="0.3">
      <c r="A65" s="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6"/>
      <c r="N65" s="6"/>
      <c r="O65" s="6"/>
    </row>
    <row r="66" spans="1:16" ht="14.4" x14ac:dyDescent="0.3">
      <c r="A66" s="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6"/>
      <c r="N66" s="6"/>
      <c r="O66" s="6"/>
      <c r="P66" s="6"/>
    </row>
    <row r="67" spans="1:16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6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Stipulation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Date1 xmlns="dc463f71-b30c-4ab2-9473-d307f9d35888">2019-01-30T08:00:00+00:00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442A16-F240-41CF-8C70-D067DAA40EAA}"/>
</file>

<file path=customXml/itemProps2.xml><?xml version="1.0" encoding="utf-8"?>
<ds:datastoreItem xmlns:ds="http://schemas.openxmlformats.org/officeDocument/2006/customXml" ds:itemID="{28C06178-CAC8-494C-8C80-93DBC9B09DBF}"/>
</file>

<file path=customXml/itemProps3.xml><?xml version="1.0" encoding="utf-8"?>
<ds:datastoreItem xmlns:ds="http://schemas.openxmlformats.org/officeDocument/2006/customXml" ds:itemID="{4F747A35-E69E-4B13-8BB3-FE35B03384A9}"/>
</file>

<file path=customXml/itemProps4.xml><?xml version="1.0" encoding="utf-8"?>
<ds:datastoreItem xmlns:ds="http://schemas.openxmlformats.org/officeDocument/2006/customXml" ds:itemID="{3B40D704-8CB5-412D-BF62-E98CBAB3D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JE's</vt:lpstr>
      <vt:lpstr>Dep Exp</vt:lpstr>
      <vt:lpstr>Return Electric</vt:lpstr>
      <vt:lpstr>AMI Electric AMA Combined</vt:lpstr>
      <vt:lpstr>AMI Electric AMA 20 Yr</vt:lpstr>
      <vt:lpstr>AMI Electric AMA 5 Yr</vt:lpstr>
      <vt:lpstr>Return Gas</vt:lpstr>
      <vt:lpstr>AMI Gas AMA Combined</vt:lpstr>
      <vt:lpstr>AMI Gas AMA 20 Yr</vt:lpstr>
      <vt:lpstr>AMI Gas AMA 7 Yr</vt:lpstr>
      <vt:lpstr>Return Common</vt:lpstr>
      <vt:lpstr>Common AMA-Combined</vt:lpstr>
      <vt:lpstr>Common AMA-3 yr Property</vt:lpstr>
      <vt:lpstr>Common AMA-7 yr Property </vt:lpstr>
      <vt:lpstr>Alloc Methds ERF</vt:lpstr>
      <vt:lpstr>ERF 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