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20100" windowHeight="8736"/>
  </bookViews>
  <sheets>
    <sheet name="KJB-6" sheetId="1" r:id="rId1"/>
  </sheets>
  <externalReferences>
    <externalReference r:id="rId2"/>
  </externalReferences>
  <definedNames>
    <definedName name="Case_Name">'KJB-6'!$B$8</definedName>
    <definedName name="keep_TESTYEAR">'KJB-6'!$B$7</definedName>
  </definedNames>
  <calcPr calcId="145621" calcMode="autoNoTable" calcOnSave="0"/>
</workbook>
</file>

<file path=xl/calcChain.xml><?xml version="1.0" encoding="utf-8"?>
<calcChain xmlns="http://schemas.openxmlformats.org/spreadsheetml/2006/main">
  <c r="A47" i="1" l="1"/>
  <c r="A48" i="1" s="1"/>
  <c r="A49" i="1" s="1"/>
  <c r="Q46" i="1"/>
  <c r="A46" i="1"/>
  <c r="D42" i="1"/>
  <c r="L41" i="1"/>
  <c r="K43" i="1" s="1"/>
  <c r="K41" i="1"/>
  <c r="J41" i="1"/>
  <c r="E39" i="1"/>
  <c r="E33" i="1"/>
  <c r="D40" i="1" s="1"/>
  <c r="Q32" i="1"/>
  <c r="D32" i="1"/>
  <c r="CH31" i="1"/>
  <c r="U31" i="1"/>
  <c r="Q31" i="1"/>
  <c r="DA30" i="1"/>
  <c r="CZ30" i="1"/>
  <c r="AD30" i="1"/>
  <c r="Q30" i="1"/>
  <c r="DB28" i="1"/>
  <c r="DB30" i="1" s="1"/>
  <c r="AD28" i="1"/>
  <c r="AC28" i="1"/>
  <c r="AB28" i="1"/>
  <c r="U28" i="1"/>
  <c r="DB27" i="1"/>
  <c r="AD27" i="1"/>
  <c r="Q27" i="1"/>
  <c r="I27" i="1"/>
  <c r="H27" i="1"/>
  <c r="DB26" i="1"/>
  <c r="AD26" i="1"/>
  <c r="J26" i="1"/>
  <c r="K26" i="1" s="1"/>
  <c r="DB25" i="1"/>
  <c r="CG25" i="1"/>
  <c r="CH26" i="1" s="1"/>
  <c r="BJ25" i="1"/>
  <c r="BI25" i="1"/>
  <c r="AU25" i="1"/>
  <c r="J25" i="1"/>
  <c r="K25" i="1" s="1"/>
  <c r="AV24" i="1"/>
  <c r="AW24" i="1" s="1"/>
  <c r="K24" i="1"/>
  <c r="J24" i="1"/>
  <c r="BI23" i="1"/>
  <c r="Y23" i="1"/>
  <c r="K23" i="1"/>
  <c r="J23" i="1"/>
  <c r="D23" i="1"/>
  <c r="DA22" i="1"/>
  <c r="CZ22" i="1"/>
  <c r="CB22" i="1"/>
  <c r="CB25" i="1" s="1"/>
  <c r="CA22" i="1"/>
  <c r="CA25" i="1" s="1"/>
  <c r="AV22" i="1"/>
  <c r="AW22" i="1" s="1"/>
  <c r="AU22" i="1"/>
  <c r="J22" i="1"/>
  <c r="K22" i="1" s="1"/>
  <c r="DB21" i="1"/>
  <c r="CV21" i="1"/>
  <c r="CU21" i="1"/>
  <c r="CR21" i="1"/>
  <c r="CC21" i="1"/>
  <c r="AW21" i="1"/>
  <c r="AD21" i="1"/>
  <c r="AC21" i="1"/>
  <c r="AB21" i="1"/>
  <c r="K21" i="1"/>
  <c r="J21" i="1"/>
  <c r="DB20" i="1"/>
  <c r="CX20" i="1"/>
  <c r="CX21" i="1" s="1"/>
  <c r="CX22" i="1" s="1"/>
  <c r="CX23" i="1" s="1"/>
  <c r="CX24" i="1" s="1"/>
  <c r="CX25" i="1" s="1"/>
  <c r="CX26" i="1" s="1"/>
  <c r="CX27" i="1" s="1"/>
  <c r="CX28" i="1" s="1"/>
  <c r="CX29" i="1" s="1"/>
  <c r="CW20" i="1"/>
  <c r="CG20" i="1"/>
  <c r="CH21" i="1" s="1"/>
  <c r="CC20" i="1"/>
  <c r="AW20" i="1"/>
  <c r="AQ20" i="1"/>
  <c r="AQ21" i="1" s="1"/>
  <c r="AD20" i="1"/>
  <c r="J20" i="1"/>
  <c r="K20" i="1" s="1"/>
  <c r="DB19" i="1"/>
  <c r="CW19" i="1"/>
  <c r="CW21" i="1" s="1"/>
  <c r="CC19" i="1"/>
  <c r="BO19" i="1"/>
  <c r="BO20" i="1" s="1"/>
  <c r="BN19" i="1"/>
  <c r="AW19" i="1"/>
  <c r="AQ19" i="1"/>
  <c r="AD19" i="1"/>
  <c r="K19" i="1"/>
  <c r="J19" i="1"/>
  <c r="DB18" i="1"/>
  <c r="CM18" i="1"/>
  <c r="CM20" i="1" s="1"/>
  <c r="CC18" i="1"/>
  <c r="AW18" i="1"/>
  <c r="K18" i="1"/>
  <c r="J18" i="1"/>
  <c r="DB17" i="1"/>
  <c r="CC17" i="1"/>
  <c r="BI17" i="1"/>
  <c r="BI19" i="1" s="1"/>
  <c r="BJ19" i="1" s="1"/>
  <c r="BJ28" i="1" s="1"/>
  <c r="AW17" i="1"/>
  <c r="AD17" i="1"/>
  <c r="AD23" i="1" s="1"/>
  <c r="AD33" i="1" s="1"/>
  <c r="AC17" i="1"/>
  <c r="AB17" i="1"/>
  <c r="AB23" i="1" s="1"/>
  <c r="J17" i="1"/>
  <c r="K17" i="1" s="1"/>
  <c r="F17" i="1"/>
  <c r="F18" i="1" s="1"/>
  <c r="F19" i="1" s="1"/>
  <c r="F20" i="1" s="1"/>
  <c r="F21" i="1" s="1"/>
  <c r="F22" i="1" s="1"/>
  <c r="F23" i="1" s="1"/>
  <c r="F24" i="1" s="1"/>
  <c r="F25" i="1" s="1"/>
  <c r="F26" i="1" s="1"/>
  <c r="F27" i="1" s="1"/>
  <c r="F28" i="1" s="1"/>
  <c r="F29" i="1" s="1"/>
  <c r="F30" i="1" s="1"/>
  <c r="F31" i="1" s="1"/>
  <c r="F32" i="1" s="1"/>
  <c r="F33" i="1" s="1"/>
  <c r="F34" i="1" s="1"/>
  <c r="F35" i="1" s="1"/>
  <c r="F36" i="1" s="1"/>
  <c r="F37" i="1" s="1"/>
  <c r="F38" i="1" s="1"/>
  <c r="F39" i="1" s="1"/>
  <c r="F40" i="1" s="1"/>
  <c r="F41" i="1" s="1"/>
  <c r="F42" i="1" s="1"/>
  <c r="F43" i="1" s="1"/>
  <c r="F44" i="1" s="1"/>
  <c r="F45" i="1" s="1"/>
  <c r="F46" i="1" s="1"/>
  <c r="F47" i="1" s="1"/>
  <c r="F48" i="1" s="1"/>
  <c r="F49" i="1" s="1"/>
  <c r="F50" i="1" s="1"/>
  <c r="F51" i="1" s="1"/>
  <c r="F52" i="1" s="1"/>
  <c r="F53" i="1" s="1"/>
  <c r="DB16" i="1"/>
  <c r="CR16" i="1"/>
  <c r="CR23" i="1" s="1"/>
  <c r="CR25" i="1" s="1"/>
  <c r="CM16" i="1"/>
  <c r="CD16" i="1"/>
  <c r="CD17" i="1" s="1"/>
  <c r="CD18" i="1" s="1"/>
  <c r="CD19" i="1" s="1"/>
  <c r="CD20" i="1" s="1"/>
  <c r="CD21" i="1" s="1"/>
  <c r="CD22" i="1" s="1"/>
  <c r="CD23" i="1" s="1"/>
  <c r="CD24" i="1" s="1"/>
  <c r="CD25" i="1" s="1"/>
  <c r="CD26" i="1" s="1"/>
  <c r="CD27" i="1" s="1"/>
  <c r="CD28" i="1" s="1"/>
  <c r="CD29" i="1" s="1"/>
  <c r="CD30" i="1" s="1"/>
  <c r="CD31" i="1" s="1"/>
  <c r="CD32" i="1" s="1"/>
  <c r="CD33" i="1" s="1"/>
  <c r="CD34" i="1" s="1"/>
  <c r="CD35" i="1" s="1"/>
  <c r="CC16" i="1"/>
  <c r="AW16" i="1"/>
  <c r="AR16" i="1"/>
  <c r="AQ16" i="1"/>
  <c r="AD16" i="1"/>
  <c r="Z16" i="1"/>
  <c r="Z17" i="1" s="1"/>
  <c r="Z18" i="1" s="1"/>
  <c r="Z19" i="1" s="1"/>
  <c r="Z20" i="1" s="1"/>
  <c r="Z21" i="1" s="1"/>
  <c r="Z22" i="1" s="1"/>
  <c r="Z23" i="1" s="1"/>
  <c r="Z24" i="1" s="1"/>
  <c r="Z25" i="1" s="1"/>
  <c r="Z26" i="1" s="1"/>
  <c r="Z27" i="1" s="1"/>
  <c r="Z28" i="1" s="1"/>
  <c r="Z29" i="1" s="1"/>
  <c r="Z30" i="1" s="1"/>
  <c r="Z31" i="1" s="1"/>
  <c r="Z32" i="1" s="1"/>
  <c r="Z33" i="1" s="1"/>
  <c r="Z34" i="1" s="1"/>
  <c r="Z35" i="1" s="1"/>
  <c r="Z36" i="1" s="1"/>
  <c r="Z37" i="1" s="1"/>
  <c r="Z38" i="1" s="1"/>
  <c r="Z39" i="1" s="1"/>
  <c r="Z40" i="1" s="1"/>
  <c r="Z41" i="1" s="1"/>
  <c r="Z42" i="1" s="1"/>
  <c r="K16" i="1"/>
  <c r="J16" i="1"/>
  <c r="DF15" i="1"/>
  <c r="DE15" i="1"/>
  <c r="DB15" i="1"/>
  <c r="DB22" i="1" s="1"/>
  <c r="CW15" i="1"/>
  <c r="CV15" i="1"/>
  <c r="CU15" i="1"/>
  <c r="CN15" i="1"/>
  <c r="CN16" i="1" s="1"/>
  <c r="CN17" i="1" s="1"/>
  <c r="CN18" i="1" s="1"/>
  <c r="CN19" i="1" s="1"/>
  <c r="CN20" i="1" s="1"/>
  <c r="CN21" i="1" s="1"/>
  <c r="CN22" i="1" s="1"/>
  <c r="CN23" i="1" s="1"/>
  <c r="CN24" i="1" s="1"/>
  <c r="CN25" i="1" s="1"/>
  <c r="CN26" i="1" s="1"/>
  <c r="CN27" i="1" s="1"/>
  <c r="CG15" i="1"/>
  <c r="CH16" i="1" s="1"/>
  <c r="CC15" i="1"/>
  <c r="BX15" i="1"/>
  <c r="BX17" i="1" s="1"/>
  <c r="BW15" i="1"/>
  <c r="BV15" i="1"/>
  <c r="BS15" i="1"/>
  <c r="BS17" i="1" s="1"/>
  <c r="BR15" i="1"/>
  <c r="BQ15" i="1"/>
  <c r="BN15" i="1"/>
  <c r="BN21" i="1" s="1"/>
  <c r="BN23" i="1" s="1"/>
  <c r="BN27" i="1" s="1"/>
  <c r="BF15" i="1"/>
  <c r="BC15" i="1"/>
  <c r="AW15" i="1"/>
  <c r="AR15" i="1"/>
  <c r="AR17" i="1" s="1"/>
  <c r="AQ22" i="1" s="1"/>
  <c r="AQ23" i="1" s="1"/>
  <c r="AR26" i="1" s="1"/>
  <c r="AQ15" i="1"/>
  <c r="AH15" i="1"/>
  <c r="AG15" i="1"/>
  <c r="AD15" i="1"/>
  <c r="X15" i="1"/>
  <c r="Y18" i="1" s="1"/>
  <c r="Y20" i="1" s="1"/>
  <c r="U15" i="1"/>
  <c r="U16" i="1" s="1"/>
  <c r="U30" i="1" s="1"/>
  <c r="U32" i="1" s="1"/>
  <c r="M15" i="1"/>
  <c r="M16" i="1" s="1"/>
  <c r="M17" i="1" s="1"/>
  <c r="M18" i="1" s="1"/>
  <c r="M19" i="1" s="1"/>
  <c r="M20" i="1" s="1"/>
  <c r="M21" i="1" s="1"/>
  <c r="M22" i="1" s="1"/>
  <c r="M23" i="1" s="1"/>
  <c r="M24" i="1" s="1"/>
  <c r="M25" i="1" s="1"/>
  <c r="M26" i="1" s="1"/>
  <c r="M27" i="1" s="1"/>
  <c r="M28" i="1" s="1"/>
  <c r="M29" i="1" s="1"/>
  <c r="M30" i="1" s="1"/>
  <c r="M31" i="1" s="1"/>
  <c r="M32" i="1" s="1"/>
  <c r="M33" i="1" s="1"/>
  <c r="M34" i="1" s="1"/>
  <c r="M35" i="1" s="1"/>
  <c r="M36" i="1" s="1"/>
  <c r="M37" i="1" s="1"/>
  <c r="M38" i="1" s="1"/>
  <c r="M39" i="1" s="1"/>
  <c r="M40" i="1" s="1"/>
  <c r="M41" i="1" s="1"/>
  <c r="M42" i="1" s="1"/>
  <c r="M43" i="1" s="1"/>
  <c r="M44" i="1" s="1"/>
  <c r="M45" i="1" s="1"/>
  <c r="M46" i="1" s="1"/>
  <c r="M47" i="1" s="1"/>
  <c r="M48" i="1" s="1"/>
  <c r="M49" i="1" s="1"/>
  <c r="M50" i="1" s="1"/>
  <c r="K15" i="1"/>
  <c r="K27" i="1" s="1"/>
  <c r="J15" i="1"/>
  <c r="DG14" i="1"/>
  <c r="CW14" i="1"/>
  <c r="CN14" i="1"/>
  <c r="CD14" i="1"/>
  <c r="CD15" i="1" s="1"/>
  <c r="CC14" i="1"/>
  <c r="CC22" i="1" s="1"/>
  <c r="CC25" i="1" s="1"/>
  <c r="CC27" i="1" s="1"/>
  <c r="BT14" i="1"/>
  <c r="BT15" i="1" s="1"/>
  <c r="BT16" i="1" s="1"/>
  <c r="BT17" i="1" s="1"/>
  <c r="BT18" i="1" s="1"/>
  <c r="BS14" i="1"/>
  <c r="BO14" i="1"/>
  <c r="BO15" i="1" s="1"/>
  <c r="BO16" i="1" s="1"/>
  <c r="BO17" i="1" s="1"/>
  <c r="BO18" i="1" s="1"/>
  <c r="BK14" i="1"/>
  <c r="BK15" i="1" s="1"/>
  <c r="BK16" i="1" s="1"/>
  <c r="BK17" i="1" s="1"/>
  <c r="BK18" i="1" s="1"/>
  <c r="BK19" i="1" s="1"/>
  <c r="BK20" i="1" s="1"/>
  <c r="BK21" i="1" s="1"/>
  <c r="BK22" i="1" s="1"/>
  <c r="BK23" i="1" s="1"/>
  <c r="BK24" i="1" s="1"/>
  <c r="BK25" i="1" s="1"/>
  <c r="BK26" i="1" s="1"/>
  <c r="BK27" i="1" s="1"/>
  <c r="BK28" i="1" s="1"/>
  <c r="BK29" i="1" s="1"/>
  <c r="BK30" i="1" s="1"/>
  <c r="BK31" i="1" s="1"/>
  <c r="BG14" i="1"/>
  <c r="BG15" i="1" s="1"/>
  <c r="BG16" i="1" s="1"/>
  <c r="BG17" i="1" s="1"/>
  <c r="BG18" i="1" s="1"/>
  <c r="BG19" i="1" s="1"/>
  <c r="BG20" i="1" s="1"/>
  <c r="BG21" i="1" s="1"/>
  <c r="BG22" i="1" s="1"/>
  <c r="BG23" i="1" s="1"/>
  <c r="BG24" i="1" s="1"/>
  <c r="BG25" i="1" s="1"/>
  <c r="BG26" i="1" s="1"/>
  <c r="BG27" i="1" s="1"/>
  <c r="BG28" i="1" s="1"/>
  <c r="BG29" i="1" s="1"/>
  <c r="BG30" i="1" s="1"/>
  <c r="BG31" i="1" s="1"/>
  <c r="BC14" i="1"/>
  <c r="AW14" i="1"/>
  <c r="AS14" i="1"/>
  <c r="AS15" i="1" s="1"/>
  <c r="AS16" i="1" s="1"/>
  <c r="AS17" i="1" s="1"/>
  <c r="AS18" i="1" s="1"/>
  <c r="AS19" i="1" s="1"/>
  <c r="AS20" i="1" s="1"/>
  <c r="AS21" i="1" s="1"/>
  <c r="AS22" i="1" s="1"/>
  <c r="AS23" i="1" s="1"/>
  <c r="AS24" i="1" s="1"/>
  <c r="AS25" i="1" s="1"/>
  <c r="AS26" i="1" s="1"/>
  <c r="AS27" i="1" s="1"/>
  <c r="AS28" i="1" s="1"/>
  <c r="AS29" i="1" s="1"/>
  <c r="AS30" i="1" s="1"/>
  <c r="AR14" i="1"/>
  <c r="AQ14" i="1"/>
  <c r="AJ14" i="1"/>
  <c r="AJ15" i="1" s="1"/>
  <c r="AJ16" i="1" s="1"/>
  <c r="AJ17" i="1" s="1"/>
  <c r="AJ18" i="1" s="1"/>
  <c r="AJ19" i="1" s="1"/>
  <c r="AJ20" i="1" s="1"/>
  <c r="AJ21" i="1" s="1"/>
  <c r="AJ22" i="1" s="1"/>
  <c r="AJ23" i="1" s="1"/>
  <c r="AJ24" i="1" s="1"/>
  <c r="AJ25" i="1" s="1"/>
  <c r="AJ26" i="1" s="1"/>
  <c r="AJ27" i="1" s="1"/>
  <c r="AJ28" i="1" s="1"/>
  <c r="AJ29" i="1" s="1"/>
  <c r="AI14" i="1"/>
  <c r="AD14" i="1"/>
  <c r="Z14" i="1"/>
  <c r="Z15" i="1" s="1"/>
  <c r="V14" i="1"/>
  <c r="V15" i="1" s="1"/>
  <c r="V16" i="1" s="1"/>
  <c r="V17" i="1" s="1"/>
  <c r="V18" i="1" s="1"/>
  <c r="V19" i="1" s="1"/>
  <c r="V20" i="1" s="1"/>
  <c r="V21" i="1" s="1"/>
  <c r="V22" i="1" s="1"/>
  <c r="V23" i="1" s="1"/>
  <c r="R14" i="1"/>
  <c r="R15" i="1" s="1"/>
  <c r="R16" i="1" s="1"/>
  <c r="R17" i="1" s="1"/>
  <c r="R18" i="1" s="1"/>
  <c r="R19" i="1" s="1"/>
  <c r="R20" i="1" s="1"/>
  <c r="R21" i="1" s="1"/>
  <c r="R22" i="1" s="1"/>
  <c r="R23" i="1" s="1"/>
  <c r="R24" i="1" s="1"/>
  <c r="R25" i="1" s="1"/>
  <c r="R26" i="1" s="1"/>
  <c r="R27" i="1" s="1"/>
  <c r="R28" i="1" s="1"/>
  <c r="R29" i="1" s="1"/>
  <c r="R30" i="1" s="1"/>
  <c r="R31" i="1" s="1"/>
  <c r="R32" i="1" s="1"/>
  <c r="M14" i="1"/>
  <c r="F14" i="1"/>
  <c r="F15" i="1" s="1"/>
  <c r="F16" i="1" s="1"/>
  <c r="DG13" i="1"/>
  <c r="DG15" i="1" s="1"/>
  <c r="DG17" i="1" s="1"/>
  <c r="BX13" i="1"/>
  <c r="BS13" i="1"/>
  <c r="BB13" i="1"/>
  <c r="BB15" i="1" s="1"/>
  <c r="AI13" i="1"/>
  <c r="AI15" i="1" s="1"/>
  <c r="AI17" i="1" s="1"/>
  <c r="AD13" i="1"/>
  <c r="X13" i="1"/>
  <c r="A13" i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Z8" i="1"/>
  <c r="AE8" i="1" s="1"/>
  <c r="AJ8" i="1" s="1"/>
  <c r="AS8" i="1" s="1"/>
  <c r="AX8" i="1" s="1"/>
  <c r="BC8" i="1" s="1"/>
  <c r="BG8" i="1" s="1"/>
  <c r="BK8" i="1" s="1"/>
  <c r="BO8" i="1" s="1"/>
  <c r="BT8" i="1" s="1"/>
  <c r="BY8" i="1" s="1"/>
  <c r="CD8" i="1" s="1"/>
  <c r="CI8" i="1" s="1"/>
  <c r="CN8" i="1" s="1"/>
  <c r="CS8" i="1" s="1"/>
  <c r="CX8" i="1" s="1"/>
  <c r="DC8" i="1" s="1"/>
  <c r="M8" i="1"/>
  <c r="R8" i="1" s="1"/>
  <c r="V8" i="1" s="1"/>
  <c r="I8" i="1"/>
  <c r="CN7" i="1"/>
  <c r="CI7" i="1"/>
  <c r="CD7" i="1"/>
  <c r="BY7" i="1"/>
  <c r="BT7" i="1"/>
  <c r="BO7" i="1"/>
  <c r="BK7" i="1"/>
  <c r="BG7" i="1"/>
  <c r="BC7" i="1"/>
  <c r="AS7" i="1"/>
  <c r="AJ7" i="1"/>
  <c r="AE7" i="1"/>
  <c r="Z7" i="1"/>
  <c r="V7" i="1"/>
  <c r="R7" i="1"/>
  <c r="M7" i="1"/>
  <c r="I7" i="1"/>
  <c r="Q4" i="1"/>
  <c r="U4" i="1" s="1"/>
  <c r="Y4" i="1" s="1"/>
  <c r="AD4" i="1" s="1"/>
  <c r="AI4" i="1" s="1"/>
  <c r="AR4" i="1" s="1"/>
  <c r="AW4" i="1" s="1"/>
  <c r="BB4" i="1" s="1"/>
  <c r="BF4" i="1" s="1"/>
  <c r="BJ4" i="1" s="1"/>
  <c r="BN4" i="1" s="1"/>
  <c r="BS4" i="1" s="1"/>
  <c r="BX4" i="1" s="1"/>
  <c r="CC4" i="1" s="1"/>
  <c r="CH4" i="1" s="1"/>
  <c r="CM4" i="1" s="1"/>
  <c r="CR4" i="1" s="1"/>
  <c r="CW4" i="1" s="1"/>
  <c r="DB4" i="1" s="1"/>
  <c r="DG4" i="1" s="1"/>
  <c r="L4" i="1"/>
  <c r="DG19" i="1" l="1"/>
  <c r="DG18" i="1"/>
  <c r="BS19" i="1"/>
  <c r="BS20" i="1"/>
  <c r="BB17" i="1"/>
  <c r="BB19" i="1" s="1"/>
  <c r="AR28" i="1"/>
  <c r="AR29" i="1" s="1"/>
  <c r="AD39" i="1"/>
  <c r="AD42" i="1" s="1"/>
  <c r="AD34" i="1"/>
  <c r="AD35" i="1" s="1"/>
  <c r="CM22" i="1"/>
  <c r="CM24" i="1" s="1"/>
  <c r="CC28" i="1"/>
  <c r="CC29" i="1" s="1"/>
  <c r="BJ30" i="1"/>
  <c r="BJ31" i="1" s="1"/>
  <c r="AI18" i="1"/>
  <c r="AI20" i="1" s="1"/>
  <c r="Q48" i="1"/>
  <c r="CR27" i="1"/>
  <c r="U21" i="1"/>
  <c r="DB32" i="1"/>
  <c r="DB34" i="1" s="1"/>
  <c r="J27" i="1"/>
  <c r="BN29" i="1"/>
  <c r="BN31" i="1" s="1"/>
  <c r="CH29" i="1"/>
  <c r="CH30" i="1" s="1"/>
  <c r="CH32" i="1" s="1"/>
  <c r="CW23" i="1"/>
  <c r="AC23" i="1"/>
  <c r="BX18" i="1"/>
  <c r="K44" i="1"/>
  <c r="L45" i="1" s="1"/>
  <c r="L50" i="1" s="1"/>
  <c r="K47" i="1"/>
  <c r="L48" i="1" s="1"/>
  <c r="D41" i="1"/>
  <c r="E44" i="1" s="1"/>
  <c r="E46" i="1" s="1"/>
  <c r="AW25" i="1"/>
  <c r="AW27" i="1" s="1"/>
  <c r="AV25" i="1"/>
  <c r="Q33" i="1"/>
  <c r="L53" i="1" l="1"/>
  <c r="L52" i="1"/>
  <c r="CW25" i="1"/>
  <c r="CW27" i="1" s="1"/>
  <c r="AW29" i="1"/>
  <c r="AW30" i="1" s="1"/>
  <c r="CH34" i="1"/>
  <c r="CH35" i="1" s="1"/>
  <c r="Q49" i="1"/>
  <c r="Q50" i="1" s="1"/>
  <c r="E48" i="1"/>
  <c r="E49" i="1" s="1"/>
</calcChain>
</file>

<file path=xl/sharedStrings.xml><?xml version="1.0" encoding="utf-8"?>
<sst xmlns="http://schemas.openxmlformats.org/spreadsheetml/2006/main" count="528" uniqueCount="317">
  <si>
    <t>Page 1 of 22</t>
  </si>
  <si>
    <t>Page 2 of 22</t>
  </si>
  <si>
    <t>Page 3 of 22</t>
  </si>
  <si>
    <t>Page 4 of 22</t>
  </si>
  <si>
    <t>Page 5 of 22</t>
  </si>
  <si>
    <t>Page 6 of 22</t>
  </si>
  <si>
    <t>Page 7 of 22</t>
  </si>
  <si>
    <t>Page 8 of 22</t>
  </si>
  <si>
    <t>Page 9 of 22</t>
  </si>
  <si>
    <t>Page 10 of 22</t>
  </si>
  <si>
    <t>Page 11 of 22</t>
  </si>
  <si>
    <t>Page 12 of 22</t>
  </si>
  <si>
    <t>Page 13 of 22</t>
  </si>
  <si>
    <t>Page 14 of 22</t>
  </si>
  <si>
    <t>Page 15 of 22</t>
  </si>
  <si>
    <t>Page 16 of 22</t>
  </si>
  <si>
    <t>Page 17 of 22</t>
  </si>
  <si>
    <t>Page 18 of 22</t>
  </si>
  <si>
    <t>Page 19 of 22</t>
  </si>
  <si>
    <t>Page 20 of 22</t>
  </si>
  <si>
    <t>Page 21 of 22</t>
  </si>
  <si>
    <t>Page 22 of 22</t>
  </si>
  <si>
    <t>PUGET SOUND ENERGY-ELECTRIC</t>
  </si>
  <si>
    <t>REVENUES AND EXPENSES</t>
  </si>
  <si>
    <t>TEMPERATURE NORMALIZATION</t>
  </si>
  <si>
    <t>PASS-THROUGH REVENUES AND EXPENSES</t>
  </si>
  <si>
    <t>FEDERAL INCOME TAX</t>
  </si>
  <si>
    <t>TAX BENEFIT OF PRO FORMA INTEREST</t>
  </si>
  <si>
    <t>DEPRECIATION STUDY</t>
  </si>
  <si>
    <t>NORMALIZE INJURIES AND DAMAGES</t>
  </si>
  <si>
    <t>BAD DEBTS</t>
  </si>
  <si>
    <t>INCENTIVE PAY</t>
  </si>
  <si>
    <t>DIRECTORS &amp; OFFICERS INSURANCE</t>
  </si>
  <si>
    <t>INTEREST ON CUSTOMER DEPOSITS</t>
  </si>
  <si>
    <t>RATE CASE EXPENSES</t>
  </si>
  <si>
    <t>DEFERRED GAINS/LOSSES ON PROPERTY SALES</t>
  </si>
  <si>
    <t>PROPERTY &amp; LIABILITY INSURANCE</t>
  </si>
  <si>
    <t>PENSION PLAN</t>
  </si>
  <si>
    <t>WAGE INCREASE</t>
  </si>
  <si>
    <t>INVESTMENT PLAN</t>
  </si>
  <si>
    <t>EMPLOYEE INSURANCE</t>
  </si>
  <si>
    <t>ENVIRONMENTAL REMEDIATION</t>
  </si>
  <si>
    <t>PAYMENT PROCESSING COSTS</t>
  </si>
  <si>
    <t>SOUTH KING SERVICE CENTER</t>
  </si>
  <si>
    <t>FILING FEE AND EXCISE TAX</t>
  </si>
  <si>
    <t>FOR THE TWELVE MONTHS ENDED SEPTEMBER 30, 2016</t>
  </si>
  <si>
    <t xml:space="preserve">2017 GENERAL RATE CASE </t>
  </si>
  <si>
    <t>PERCENT</t>
  </si>
  <si>
    <t>LINE</t>
  </si>
  <si>
    <t>NET</t>
  </si>
  <si>
    <t>GROSS</t>
  </si>
  <si>
    <t>SALES FOR</t>
  </si>
  <si>
    <t>OTHER OPERATING</t>
  </si>
  <si>
    <t>WRITE-OFF'S</t>
  </si>
  <si>
    <t>NO.</t>
  </si>
  <si>
    <t>DESCRIPTION</t>
  </si>
  <si>
    <t>ADJUSTMENT</t>
  </si>
  <si>
    <t>AMOUNT</t>
  </si>
  <si>
    <t>TEST YEAR</t>
  </si>
  <si>
    <t>RESTATED</t>
  </si>
  <si>
    <t>YEAR</t>
  </si>
  <si>
    <t>WRITEOFF'S</t>
  </si>
  <si>
    <t>REVENUES</t>
  </si>
  <si>
    <t>RESALE OTHER</t>
  </si>
  <si>
    <t>RESALE FIRM</t>
  </si>
  <si>
    <t>TO REVENUE</t>
  </si>
  <si>
    <t>ACTUAL</t>
  </si>
  <si>
    <t>PROFORMA</t>
  </si>
  <si>
    <t>RATE YEAR</t>
  </si>
  <si>
    <t>TEMPERATURE NORMALIZATION ADJUSTMENT:</t>
  </si>
  <si>
    <t>TEMP ADJ</t>
  </si>
  <si>
    <t>MWH</t>
  </si>
  <si>
    <t>ADJ FOR LOSSES</t>
  </si>
  <si>
    <t>REMOVE REVENUE ASSOCIATED WITH RIDERS:</t>
  </si>
  <si>
    <t xml:space="preserve">TAXABLE INCOME (LOSS)  </t>
  </si>
  <si>
    <t>RATE BASE</t>
  </si>
  <si>
    <t xml:space="preserve"> </t>
  </si>
  <si>
    <t>403 ELEC. DEPRECIATION EXPENSE</t>
  </si>
  <si>
    <t>INJURIES &amp; DAMAGES ACCRUALS</t>
  </si>
  <si>
    <t>12 MOS ENDED</t>
  </si>
  <si>
    <t>SEPTEMBER</t>
  </si>
  <si>
    <t>May</t>
  </si>
  <si>
    <t>MAY</t>
  </si>
  <si>
    <t>INCENTIVE / MERIT PAY</t>
  </si>
  <si>
    <t>D &amp; O INS. CHG  EXPENSE</t>
  </si>
  <si>
    <t>1</t>
  </si>
  <si>
    <t>INTEREST EXPENSE AT MOST CURRENT INTEREST RATE</t>
  </si>
  <si>
    <t>EXPENSES TO BE NORMALIZED:</t>
  </si>
  <si>
    <t>DEFERRED GAIN RECORDED FOR UE-111048, at 12/31/2017</t>
  </si>
  <si>
    <t>PROPERTY INSURANCE EXPENSE</t>
  </si>
  <si>
    <t>QUALIFIED RETIREMENT FUND</t>
  </si>
  <si>
    <t>WAGES:</t>
  </si>
  <si>
    <t>NON-UNION (INCLUDING. EXECUTIVES)</t>
  </si>
  <si>
    <t>BENEFIT CONTRIBUTION:</t>
  </si>
  <si>
    <t>ELECTRIC ENVIRONMENTAL REMEDIATION</t>
  </si>
  <si>
    <t>NEW SERVICE AGREEMENT</t>
  </si>
  <si>
    <t>SOUTH KING SERVICE CENTER RATEBASE (AMA)</t>
  </si>
  <si>
    <t>EXCISE TAXES</t>
  </si>
  <si>
    <t>SALES TO CUSTOMERS:</t>
  </si>
  <si>
    <t>GPI MWh</t>
  </si>
  <si>
    <t>CHANGE</t>
  </si>
  <si>
    <t>REMOVE CONSERVATION RIDER - SCHEDULE 120</t>
  </si>
  <si>
    <t>403 ELEC. PORTION OF COMMON</t>
  </si>
  <si>
    <t>INJURIES &amp; DAMAGES PAYMENTS IN EXCESS OF ACCRUALS</t>
  </si>
  <si>
    <t>12 ME 9/30/2013 AND 5/31/2013</t>
  </si>
  <si>
    <t>OTHER PWR - 557</t>
  </si>
  <si>
    <t>DEFERRED LOSS RECORDED FOR UE-111048, at 12/31/2017</t>
  </si>
  <si>
    <t>LIABILITY INSURANCE EXPENSE</t>
  </si>
  <si>
    <t>PURCHASED POWER</t>
  </si>
  <si>
    <t>INVESTMENT PLAN APPLICABLE TO MANAGEMENT</t>
  </si>
  <si>
    <t>NON-UNION EMPLOYEES</t>
  </si>
  <si>
    <t>CUST REC &amp; COLLECTION EXPENSE</t>
  </si>
  <si>
    <t>UTILITY PLANT RATEBASE</t>
  </si>
  <si>
    <t>WUTC FILING FEE</t>
  </si>
  <si>
    <t>REMOVE SCHEDULE 132 - MERGER RATE CREDIT</t>
  </si>
  <si>
    <t>OCT-15</t>
  </si>
  <si>
    <t>REMOVE PROPERTY TAX TRACKER - SCHEDULE 140</t>
  </si>
  <si>
    <t>NET RATE BASE</t>
  </si>
  <si>
    <t>403 DEPR. EXP. ON ASSETS NOT INCLUDED IN STUDY</t>
  </si>
  <si>
    <t>INCREASE/(DECREASE) IN EXPENSE</t>
  </si>
  <si>
    <t>12 ME 9/30/2015 AND 5/31/2015</t>
  </si>
  <si>
    <t>OTHER POWER SUPPLY (PROD O&amp;M)</t>
  </si>
  <si>
    <t>INCREASE (DECREASE) IN EXPENSE</t>
  </si>
  <si>
    <t>INCREASE (DECREASE) NOI</t>
  </si>
  <si>
    <t>2009 AND 2011 GRC EXPENSES TO BE NORMALIZED</t>
  </si>
  <si>
    <t>TOTAL DEFERRED NET LOSS FOR UE-111048, at 12/31/2017 TO AMORTIZE (LN 1 + LN 2)</t>
  </si>
  <si>
    <t>INCREASE(DECREASE) EXPENSE</t>
  </si>
  <si>
    <t>OTHER POWER SUPPLY</t>
  </si>
  <si>
    <t xml:space="preserve">RATE YEAR NON-UNION WAGE INCREASE </t>
  </si>
  <si>
    <t>UNION EMPLOYEES</t>
  </si>
  <si>
    <t>DEFERRED COSTS NET OF SITE SPECIFIC RECOVERIES AS OF SEPTEMBER 30, 2016</t>
  </si>
  <si>
    <t>PLANT BALANCE-BUILDING PURCHASE</t>
  </si>
  <si>
    <t>INCREASE(DECREASE) EXCISE AND WUTC FILING FEE</t>
  </si>
  <si>
    <t>REMOVE SCHEDULE 95A - FEDERAL INCENTIVE TRACKER</t>
  </si>
  <si>
    <t>NOV-15</t>
  </si>
  <si>
    <t>REMOVE MUNICIPAL TAXES - SCHEDULE 81</t>
  </si>
  <si>
    <t>CURRENTLY PAYABLE</t>
  </si>
  <si>
    <t>404 DEPR. EXP. ON ASSETS NOT INCLUDED IN STUDY</t>
  </si>
  <si>
    <t>12 ME 9/30/2016 AND 5/31/2016</t>
  </si>
  <si>
    <t>TRANSMISSION</t>
  </si>
  <si>
    <t>TOTAL COMPANY CONTRIBUTION FOR MANAGEMENT</t>
  </si>
  <si>
    <t>PRO FORMA INSURANCE COSTS</t>
  </si>
  <si>
    <r>
      <t xml:space="preserve">ANNUAL AMORTIZATION (LINE 3 </t>
    </r>
    <r>
      <rPr>
        <sz val="8.8000000000000007"/>
        <rFont val="Symbol"/>
        <family val="1"/>
        <charset val="2"/>
      </rPr>
      <t>¸</t>
    </r>
    <r>
      <rPr>
        <sz val="10"/>
        <rFont val="Times New Roman"/>
        <family val="1"/>
      </rPr>
      <t xml:space="preserve"> 5 YEARS)</t>
    </r>
  </si>
  <si>
    <t>PLANT BALANCE-LEASE IMPROV</t>
  </si>
  <si>
    <t>REMOVE SCHEDULE 95 - POWER COST ONLY RATE CASE</t>
  </si>
  <si>
    <t>DEC-15</t>
  </si>
  <si>
    <t>REMOVE MUNICIPAL TAXES - SCHEDULE 81 - SALES FOR RESALE</t>
  </si>
  <si>
    <t>WEIGHTED AVERAGE COST OF DEBT</t>
  </si>
  <si>
    <t>SUBTOTAL DEPRECIATION EXPENSE 403</t>
  </si>
  <si>
    <t>INCREASE/(DECREASE) IN OPERATING EXPENSE (LINE 3)</t>
  </si>
  <si>
    <t>3-YR AVERAGE OF NET WRITE OFF RATE</t>
  </si>
  <si>
    <t>DISTRIBUTION</t>
  </si>
  <si>
    <t>INCREASE (DECREASE) FIT @</t>
  </si>
  <si>
    <r>
      <t xml:space="preserve">ANNUAL NORMALIZATION (LINE 3 </t>
    </r>
    <r>
      <rPr>
        <sz val="8.8000000000000007"/>
        <rFont val="Symbol"/>
        <family val="1"/>
        <charset val="2"/>
      </rPr>
      <t>¸</t>
    </r>
    <r>
      <rPr>
        <sz val="10"/>
        <rFont val="Times New Roman"/>
        <family val="1"/>
      </rPr>
      <t xml:space="preserve"> 2 YEARS)</t>
    </r>
  </si>
  <si>
    <t>DEFERRED GAIN PENDING APPROVAL SINCE UE-111048</t>
  </si>
  <si>
    <t>INCREASE (DECREASE) OPERATING EXPENSE</t>
  </si>
  <si>
    <t>ACCUM DEPRECIATION-ON BUILDING PURCHASE</t>
  </si>
  <si>
    <t xml:space="preserve">INCREASE(DECREASE) OPERATING EXPENSE </t>
  </si>
  <si>
    <t>REMOVE SCHEDULE 141 - EXPEDITED RATE FILING</t>
  </si>
  <si>
    <t>JAN-16</t>
  </si>
  <si>
    <t>REMOVE LOW INCOME RIDER - SCHEDULE 129</t>
  </si>
  <si>
    <t>DEFERRED FIT-DEBIT</t>
  </si>
  <si>
    <t>PROFORMA INTEREST</t>
  </si>
  <si>
    <t>CUSTOMER ACCTS</t>
  </si>
  <si>
    <t>LESS TEST YEAR EXPENSE</t>
  </si>
  <si>
    <t>DEFERRED LOSS PENDING APPROVAL SINCE UE-111048</t>
  </si>
  <si>
    <t>IBEW</t>
  </si>
  <si>
    <t>APPLICABLE TO OPERATIONS @</t>
  </si>
  <si>
    <t>INSURANCE PROCEEDS &amp; THIRD PARTIES PAYMENTS</t>
  </si>
  <si>
    <t>DOCKET UE-160203 &amp; UG-160204 CREDIT CARD FEES</t>
  </si>
  <si>
    <t>ACC DEP-NEW BLG-PORTION INC IN DEP STUDY</t>
  </si>
  <si>
    <t>INCREASE(DECREASE) FIT @</t>
  </si>
  <si>
    <t>REMOVE SCHEDULE 142 - DECOUPLING AND K-FACTOR REVENUE</t>
  </si>
  <si>
    <t>FEB-16</t>
  </si>
  <si>
    <t>REMOVE RESIDENTIAL EXCHANGE - SCH 194</t>
  </si>
  <si>
    <t>DEFERRED FIT-OTHER</t>
  </si>
  <si>
    <t>403.1 DEPR. EXP- FAS 143 (RECOVERED IN RATES)</t>
  </si>
  <si>
    <t>TEST PERIOD REVENUES</t>
  </si>
  <si>
    <t>CUSTOMER SERVICE</t>
  </si>
  <si>
    <t>INCREASE (DECREASE) EXPENSE</t>
  </si>
  <si>
    <t>NET LOSS PENDING APPROVAL (LN 5 + LN 6)</t>
  </si>
  <si>
    <t>INVESTMENT PLAN APPLICABLE TO IBEW</t>
  </si>
  <si>
    <t>CHARGED TO EXPENSE DURING TEST YEAR</t>
  </si>
  <si>
    <t>EXPECTED RATE YEAR LEVEL OF FEES</t>
  </si>
  <si>
    <t>ACCUM DEP-LEASE. IMPROVE.</t>
  </si>
  <si>
    <t>INCREASE(DECREASE) NOI</t>
  </si>
  <si>
    <t>SALES FOR RESALE FIRM</t>
  </si>
  <si>
    <t>MAR-16</t>
  </si>
  <si>
    <t>REMOVE REC PROCEEDS - SCH 137</t>
  </si>
  <si>
    <t>DEFERRED FIT - INV TAX CREDIT, NET OF AMORT</t>
  </si>
  <si>
    <t>INCREASE (DECREASE) INCOME</t>
  </si>
  <si>
    <t>403.1 DEPR. EXP - FAS 143 (NOT RECOVERED IN RATES)</t>
  </si>
  <si>
    <t>ADD:  TEMPERATURE NORMALIZATION ADJUSTMENT</t>
  </si>
  <si>
    <t>SALES</t>
  </si>
  <si>
    <t xml:space="preserve">RATE YEAR IBEW WAGE INCREASE                   </t>
  </si>
  <si>
    <t>SHARE OF DEFERRED UNASSIGNED RECOVERIES AS OF SEPTEMBER 30, 2016</t>
  </si>
  <si>
    <t>AMORTIZATION OF DEFERRAL</t>
  </si>
  <si>
    <t xml:space="preserve">DEFERRED FIT </t>
  </si>
  <si>
    <t>RECLASSIFY TRANSPORTATION REVENUE FROM OTHER OP. REVENUES</t>
  </si>
  <si>
    <t>APR-16</t>
  </si>
  <si>
    <t>REMOVE EXPENSES ASSOCIATED WITH SCH 137 REC PROCEEDS</t>
  </si>
  <si>
    <t>TOTAL RESTATED FIT</t>
  </si>
  <si>
    <t>SUBTOTAL DEPRECIATION EXPENSE 403.1</t>
  </si>
  <si>
    <t>NORMALIZED TEST PERIOD REVENUES</t>
  </si>
  <si>
    <t>ADMIN. &amp; GENERAL</t>
  </si>
  <si>
    <t>2014 AND 2013 PCORC EXPENSES TO BE NORMALIZED</t>
  </si>
  <si>
    <t>NET GAIN (LN 3 + LN 7)</t>
  </si>
  <si>
    <t>TOTAL COMPANY CONTRIBUTION FOR IBEW</t>
  </si>
  <si>
    <r>
      <t xml:space="preserve">ANNUAL AMORTIZATION (LINE 8 </t>
    </r>
    <r>
      <rPr>
        <sz val="8.8000000000000007"/>
        <rFont val="Symbol"/>
        <family val="1"/>
        <charset val="2"/>
      </rPr>
      <t>¸</t>
    </r>
    <r>
      <rPr>
        <sz val="10"/>
        <rFont val="Times New Roman"/>
        <family val="1"/>
      </rPr>
      <t xml:space="preserve"> 5 YEARS)</t>
    </r>
  </si>
  <si>
    <t>DEF TAX LIAB-PORT INC IN DEPR STUDY</t>
  </si>
  <si>
    <t>OTHER</t>
  </si>
  <si>
    <t>MAY-16</t>
  </si>
  <si>
    <t xml:space="preserve">INCREASE (DECREASE) FIT @ </t>
  </si>
  <si>
    <t>PROFORMA BAD DEBT RATE</t>
  </si>
  <si>
    <t>TOTAL INCENTIVE/MERIT PAY</t>
  </si>
  <si>
    <t>TOTAL WAGE INCREASE</t>
  </si>
  <si>
    <t>NET SOUTH KING RATEBASE</t>
  </si>
  <si>
    <t>TOTAL ADJUSTMENTS TO SALES TO CUSTOMERS</t>
  </si>
  <si>
    <t>JUN-16</t>
  </si>
  <si>
    <t>FIT PER BOOKS:</t>
  </si>
  <si>
    <t>TOTAL DEPRECIATION EXPENSE</t>
  </si>
  <si>
    <t>PROFORMA BAD DEBTS</t>
  </si>
  <si>
    <r>
      <t xml:space="preserve">ANNUAL NORMALIZATION (LINE 9 </t>
    </r>
    <r>
      <rPr>
        <sz val="8.8000000000000007"/>
        <rFont val="Symbol"/>
        <family val="1"/>
        <charset val="2"/>
      </rPr>
      <t>¸</t>
    </r>
    <r>
      <rPr>
        <sz val="10"/>
        <rFont val="Times New Roman"/>
        <family val="1"/>
      </rPr>
      <t xml:space="preserve"> 4 YEARS)</t>
    </r>
  </si>
  <si>
    <t>ANNUAL AMORTIZATION (LN 9 ÷ 36) x 12</t>
  </si>
  <si>
    <t>UA</t>
  </si>
  <si>
    <t>TOTAL RATE YEAR AMORTIZATION ENVIRONMENTAL (LINE 4 + LINE 9)</t>
  </si>
  <si>
    <t>INCREASE (DECREASE) OPERATING EXPENSE (LINES 3 &amp; 9)</t>
  </si>
  <si>
    <t>JUL-16</t>
  </si>
  <si>
    <t>GREEN POWER - SCH 135/136</t>
  </si>
  <si>
    <t>PAYROLL TAXES ASSOC WITH MERIT PAY</t>
  </si>
  <si>
    <t>PAYROLL TAXES</t>
  </si>
  <si>
    <t>INVESTMENT PLAN APPLICABLE TO UA</t>
  </si>
  <si>
    <t>OPERATING EXPENSE</t>
  </si>
  <si>
    <t>AUG-16</t>
  </si>
  <si>
    <t>GREEN POWER - SCH 135/136 ELIMINATE OVER EXPENSED</t>
  </si>
  <si>
    <t>DEFERRED FIT - DEBT</t>
  </si>
  <si>
    <t>AMORTIZATION EXPENSE</t>
  </si>
  <si>
    <t>UNCOLLECTIBLES CHARGED TO EXPENSE IN TEST YEAR</t>
  </si>
  <si>
    <t>AMORTIZATION OF DEFERRED NET GAIN FOR TEST YEAR</t>
  </si>
  <si>
    <t>TOTAL WAGES &amp; TAXES</t>
  </si>
  <si>
    <t xml:space="preserve">RATE YEAR UA WAGE INCREASE                   </t>
  </si>
  <si>
    <t>INCREASE (DECREASE) FIT @ 35% (LINE 11 X 35%)</t>
  </si>
  <si>
    <t xml:space="preserve">RENT CHARGED TO O&amp;M </t>
  </si>
  <si>
    <t>SEP-16</t>
  </si>
  <si>
    <t>REMOVE JPUD GAIN ON SALE SCH 133</t>
  </si>
  <si>
    <t>DEFERRED FIT-CREDIT</t>
  </si>
  <si>
    <t>411.10 ACCRETION EXP. - ASC 410 (RECOVERED IN RATES)</t>
  </si>
  <si>
    <t>TOTAL COMPANY CONTRIBUTION FOR UA</t>
  </si>
  <si>
    <t>DEPRECIATION EXPENSE</t>
  </si>
  <si>
    <t>ADJUSTMENTS TO OTHER OPERATING REVENUE:</t>
  </si>
  <si>
    <t>TOTAL (INCREASE) DECREASE IN REVENUES</t>
  </si>
  <si>
    <t>DEFERRED FIT- INV TAX CREDIT, NET OF AMORT</t>
  </si>
  <si>
    <t>411.10 ACCRETION EXP. - ASC 410 (NOT RECOVERED IN RATES)</t>
  </si>
  <si>
    <t>INCREASE (DECREASE) EXPENSE  (LN 13 - LN 11)</t>
  </si>
  <si>
    <t>DEPR EXP-PORTION INC DEPR STUDY ADJ</t>
  </si>
  <si>
    <t>RECLASSIFY TRANSPORTATION REVENUE TO SALES TO CUSTOMERS</t>
  </si>
  <si>
    <t>TOTAL CHARED TO EXPENSE</t>
  </si>
  <si>
    <t>SUBTOTAL ACCRETION EXPENSE 411.10</t>
  </si>
  <si>
    <t>INCREASE (DECREASE) FIT</t>
  </si>
  <si>
    <t>TOTAL INCREASE (DECREASE) EXPENSE</t>
  </si>
  <si>
    <t>INCREASE (DECREASE) FIT @ 35%</t>
  </si>
  <si>
    <t>TOTAL</t>
  </si>
  <si>
    <t>DEPR-LEASEHOLD IMPROV.</t>
  </si>
  <si>
    <t>REMOVE OVEREARNINGS ACCRUALS</t>
  </si>
  <si>
    <t>REVENUE ADJUSTMENT:</t>
  </si>
  <si>
    <t>SCHEDULE 7</t>
  </si>
  <si>
    <t>DECREASE REVENUE SENSITIVE ITEMS FOR DECREASE IN REVENUES:</t>
  </si>
  <si>
    <t>TOTAL PROFORMA COSTS (LN 4 + LN 9 + LN 14 + LN 19)</t>
  </si>
  <si>
    <t>REMOVE CURRENT PERIOD DECOUPLING DEFERRALS</t>
  </si>
  <si>
    <t>SCHEDULE 24</t>
  </si>
  <si>
    <t>INCREASE(DECREASE) FIT</t>
  </si>
  <si>
    <t>DEPRECIATION EXPENSE 403 ASSOCIATED WITH FLEET</t>
  </si>
  <si>
    <t>PRO FORMA COSTS APPLICABLE TO OPERATIONS</t>
  </si>
  <si>
    <t>INCREASE (DECREASE ) EXPENSE</t>
  </si>
  <si>
    <t>REMOVE AMORTIZATION DECOUPLING DEFERRALS</t>
  </si>
  <si>
    <t>SCHEDULE 25</t>
  </si>
  <si>
    <t>ANNUAL FILING FEE</t>
  </si>
  <si>
    <t>INCREASE(DECREASE) DEFERRED FIT</t>
  </si>
  <si>
    <t>FOR TEST YEAR 9/30/16</t>
  </si>
  <si>
    <t>ADJUSTMENTS SALES TO CUSTOMERS</t>
  </si>
  <si>
    <t>SCHEDULE 26</t>
  </si>
  <si>
    <t>STATE UTILITY TAX</t>
  </si>
  <si>
    <t xml:space="preserve">INCREASE(DECREASE) NOI </t>
  </si>
  <si>
    <t>TOTAL INCREASE (DECREASE) REVENUES</t>
  </si>
  <si>
    <t>SCHEDULE 29</t>
  </si>
  <si>
    <t>OPERATING EXPENSES:</t>
  </si>
  <si>
    <t>SCHEDULE 31</t>
  </si>
  <si>
    <t>REMOVE EXPENSE RECOGNIZED FOR FUTURE PTC LIABILITY</t>
  </si>
  <si>
    <t>SCHEDULE 43</t>
  </si>
  <si>
    <t>REMOVE EXPENSES ASSOCIATED WITH RIDERS</t>
  </si>
  <si>
    <t>REMOVE SCHEDULE 95A TREASURY GRANTS AMORTIZATION</t>
  </si>
  <si>
    <t>SCHEDULE 40 - MED SEC VOLTAGE</t>
  </si>
  <si>
    <t>REMOVE CONSERVATION AMORTIZATON - SCHEDULE 120</t>
  </si>
  <si>
    <t xml:space="preserve"> OF INTEREST AND GRANTS</t>
  </si>
  <si>
    <t>SCHEDULE 40 - LARGE DEC VOLTAGE</t>
  </si>
  <si>
    <t>REMOVE PROPERTY TAX AMORTIZATION EXP - SCHEDULE 140</t>
  </si>
  <si>
    <t>TOTAL INCREASE (DECREASE) EXPENSES</t>
  </si>
  <si>
    <t>SCHEDULE 40 - PRIMARY VOLTAGE</t>
  </si>
  <si>
    <t>ADJUSTMENT TO RATE BASE</t>
  </si>
  <si>
    <t>FIRM RESALE</t>
  </si>
  <si>
    <t>REMOVE LOW INCOME AMORTIZATION - SCHEDULE 129</t>
  </si>
  <si>
    <t>ADJUSTMENT TO ACCUM. DEPREC. AT 50% DEPREC. EXP. LINE 21</t>
  </si>
  <si>
    <t>UNCOLLECTIBLES @</t>
  </si>
  <si>
    <t>DFIT</t>
  </si>
  <si>
    <t>ANNUAL FILING FEE @</t>
  </si>
  <si>
    <t>INCREASE (DECREASE) SALES TO CUSTOMERS</t>
  </si>
  <si>
    <t>REMOVE AMORT ON INTEREST ON REC PROCEEDS SCH 137</t>
  </si>
  <si>
    <t>STATE UTILITY TAX @</t>
  </si>
  <si>
    <t>GREEN POWER - SCH 135/136 CHARGED TO 908/909</t>
  </si>
  <si>
    <t>TOTAL  ADJUSTMENT TO RATEBASE</t>
  </si>
  <si>
    <t>TOTAL INCREASE (DECREASE) RSI</t>
  </si>
  <si>
    <t>GREEN POWER - SCH 135/136 BENEFITS PORTION OF ADMIN</t>
  </si>
  <si>
    <t>GREEN POWER - SCH 135/136 TAXES PORTION OF ADMIN</t>
  </si>
  <si>
    <t>INCREASE (DECREASE) EXPENSES</t>
  </si>
  <si>
    <t>REMOVE JPUD AMORT EXPENSE SCH 133</t>
  </si>
  <si>
    <t>INCREASE (DECREASE) TAXES OTHER</t>
  </si>
  <si>
    <t>INCREASE (DECREASE) OPERATING INCOME BEFORE FIT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</si>
</sst>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&quot;$&quot;* #,##0_);_(&quot;$&quot;* \(#,##0\);_(&quot;$&quot;* &quot;-&quot;??_);_(@_)"/>
    <numFmt numFmtId="166" formatCode="&quot;Adj.&quot;\ 0.00"/>
    <numFmt numFmtId="167" formatCode="#,##0;\(#,##0\)"/>
    <numFmt numFmtId="168" formatCode="#,##0.00\ ;\(#,##0.00\)"/>
    <numFmt numFmtId="169" formatCode="0.000000"/>
    <numFmt numFmtId="170" formatCode="0.0000%"/>
    <numFmt numFmtId="171" formatCode="_(* #,##0_);_(* \(#,##0\);_(* &quot;-&quot;??_);_(@_)"/>
    <numFmt numFmtId="172" formatCode="yyyy"/>
    <numFmt numFmtId="173" formatCode="0.0000000%"/>
    <numFmt numFmtId="174" formatCode="0.00000%"/>
    <numFmt numFmtId="175" formatCode="0.00000"/>
    <numFmt numFmtId="176" formatCode="_(* #,##0.000000_);_(* \(#,##0.000000\);_(* &quot;-&quot;??????_);_(@_)"/>
  </numFmts>
  <fonts count="19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0"/>
      <color rgb="FFFF0000"/>
      <name val="Times New Roman"/>
      <family val="1"/>
    </font>
    <font>
      <b/>
      <sz val="12"/>
      <name val="Times New Roman"/>
      <family val="1"/>
    </font>
    <font>
      <b/>
      <sz val="10"/>
      <color rgb="FF0000FF"/>
      <name val="Times New Roman"/>
      <family val="1"/>
    </font>
    <font>
      <sz val="11"/>
      <name val="Times New Roman"/>
      <family val="1"/>
    </font>
    <font>
      <u/>
      <sz val="10"/>
      <name val="Times New Roman"/>
      <family val="1"/>
    </font>
    <font>
      <sz val="8"/>
      <name val="Times New Roman"/>
      <family val="1"/>
    </font>
    <font>
      <b/>
      <u/>
      <sz val="10"/>
      <name val="Times New Roman"/>
      <family val="1"/>
    </font>
    <font>
      <sz val="10"/>
      <name val="Arial"/>
      <family val="2"/>
    </font>
    <font>
      <sz val="8"/>
      <name val="Helv"/>
    </font>
    <font>
      <sz val="10"/>
      <color indexed="8"/>
      <name val="Times New Roman"/>
      <family val="1"/>
    </font>
    <font>
      <sz val="8.8000000000000007"/>
      <name val="Symbol"/>
      <family val="1"/>
      <charset val="2"/>
    </font>
    <font>
      <sz val="10"/>
      <name val="Geneva"/>
    </font>
    <font>
      <b/>
      <sz val="8"/>
      <color theme="0"/>
      <name val="Helv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3" fillId="0" borderId="0"/>
    <xf numFmtId="169" fontId="13" fillId="0" borderId="0">
      <alignment horizontal="left" wrapText="1"/>
    </xf>
    <xf numFmtId="0" fontId="13" fillId="0" borderId="0"/>
    <xf numFmtId="0" fontId="17" fillId="0" borderId="0"/>
    <xf numFmtId="169" fontId="13" fillId="0" borderId="0">
      <alignment horizontal="left" wrapText="1"/>
    </xf>
    <xf numFmtId="44" fontId="13" fillId="0" borderId="0" applyFont="0" applyFill="0" applyBorder="0" applyAlignment="0" applyProtection="0"/>
  </cellStyleXfs>
  <cellXfs count="304">
    <xf numFmtId="0" fontId="0" fillId="0" borderId="0" xfId="0"/>
    <xf numFmtId="164" fontId="2" fillId="0" borderId="0" xfId="0" applyNumberFormat="1" applyFont="1" applyFill="1" applyBorder="1" applyAlignment="1"/>
    <xf numFmtId="0" fontId="2" fillId="0" borderId="0" xfId="0" applyNumberFormat="1" applyFont="1" applyFill="1" applyBorder="1" applyAlignment="1"/>
    <xf numFmtId="165" fontId="2" fillId="0" borderId="0" xfId="0" applyNumberFormat="1" applyFont="1" applyFill="1" applyBorder="1" applyAlignment="1"/>
    <xf numFmtId="42" fontId="2" fillId="0" borderId="0" xfId="0" applyNumberFormat="1" applyFont="1" applyFill="1" applyBorder="1" applyAlignment="1"/>
    <xf numFmtId="42" fontId="0" fillId="0" borderId="0" xfId="0" applyNumberFormat="1" applyFill="1" applyBorder="1" applyAlignment="1"/>
    <xf numFmtId="0" fontId="0" fillId="0" borderId="0" xfId="0" applyNumberFormat="1" applyFill="1" applyBorder="1" applyAlignment="1"/>
    <xf numFmtId="41" fontId="2" fillId="0" borderId="0" xfId="0" applyNumberFormat="1" applyFont="1" applyFill="1" applyBorder="1" applyAlignment="1"/>
    <xf numFmtId="0" fontId="3" fillId="0" borderId="0" xfId="0" applyNumberFormat="1" applyFont="1" applyFill="1" applyAlignment="1"/>
    <xf numFmtId="0" fontId="2" fillId="0" borderId="0" xfId="0" applyNumberFormat="1" applyFont="1" applyFill="1" applyAlignment="1"/>
    <xf numFmtId="0" fontId="3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left" wrapText="1"/>
    </xf>
    <xf numFmtId="0" fontId="2" fillId="0" borderId="0" xfId="0" applyNumberFormat="1" applyFont="1" applyAlignment="1"/>
    <xf numFmtId="0" fontId="0" fillId="0" borderId="0" xfId="0" applyNumberFormat="1" applyAlignment="1"/>
    <xf numFmtId="15" fontId="2" fillId="0" borderId="0" xfId="0" applyNumberFormat="1" applyFont="1" applyFill="1" applyAlignment="1"/>
    <xf numFmtId="0" fontId="3" fillId="0" borderId="0" xfId="0" quotePrefix="1" applyNumberFormat="1" applyFont="1" applyFill="1" applyAlignment="1">
      <alignment horizontal="left"/>
    </xf>
    <xf numFmtId="3" fontId="2" fillId="0" borderId="0" xfId="0" applyNumberFormat="1" applyFont="1" applyFill="1" applyAlignment="1"/>
    <xf numFmtId="0" fontId="0" fillId="0" borderId="0" xfId="0" applyNumberFormat="1" applyFill="1" applyAlignment="1"/>
    <xf numFmtId="0" fontId="3" fillId="0" borderId="0" xfId="0" applyNumberFormat="1" applyFont="1" applyFill="1" applyBorder="1" applyAlignment="1">
      <alignment horizontal="right"/>
    </xf>
    <xf numFmtId="166" fontId="3" fillId="0" borderId="1" xfId="0" applyNumberFormat="1" applyFont="1" applyFill="1" applyBorder="1" applyAlignment="1"/>
    <xf numFmtId="0" fontId="3" fillId="0" borderId="0" xfId="0" applyFont="1" applyFill="1" applyAlignment="1">
      <alignment horizontal="right"/>
    </xf>
    <xf numFmtId="0" fontId="3" fillId="0" borderId="0" xfId="0" applyNumberFormat="1" applyFont="1" applyFill="1" applyAlignment="1">
      <alignment horizontal="left"/>
    </xf>
    <xf numFmtId="0" fontId="3" fillId="0" borderId="0" xfId="0" quotePrefix="1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Alignment="1" applyProtection="1">
      <alignment horizontal="centerContinuous"/>
      <protection locked="0"/>
    </xf>
    <xf numFmtId="0" fontId="3" fillId="0" borderId="0" xfId="0" applyNumberFormat="1" applyFont="1" applyFill="1" applyAlignment="1">
      <alignment horizontal="centerContinuous"/>
    </xf>
    <xf numFmtId="0" fontId="3" fillId="0" borderId="0" xfId="0" applyNumberFormat="1" applyFont="1" applyFill="1" applyAlignment="1" applyProtection="1">
      <alignment horizontal="center"/>
      <protection locked="0"/>
    </xf>
    <xf numFmtId="0" fontId="3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Continuous"/>
    </xf>
    <xf numFmtId="0" fontId="5" fillId="0" borderId="0" xfId="0" applyFont="1" applyFill="1" applyAlignment="1">
      <alignment horizontal="centerContinuous"/>
    </xf>
    <xf numFmtId="3" fontId="3" fillId="0" borderId="0" xfId="0" applyNumberFormat="1" applyFont="1" applyFill="1" applyAlignment="1">
      <alignment horizontal="centerContinuous"/>
    </xf>
    <xf numFmtId="0" fontId="3" fillId="0" borderId="0" xfId="0" applyNumberFormat="1" applyFont="1" applyFill="1" applyBorder="1" applyAlignment="1">
      <alignment horizontal="centerContinuous"/>
    </xf>
    <xf numFmtId="0" fontId="3" fillId="0" borderId="0" xfId="0" applyNumberFormat="1" applyFont="1" applyFill="1" applyAlignment="1">
      <alignment horizontal="centerContinuous" vertical="center"/>
    </xf>
    <xf numFmtId="0" fontId="3" fillId="0" borderId="0" xfId="0" quotePrefix="1" applyNumberFormat="1" applyFont="1" applyFill="1" applyAlignment="1">
      <alignment horizontal="centerContinuous"/>
    </xf>
    <xf numFmtId="0" fontId="6" fillId="0" borderId="0" xfId="0" applyNumberFormat="1" applyFont="1" applyFill="1" applyAlignment="1" applyProtection="1">
      <alignment horizontal="centerContinuous"/>
      <protection locked="0"/>
    </xf>
    <xf numFmtId="15" fontId="3" fillId="0" borderId="0" xfId="0" applyNumberFormat="1" applyFont="1" applyFill="1" applyAlignment="1">
      <alignment horizontal="centerContinuous"/>
    </xf>
    <xf numFmtId="0" fontId="6" fillId="0" borderId="0" xfId="0" applyNumberFormat="1" applyFont="1" applyFill="1" applyAlignment="1" applyProtection="1">
      <alignment horizontal="center"/>
      <protection locked="0"/>
    </xf>
    <xf numFmtId="0" fontId="6" fillId="0" borderId="0" xfId="0" applyNumberFormat="1" applyFont="1" applyFill="1" applyAlignment="1" applyProtection="1">
      <alignment horizontal="center"/>
      <protection locked="0"/>
    </xf>
    <xf numFmtId="0" fontId="3" fillId="0" borderId="0" xfId="0" quotePrefix="1" applyNumberFormat="1" applyFont="1" applyFill="1" applyBorder="1" applyAlignment="1">
      <alignment horizontal="centerContinuous"/>
    </xf>
    <xf numFmtId="0" fontId="6" fillId="0" borderId="0" xfId="0" applyNumberFormat="1" applyFont="1" applyFill="1" applyAlignment="1">
      <alignment horizontal="centerContinuous"/>
    </xf>
    <xf numFmtId="18" fontId="3" fillId="0" borderId="0" xfId="0" applyNumberFormat="1" applyFont="1" applyFill="1" applyAlignment="1">
      <alignment horizontal="centerContinuous"/>
    </xf>
    <xf numFmtId="18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Continuous" wrapText="1"/>
    </xf>
    <xf numFmtId="0" fontId="3" fillId="0" borderId="0" xfId="0" applyNumberFormat="1" applyFont="1" applyAlignment="1">
      <alignment horizontal="center"/>
    </xf>
    <xf numFmtId="18" fontId="3" fillId="0" borderId="0" xfId="0" quotePrefix="1" applyNumberFormat="1" applyFont="1" applyFill="1" applyAlignment="1">
      <alignment horizontal="centerContinuous"/>
    </xf>
    <xf numFmtId="0" fontId="3" fillId="0" borderId="0" xfId="0" applyFont="1" applyFill="1" applyAlignment="1" applyProtection="1">
      <alignment horizontal="centerContinuous"/>
      <protection locked="0"/>
    </xf>
    <xf numFmtId="0" fontId="3" fillId="0" borderId="0" xfId="0" applyFont="1" applyFill="1" applyAlignment="1">
      <alignment horizontal="centerContinuous"/>
    </xf>
    <xf numFmtId="3" fontId="7" fillId="0" borderId="0" xfId="0" applyNumberFormat="1" applyFont="1" applyFill="1" applyAlignment="1">
      <alignment horizontal="centerContinuous"/>
    </xf>
    <xf numFmtId="0" fontId="3" fillId="0" borderId="0" xfId="0" applyNumberFormat="1" applyFont="1" applyFill="1" applyAlignment="1" applyProtection="1">
      <protection locked="0"/>
    </xf>
    <xf numFmtId="3" fontId="3" fillId="0" borderId="0" xfId="0" applyNumberFormat="1" applyFont="1" applyFill="1" applyAlignment="1"/>
    <xf numFmtId="0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Alignment="1" applyProtection="1">
      <alignment horizontal="left"/>
      <protection locked="0"/>
    </xf>
    <xf numFmtId="0" fontId="3" fillId="0" borderId="0" xfId="0" applyNumberFormat="1" applyFont="1" applyFill="1" applyAlignment="1" applyProtection="1">
      <alignment horizontal="right"/>
      <protection locked="0"/>
    </xf>
    <xf numFmtId="0" fontId="5" fillId="0" borderId="0" xfId="0" applyNumberFormat="1" applyFont="1" applyFill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 applyProtection="1">
      <alignment horizontal="left" wrapText="1"/>
      <protection locked="0"/>
    </xf>
    <xf numFmtId="0" fontId="3" fillId="0" borderId="0" xfId="0" applyFont="1" applyFill="1" applyAlignment="1" applyProtection="1">
      <alignment horizontal="center"/>
      <protection locked="0"/>
    </xf>
    <xf numFmtId="3" fontId="3" fillId="0" borderId="0" xfId="0" applyNumberFormat="1" applyFont="1" applyFill="1" applyAlignment="1">
      <alignment horizontal="center"/>
    </xf>
    <xf numFmtId="0" fontId="5" fillId="0" borderId="0" xfId="0" applyNumberFormat="1" applyFont="1" applyAlignment="1">
      <alignment horizontal="center"/>
    </xf>
    <xf numFmtId="0" fontId="3" fillId="0" borderId="0" xfId="0" applyNumberFormat="1" applyFont="1" applyAlignment="1"/>
    <xf numFmtId="0" fontId="8" fillId="0" borderId="0" xfId="0" applyNumberFormat="1" applyFont="1" applyFill="1" applyAlignment="1">
      <alignment horizontal="center"/>
    </xf>
    <xf numFmtId="0" fontId="5" fillId="0" borderId="0" xfId="0" applyNumberFormat="1" applyFont="1" applyFill="1" applyAlignment="1"/>
    <xf numFmtId="0" fontId="5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/>
    <xf numFmtId="41" fontId="3" fillId="0" borderId="0" xfId="0" applyNumberFormat="1" applyFont="1" applyAlignment="1">
      <alignment horizontal="center"/>
    </xf>
    <xf numFmtId="0" fontId="9" fillId="0" borderId="0" xfId="0" applyFont="1" applyAlignment="1"/>
    <xf numFmtId="0" fontId="3" fillId="0" borderId="2" xfId="0" applyNumberFormat="1" applyFont="1" applyFill="1" applyBorder="1" applyAlignment="1" applyProtection="1">
      <alignment horizontal="center"/>
      <protection locked="0"/>
    </xf>
    <xf numFmtId="0" fontId="3" fillId="0" borderId="2" xfId="0" applyNumberFormat="1" applyFont="1" applyFill="1" applyBorder="1" applyAlignment="1"/>
    <xf numFmtId="0" fontId="3" fillId="0" borderId="2" xfId="0" applyNumberFormat="1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 applyProtection="1">
      <alignment horizontal="left" wrapText="1"/>
      <protection locked="0"/>
    </xf>
    <xf numFmtId="0" fontId="3" fillId="0" borderId="2" xfId="0" applyFont="1" applyFill="1" applyBorder="1" applyAlignment="1" applyProtection="1">
      <alignment horizontal="center"/>
      <protection locked="0"/>
    </xf>
    <xf numFmtId="0" fontId="3" fillId="0" borderId="2" xfId="0" applyFont="1" applyFill="1" applyBorder="1" applyAlignment="1">
      <alignment horizontal="center"/>
    </xf>
    <xf numFmtId="0" fontId="3" fillId="0" borderId="2" xfId="0" applyNumberFormat="1" applyFont="1" applyFill="1" applyBorder="1" applyAlignment="1" applyProtection="1">
      <protection locked="0"/>
    </xf>
    <xf numFmtId="0" fontId="2" fillId="0" borderId="2" xfId="0" applyNumberFormat="1" applyFont="1" applyFill="1" applyBorder="1" applyAlignment="1"/>
    <xf numFmtId="3" fontId="3" fillId="0" borderId="2" xfId="0" applyNumberFormat="1" applyFont="1" applyFill="1" applyBorder="1" applyAlignment="1">
      <alignment horizontal="center"/>
    </xf>
    <xf numFmtId="0" fontId="3" fillId="0" borderId="2" xfId="0" applyNumberFormat="1" applyFont="1" applyFill="1" applyBorder="1" applyAlignment="1">
      <alignment horizontal="left"/>
    </xf>
    <xf numFmtId="0" fontId="3" fillId="0" borderId="2" xfId="0" applyNumberFormat="1" applyFont="1" applyFill="1" applyBorder="1" applyAlignment="1">
      <alignment horizontal="centerContinuous"/>
    </xf>
    <xf numFmtId="167" fontId="3" fillId="0" borderId="2" xfId="0" applyNumberFormat="1" applyFont="1" applyFill="1" applyBorder="1" applyAlignment="1">
      <alignment horizontal="center"/>
    </xf>
    <xf numFmtId="0" fontId="3" fillId="0" borderId="2" xfId="0" quotePrefix="1" applyNumberFormat="1" applyFont="1" applyFill="1" applyBorder="1" applyAlignment="1" applyProtection="1">
      <alignment horizontal="center"/>
      <protection locked="0"/>
    </xf>
    <xf numFmtId="0" fontId="3" fillId="0" borderId="2" xfId="0" applyNumberFormat="1" applyFont="1" applyBorder="1" applyAlignment="1"/>
    <xf numFmtId="0" fontId="3" fillId="0" borderId="2" xfId="0" applyNumberFormat="1" applyFont="1" applyBorder="1" applyAlignment="1">
      <alignment horizontal="center"/>
    </xf>
    <xf numFmtId="0" fontId="3" fillId="0" borderId="2" xfId="0" applyNumberFormat="1" applyFont="1" applyFill="1" applyBorder="1" applyAlignment="1">
      <alignment horizontal="right"/>
    </xf>
    <xf numFmtId="0" fontId="3" fillId="0" borderId="2" xfId="0" applyNumberFormat="1" applyFont="1" applyFill="1" applyBorder="1" applyAlignment="1" applyProtection="1">
      <alignment horizontal="right"/>
      <protection locked="0"/>
    </xf>
    <xf numFmtId="0" fontId="3" fillId="0" borderId="2" xfId="0" applyFont="1" applyFill="1" applyBorder="1" applyAlignment="1" applyProtection="1">
      <protection locked="0"/>
    </xf>
    <xf numFmtId="41" fontId="3" fillId="0" borderId="2" xfId="0" applyNumberFormat="1" applyFont="1" applyBorder="1" applyAlignment="1">
      <alignment horizontal="center"/>
    </xf>
    <xf numFmtId="0" fontId="2" fillId="0" borderId="0" xfId="0" applyNumberFormat="1" applyFont="1" applyFill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 applyProtection="1">
      <alignment horizontal="center"/>
      <protection locked="0"/>
    </xf>
    <xf numFmtId="0" fontId="10" fillId="0" borderId="0" xfId="0" applyNumberFormat="1" applyFont="1" applyFill="1" applyBorder="1" applyAlignment="1"/>
    <xf numFmtId="0" fontId="2" fillId="0" borderId="0" xfId="0" applyNumberFormat="1" applyFont="1" applyFill="1" applyAlignment="1">
      <alignment horizontal="left"/>
    </xf>
    <xf numFmtId="37" fontId="2" fillId="0" borderId="0" xfId="0" applyNumberFormat="1" applyFont="1" applyFill="1" applyAlignment="1">
      <alignment horizontal="right"/>
    </xf>
    <xf numFmtId="0" fontId="2" fillId="0" borderId="0" xfId="0" applyNumberFormat="1" applyFont="1" applyFill="1" applyAlignment="1">
      <alignment horizontal="fill"/>
    </xf>
    <xf numFmtId="0" fontId="2" fillId="0" borderId="0" xfId="0" applyFont="1" applyFill="1" applyAlignment="1">
      <alignment horizontal="centerContinuous"/>
    </xf>
    <xf numFmtId="168" fontId="2" fillId="0" borderId="0" xfId="0" applyNumberFormat="1" applyFont="1" applyFill="1" applyAlignment="1">
      <alignment horizontal="left"/>
    </xf>
    <xf numFmtId="17" fontId="2" fillId="0" borderId="0" xfId="0" applyNumberFormat="1" applyFont="1" applyFill="1" applyBorder="1" applyAlignment="1">
      <alignment horizontal="left"/>
    </xf>
    <xf numFmtId="167" fontId="5" fillId="0" borderId="0" xfId="0" applyNumberFormat="1" applyFont="1" applyFill="1" applyAlignment="1" applyProtection="1">
      <alignment horizontal="right"/>
      <protection locked="0"/>
    </xf>
    <xf numFmtId="167" fontId="2" fillId="0" borderId="0" xfId="0" applyNumberFormat="1" applyFont="1" applyFill="1" applyAlignment="1" applyProtection="1">
      <protection locked="0"/>
    </xf>
    <xf numFmtId="42" fontId="2" fillId="0" borderId="0" xfId="0" applyNumberFormat="1" applyFont="1" applyFill="1" applyAlignment="1">
      <alignment horizontal="left"/>
    </xf>
    <xf numFmtId="37" fontId="2" fillId="0" borderId="0" xfId="0" applyNumberFormat="1" applyFont="1" applyFill="1" applyBorder="1" applyAlignment="1"/>
    <xf numFmtId="0" fontId="11" fillId="0" borderId="0" xfId="0" applyNumberFormat="1" applyFont="1" applyAlignment="1"/>
    <xf numFmtId="41" fontId="2" fillId="0" borderId="0" xfId="0" applyNumberFormat="1" applyFont="1" applyFill="1" applyAlignment="1"/>
    <xf numFmtId="0" fontId="0" fillId="0" borderId="0" xfId="0" applyNumberFormat="1" applyFont="1" applyAlignment="1"/>
    <xf numFmtId="0" fontId="2" fillId="0" borderId="0" xfId="0" applyFont="1" applyFill="1" applyAlignment="1"/>
    <xf numFmtId="41" fontId="2" fillId="0" borderId="0" xfId="0" applyNumberFormat="1" applyFont="1" applyAlignment="1"/>
    <xf numFmtId="0" fontId="2" fillId="0" borderId="0" xfId="0" applyFont="1" applyAlignment="1"/>
    <xf numFmtId="0" fontId="2" fillId="0" borderId="0" xfId="0" applyNumberFormat="1" applyFont="1" applyFill="1" applyAlignment="1" applyProtection="1">
      <alignment horizontal="center"/>
      <protection locked="0"/>
    </xf>
    <xf numFmtId="0" fontId="2" fillId="0" borderId="0" xfId="0" quotePrefix="1" applyNumberFormat="1" applyFont="1" applyFill="1" applyAlignment="1">
      <alignment horizontal="center"/>
    </xf>
    <xf numFmtId="37" fontId="2" fillId="0" borderId="0" xfId="0" applyNumberFormat="1" applyFont="1" applyFill="1" applyBorder="1" applyAlignment="1">
      <alignment horizontal="center"/>
    </xf>
    <xf numFmtId="167" fontId="10" fillId="0" borderId="0" xfId="0" applyNumberFormat="1" applyFont="1" applyFill="1" applyBorder="1" applyAlignment="1"/>
    <xf numFmtId="167" fontId="2" fillId="0" borderId="0" xfId="0" applyNumberFormat="1" applyFont="1" applyFill="1" applyBorder="1" applyAlignment="1">
      <alignment horizontal="left" wrapText="1"/>
    </xf>
    <xf numFmtId="167" fontId="2" fillId="0" borderId="0" xfId="0" applyNumberFormat="1" applyFont="1" applyFill="1" applyBorder="1" applyAlignment="1">
      <alignment horizontal="right" wrapText="1"/>
    </xf>
    <xf numFmtId="168" fontId="2" fillId="0" borderId="0" xfId="0" applyNumberFormat="1" applyFont="1" applyFill="1" applyAlignment="1">
      <alignment horizontal="right"/>
    </xf>
    <xf numFmtId="42" fontId="2" fillId="0" borderId="0" xfId="0" applyNumberFormat="1" applyFont="1" applyFill="1" applyAlignment="1" applyProtection="1">
      <protection locked="0"/>
    </xf>
    <xf numFmtId="42" fontId="2" fillId="0" borderId="0" xfId="0" applyNumberFormat="1" applyFont="1" applyFill="1" applyBorder="1" applyAlignment="1" applyProtection="1">
      <alignment horizontal="right"/>
      <protection locked="0"/>
    </xf>
    <xf numFmtId="42" fontId="2" fillId="0" borderId="0" xfId="0" applyNumberFormat="1" applyFont="1" applyFill="1" applyAlignment="1" applyProtection="1">
      <alignment horizontal="right"/>
      <protection locked="0"/>
    </xf>
    <xf numFmtId="42" fontId="2" fillId="0" borderId="0" xfId="0" applyNumberFormat="1" applyFont="1" applyAlignment="1"/>
    <xf numFmtId="42" fontId="2" fillId="0" borderId="2" xfId="0" applyNumberFormat="1" applyFont="1" applyBorder="1" applyAlignment="1" applyProtection="1">
      <alignment horizontal="right"/>
      <protection locked="0"/>
    </xf>
    <xf numFmtId="42" fontId="2" fillId="0" borderId="2" xfId="0" applyNumberFormat="1" applyFont="1" applyFill="1" applyBorder="1" applyAlignment="1"/>
    <xf numFmtId="41" fontId="2" fillId="0" borderId="0" xfId="0" applyNumberFormat="1" applyFont="1" applyFill="1" applyBorder="1" applyAlignment="1">
      <alignment horizontal="right"/>
    </xf>
    <xf numFmtId="42" fontId="2" fillId="0" borderId="2" xfId="0" applyNumberFormat="1" applyFont="1" applyFill="1" applyBorder="1" applyAlignment="1" applyProtection="1">
      <protection locked="0"/>
    </xf>
    <xf numFmtId="0" fontId="2" fillId="0" borderId="2" xfId="0" applyFont="1" applyFill="1" applyBorder="1" applyAlignment="1">
      <alignment horizontal="left"/>
    </xf>
    <xf numFmtId="167" fontId="2" fillId="0" borderId="0" xfId="0" applyNumberFormat="1" applyFont="1" applyFill="1" applyAlignment="1"/>
    <xf numFmtId="0" fontId="10" fillId="0" borderId="0" xfId="0" applyNumberFormat="1" applyFont="1" applyFill="1" applyAlignment="1"/>
    <xf numFmtId="0" fontId="10" fillId="0" borderId="0" xfId="0" applyNumberFormat="1" applyFont="1" applyFill="1" applyBorder="1" applyAlignment="1">
      <alignment horizontal="center"/>
    </xf>
    <xf numFmtId="0" fontId="12" fillId="0" borderId="0" xfId="0" applyNumberFormat="1" applyFont="1" applyFill="1" applyAlignment="1">
      <alignment horizontal="left"/>
    </xf>
    <xf numFmtId="0" fontId="2" fillId="0" borderId="0" xfId="0" applyNumberFormat="1" applyFont="1" applyAlignment="1">
      <alignment horizontal="center"/>
    </xf>
    <xf numFmtId="0" fontId="10" fillId="0" borderId="0" xfId="0" applyNumberFormat="1" applyFont="1" applyBorder="1" applyAlignment="1"/>
    <xf numFmtId="42" fontId="2" fillId="0" borderId="0" xfId="0" applyNumberFormat="1" applyFont="1" applyAlignment="1" applyProtection="1">
      <alignment horizontal="right"/>
      <protection locked="0"/>
    </xf>
    <xf numFmtId="0" fontId="10" fillId="0" borderId="0" xfId="0" applyNumberFormat="1" applyFont="1" applyAlignment="1"/>
    <xf numFmtId="0" fontId="2" fillId="0" borderId="0" xfId="3" applyNumberFormat="1" applyFont="1" applyFill="1" applyAlignment="1" applyProtection="1">
      <protection locked="0"/>
    </xf>
    <xf numFmtId="42" fontId="2" fillId="0" borderId="0" xfId="0" applyNumberFormat="1" applyFont="1" applyBorder="1" applyAlignment="1"/>
    <xf numFmtId="42" fontId="2" fillId="0" borderId="0" xfId="0" applyNumberFormat="1" applyFont="1" applyBorder="1" applyAlignment="1" applyProtection="1">
      <alignment horizontal="right"/>
      <protection locked="0"/>
    </xf>
    <xf numFmtId="169" fontId="2" fillId="0" borderId="0" xfId="0" applyNumberFormat="1" applyFont="1" applyFill="1" applyBorder="1" applyAlignment="1"/>
    <xf numFmtId="0" fontId="10" fillId="0" borderId="0" xfId="0" quotePrefix="1" applyNumberFormat="1" applyFont="1" applyFill="1" applyAlignment="1">
      <alignment horizontal="center"/>
    </xf>
    <xf numFmtId="37" fontId="10" fillId="0" borderId="0" xfId="0" applyNumberFormat="1" applyFont="1" applyFill="1" applyBorder="1" applyAlignment="1">
      <alignment horizontal="center"/>
    </xf>
    <xf numFmtId="10" fontId="10" fillId="0" borderId="0" xfId="0" applyNumberFormat="1" applyFont="1" applyFill="1" applyAlignment="1">
      <alignment horizontal="center"/>
    </xf>
    <xf numFmtId="0" fontId="2" fillId="0" borderId="0" xfId="0" quotePrefix="1" applyFont="1" applyFill="1" applyBorder="1" applyAlignment="1">
      <alignment horizontal="left"/>
    </xf>
    <xf numFmtId="165" fontId="2" fillId="0" borderId="0" xfId="2" applyNumberFormat="1" applyFont="1" applyFill="1" applyBorder="1" applyAlignment="1">
      <alignment horizontal="right" wrapText="1"/>
    </xf>
    <xf numFmtId="37" fontId="2" fillId="0" borderId="0" xfId="0" applyNumberFormat="1" applyFont="1" applyFill="1" applyAlignment="1"/>
    <xf numFmtId="41" fontId="2" fillId="0" borderId="0" xfId="0" applyNumberFormat="1" applyFont="1" applyFill="1" applyAlignment="1">
      <alignment horizontal="right"/>
    </xf>
    <xf numFmtId="42" fontId="2" fillId="0" borderId="0" xfId="0" applyNumberFormat="1" applyFont="1" applyFill="1" applyAlignment="1"/>
    <xf numFmtId="41" fontId="2" fillId="0" borderId="0" xfId="0" applyNumberFormat="1" applyFont="1" applyAlignment="1" applyProtection="1">
      <alignment horizontal="right"/>
      <protection locked="0"/>
    </xf>
    <xf numFmtId="41" fontId="2" fillId="0" borderId="0" xfId="0" applyNumberFormat="1" applyFont="1" applyFill="1" applyAlignment="1" applyProtection="1">
      <alignment horizontal="right"/>
      <protection locked="0"/>
    </xf>
    <xf numFmtId="41" fontId="2" fillId="0" borderId="2" xfId="0" applyNumberFormat="1" applyFont="1" applyBorder="1" applyAlignment="1"/>
    <xf numFmtId="0" fontId="2" fillId="0" borderId="0" xfId="0" quotePrefix="1" applyNumberFormat="1" applyFont="1" applyFill="1" applyAlignment="1"/>
    <xf numFmtId="42" fontId="2" fillId="0" borderId="0" xfId="0" applyNumberFormat="1" applyFont="1" applyFill="1" applyAlignment="1">
      <alignment horizontal="right"/>
    </xf>
    <xf numFmtId="170" fontId="2" fillId="0" borderId="0" xfId="0" applyNumberFormat="1" applyFont="1" applyFill="1" applyBorder="1" applyAlignment="1">
      <alignment horizontal="right"/>
    </xf>
    <xf numFmtId="41" fontId="2" fillId="0" borderId="0" xfId="0" applyNumberFormat="1" applyFont="1" applyBorder="1" applyAlignment="1"/>
    <xf numFmtId="41" fontId="2" fillId="0" borderId="0" xfId="0" applyNumberFormat="1" applyFont="1" applyFill="1" applyBorder="1" applyAlignment="1" applyProtection="1">
      <protection locked="0"/>
    </xf>
    <xf numFmtId="0" fontId="2" fillId="0" borderId="0" xfId="4" applyFont="1" applyFill="1" applyAlignment="1">
      <alignment horizontal="left" indent="1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 applyProtection="1">
      <alignment horizontal="left"/>
      <protection locked="0"/>
    </xf>
    <xf numFmtId="42" fontId="2" fillId="0" borderId="2" xfId="0" applyNumberFormat="1" applyFont="1" applyBorder="1" applyAlignment="1"/>
    <xf numFmtId="0" fontId="2" fillId="0" borderId="0" xfId="0" applyNumberFormat="1" applyFont="1" applyFill="1" applyAlignment="1" applyProtection="1">
      <protection locked="0"/>
    </xf>
    <xf numFmtId="171" fontId="2" fillId="0" borderId="0" xfId="0" applyNumberFormat="1" applyFont="1" applyBorder="1" applyAlignment="1"/>
    <xf numFmtId="169" fontId="2" fillId="0" borderId="0" xfId="0" applyNumberFormat="1" applyFont="1" applyFill="1" applyAlignment="1">
      <alignment horizontal="left" indent="1"/>
    </xf>
    <xf numFmtId="169" fontId="2" fillId="0" borderId="0" xfId="0" applyNumberFormat="1" applyFont="1" applyFill="1" applyAlignment="1"/>
    <xf numFmtId="17" fontId="2" fillId="0" borderId="0" xfId="0" applyNumberFormat="1" applyFont="1" applyAlignment="1">
      <alignment horizontal="right"/>
    </xf>
    <xf numFmtId="171" fontId="2" fillId="0" borderId="0" xfId="0" applyNumberFormat="1" applyFont="1" applyFill="1" applyBorder="1" applyAlignment="1"/>
    <xf numFmtId="0" fontId="2" fillId="0" borderId="0" xfId="0" quotePrefix="1" applyNumberFormat="1" applyFont="1" applyFill="1" applyAlignment="1">
      <alignment horizontal="left"/>
    </xf>
    <xf numFmtId="9" fontId="2" fillId="0" borderId="0" xfId="0" applyNumberFormat="1" applyFont="1" applyFill="1" applyAlignment="1">
      <alignment horizontal="center"/>
    </xf>
    <xf numFmtId="41" fontId="2" fillId="0" borderId="2" xfId="0" applyNumberFormat="1" applyFont="1" applyFill="1" applyBorder="1" applyAlignment="1" applyProtection="1">
      <protection locked="0"/>
    </xf>
    <xf numFmtId="41" fontId="2" fillId="0" borderId="3" xfId="0" applyNumberFormat="1" applyFont="1" applyFill="1" applyBorder="1" applyAlignment="1"/>
    <xf numFmtId="42" fontId="2" fillId="0" borderId="4" xfId="0" applyNumberFormat="1" applyFont="1" applyBorder="1" applyAlignment="1"/>
    <xf numFmtId="42" fontId="2" fillId="0" borderId="0" xfId="0" applyNumberFormat="1" applyFont="1" applyFill="1" applyBorder="1" applyAlignment="1" applyProtection="1">
      <alignment horizontal="left" wrapText="1"/>
      <protection locked="0"/>
    </xf>
    <xf numFmtId="42" fontId="2" fillId="0" borderId="0" xfId="0" applyNumberFormat="1" applyFont="1" applyFill="1" applyAlignment="1">
      <alignment vertical="center"/>
    </xf>
    <xf numFmtId="167" fontId="2" fillId="0" borderId="0" xfId="0" applyNumberFormat="1" applyFont="1" applyFill="1" applyBorder="1" applyAlignment="1" applyProtection="1">
      <protection locked="0"/>
    </xf>
    <xf numFmtId="10" fontId="2" fillId="0" borderId="0" xfId="0" applyNumberFormat="1" applyFont="1" applyFill="1" applyAlignment="1">
      <alignment horizontal="center"/>
    </xf>
    <xf numFmtId="171" fontId="2" fillId="0" borderId="2" xfId="0" applyNumberFormat="1" applyFont="1" applyFill="1" applyBorder="1" applyAlignment="1"/>
    <xf numFmtId="42" fontId="2" fillId="0" borderId="0" xfId="0" applyNumberFormat="1" applyFont="1" applyBorder="1" applyAlignment="1" applyProtection="1">
      <protection locked="0"/>
    </xf>
    <xf numFmtId="169" fontId="2" fillId="0" borderId="0" xfId="5" applyFont="1" applyFill="1" applyAlignment="1">
      <alignment horizontal="left" indent="2"/>
    </xf>
    <xf numFmtId="0" fontId="2" fillId="0" borderId="0" xfId="3" applyNumberFormat="1" applyFont="1" applyFill="1" applyBorder="1" applyAlignment="1" applyProtection="1">
      <protection locked="0"/>
    </xf>
    <xf numFmtId="41" fontId="2" fillId="0" borderId="3" xfId="3" applyNumberFormat="1" applyFont="1" applyFill="1" applyBorder="1" applyProtection="1">
      <protection locked="0"/>
    </xf>
    <xf numFmtId="41" fontId="2" fillId="0" borderId="0" xfId="0" applyNumberFormat="1" applyFont="1" applyFill="1" applyAlignment="1">
      <alignment wrapText="1"/>
    </xf>
    <xf numFmtId="41" fontId="2" fillId="0" borderId="0" xfId="0" applyNumberFormat="1" applyFont="1" applyFill="1" applyAlignment="1" applyProtection="1">
      <protection locked="0"/>
    </xf>
    <xf numFmtId="41" fontId="2" fillId="0" borderId="0" xfId="0" applyNumberFormat="1" applyFont="1" applyFill="1" applyBorder="1" applyAlignment="1" applyProtection="1">
      <alignment horizontal="right"/>
      <protection locked="0"/>
    </xf>
    <xf numFmtId="165" fontId="15" fillId="0" borderId="0" xfId="0" applyNumberFormat="1" applyFont="1" applyFill="1" applyBorder="1" applyAlignment="1"/>
    <xf numFmtId="170" fontId="2" fillId="0" borderId="2" xfId="0" applyNumberFormat="1" applyFont="1" applyFill="1" applyBorder="1" applyAlignment="1">
      <alignment horizontal="right"/>
    </xf>
    <xf numFmtId="0" fontId="2" fillId="0" borderId="0" xfId="0" applyFont="1" applyFill="1" applyAlignment="1">
      <alignment vertical="center"/>
    </xf>
    <xf numFmtId="171" fontId="9" fillId="0" borderId="0" xfId="0" applyNumberFormat="1" applyFont="1" applyAlignment="1"/>
    <xf numFmtId="10" fontId="2" fillId="0" borderId="2" xfId="0" applyNumberFormat="1" applyFont="1" applyFill="1" applyBorder="1" applyAlignment="1">
      <alignment horizontal="right"/>
    </xf>
    <xf numFmtId="41" fontId="2" fillId="0" borderId="3" xfId="0" applyNumberFormat="1" applyFont="1" applyBorder="1" applyAlignment="1" applyProtection="1">
      <alignment horizontal="right"/>
      <protection locked="0"/>
    </xf>
    <xf numFmtId="41" fontId="2" fillId="0" borderId="3" xfId="0" applyNumberFormat="1" applyFont="1" applyFill="1" applyBorder="1" applyAlignment="1" applyProtection="1">
      <alignment horizontal="right"/>
      <protection locked="0"/>
    </xf>
    <xf numFmtId="165" fontId="15" fillId="0" borderId="0" xfId="0" applyNumberFormat="1" applyFont="1" applyBorder="1" applyAlignment="1"/>
    <xf numFmtId="172" fontId="2" fillId="0" borderId="0" xfId="0" quotePrefix="1" applyNumberFormat="1" applyFont="1" applyFill="1" applyAlignment="1">
      <alignment horizontal="left"/>
    </xf>
    <xf numFmtId="171" fontId="13" fillId="0" borderId="0" xfId="0" applyNumberFormat="1" applyFont="1" applyFill="1" applyAlignment="1"/>
    <xf numFmtId="171" fontId="13" fillId="0" borderId="0" xfId="0" applyNumberFormat="1" applyFont="1" applyFill="1" applyAlignment="1">
      <alignment horizontal="right"/>
    </xf>
    <xf numFmtId="9" fontId="2" fillId="0" borderId="0" xfId="0" applyNumberFormat="1" applyFont="1" applyAlignment="1"/>
    <xf numFmtId="0" fontId="2" fillId="0" borderId="0" xfId="0" applyNumberFormat="1" applyFont="1" applyFill="1" applyAlignment="1">
      <alignment horizontal="left" vertical="center" indent="2"/>
    </xf>
    <xf numFmtId="41" fontId="2" fillId="0" borderId="0" xfId="0" applyNumberFormat="1" applyFont="1" applyFill="1" applyBorder="1" applyAlignment="1">
      <alignment vertical="center"/>
    </xf>
    <xf numFmtId="41" fontId="2" fillId="0" borderId="0" xfId="0" applyNumberFormat="1" applyFont="1" applyFill="1" applyAlignment="1">
      <alignment horizontal="left" wrapText="1"/>
    </xf>
    <xf numFmtId="1" fontId="2" fillId="0" borderId="0" xfId="0" quotePrefix="1" applyNumberFormat="1" applyFont="1" applyFill="1" applyAlignment="1">
      <alignment horizontal="left"/>
    </xf>
    <xf numFmtId="9" fontId="2" fillId="0" borderId="0" xfId="0" applyNumberFormat="1" applyFont="1" applyFill="1" applyAlignment="1"/>
    <xf numFmtId="41" fontId="3" fillId="0" borderId="0" xfId="0" applyNumberFormat="1" applyFont="1" applyBorder="1" applyAlignment="1"/>
    <xf numFmtId="41" fontId="2" fillId="0" borderId="3" xfId="0" applyNumberFormat="1" applyFont="1" applyFill="1" applyBorder="1" applyAlignment="1">
      <alignment horizontal="right"/>
    </xf>
    <xf numFmtId="9" fontId="2" fillId="0" borderId="0" xfId="0" applyNumberFormat="1" applyFont="1" applyFill="1" applyBorder="1" applyAlignment="1"/>
    <xf numFmtId="0" fontId="2" fillId="0" borderId="0" xfId="0" applyNumberFormat="1" applyFont="1" applyFill="1" applyAlignment="1">
      <alignment horizontal="left" indent="2"/>
    </xf>
    <xf numFmtId="42" fontId="2" fillId="0" borderId="5" xfId="0" applyNumberFormat="1" applyFont="1" applyBorder="1" applyAlignment="1"/>
    <xf numFmtId="167" fontId="2" fillId="0" borderId="0" xfId="0" applyNumberFormat="1" applyFont="1" applyFill="1" applyAlignment="1">
      <alignment horizontal="center"/>
    </xf>
    <xf numFmtId="10" fontId="2" fillId="0" borderId="0" xfId="0" applyNumberFormat="1" applyFont="1" applyFill="1" applyAlignment="1">
      <alignment horizontal="right"/>
    </xf>
    <xf numFmtId="10" fontId="2" fillId="0" borderId="0" xfId="0" applyNumberFormat="1" applyFont="1" applyFill="1" applyAlignment="1"/>
    <xf numFmtId="41" fontId="10" fillId="0" borderId="0" xfId="0" applyNumberFormat="1" applyFont="1" applyBorder="1" applyAlignment="1"/>
    <xf numFmtId="0" fontId="2" fillId="0" borderId="0" xfId="0" applyFont="1" applyFill="1" applyBorder="1" applyAlignment="1"/>
    <xf numFmtId="3" fontId="2" fillId="0" borderId="0" xfId="0" applyNumberFormat="1" applyFont="1" applyFill="1" applyAlignment="1">
      <alignment horizontal="right"/>
    </xf>
    <xf numFmtId="167" fontId="2" fillId="0" borderId="3" xfId="0" applyNumberFormat="1" applyFont="1" applyFill="1" applyBorder="1" applyAlignment="1" applyProtection="1">
      <alignment horizontal="right"/>
      <protection locked="0"/>
    </xf>
    <xf numFmtId="172" fontId="2" fillId="0" borderId="0" xfId="0" applyNumberFormat="1" applyFont="1" applyFill="1" applyAlignment="1">
      <alignment horizontal="left"/>
    </xf>
    <xf numFmtId="173" fontId="2" fillId="0" borderId="0" xfId="0" applyNumberFormat="1" applyFont="1" applyFill="1" applyBorder="1" applyAlignment="1">
      <alignment horizontal="right"/>
    </xf>
    <xf numFmtId="37" fontId="2" fillId="0" borderId="3" xfId="0" applyNumberFormat="1" applyFont="1" applyFill="1" applyBorder="1" applyAlignment="1"/>
    <xf numFmtId="0" fontId="2" fillId="0" borderId="0" xfId="0" quotePrefix="1" applyFont="1" applyFill="1" applyAlignment="1">
      <alignment horizontal="left"/>
    </xf>
    <xf numFmtId="0" fontId="2" fillId="0" borderId="0" xfId="0" applyFont="1" applyAlignment="1">
      <alignment horizontal="left"/>
    </xf>
    <xf numFmtId="41" fontId="2" fillId="0" borderId="0" xfId="0" applyNumberFormat="1" applyFont="1" applyBorder="1" applyAlignment="1" applyProtection="1">
      <alignment horizontal="right"/>
      <protection locked="0"/>
    </xf>
    <xf numFmtId="42" fontId="2" fillId="0" borderId="5" xfId="0" applyNumberFormat="1" applyFont="1" applyFill="1" applyBorder="1" applyAlignment="1"/>
    <xf numFmtId="41" fontId="2" fillId="0" borderId="2" xfId="0" applyNumberFormat="1" applyFont="1" applyFill="1" applyBorder="1" applyAlignment="1" applyProtection="1">
      <alignment horizontal="right"/>
      <protection locked="0"/>
    </xf>
    <xf numFmtId="0" fontId="2" fillId="0" borderId="0" xfId="6" applyFont="1" applyFill="1" applyAlignment="1"/>
    <xf numFmtId="41" fontId="2" fillId="0" borderId="0" xfId="0" applyNumberFormat="1" applyFont="1" applyFill="1" applyAlignment="1">
      <alignment horizontal="center"/>
    </xf>
    <xf numFmtId="41" fontId="2" fillId="0" borderId="2" xfId="0" applyNumberFormat="1" applyFont="1" applyFill="1" applyBorder="1" applyAlignment="1"/>
    <xf numFmtId="41" fontId="2" fillId="0" borderId="0" xfId="0" applyNumberFormat="1" applyFont="1" applyFill="1" applyBorder="1" applyAlignment="1" applyProtection="1">
      <alignment horizontal="left" wrapText="1"/>
      <protection locked="0"/>
    </xf>
    <xf numFmtId="10" fontId="2" fillId="0" borderId="0" xfId="0" applyNumberFormat="1" applyFont="1" applyFill="1" applyBorder="1" applyAlignment="1">
      <alignment horizontal="center"/>
    </xf>
    <xf numFmtId="0" fontId="2" fillId="0" borderId="0" xfId="7" applyNumberFormat="1" applyFont="1" applyFill="1" applyAlignment="1">
      <alignment horizontal="left" indent="2"/>
    </xf>
    <xf numFmtId="3" fontId="2" fillId="0" borderId="0" xfId="0" applyNumberFormat="1" applyFont="1" applyFill="1" applyBorder="1" applyAlignment="1"/>
    <xf numFmtId="0" fontId="2" fillId="0" borderId="0" xfId="0" applyFont="1" applyFill="1" applyAlignment="1">
      <alignment horizontal="right"/>
    </xf>
    <xf numFmtId="167" fontId="2" fillId="0" borderId="2" xfId="0" applyNumberFormat="1" applyFont="1" applyFill="1" applyBorder="1" applyAlignment="1" applyProtection="1">
      <protection locked="0"/>
    </xf>
    <xf numFmtId="171" fontId="2" fillId="0" borderId="0" xfId="0" applyNumberFormat="1" applyFont="1" applyAlignment="1"/>
    <xf numFmtId="41" fontId="2" fillId="0" borderId="3" xfId="0" applyNumberFormat="1" applyFont="1" applyBorder="1" applyAlignment="1"/>
    <xf numFmtId="169" fontId="2" fillId="0" borderId="0" xfId="8" applyFont="1" applyAlignment="1">
      <alignment horizontal="left" indent="2"/>
    </xf>
    <xf numFmtId="0" fontId="2" fillId="0" borderId="0" xfId="0" applyFont="1" applyFill="1" applyAlignment="1">
      <alignment horizontal="left" indent="1"/>
    </xf>
    <xf numFmtId="0" fontId="2" fillId="0" borderId="2" xfId="0" applyNumberFormat="1" applyFont="1" applyBorder="1" applyAlignment="1"/>
    <xf numFmtId="41" fontId="2" fillId="0" borderId="5" xfId="0" applyNumberFormat="1" applyFont="1" applyBorder="1" applyAlignment="1"/>
    <xf numFmtId="169" fontId="2" fillId="0" borderId="0" xfId="0" applyNumberFormat="1" applyFont="1" applyFill="1" applyAlignment="1">
      <alignment horizontal="left"/>
    </xf>
    <xf numFmtId="10" fontId="12" fillId="0" borderId="0" xfId="0" applyNumberFormat="1" applyFont="1" applyFill="1" applyAlignment="1"/>
    <xf numFmtId="0" fontId="2" fillId="0" borderId="0" xfId="0" applyNumberFormat="1" applyFont="1" applyFill="1" applyBorder="1" applyAlignment="1">
      <alignment horizontal="left"/>
    </xf>
    <xf numFmtId="43" fontId="2" fillId="0" borderId="0" xfId="0" applyNumberFormat="1" applyFont="1" applyFill="1" applyAlignment="1"/>
    <xf numFmtId="41" fontId="0" fillId="0" borderId="0" xfId="0" applyNumberFormat="1" applyFont="1" applyAlignment="1"/>
    <xf numFmtId="0" fontId="0" fillId="0" borderId="0" xfId="0" applyFill="1" applyAlignment="1"/>
    <xf numFmtId="0" fontId="0" fillId="0" borderId="3" xfId="0" applyFill="1" applyBorder="1" applyAlignment="1"/>
    <xf numFmtId="0" fontId="2" fillId="0" borderId="0" xfId="0" applyFont="1" applyFill="1" applyBorder="1" applyAlignment="1">
      <alignment horizontal="left"/>
    </xf>
    <xf numFmtId="41" fontId="2" fillId="0" borderId="2" xfId="1" applyNumberFormat="1" applyFont="1" applyFill="1" applyBorder="1"/>
    <xf numFmtId="5" fontId="2" fillId="0" borderId="0" xfId="0" applyNumberFormat="1" applyFont="1" applyFill="1" applyAlignment="1" applyProtection="1">
      <protection locked="0"/>
    </xf>
    <xf numFmtId="42" fontId="0" fillId="0" borderId="0" xfId="0" applyNumberFormat="1" applyAlignment="1"/>
    <xf numFmtId="0" fontId="2" fillId="0" borderId="0" xfId="0" applyNumberFormat="1" applyFont="1" applyBorder="1" applyAlignment="1"/>
    <xf numFmtId="41" fontId="2" fillId="0" borderId="0" xfId="0" applyNumberFormat="1" applyFont="1" applyFill="1" applyAlignment="1">
      <alignment horizontal="fill"/>
    </xf>
    <xf numFmtId="37" fontId="2" fillId="0" borderId="2" xfId="0" applyNumberFormat="1" applyFont="1" applyFill="1" applyBorder="1" applyAlignment="1" applyProtection="1">
      <protection locked="0"/>
    </xf>
    <xf numFmtId="0" fontId="2" fillId="0" borderId="0" xfId="0" applyFont="1" applyAlignment="1">
      <alignment horizontal="left" indent="1"/>
    </xf>
    <xf numFmtId="37" fontId="2" fillId="0" borderId="0" xfId="0" applyNumberFormat="1" applyFont="1" applyFill="1" applyBorder="1" applyAlignment="1">
      <alignment horizontal="right"/>
    </xf>
    <xf numFmtId="10" fontId="2" fillId="0" borderId="0" xfId="0" applyNumberFormat="1" applyFont="1" applyFill="1" applyAlignment="1" applyProtection="1">
      <protection locked="0"/>
    </xf>
    <xf numFmtId="171" fontId="2" fillId="0" borderId="3" xfId="0" applyNumberFormat="1" applyFont="1" applyFill="1" applyBorder="1" applyAlignment="1"/>
    <xf numFmtId="0" fontId="18" fillId="0" borderId="0" xfId="0" applyNumberFormat="1" applyFont="1" applyFill="1" applyAlignment="1"/>
    <xf numFmtId="41" fontId="2" fillId="0" borderId="6" xfId="0" applyNumberFormat="1" applyFont="1" applyFill="1" applyBorder="1" applyAlignment="1"/>
    <xf numFmtId="37" fontId="2" fillId="0" borderId="2" xfId="0" applyNumberFormat="1" applyFont="1" applyFill="1" applyBorder="1" applyAlignment="1"/>
    <xf numFmtId="1" fontId="2" fillId="0" borderId="0" xfId="0" applyNumberFormat="1" applyFont="1" applyFill="1" applyAlignment="1"/>
    <xf numFmtId="169" fontId="2" fillId="0" borderId="0" xfId="6" applyNumberFormat="1" applyFont="1" applyFill="1" applyAlignment="1">
      <alignment horizontal="left" indent="1"/>
    </xf>
    <xf numFmtId="0" fontId="2" fillId="0" borderId="2" xfId="0" applyFont="1" applyFill="1" applyBorder="1" applyAlignment="1">
      <alignment horizontal="left" vertical="top"/>
    </xf>
    <xf numFmtId="0" fontId="2" fillId="0" borderId="0" xfId="0" applyFont="1" applyFill="1" applyAlignment="1">
      <alignment horizontal="center" vertical="top"/>
    </xf>
    <xf numFmtId="165" fontId="2" fillId="0" borderId="0" xfId="2" applyNumberFormat="1" applyFont="1" applyFill="1" applyBorder="1" applyAlignment="1"/>
    <xf numFmtId="0" fontId="10" fillId="0" borderId="0" xfId="0" applyFont="1" applyBorder="1" applyAlignment="1">
      <alignment horizontal="left"/>
    </xf>
    <xf numFmtId="174" fontId="2" fillId="0" borderId="0" xfId="0" applyNumberFormat="1" applyFont="1" applyBorder="1" applyAlignment="1">
      <alignment horizontal="center"/>
    </xf>
    <xf numFmtId="41" fontId="2" fillId="0" borderId="0" xfId="0" applyNumberFormat="1" applyFont="1" applyFill="1" applyAlignment="1">
      <alignment horizontal="left"/>
    </xf>
    <xf numFmtId="0" fontId="2" fillId="0" borderId="0" xfId="0" applyNumberFormat="1" applyFont="1" applyFill="1" applyAlignment="1">
      <alignment horizontal="left" wrapText="1"/>
    </xf>
    <xf numFmtId="41" fontId="2" fillId="0" borderId="0" xfId="0" applyNumberFormat="1" applyFont="1" applyFill="1" applyBorder="1" applyAlignment="1">
      <alignment horizontal="left" wrapText="1"/>
    </xf>
    <xf numFmtId="42" fontId="2" fillId="0" borderId="5" xfId="0" applyNumberFormat="1" applyFont="1" applyFill="1" applyBorder="1" applyAlignment="1" applyProtection="1">
      <protection locked="0"/>
    </xf>
    <xf numFmtId="15" fontId="2" fillId="0" borderId="0" xfId="0" applyNumberFormat="1" applyFont="1" applyFill="1" applyAlignment="1">
      <alignment vertical="top"/>
    </xf>
    <xf numFmtId="4" fontId="2" fillId="0" borderId="0" xfId="0" applyNumberFormat="1" applyFont="1" applyFill="1" applyAlignment="1"/>
    <xf numFmtId="9" fontId="2" fillId="0" borderId="0" xfId="0" applyNumberFormat="1" applyFont="1" applyFill="1" applyBorder="1" applyAlignment="1">
      <alignment horizontal="right" wrapText="1"/>
    </xf>
    <xf numFmtId="41" fontId="2" fillId="0" borderId="2" xfId="0" applyNumberFormat="1" applyFont="1" applyFill="1" applyBorder="1" applyAlignment="1">
      <alignment wrapText="1"/>
    </xf>
    <xf numFmtId="15" fontId="2" fillId="0" borderId="0" xfId="0" applyNumberFormat="1" applyFont="1" applyFill="1" applyAlignment="1">
      <alignment horizontal="left" wrapText="1"/>
    </xf>
    <xf numFmtId="169" fontId="2" fillId="0" borderId="0" xfId="0" applyNumberFormat="1" applyFont="1" applyAlignment="1">
      <alignment horizontal="left" indent="1"/>
    </xf>
    <xf numFmtId="41" fontId="2" fillId="0" borderId="4" xfId="0" applyNumberFormat="1" applyFont="1" applyBorder="1" applyAlignment="1"/>
    <xf numFmtId="0" fontId="0" fillId="0" borderId="0" xfId="0" applyAlignment="1"/>
    <xf numFmtId="174" fontId="2" fillId="0" borderId="0" xfId="0" applyNumberFormat="1" applyFont="1" applyBorder="1" applyAlignment="1">
      <alignment horizontal="center" wrapText="1"/>
    </xf>
    <xf numFmtId="171" fontId="2" fillId="0" borderId="2" xfId="0" applyNumberFormat="1" applyFont="1" applyFill="1" applyBorder="1" applyAlignment="1" applyProtection="1">
      <protection locked="0"/>
    </xf>
    <xf numFmtId="174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42" fontId="2" fillId="0" borderId="3" xfId="0" applyNumberFormat="1" applyFont="1" applyFill="1" applyBorder="1" applyAlignment="1" applyProtection="1">
      <protection locked="0"/>
    </xf>
    <xf numFmtId="165" fontId="2" fillId="0" borderId="3" xfId="2" applyNumberFormat="1" applyFont="1" applyFill="1" applyBorder="1" applyAlignment="1"/>
    <xf numFmtId="37" fontId="2" fillId="0" borderId="0" xfId="0" applyNumberFormat="1" applyFont="1" applyFill="1" applyBorder="1" applyAlignment="1" applyProtection="1">
      <protection locked="0"/>
    </xf>
    <xf numFmtId="0" fontId="2" fillId="0" borderId="0" xfId="0" applyNumberFormat="1" applyFont="1" applyFill="1" applyAlignment="1">
      <alignment horizontal="left" indent="1"/>
    </xf>
    <xf numFmtId="165" fontId="2" fillId="0" borderId="5" xfId="2" applyNumberFormat="1" applyFont="1" applyFill="1" applyBorder="1" applyAlignment="1"/>
    <xf numFmtId="0" fontId="12" fillId="0" borderId="0" xfId="6" applyFont="1" applyFill="1" applyAlignment="1"/>
    <xf numFmtId="0" fontId="2" fillId="0" borderId="3" xfId="0" applyNumberFormat="1" applyFont="1" applyFill="1" applyBorder="1" applyAlignment="1"/>
    <xf numFmtId="37" fontId="3" fillId="0" borderId="0" xfId="0" applyNumberFormat="1" applyFont="1" applyFill="1" applyAlignment="1"/>
    <xf numFmtId="175" fontId="2" fillId="0" borderId="0" xfId="0" applyNumberFormat="1" applyFont="1" applyFill="1" applyAlignment="1"/>
    <xf numFmtId="0" fontId="2" fillId="0" borderId="0" xfId="6" applyFont="1" applyFill="1" applyAlignment="1">
      <alignment horizontal="left"/>
    </xf>
    <xf numFmtId="9" fontId="2" fillId="0" borderId="0" xfId="6" applyNumberFormat="1" applyFont="1" applyFill="1" applyAlignment="1"/>
    <xf numFmtId="41" fontId="2" fillId="0" borderId="0" xfId="9" applyNumberFormat="1" applyFont="1" applyFill="1" applyBorder="1" applyAlignment="1"/>
    <xf numFmtId="4" fontId="14" fillId="0" borderId="0" xfId="0" applyNumberFormat="1" applyFont="1" applyAlignment="1"/>
    <xf numFmtId="169" fontId="2" fillId="0" borderId="0" xfId="0" quotePrefix="1" applyNumberFormat="1" applyFont="1" applyFill="1" applyAlignment="1">
      <alignment horizontal="left"/>
    </xf>
    <xf numFmtId="0" fontId="0" fillId="0" borderId="0" xfId="0" applyNumberFormat="1" applyFont="1" applyFill="1" applyBorder="1" applyAlignment="1"/>
    <xf numFmtId="42" fontId="2" fillId="0" borderId="4" xfId="0" applyNumberFormat="1" applyFont="1" applyFill="1" applyBorder="1" applyAlignment="1"/>
    <xf numFmtId="42" fontId="2" fillId="0" borderId="3" xfId="0" applyNumberFormat="1" applyFont="1" applyFill="1" applyBorder="1" applyAlignment="1"/>
    <xf numFmtId="176" fontId="2" fillId="0" borderId="0" xfId="0" applyNumberFormat="1" applyFont="1" applyFill="1" applyAlignment="1"/>
    <xf numFmtId="41" fontId="2" fillId="0" borderId="2" xfId="0" applyNumberFormat="1" applyFont="1" applyFill="1" applyBorder="1" applyAlignment="1">
      <alignment horizontal="right"/>
    </xf>
    <xf numFmtId="9" fontId="2" fillId="0" borderId="0" xfId="0" applyNumberFormat="1" applyFont="1" applyFill="1" applyAlignment="1">
      <alignment horizontal="right"/>
    </xf>
    <xf numFmtId="167" fontId="2" fillId="0" borderId="2" xfId="0" applyNumberFormat="1" applyFont="1" applyFill="1" applyBorder="1" applyAlignment="1">
      <alignment horizontal="right" wrapText="1"/>
    </xf>
    <xf numFmtId="0" fontId="0" fillId="0" borderId="0" xfId="0" applyNumberFormat="1" applyFont="1" applyFill="1" applyAlignment="1"/>
    <xf numFmtId="169" fontId="2" fillId="0" borderId="0" xfId="0" applyNumberFormat="1" applyFont="1" applyFill="1" applyBorder="1" applyAlignment="1">
      <alignment horizontal="left" wrapText="1"/>
    </xf>
    <xf numFmtId="165" fontId="2" fillId="0" borderId="5" xfId="0" applyNumberFormat="1" applyFont="1" applyFill="1" applyBorder="1" applyAlignment="1"/>
    <xf numFmtId="165" fontId="2" fillId="0" borderId="5" xfId="0" applyNumberFormat="1" applyFont="1" applyBorder="1" applyAlignment="1"/>
    <xf numFmtId="42" fontId="0" fillId="0" borderId="0" xfId="0" applyNumberFormat="1" applyFont="1" applyAlignment="1"/>
    <xf numFmtId="0" fontId="11" fillId="0" borderId="0" xfId="0" applyNumberFormat="1" applyFont="1" applyFill="1" applyAlignment="1"/>
    <xf numFmtId="0" fontId="14" fillId="0" borderId="0" xfId="0" applyNumberFormat="1" applyFont="1" applyAlignment="1"/>
  </cellXfs>
  <cellStyles count="10">
    <cellStyle name="Comma" xfId="1" builtinId="3"/>
    <cellStyle name="Currency" xfId="2" builtinId="4"/>
    <cellStyle name="Currency 10 2 2" xfId="3"/>
    <cellStyle name="Currency 2" xfId="9"/>
    <cellStyle name="Normal" xfId="0" builtinId="0"/>
    <cellStyle name="Normal 16" xfId="7"/>
    <cellStyle name="Normal 2" xfId="8"/>
    <cellStyle name="Normal 2 10" xfId="4"/>
    <cellStyle name="Normal 3" xfId="6"/>
    <cellStyle name="Style 1 10" xfId="5"/>
  </cellStyles>
  <dxfs count="42"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homrc/Documents/Opened_From_Outlook/KJB%203%20-%209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JB-3 Def"/>
      <sheetName val="KJB-4 Sum"/>
      <sheetName val="KJB-5.01 IS"/>
      <sheetName val="KJB 5.02 BS"/>
      <sheetName val="KJB 5.03 ERB"/>
      <sheetName val="KJB 5.04 WC"/>
      <sheetName val="KJB 5.05 AM"/>
      <sheetName val="KJB-6 Cmn Adj"/>
      <sheetName val="KJB-7 El Adj"/>
      <sheetName val="KJB-7 7.01 p 2"/>
      <sheetName val="KJB-8"/>
      <sheetName val="KJB-9"/>
    </sheetNames>
    <sheetDataSet>
      <sheetData sheetId="0"/>
      <sheetData sheetId="1">
        <row r="51">
          <cell r="AS51">
            <v>5097962433.1576805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L121"/>
  <sheetViews>
    <sheetView tabSelected="1" topLeftCell="AW1" workbookViewId="0">
      <selection activeCell="AY26" sqref="AY26"/>
    </sheetView>
  </sheetViews>
  <sheetFormatPr defaultRowHeight="13.2" outlineLevelCol="1"/>
  <cols>
    <col min="1" max="1" width="5.44140625" style="13" bestFit="1" customWidth="1"/>
    <col min="2" max="2" width="65.33203125" style="13" bestFit="1" customWidth="1"/>
    <col min="3" max="3" width="7.44140625" style="13" bestFit="1" customWidth="1"/>
    <col min="4" max="4" width="13.5546875" style="13" bestFit="1" customWidth="1"/>
    <col min="5" max="5" width="12.88671875" style="13" bestFit="1" customWidth="1"/>
    <col min="6" max="6" width="5.44140625" style="13" bestFit="1" customWidth="1"/>
    <col min="7" max="7" width="43.21875" style="13" bestFit="1" customWidth="1"/>
    <col min="8" max="8" width="34.109375" style="13" bestFit="1" customWidth="1"/>
    <col min="9" max="9" width="53.21875" style="13" bestFit="1" customWidth="1"/>
    <col min="10" max="10" width="12.21875" style="13" bestFit="1" customWidth="1"/>
    <col min="11" max="11" width="15.44140625" style="13" bestFit="1" customWidth="1"/>
    <col min="12" max="12" width="12.21875" style="13" bestFit="1" customWidth="1"/>
    <col min="13" max="13" width="5.44140625" style="13" bestFit="1" customWidth="1"/>
    <col min="14" max="14" width="62.21875" style="13" bestFit="1" customWidth="1"/>
    <col min="15" max="15" width="8.88671875" style="13"/>
    <col min="16" max="16" width="9" style="13" bestFit="1" customWidth="1"/>
    <col min="17" max="17" width="13.5546875" style="13" bestFit="1" customWidth="1"/>
    <col min="18" max="18" width="5.44140625" style="13" bestFit="1" customWidth="1"/>
    <col min="19" max="19" width="43.88671875" style="13" bestFit="1" customWidth="1"/>
    <col min="20" max="20" width="4.5546875" style="13" bestFit="1" customWidth="1"/>
    <col min="21" max="21" width="13.33203125" style="13" bestFit="1" customWidth="1"/>
    <col min="22" max="22" width="5.44140625" style="13" bestFit="1" customWidth="1"/>
    <col min="23" max="23" width="32.88671875" style="13" bestFit="1" customWidth="1"/>
    <col min="24" max="24" width="14.77734375" style="13" bestFit="1" customWidth="1"/>
    <col min="25" max="25" width="12.88671875" style="13" bestFit="1" customWidth="1"/>
    <col min="26" max="26" width="5.44140625" style="9" bestFit="1" customWidth="1"/>
    <col min="27" max="27" width="58.5546875" style="9" bestFit="1" customWidth="1"/>
    <col min="28" max="29" width="13.33203125" style="9" bestFit="1" customWidth="1"/>
    <col min="30" max="30" width="13.5546875" style="9" bestFit="1" customWidth="1"/>
    <col min="31" max="31" width="5.44140625" style="13" bestFit="1" customWidth="1"/>
    <col min="32" max="32" width="55.109375" style="13" bestFit="1" customWidth="1"/>
    <col min="33" max="33" width="10.88671875" style="13" bestFit="1" customWidth="1"/>
    <col min="34" max="34" width="10.5546875" style="13" bestFit="1" customWidth="1"/>
    <col min="35" max="35" width="13.5546875" style="13" bestFit="1" customWidth="1"/>
    <col min="36" max="36" width="5.44140625" style="13" bestFit="1" customWidth="1"/>
    <col min="37" max="37" width="50.5546875" style="13" bestFit="1" customWidth="1"/>
    <col min="38" max="38" width="12.5546875" style="13" bestFit="1" customWidth="1"/>
    <col min="39" max="39" width="14.77734375" style="13" bestFit="1" customWidth="1" outlineLevel="1"/>
    <col min="40" max="40" width="15.33203125" style="13" bestFit="1" customWidth="1" outlineLevel="1"/>
    <col min="41" max="41" width="19.33203125" style="13" bestFit="1" customWidth="1" outlineLevel="1"/>
    <col min="42" max="42" width="13.77734375" style="13" bestFit="1" customWidth="1" outlineLevel="1"/>
    <col min="43" max="43" width="14.77734375" style="13" bestFit="1" customWidth="1"/>
    <col min="44" max="44" width="13.33203125" style="13" bestFit="1" customWidth="1"/>
    <col min="45" max="45" width="5.44140625" style="9" bestFit="1" customWidth="1"/>
    <col min="46" max="46" width="40.88671875" style="13" bestFit="1" customWidth="1"/>
    <col min="47" max="47" width="10.21875" style="13" bestFit="1" customWidth="1"/>
    <col min="48" max="48" width="10.5546875" style="13" bestFit="1" customWidth="1"/>
    <col min="49" max="49" width="13.5546875" style="13" bestFit="1" customWidth="1"/>
    <col min="50" max="50" width="5.44140625" style="13" bestFit="1" customWidth="1"/>
    <col min="51" max="51" width="32.33203125" style="13" bestFit="1" customWidth="1"/>
    <col min="52" max="52" width="10.88671875" style="13" bestFit="1" customWidth="1"/>
    <col min="53" max="53" width="10.5546875" style="13" bestFit="1" customWidth="1"/>
    <col min="54" max="54" width="13.5546875" style="13" bestFit="1" customWidth="1"/>
    <col min="55" max="55" width="5.44140625" style="9" bestFit="1" customWidth="1"/>
    <col min="56" max="56" width="49.6640625" style="9" bestFit="1" customWidth="1"/>
    <col min="57" max="57" width="5.5546875" style="9" customWidth="1"/>
    <col min="58" max="58" width="11.88671875" style="9" bestFit="1" customWidth="1"/>
    <col min="59" max="59" width="5.44140625" style="9" bestFit="1" customWidth="1"/>
    <col min="60" max="60" width="48.88671875" style="9" bestFit="1" customWidth="1"/>
    <col min="61" max="61" width="10.77734375" style="9" bestFit="1" customWidth="1"/>
    <col min="62" max="62" width="11.88671875" style="9" bestFit="1" customWidth="1"/>
    <col min="63" max="63" width="5.44140625" style="9" bestFit="1" customWidth="1"/>
    <col min="64" max="64" width="76.44140625" style="9" bestFit="1" customWidth="1"/>
    <col min="65" max="65" width="15.5546875" style="9" customWidth="1"/>
    <col min="66" max="66" width="11.88671875" style="9" bestFit="1" customWidth="1"/>
    <col min="67" max="67" width="5.44140625" style="9" bestFit="1" customWidth="1"/>
    <col min="68" max="68" width="40.88671875" style="9" bestFit="1" customWidth="1"/>
    <col min="69" max="69" width="11.21875" style="9" bestFit="1" customWidth="1"/>
    <col min="70" max="70" width="12" style="9" bestFit="1" customWidth="1"/>
    <col min="71" max="71" width="13.5546875" style="9" bestFit="1" customWidth="1"/>
    <col min="72" max="72" width="5.44140625" style="9" bestFit="1" customWidth="1"/>
    <col min="73" max="73" width="29.5546875" style="9" bestFit="1" customWidth="1"/>
    <col min="74" max="75" width="11.21875" style="9" bestFit="1" customWidth="1"/>
    <col min="76" max="76" width="13.5546875" style="9" bestFit="1" customWidth="1"/>
    <col min="77" max="77" width="5.44140625" style="9" bestFit="1" customWidth="1"/>
    <col min="78" max="78" width="40.88671875" style="9" bestFit="1" customWidth="1"/>
    <col min="79" max="80" width="12.21875" style="9" bestFit="1" customWidth="1"/>
    <col min="81" max="81" width="13.5546875" style="9" bestFit="1" customWidth="1"/>
    <col min="82" max="82" width="5.44140625" style="9" bestFit="1" customWidth="1"/>
    <col min="83" max="83" width="49.5546875" style="9" bestFit="1" customWidth="1"/>
    <col min="84" max="84" width="7" style="9" bestFit="1" customWidth="1"/>
    <col min="85" max="85" width="11.21875" style="9" bestFit="1" customWidth="1"/>
    <col min="86" max="86" width="11.88671875" style="9" bestFit="1" customWidth="1"/>
    <col min="87" max="87" width="5.44140625" style="9" bestFit="1" customWidth="1"/>
    <col min="88" max="88" width="39.21875" style="9" bestFit="1" customWidth="1"/>
    <col min="89" max="89" width="7" style="9" bestFit="1" customWidth="1"/>
    <col min="90" max="90" width="4.77734375" style="9" customWidth="1"/>
    <col min="91" max="91" width="12.21875" style="9" bestFit="1" customWidth="1"/>
    <col min="92" max="92" width="5.44140625" style="9" bestFit="1" customWidth="1"/>
    <col min="93" max="93" width="72.44140625" style="9" bestFit="1" customWidth="1"/>
    <col min="94" max="94" width="4.5546875" style="9" bestFit="1" customWidth="1"/>
    <col min="95" max="95" width="11.21875" style="9" bestFit="1" customWidth="1"/>
    <col min="96" max="96" width="11.88671875" style="9" bestFit="1" customWidth="1"/>
    <col min="97" max="97" width="5.44140625" style="13" bestFit="1" customWidth="1"/>
    <col min="98" max="98" width="52.88671875" style="13" bestFit="1" customWidth="1"/>
    <col min="99" max="99" width="11.21875" style="13" bestFit="1" customWidth="1"/>
    <col min="100" max="100" width="10.5546875" style="13" bestFit="1" customWidth="1"/>
    <col min="101" max="101" width="13.5546875" style="13" bestFit="1" customWidth="1"/>
    <col min="102" max="102" width="5.44140625" style="13" bestFit="1" customWidth="1"/>
    <col min="103" max="103" width="48.109375" style="13" bestFit="1" customWidth="1"/>
    <col min="104" max="104" width="11.21875" style="13" bestFit="1" customWidth="1"/>
    <col min="105" max="105" width="12.21875" style="13" bestFit="1" customWidth="1"/>
    <col min="106" max="106" width="13.5546875" style="13" bestFit="1" customWidth="1"/>
    <col min="107" max="107" width="5.44140625" style="13" bestFit="1" customWidth="1"/>
    <col min="108" max="108" width="48.33203125" style="13" bestFit="1" customWidth="1"/>
    <col min="109" max="110" width="12.21875" style="13" bestFit="1" customWidth="1"/>
    <col min="111" max="111" width="13.5546875" style="13" bestFit="1" customWidth="1"/>
    <col min="112" max="112" width="8.88671875" style="13"/>
    <col min="113" max="113" width="36.6640625" style="13" bestFit="1" customWidth="1"/>
    <col min="114" max="114" width="12.33203125" style="13" bestFit="1" customWidth="1"/>
    <col min="115" max="115" width="11.33203125" style="13" bestFit="1" customWidth="1"/>
    <col min="116" max="116" width="12.44140625" style="13" bestFit="1" customWidth="1"/>
    <col min="117" max="16384" width="8.88671875" style="13"/>
  </cols>
  <sheetData>
    <row r="1" spans="1:116" s="6" customFormat="1">
      <c r="A1" s="1"/>
      <c r="B1" s="2"/>
      <c r="C1" s="2"/>
      <c r="D1" s="2"/>
      <c r="E1" s="3"/>
      <c r="F1" s="1"/>
      <c r="G1" s="2"/>
      <c r="H1" s="2"/>
      <c r="I1" s="2"/>
      <c r="J1" s="2"/>
      <c r="K1" s="2"/>
      <c r="L1" s="4"/>
      <c r="M1" s="2"/>
      <c r="N1" s="3"/>
      <c r="O1" s="3"/>
      <c r="P1" s="3"/>
      <c r="Q1" s="3"/>
      <c r="R1" s="2"/>
      <c r="S1" s="2"/>
      <c r="T1" s="2"/>
      <c r="U1" s="4"/>
      <c r="V1" s="2"/>
      <c r="W1" s="2"/>
      <c r="X1" s="2"/>
      <c r="Y1" s="4"/>
      <c r="Z1" s="2"/>
      <c r="AA1" s="2"/>
      <c r="AB1" s="2"/>
      <c r="AC1" s="4"/>
      <c r="AD1" s="4"/>
      <c r="AE1" s="4"/>
      <c r="AF1" s="4"/>
      <c r="AG1" s="4"/>
      <c r="AH1" s="4"/>
      <c r="AI1" s="4"/>
      <c r="AJ1" s="2"/>
      <c r="AK1" s="2"/>
      <c r="AL1" s="2"/>
      <c r="AM1" s="2"/>
      <c r="AN1" s="2"/>
      <c r="AO1" s="2"/>
      <c r="AP1" s="2"/>
      <c r="AQ1" s="2"/>
      <c r="AR1" s="5"/>
      <c r="AS1" s="2"/>
      <c r="AW1" s="4"/>
      <c r="AX1" s="2"/>
      <c r="AY1" s="2"/>
      <c r="AZ1" s="2"/>
      <c r="BA1" s="2"/>
      <c r="BB1" s="4"/>
      <c r="BC1" s="2"/>
      <c r="BD1" s="2"/>
      <c r="BE1" s="4"/>
      <c r="BF1" s="4"/>
      <c r="BG1" s="2"/>
      <c r="BH1" s="2"/>
      <c r="BI1" s="2"/>
      <c r="BJ1" s="4"/>
      <c r="BK1" s="2"/>
      <c r="BL1" s="2"/>
      <c r="BM1" s="2"/>
      <c r="BN1" s="4"/>
      <c r="BO1" s="2"/>
      <c r="BP1" s="2"/>
      <c r="BQ1" s="2"/>
      <c r="BR1" s="2"/>
      <c r="BS1" s="4"/>
      <c r="BT1" s="2"/>
      <c r="BU1" s="2"/>
      <c r="BV1" s="2"/>
      <c r="BW1" s="2"/>
      <c r="BX1" s="4"/>
      <c r="BY1" s="2"/>
      <c r="BZ1" s="2"/>
      <c r="CA1" s="2"/>
      <c r="CB1" s="2"/>
      <c r="CC1" s="4"/>
      <c r="CD1" s="2"/>
      <c r="CE1" s="2"/>
      <c r="CF1" s="2"/>
      <c r="CG1" s="2"/>
      <c r="CH1" s="4"/>
      <c r="CI1" s="2"/>
      <c r="CJ1" s="2"/>
      <c r="CK1" s="2"/>
      <c r="CL1" s="2"/>
      <c r="CM1" s="4"/>
      <c r="CN1" s="2"/>
      <c r="CO1" s="2"/>
      <c r="CP1" s="2"/>
      <c r="CQ1" s="2"/>
      <c r="CR1" s="7"/>
      <c r="CS1" s="2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</row>
    <row r="2" spans="1:116">
      <c r="A2" s="8"/>
      <c r="B2" s="9"/>
      <c r="C2" s="9"/>
      <c r="D2" s="9"/>
      <c r="E2" s="10"/>
      <c r="F2" s="8"/>
      <c r="G2" s="9"/>
      <c r="H2" s="9"/>
      <c r="I2" s="9"/>
      <c r="J2" s="9"/>
      <c r="K2" s="9"/>
      <c r="L2" s="10"/>
      <c r="M2" s="9"/>
      <c r="N2" s="11"/>
      <c r="O2" s="11"/>
      <c r="P2" s="11"/>
      <c r="Q2" s="10"/>
      <c r="R2" s="8"/>
      <c r="S2" s="9"/>
      <c r="T2" s="9"/>
      <c r="U2" s="10"/>
      <c r="V2" s="8"/>
      <c r="W2" s="9"/>
      <c r="X2" s="9"/>
      <c r="Y2" s="10"/>
      <c r="Z2" s="8"/>
      <c r="AD2" s="10"/>
      <c r="AE2" s="10"/>
      <c r="AF2" s="10"/>
      <c r="AG2" s="10"/>
      <c r="AH2" s="10"/>
      <c r="AI2" s="10"/>
      <c r="AJ2" s="8"/>
      <c r="AK2" s="9"/>
      <c r="AL2" s="9"/>
      <c r="AM2" s="9"/>
      <c r="AN2" s="9"/>
      <c r="AO2" s="9"/>
      <c r="AP2" s="9"/>
      <c r="AQ2" s="9"/>
      <c r="AR2" s="10"/>
      <c r="AS2" s="8"/>
      <c r="AT2" s="9"/>
      <c r="AU2" s="9"/>
      <c r="AV2" s="9"/>
      <c r="AW2" s="10"/>
      <c r="AX2" s="12"/>
      <c r="AY2" s="12"/>
      <c r="AZ2" s="12"/>
      <c r="BB2" s="10"/>
      <c r="BC2" s="8"/>
      <c r="BF2" s="10"/>
      <c r="BG2" s="8"/>
      <c r="BJ2" s="10"/>
      <c r="BK2" s="8"/>
      <c r="BL2" s="14"/>
      <c r="BM2" s="14"/>
      <c r="BN2" s="10"/>
      <c r="BO2" s="8"/>
      <c r="BS2" s="10"/>
      <c r="BT2" s="8"/>
      <c r="BX2" s="10"/>
      <c r="BY2" s="8"/>
      <c r="CC2" s="10"/>
      <c r="CD2" s="8"/>
      <c r="CH2" s="10"/>
      <c r="CI2" s="8"/>
      <c r="CM2" s="10"/>
      <c r="CN2" s="8"/>
      <c r="CR2" s="10"/>
      <c r="CS2" s="12"/>
      <c r="CT2" s="12"/>
      <c r="CU2" s="12"/>
      <c r="CW2" s="10"/>
      <c r="CX2" s="12"/>
      <c r="CY2" s="12"/>
      <c r="CZ2" s="12"/>
      <c r="DB2" s="10"/>
      <c r="DC2" s="12"/>
      <c r="DD2" s="12"/>
      <c r="DE2" s="12"/>
      <c r="DG2" s="10"/>
    </row>
    <row r="3" spans="1:116" ht="14.25" customHeight="1" thickBot="1">
      <c r="A3" s="15"/>
      <c r="B3" s="9"/>
      <c r="C3" s="9"/>
      <c r="D3" s="9"/>
      <c r="E3" s="10" t="s">
        <v>0</v>
      </c>
      <c r="F3" s="15"/>
      <c r="G3" s="8"/>
      <c r="H3" s="8"/>
      <c r="I3" s="8"/>
      <c r="J3" s="8"/>
      <c r="K3" s="8"/>
      <c r="L3" s="10" t="s">
        <v>1</v>
      </c>
      <c r="M3" s="9"/>
      <c r="N3" s="11"/>
      <c r="O3" s="11"/>
      <c r="P3" s="11"/>
      <c r="Q3" s="10" t="s">
        <v>2</v>
      </c>
      <c r="R3" s="9"/>
      <c r="S3" s="9"/>
      <c r="T3" s="9"/>
      <c r="U3" s="10" t="s">
        <v>3</v>
      </c>
      <c r="V3" s="9"/>
      <c r="W3" s="9"/>
      <c r="X3" s="9"/>
      <c r="Y3" s="10" t="s">
        <v>4</v>
      </c>
      <c r="AA3" s="16"/>
      <c r="AB3" s="16"/>
      <c r="AC3" s="16"/>
      <c r="AD3" s="10" t="s">
        <v>5</v>
      </c>
      <c r="AE3" s="10"/>
      <c r="AF3" s="10"/>
      <c r="AG3" s="10"/>
      <c r="AH3" s="10"/>
      <c r="AI3" s="10" t="s">
        <v>6</v>
      </c>
      <c r="AJ3" s="9"/>
      <c r="AK3" s="9"/>
      <c r="AL3" s="9"/>
      <c r="AM3" s="9"/>
      <c r="AN3" s="9"/>
      <c r="AO3" s="9"/>
      <c r="AP3" s="9"/>
      <c r="AQ3" s="9"/>
      <c r="AR3" s="10" t="s">
        <v>7</v>
      </c>
      <c r="AT3" s="9"/>
      <c r="AU3" s="9"/>
      <c r="AV3" s="9"/>
      <c r="AW3" s="10" t="s">
        <v>8</v>
      </c>
      <c r="AX3" s="12"/>
      <c r="AY3" s="12"/>
      <c r="AZ3" s="12"/>
      <c r="BB3" s="10" t="s">
        <v>9</v>
      </c>
      <c r="BF3" s="10" t="s">
        <v>10</v>
      </c>
      <c r="BJ3" s="10" t="s">
        <v>11</v>
      </c>
      <c r="BN3" s="10" t="s">
        <v>12</v>
      </c>
      <c r="BS3" s="10" t="s">
        <v>13</v>
      </c>
      <c r="BX3" s="10" t="s">
        <v>14</v>
      </c>
      <c r="CC3" s="10" t="s">
        <v>15</v>
      </c>
      <c r="CH3" s="10" t="s">
        <v>16</v>
      </c>
      <c r="CM3" s="10" t="s">
        <v>17</v>
      </c>
      <c r="CR3" s="10" t="s">
        <v>18</v>
      </c>
      <c r="CS3" s="9"/>
      <c r="CT3" s="9"/>
      <c r="CU3" s="9"/>
      <c r="CV3" s="17"/>
      <c r="CW3" s="10" t="s">
        <v>19</v>
      </c>
      <c r="CX3" s="9"/>
      <c r="CY3" s="9"/>
      <c r="CZ3" s="9"/>
      <c r="DA3" s="17"/>
      <c r="DB3" s="10" t="s">
        <v>20</v>
      </c>
      <c r="DC3" s="9"/>
      <c r="DD3" s="9"/>
      <c r="DE3" s="9"/>
      <c r="DF3" s="17"/>
      <c r="DG3" s="10" t="s">
        <v>21</v>
      </c>
    </row>
    <row r="4" spans="1:116" s="17" customFormat="1" ht="13.8" thickBot="1">
      <c r="A4" s="8"/>
      <c r="B4" s="18"/>
      <c r="C4" s="18"/>
      <c r="D4" s="18"/>
      <c r="E4" s="19">
        <v>6.01</v>
      </c>
      <c r="F4" s="8"/>
      <c r="G4" s="8"/>
      <c r="H4" s="8"/>
      <c r="I4" s="8"/>
      <c r="J4" s="8"/>
      <c r="K4" s="8"/>
      <c r="L4" s="19">
        <f>+E4+0.01</f>
        <v>6.02</v>
      </c>
      <c r="M4" s="8"/>
      <c r="N4" s="11"/>
      <c r="O4" s="11"/>
      <c r="P4" s="20"/>
      <c r="Q4" s="19">
        <f>L4+0.01</f>
        <v>6.0299999999999994</v>
      </c>
      <c r="R4" s="8"/>
      <c r="S4" s="8"/>
      <c r="T4" s="8"/>
      <c r="U4" s="19">
        <f>+Q4+0.01</f>
        <v>6.0399999999999991</v>
      </c>
      <c r="V4" s="8"/>
      <c r="W4" s="8"/>
      <c r="X4" s="8"/>
      <c r="Y4" s="19">
        <f>+U4+0.01</f>
        <v>6.0499999999999989</v>
      </c>
      <c r="Z4" s="8"/>
      <c r="AA4" s="21"/>
      <c r="AB4" s="21"/>
      <c r="AC4" s="21"/>
      <c r="AD4" s="19">
        <f>+Y4+0.01</f>
        <v>6.0599999999999987</v>
      </c>
      <c r="AE4" s="22"/>
      <c r="AF4" s="23"/>
      <c r="AG4" s="22"/>
      <c r="AH4" s="22"/>
      <c r="AI4" s="19">
        <f>+AD4+0.01</f>
        <v>6.0699999999999985</v>
      </c>
      <c r="AJ4" s="8"/>
      <c r="AK4" s="8"/>
      <c r="AL4" s="8"/>
      <c r="AM4" s="8"/>
      <c r="AN4" s="8"/>
      <c r="AO4" s="8"/>
      <c r="AP4" s="8"/>
      <c r="AQ4" s="8"/>
      <c r="AR4" s="19">
        <f>AI4+0.01</f>
        <v>6.0799999999999983</v>
      </c>
      <c r="AS4" s="8"/>
      <c r="AT4" s="8"/>
      <c r="AU4" s="8"/>
      <c r="AV4" s="8"/>
      <c r="AW4" s="19">
        <f>AR4+0.01</f>
        <v>6.0899999999999981</v>
      </c>
      <c r="AX4" s="9"/>
      <c r="AY4" s="9"/>
      <c r="AZ4" s="9"/>
      <c r="BB4" s="19">
        <f>AW4+0.01</f>
        <v>6.0999999999999979</v>
      </c>
      <c r="BC4" s="8"/>
      <c r="BD4" s="8"/>
      <c r="BE4" s="8"/>
      <c r="BF4" s="19">
        <f>BB4+0.01</f>
        <v>6.1099999999999977</v>
      </c>
      <c r="BG4" s="8"/>
      <c r="BH4" s="9"/>
      <c r="BI4" s="8"/>
      <c r="BJ4" s="19">
        <f>BF4+0.01</f>
        <v>6.1199999999999974</v>
      </c>
      <c r="BK4" s="8"/>
      <c r="BL4" s="8"/>
      <c r="BM4" s="8"/>
      <c r="BN4" s="19">
        <f>BJ4+0.01</f>
        <v>6.1299999999999972</v>
      </c>
      <c r="BO4" s="22"/>
      <c r="BP4" s="22"/>
      <c r="BQ4" s="22"/>
      <c r="BR4" s="22"/>
      <c r="BS4" s="19">
        <f>+BN4+0.01</f>
        <v>6.139999999999997</v>
      </c>
      <c r="BT4" s="22"/>
      <c r="BU4" s="22"/>
      <c r="BV4" s="22"/>
      <c r="BW4" s="22"/>
      <c r="BX4" s="19">
        <f>+BS4+0.01</f>
        <v>6.1499999999999968</v>
      </c>
      <c r="BY4" s="8"/>
      <c r="BZ4" s="8"/>
      <c r="CA4" s="8"/>
      <c r="CB4" s="8"/>
      <c r="CC4" s="19">
        <f>+BX4+0.01</f>
        <v>6.1599999999999966</v>
      </c>
      <c r="CD4" s="8"/>
      <c r="CE4" s="8"/>
      <c r="CF4" s="8"/>
      <c r="CG4" s="8"/>
      <c r="CH4" s="19">
        <f>+CC4+0.01</f>
        <v>6.1699999999999964</v>
      </c>
      <c r="CI4" s="8"/>
      <c r="CJ4" s="8"/>
      <c r="CK4" s="8"/>
      <c r="CL4" s="8"/>
      <c r="CM4" s="19">
        <f>+CH4+0.01</f>
        <v>6.1799999999999962</v>
      </c>
      <c r="CN4" s="8"/>
      <c r="CO4" s="8"/>
      <c r="CP4" s="8"/>
      <c r="CQ4" s="8"/>
      <c r="CR4" s="19">
        <f>+CM4+0.01</f>
        <v>6.1899999999999959</v>
      </c>
      <c r="CS4" s="9"/>
      <c r="CT4" s="9"/>
      <c r="CU4" s="9"/>
      <c r="CW4" s="19">
        <f>+CR4+0.01</f>
        <v>6.1999999999999957</v>
      </c>
      <c r="CX4" s="9"/>
      <c r="CY4" s="9"/>
      <c r="CZ4" s="9"/>
      <c r="DB4" s="19">
        <f>+CW4+0.01</f>
        <v>6.2099999999999955</v>
      </c>
      <c r="DC4" s="9"/>
      <c r="DD4" s="9"/>
      <c r="DE4" s="9"/>
      <c r="DG4" s="19">
        <f>+DB4+0.01</f>
        <v>6.2199999999999953</v>
      </c>
    </row>
    <row r="5" spans="1:116" s="17" customFormat="1" ht="13.8">
      <c r="B5" s="24" t="s">
        <v>22</v>
      </c>
      <c r="C5" s="25"/>
      <c r="D5" s="25"/>
      <c r="E5" s="25"/>
      <c r="F5" s="26"/>
      <c r="G5" s="27"/>
      <c r="H5" s="27"/>
      <c r="I5" s="24" t="s">
        <v>22</v>
      </c>
      <c r="J5" s="27"/>
      <c r="K5" s="27"/>
      <c r="L5" s="27"/>
      <c r="M5" s="24" t="s">
        <v>22</v>
      </c>
      <c r="N5" s="28"/>
      <c r="O5" s="29"/>
      <c r="P5" s="29"/>
      <c r="Q5" s="29"/>
      <c r="R5" s="24" t="s">
        <v>22</v>
      </c>
      <c r="S5" s="25"/>
      <c r="T5" s="25"/>
      <c r="U5" s="30"/>
      <c r="V5" s="24" t="s">
        <v>22</v>
      </c>
      <c r="W5" s="25"/>
      <c r="X5" s="25"/>
      <c r="Y5" s="25"/>
      <c r="Z5" s="24" t="s">
        <v>22</v>
      </c>
      <c r="AA5" s="25"/>
      <c r="AB5" s="25"/>
      <c r="AC5" s="25"/>
      <c r="AD5" s="31"/>
      <c r="AE5" s="24" t="s">
        <v>22</v>
      </c>
      <c r="AF5" s="25"/>
      <c r="AG5" s="25"/>
      <c r="AH5" s="25"/>
      <c r="AI5" s="25"/>
      <c r="AJ5" s="24" t="s">
        <v>22</v>
      </c>
      <c r="AK5" s="25"/>
      <c r="AL5" s="25"/>
      <c r="AM5" s="25"/>
      <c r="AN5" s="25"/>
      <c r="AO5" s="25"/>
      <c r="AP5" s="25"/>
      <c r="AQ5" s="25"/>
      <c r="AR5" s="25"/>
      <c r="AS5" s="24" t="s">
        <v>22</v>
      </c>
      <c r="AT5" s="32"/>
      <c r="AU5" s="32"/>
      <c r="AV5" s="32"/>
      <c r="AW5" s="32"/>
      <c r="AX5" s="24" t="s">
        <v>22</v>
      </c>
      <c r="AY5" s="25"/>
      <c r="AZ5" s="25"/>
      <c r="BA5" s="25"/>
      <c r="BB5" s="31"/>
      <c r="BC5" s="24" t="s">
        <v>22</v>
      </c>
      <c r="BD5" s="25"/>
      <c r="BE5" s="25"/>
      <c r="BF5" s="25"/>
      <c r="BG5" s="24" t="s">
        <v>22</v>
      </c>
      <c r="BH5" s="25"/>
      <c r="BI5" s="25"/>
      <c r="BJ5" s="25"/>
      <c r="BK5" s="24" t="s">
        <v>22</v>
      </c>
      <c r="BL5" s="25"/>
      <c r="BM5" s="25"/>
      <c r="BN5" s="25"/>
      <c r="BO5" s="24" t="s">
        <v>22</v>
      </c>
      <c r="BP5" s="33"/>
      <c r="BQ5" s="25"/>
      <c r="BR5" s="25"/>
      <c r="BS5" s="25"/>
      <c r="BT5" s="24" t="s">
        <v>22</v>
      </c>
      <c r="BU5" s="33"/>
      <c r="BV5" s="25"/>
      <c r="BW5" s="25"/>
      <c r="BX5" s="25"/>
      <c r="BY5" s="24" t="s">
        <v>22</v>
      </c>
      <c r="BZ5" s="25"/>
      <c r="CA5" s="25"/>
      <c r="CB5" s="25"/>
      <c r="CC5" s="25"/>
      <c r="CD5" s="25" t="s">
        <v>22</v>
      </c>
      <c r="CE5" s="25"/>
      <c r="CF5" s="25"/>
      <c r="CG5" s="25"/>
      <c r="CH5" s="25"/>
      <c r="CI5" s="24" t="s">
        <v>22</v>
      </c>
      <c r="CJ5" s="25"/>
      <c r="CK5" s="25"/>
      <c r="CL5" s="25"/>
      <c r="CM5" s="25"/>
      <c r="CN5" s="24" t="s">
        <v>22</v>
      </c>
      <c r="CO5" s="25"/>
      <c r="CP5" s="25"/>
      <c r="CQ5" s="25"/>
      <c r="CR5" s="25"/>
      <c r="CS5" s="24" t="s">
        <v>22</v>
      </c>
      <c r="CT5" s="25"/>
      <c r="CU5" s="25"/>
      <c r="CV5" s="25"/>
      <c r="CW5" s="31"/>
      <c r="CX5" s="24" t="s">
        <v>22</v>
      </c>
      <c r="CY5" s="25"/>
      <c r="CZ5" s="25"/>
      <c r="DA5" s="25"/>
      <c r="DB5" s="31"/>
      <c r="DC5" s="24" t="s">
        <v>22</v>
      </c>
      <c r="DD5" s="25"/>
      <c r="DE5" s="25"/>
      <c r="DF5" s="25"/>
      <c r="DG5" s="31"/>
    </row>
    <row r="6" spans="1:116" s="17" customFormat="1" ht="13.5" customHeight="1">
      <c r="B6" s="34" t="s">
        <v>23</v>
      </c>
      <c r="C6" s="35"/>
      <c r="D6" s="35"/>
      <c r="E6" s="35"/>
      <c r="F6" s="36"/>
      <c r="H6" s="36"/>
      <c r="I6" s="36" t="s">
        <v>24</v>
      </c>
      <c r="J6" s="36"/>
      <c r="K6" s="36"/>
      <c r="M6" s="37" t="s">
        <v>25</v>
      </c>
      <c r="N6" s="37"/>
      <c r="O6" s="37"/>
      <c r="P6" s="37"/>
      <c r="Q6" s="37"/>
      <c r="R6" s="34" t="s">
        <v>26</v>
      </c>
      <c r="S6" s="25"/>
      <c r="T6" s="25"/>
      <c r="U6" s="30"/>
      <c r="V6" s="34" t="s">
        <v>27</v>
      </c>
      <c r="W6" s="25"/>
      <c r="X6" s="25"/>
      <c r="Y6" s="35"/>
      <c r="Z6" s="34" t="s">
        <v>28</v>
      </c>
      <c r="AA6" s="25"/>
      <c r="AB6" s="25"/>
      <c r="AC6" s="25"/>
      <c r="AD6" s="35"/>
      <c r="AE6" s="34" t="s">
        <v>29</v>
      </c>
      <c r="AF6" s="38"/>
      <c r="AG6" s="38"/>
      <c r="AH6" s="38"/>
      <c r="AI6" s="38"/>
      <c r="AJ6" s="34" t="s">
        <v>30</v>
      </c>
      <c r="AK6" s="25"/>
      <c r="AL6" s="25"/>
      <c r="AM6" s="25"/>
      <c r="AN6" s="25"/>
      <c r="AO6" s="25"/>
      <c r="AP6" s="25"/>
      <c r="AQ6" s="35"/>
      <c r="AR6" s="35"/>
      <c r="AS6" s="39" t="s">
        <v>31</v>
      </c>
      <c r="AT6" s="32"/>
      <c r="AU6" s="32"/>
      <c r="AV6" s="32"/>
      <c r="AW6" s="32"/>
      <c r="AX6" s="39" t="s">
        <v>32</v>
      </c>
      <c r="AY6" s="25"/>
      <c r="AZ6" s="25"/>
      <c r="BA6" s="25"/>
      <c r="BB6" s="25"/>
      <c r="BC6" s="34" t="s">
        <v>33</v>
      </c>
      <c r="BD6" s="25"/>
      <c r="BE6" s="25"/>
      <c r="BF6" s="25"/>
      <c r="BG6" s="34" t="s">
        <v>34</v>
      </c>
      <c r="BH6" s="25"/>
      <c r="BI6" s="25"/>
      <c r="BJ6" s="35"/>
      <c r="BK6" s="34" t="s">
        <v>35</v>
      </c>
      <c r="BL6" s="25"/>
      <c r="BM6" s="25"/>
      <c r="BN6" s="25"/>
      <c r="BO6" s="37" t="s">
        <v>36</v>
      </c>
      <c r="BP6" s="37"/>
      <c r="BQ6" s="37"/>
      <c r="BR6" s="37"/>
      <c r="BS6" s="37"/>
      <c r="BT6" s="37" t="s">
        <v>37</v>
      </c>
      <c r="BU6" s="37"/>
      <c r="BV6" s="37"/>
      <c r="BW6" s="37"/>
      <c r="BX6" s="37"/>
      <c r="BY6" s="39" t="s">
        <v>38</v>
      </c>
      <c r="BZ6" s="25"/>
      <c r="CA6" s="25"/>
      <c r="CB6" s="25"/>
      <c r="CC6" s="35"/>
      <c r="CD6" s="39" t="s">
        <v>39</v>
      </c>
      <c r="CE6" s="25"/>
      <c r="CF6" s="25"/>
      <c r="CG6" s="25"/>
      <c r="CH6" s="25"/>
      <c r="CI6" s="39" t="s">
        <v>40</v>
      </c>
      <c r="CJ6" s="25"/>
      <c r="CK6" s="25"/>
      <c r="CL6" s="25"/>
      <c r="CM6" s="35"/>
      <c r="CN6" s="39" t="s">
        <v>41</v>
      </c>
      <c r="CO6" s="25"/>
      <c r="CP6" s="25"/>
      <c r="CQ6" s="25"/>
      <c r="CR6" s="35"/>
      <c r="CS6" s="39" t="s">
        <v>42</v>
      </c>
      <c r="CT6" s="25"/>
      <c r="CU6" s="25"/>
      <c r="CV6" s="25"/>
      <c r="CW6" s="25"/>
      <c r="CX6" s="39" t="s">
        <v>43</v>
      </c>
      <c r="CY6" s="25"/>
      <c r="CZ6" s="25"/>
      <c r="DA6" s="25"/>
      <c r="DB6" s="25"/>
      <c r="DC6" s="39" t="s">
        <v>44</v>
      </c>
      <c r="DD6" s="25"/>
      <c r="DE6" s="25"/>
      <c r="DF6" s="25"/>
      <c r="DG6" s="25"/>
    </row>
    <row r="7" spans="1:116">
      <c r="B7" s="24" t="s">
        <v>45</v>
      </c>
      <c r="C7" s="25"/>
      <c r="D7" s="25"/>
      <c r="E7" s="40"/>
      <c r="F7" s="27"/>
      <c r="G7" s="26"/>
      <c r="H7" s="26"/>
      <c r="I7" s="25" t="str">
        <f>keep_TESTYEAR</f>
        <v>FOR THE TWELVE MONTHS ENDED SEPTEMBER 30, 2016</v>
      </c>
      <c r="J7" s="27"/>
      <c r="K7" s="41"/>
      <c r="L7" s="41"/>
      <c r="M7" s="25" t="str">
        <f>keep_TESTYEAR</f>
        <v>FOR THE TWELVE MONTHS ENDED SEPTEMBER 30, 2016</v>
      </c>
      <c r="N7" s="42"/>
      <c r="O7" s="42"/>
      <c r="P7" s="42"/>
      <c r="Q7" s="42"/>
      <c r="R7" s="25" t="str">
        <f>keep_TESTYEAR</f>
        <v>FOR THE TWELVE MONTHS ENDED SEPTEMBER 30, 2016</v>
      </c>
      <c r="S7" s="25"/>
      <c r="T7" s="25"/>
      <c r="U7" s="30"/>
      <c r="V7" s="25" t="str">
        <f>keep_TESTYEAR</f>
        <v>FOR THE TWELVE MONTHS ENDED SEPTEMBER 30, 2016</v>
      </c>
      <c r="W7" s="25"/>
      <c r="X7" s="25"/>
      <c r="Y7" s="40"/>
      <c r="Z7" s="25" t="str">
        <f>keep_TESTYEAR</f>
        <v>FOR THE TWELVE MONTHS ENDED SEPTEMBER 30, 2016</v>
      </c>
      <c r="AA7" s="25"/>
      <c r="AB7" s="25"/>
      <c r="AC7" s="25"/>
      <c r="AD7" s="40"/>
      <c r="AE7" s="25" t="str">
        <f>keep_TESTYEAR</f>
        <v>FOR THE TWELVE MONTHS ENDED SEPTEMBER 30, 2016</v>
      </c>
      <c r="AF7" s="38"/>
      <c r="AG7" s="38"/>
      <c r="AH7" s="38"/>
      <c r="AI7" s="38"/>
      <c r="AJ7" s="25" t="str">
        <f>keep_TESTYEAR</f>
        <v>FOR THE TWELVE MONTHS ENDED SEPTEMBER 30, 2016</v>
      </c>
      <c r="AK7" s="25"/>
      <c r="AL7" s="25"/>
      <c r="AM7" s="25"/>
      <c r="AN7" s="25"/>
      <c r="AO7" s="25"/>
      <c r="AP7" s="25"/>
      <c r="AQ7" s="40"/>
      <c r="AR7" s="40"/>
      <c r="AS7" s="25" t="str">
        <f>keep_TESTYEAR</f>
        <v>FOR THE TWELVE MONTHS ENDED SEPTEMBER 30, 2016</v>
      </c>
      <c r="AT7" s="32"/>
      <c r="AU7" s="32"/>
      <c r="AV7" s="32"/>
      <c r="AW7" s="32"/>
      <c r="AX7" s="43" t="s">
        <v>45</v>
      </c>
      <c r="AY7" s="43"/>
      <c r="AZ7" s="43"/>
      <c r="BA7" s="43"/>
      <c r="BB7" s="43"/>
      <c r="BC7" s="24" t="str">
        <f>keep_TESTYEAR</f>
        <v>FOR THE TWELVE MONTHS ENDED SEPTEMBER 30, 2016</v>
      </c>
      <c r="BD7" s="25"/>
      <c r="BE7" s="25"/>
      <c r="BF7" s="25"/>
      <c r="BG7" s="25" t="str">
        <f>keep_TESTYEAR</f>
        <v>FOR THE TWELVE MONTHS ENDED SEPTEMBER 30, 2016</v>
      </c>
      <c r="BH7" s="24"/>
      <c r="BI7" s="25"/>
      <c r="BJ7" s="40"/>
      <c r="BK7" s="25" t="str">
        <f>keep_TESTYEAR</f>
        <v>FOR THE TWELVE MONTHS ENDED SEPTEMBER 30, 2016</v>
      </c>
      <c r="BL7" s="25"/>
      <c r="BM7" s="25"/>
      <c r="BN7" s="25"/>
      <c r="BO7" s="25" t="str">
        <f>keep_TESTYEAR</f>
        <v>FOR THE TWELVE MONTHS ENDED SEPTEMBER 30, 2016</v>
      </c>
      <c r="BP7" s="44"/>
      <c r="BQ7" s="40"/>
      <c r="BR7" s="40"/>
      <c r="BS7" s="40"/>
      <c r="BT7" s="25" t="str">
        <f>keep_TESTYEAR</f>
        <v>FOR THE TWELVE MONTHS ENDED SEPTEMBER 30, 2016</v>
      </c>
      <c r="BU7" s="44"/>
      <c r="BV7" s="40"/>
      <c r="BW7" s="40"/>
      <c r="BX7" s="40"/>
      <c r="BY7" s="25" t="str">
        <f>keep_TESTYEAR</f>
        <v>FOR THE TWELVE MONTHS ENDED SEPTEMBER 30, 2016</v>
      </c>
      <c r="BZ7" s="25"/>
      <c r="CA7" s="25"/>
      <c r="CB7" s="25"/>
      <c r="CC7" s="40"/>
      <c r="CD7" s="25" t="str">
        <f>keep_TESTYEAR</f>
        <v>FOR THE TWELVE MONTHS ENDED SEPTEMBER 30, 2016</v>
      </c>
      <c r="CE7" s="25"/>
      <c r="CF7" s="25"/>
      <c r="CG7" s="25"/>
      <c r="CH7" s="25"/>
      <c r="CI7" s="25" t="str">
        <f>keep_TESTYEAR</f>
        <v>FOR THE TWELVE MONTHS ENDED SEPTEMBER 30, 2016</v>
      </c>
      <c r="CJ7" s="25"/>
      <c r="CK7" s="25"/>
      <c r="CL7" s="25"/>
      <c r="CM7" s="40"/>
      <c r="CN7" s="25" t="str">
        <f>keep_TESTYEAR</f>
        <v>FOR THE TWELVE MONTHS ENDED SEPTEMBER 30, 2016</v>
      </c>
      <c r="CO7" s="25"/>
      <c r="CP7" s="25"/>
      <c r="CQ7" s="25"/>
      <c r="CR7" s="40"/>
      <c r="CS7" s="43" t="s">
        <v>45</v>
      </c>
      <c r="CT7" s="43"/>
      <c r="CU7" s="43"/>
      <c r="CV7" s="43"/>
      <c r="CW7" s="43"/>
      <c r="CX7" s="43" t="s">
        <v>45</v>
      </c>
      <c r="CY7" s="43"/>
      <c r="CZ7" s="43"/>
      <c r="DA7" s="43"/>
      <c r="DB7" s="43"/>
      <c r="DC7" s="43" t="s">
        <v>45</v>
      </c>
      <c r="DD7" s="43"/>
      <c r="DE7" s="43"/>
      <c r="DF7" s="43"/>
      <c r="DG7" s="43"/>
    </row>
    <row r="8" spans="1:116" ht="15.6">
      <c r="B8" s="24" t="s">
        <v>46</v>
      </c>
      <c r="C8" s="25"/>
      <c r="D8" s="25"/>
      <c r="E8" s="25"/>
      <c r="F8" s="26"/>
      <c r="G8" s="26"/>
      <c r="H8" s="26"/>
      <c r="I8" s="24" t="str">
        <f>Case_Name</f>
        <v xml:space="preserve">2017 GENERAL RATE CASE </v>
      </c>
      <c r="J8" s="27"/>
      <c r="K8" s="27"/>
      <c r="L8" s="27"/>
      <c r="M8" s="24" t="str">
        <f>+I8</f>
        <v xml:space="preserve">2017 GENERAL RATE CASE </v>
      </c>
      <c r="N8" s="24"/>
      <c r="O8" s="45"/>
      <c r="P8" s="46"/>
      <c r="Q8" s="46"/>
      <c r="R8" s="24" t="str">
        <f>+M8</f>
        <v xml:space="preserve">2017 GENERAL RATE CASE </v>
      </c>
      <c r="S8" s="24"/>
      <c r="T8" s="24"/>
      <c r="U8" s="47"/>
      <c r="V8" s="24" t="str">
        <f>+R8</f>
        <v xml:space="preserve">2017 GENERAL RATE CASE </v>
      </c>
      <c r="W8" s="25"/>
      <c r="X8" s="25"/>
      <c r="Y8" s="40"/>
      <c r="Z8" s="24" t="str">
        <f>+V8</f>
        <v xml:space="preserve">2017 GENERAL RATE CASE </v>
      </c>
      <c r="AA8" s="25"/>
      <c r="AB8" s="25"/>
      <c r="AC8" s="24"/>
      <c r="AD8" s="40"/>
      <c r="AE8" s="25" t="str">
        <f>+Z8</f>
        <v xml:space="preserve">2017 GENERAL RATE CASE </v>
      </c>
      <c r="AF8" s="38"/>
      <c r="AG8" s="38"/>
      <c r="AH8" s="38"/>
      <c r="AI8" s="38"/>
      <c r="AJ8" s="24" t="str">
        <f>+AE8</f>
        <v xml:space="preserve">2017 GENERAL RATE CASE </v>
      </c>
      <c r="AK8" s="25"/>
      <c r="AL8" s="25"/>
      <c r="AM8" s="25"/>
      <c r="AN8" s="25"/>
      <c r="AO8" s="25"/>
      <c r="AP8" s="25"/>
      <c r="AQ8" s="40"/>
      <c r="AR8" s="25"/>
      <c r="AS8" s="25" t="str">
        <f>+AJ8</f>
        <v xml:space="preserve">2017 GENERAL RATE CASE </v>
      </c>
      <c r="AT8" s="32"/>
      <c r="AU8" s="32"/>
      <c r="AV8" s="32"/>
      <c r="AW8" s="32"/>
      <c r="AX8" s="43" t="str">
        <f>+AS8</f>
        <v xml:space="preserve">2017 GENERAL RATE CASE </v>
      </c>
      <c r="AY8" s="43"/>
      <c r="AZ8" s="43"/>
      <c r="BA8" s="43"/>
      <c r="BB8" s="43"/>
      <c r="BC8" s="24" t="str">
        <f>+AX8</f>
        <v xml:space="preserve">2017 GENERAL RATE CASE </v>
      </c>
      <c r="BD8" s="25"/>
      <c r="BE8" s="25"/>
      <c r="BF8" s="25"/>
      <c r="BG8" s="24" t="str">
        <f>+BC8</f>
        <v xml:space="preserve">2017 GENERAL RATE CASE </v>
      </c>
      <c r="BH8" s="24"/>
      <c r="BI8" s="25"/>
      <c r="BJ8" s="25"/>
      <c r="BK8" s="24" t="str">
        <f>+BG8</f>
        <v xml:space="preserve">2017 GENERAL RATE CASE </v>
      </c>
      <c r="BL8" s="25"/>
      <c r="BM8" s="25"/>
      <c r="BN8" s="25"/>
      <c r="BO8" s="24" t="str">
        <f>+BK8</f>
        <v xml:space="preserve">2017 GENERAL RATE CASE </v>
      </c>
      <c r="BP8" s="33"/>
      <c r="BQ8" s="25"/>
      <c r="BR8" s="25"/>
      <c r="BS8" s="25"/>
      <c r="BT8" s="24" t="str">
        <f>+BO8</f>
        <v xml:space="preserve">2017 GENERAL RATE CASE </v>
      </c>
      <c r="BU8" s="33"/>
      <c r="BV8" s="25"/>
      <c r="BW8" s="25"/>
      <c r="BX8" s="25"/>
      <c r="BY8" s="24" t="str">
        <f>+BT8</f>
        <v xml:space="preserve">2017 GENERAL RATE CASE </v>
      </c>
      <c r="BZ8" s="25"/>
      <c r="CA8" s="25"/>
      <c r="CB8" s="25"/>
      <c r="CC8" s="40"/>
      <c r="CD8" s="25" t="str">
        <f>+BY8</f>
        <v xml:space="preserve">2017 GENERAL RATE CASE </v>
      </c>
      <c r="CE8" s="25"/>
      <c r="CF8" s="25"/>
      <c r="CG8" s="25"/>
      <c r="CH8" s="25"/>
      <c r="CI8" s="24" t="str">
        <f>+CD8</f>
        <v xml:space="preserve">2017 GENERAL RATE CASE </v>
      </c>
      <c r="CJ8" s="25"/>
      <c r="CK8" s="25"/>
      <c r="CL8" s="25"/>
      <c r="CM8" s="25"/>
      <c r="CN8" s="24" t="str">
        <f>+CI8</f>
        <v xml:space="preserve">2017 GENERAL RATE CASE </v>
      </c>
      <c r="CO8" s="25"/>
      <c r="CP8" s="25"/>
      <c r="CQ8" s="25"/>
      <c r="CR8" s="25"/>
      <c r="CS8" s="43" t="str">
        <f>+CN8</f>
        <v xml:space="preserve">2017 GENERAL RATE CASE </v>
      </c>
      <c r="CT8" s="43"/>
      <c r="CU8" s="43"/>
      <c r="CV8" s="43"/>
      <c r="CW8" s="43"/>
      <c r="CX8" s="43" t="str">
        <f>+CS8</f>
        <v xml:space="preserve">2017 GENERAL RATE CASE </v>
      </c>
      <c r="CY8" s="43"/>
      <c r="CZ8" s="43"/>
      <c r="DA8" s="43"/>
      <c r="DB8" s="43"/>
      <c r="DC8" s="43" t="str">
        <f>+CX8</f>
        <v xml:space="preserve">2017 GENERAL RATE CASE </v>
      </c>
      <c r="DD8" s="43"/>
      <c r="DE8" s="43"/>
      <c r="DF8" s="43"/>
      <c r="DG8" s="43"/>
    </row>
    <row r="9" spans="1:116" ht="15.6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46"/>
      <c r="O9" s="46"/>
      <c r="P9" s="46"/>
      <c r="Q9" s="46"/>
      <c r="R9" s="8"/>
      <c r="S9" s="47"/>
      <c r="T9" s="48"/>
      <c r="U9" s="49"/>
      <c r="V9" s="8"/>
      <c r="W9" s="48"/>
      <c r="X9" s="50"/>
      <c r="Y9" s="50"/>
      <c r="Z9" s="8"/>
      <c r="AA9" s="51"/>
      <c r="AB9" s="51"/>
      <c r="AC9" s="21"/>
      <c r="AD9" s="21"/>
      <c r="AE9" s="24"/>
      <c r="AF9" s="38"/>
      <c r="AG9" s="38"/>
      <c r="AH9" s="38"/>
      <c r="AI9" s="38"/>
      <c r="AJ9" s="8"/>
      <c r="AK9" s="8"/>
      <c r="AL9" s="27"/>
      <c r="AM9" s="27"/>
      <c r="AN9" s="27"/>
      <c r="AO9" s="27"/>
      <c r="AP9" s="27"/>
      <c r="AQ9" s="27"/>
      <c r="AR9" s="27" t="s">
        <v>47</v>
      </c>
      <c r="AS9" s="8"/>
      <c r="AT9" s="8"/>
      <c r="AU9" s="8"/>
      <c r="AV9" s="8"/>
      <c r="AW9" s="8"/>
      <c r="AX9" s="12"/>
      <c r="AY9" s="12"/>
      <c r="AZ9" s="12"/>
      <c r="BA9" s="12"/>
      <c r="BB9" s="12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48"/>
      <c r="CD9" s="8"/>
      <c r="CE9" s="8"/>
      <c r="CF9" s="8"/>
      <c r="CG9" s="8"/>
      <c r="CH9" s="8"/>
      <c r="CI9" s="52"/>
      <c r="CJ9" s="48"/>
      <c r="CK9" s="48"/>
      <c r="CL9" s="8"/>
      <c r="CM9" s="8"/>
      <c r="CN9" s="52"/>
      <c r="CO9" s="48"/>
      <c r="CP9" s="48"/>
      <c r="CQ9" s="8"/>
      <c r="CR9" s="8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</row>
    <row r="10" spans="1:116" ht="14.4">
      <c r="A10" s="26" t="s">
        <v>48</v>
      </c>
      <c r="B10" s="8"/>
      <c r="C10" s="27"/>
      <c r="D10" s="53"/>
      <c r="E10" s="53"/>
      <c r="F10" s="26" t="s">
        <v>48</v>
      </c>
      <c r="G10" s="48"/>
      <c r="H10" s="48"/>
      <c r="I10" s="48"/>
      <c r="J10" s="8"/>
      <c r="K10" s="8"/>
      <c r="L10" s="27"/>
      <c r="M10" s="54" t="s">
        <v>48</v>
      </c>
      <c r="N10" s="55"/>
      <c r="O10" s="55"/>
      <c r="P10" s="56"/>
      <c r="Q10" s="56"/>
      <c r="R10" s="27" t="s">
        <v>48</v>
      </c>
      <c r="S10" s="8"/>
      <c r="T10" s="9"/>
      <c r="U10" s="57"/>
      <c r="V10" s="27" t="s">
        <v>48</v>
      </c>
      <c r="W10" s="8"/>
      <c r="X10" s="58"/>
      <c r="Y10" s="58"/>
      <c r="Z10" s="27" t="s">
        <v>48</v>
      </c>
      <c r="AA10" s="21"/>
      <c r="AB10" s="27"/>
      <c r="AC10" s="21"/>
      <c r="AD10" s="21"/>
      <c r="AE10" s="26" t="s">
        <v>48</v>
      </c>
      <c r="AF10" s="8"/>
      <c r="AG10" s="26"/>
      <c r="AH10" s="26"/>
      <c r="AI10" s="26"/>
      <c r="AJ10" s="27" t="s">
        <v>48</v>
      </c>
      <c r="AK10" s="8"/>
      <c r="AL10" s="27" t="s">
        <v>49</v>
      </c>
      <c r="AM10" s="27" t="s">
        <v>50</v>
      </c>
      <c r="AN10" s="27" t="s">
        <v>51</v>
      </c>
      <c r="AO10" s="27" t="s">
        <v>52</v>
      </c>
      <c r="AP10" s="27" t="s">
        <v>51</v>
      </c>
      <c r="AQ10" s="27" t="s">
        <v>49</v>
      </c>
      <c r="AR10" s="27" t="s">
        <v>53</v>
      </c>
      <c r="AS10" s="26" t="s">
        <v>48</v>
      </c>
      <c r="AT10" s="8"/>
      <c r="AX10" s="59" t="s">
        <v>48</v>
      </c>
      <c r="AY10" s="59"/>
      <c r="AZ10" s="59"/>
      <c r="BA10" s="59"/>
      <c r="BB10" s="59"/>
      <c r="BC10" s="26" t="s">
        <v>48</v>
      </c>
      <c r="BD10" s="48"/>
      <c r="BE10" s="48"/>
      <c r="BF10" s="8"/>
      <c r="BG10" s="26" t="s">
        <v>48</v>
      </c>
      <c r="BH10" s="8"/>
      <c r="BI10" s="8"/>
      <c r="BJ10" s="8"/>
      <c r="BK10" s="26" t="s">
        <v>48</v>
      </c>
      <c r="BL10" s="48"/>
      <c r="BM10" s="48"/>
      <c r="BN10" s="8"/>
      <c r="BO10" s="26" t="s">
        <v>48</v>
      </c>
      <c r="BP10" s="8"/>
      <c r="BQ10" s="8"/>
      <c r="BR10" s="8"/>
      <c r="BS10" s="8"/>
      <c r="BT10" s="26" t="s">
        <v>48</v>
      </c>
      <c r="BU10" s="8"/>
      <c r="BV10" s="8"/>
      <c r="BW10" s="8"/>
      <c r="BX10" s="8"/>
      <c r="BY10" s="26" t="s">
        <v>48</v>
      </c>
      <c r="BZ10" s="8"/>
      <c r="CA10" s="60"/>
      <c r="CB10" s="60"/>
      <c r="CC10" s="60"/>
      <c r="CD10" s="26" t="s">
        <v>48</v>
      </c>
      <c r="CE10" s="8"/>
      <c r="CF10" s="61"/>
      <c r="CG10" s="53"/>
      <c r="CH10" s="62"/>
      <c r="CI10" s="27" t="s">
        <v>48</v>
      </c>
      <c r="CJ10" s="8"/>
      <c r="CK10" s="8"/>
      <c r="CL10" s="8"/>
      <c r="CM10" s="62"/>
      <c r="CN10" s="27" t="s">
        <v>48</v>
      </c>
      <c r="CO10" s="8"/>
      <c r="CP10" s="8"/>
      <c r="CQ10" s="8"/>
      <c r="CR10" s="62"/>
      <c r="CS10" s="59" t="s">
        <v>48</v>
      </c>
      <c r="CT10" s="59"/>
      <c r="CU10" s="59"/>
      <c r="CV10" s="59"/>
      <c r="CW10" s="59"/>
      <c r="CX10" s="59" t="s">
        <v>48</v>
      </c>
      <c r="CY10" s="59"/>
      <c r="CZ10" s="59"/>
      <c r="DA10" s="59"/>
      <c r="DB10" s="59"/>
      <c r="DC10" s="63" t="s">
        <v>48</v>
      </c>
      <c r="DD10" s="64"/>
      <c r="DE10" s="64"/>
      <c r="DF10" s="65"/>
      <c r="DG10" s="66"/>
      <c r="DH10" s="66"/>
    </row>
    <row r="11" spans="1:116">
      <c r="A11" s="67" t="s">
        <v>54</v>
      </c>
      <c r="B11" s="68" t="s">
        <v>55</v>
      </c>
      <c r="C11" s="68"/>
      <c r="D11" s="69" t="s">
        <v>56</v>
      </c>
      <c r="E11" s="69"/>
      <c r="F11" s="67" t="s">
        <v>54</v>
      </c>
      <c r="G11" s="68" t="s">
        <v>55</v>
      </c>
      <c r="H11" s="68"/>
      <c r="I11" s="68"/>
      <c r="J11" s="68"/>
      <c r="K11" s="68"/>
      <c r="L11" s="69"/>
      <c r="M11" s="70" t="s">
        <v>54</v>
      </c>
      <c r="N11" s="71" t="s">
        <v>55</v>
      </c>
      <c r="O11" s="70"/>
      <c r="P11" s="72"/>
      <c r="Q11" s="73" t="s">
        <v>56</v>
      </c>
      <c r="R11" s="69" t="s">
        <v>54</v>
      </c>
      <c r="S11" s="74" t="s">
        <v>55</v>
      </c>
      <c r="T11" s="75"/>
      <c r="U11" s="76" t="s">
        <v>57</v>
      </c>
      <c r="V11" s="69" t="s">
        <v>54</v>
      </c>
      <c r="W11" s="74" t="s">
        <v>55</v>
      </c>
      <c r="X11" s="69"/>
      <c r="Y11" s="69" t="s">
        <v>57</v>
      </c>
      <c r="Z11" s="69" t="s">
        <v>54</v>
      </c>
      <c r="AA11" s="77" t="s">
        <v>55</v>
      </c>
      <c r="AB11" s="69" t="s">
        <v>58</v>
      </c>
      <c r="AC11" s="69" t="s">
        <v>59</v>
      </c>
      <c r="AD11" s="78" t="s">
        <v>56</v>
      </c>
      <c r="AE11" s="69" t="s">
        <v>54</v>
      </c>
      <c r="AF11" s="68" t="s">
        <v>55</v>
      </c>
      <c r="AG11" s="69" t="s">
        <v>58</v>
      </c>
      <c r="AH11" s="69" t="s">
        <v>59</v>
      </c>
      <c r="AI11" s="67" t="s">
        <v>56</v>
      </c>
      <c r="AJ11" s="69" t="s">
        <v>54</v>
      </c>
      <c r="AK11" s="69" t="s">
        <v>60</v>
      </c>
      <c r="AL11" s="69" t="s">
        <v>61</v>
      </c>
      <c r="AM11" s="69" t="s">
        <v>62</v>
      </c>
      <c r="AN11" s="69" t="s">
        <v>63</v>
      </c>
      <c r="AO11" s="69" t="s">
        <v>62</v>
      </c>
      <c r="AP11" s="69" t="s">
        <v>64</v>
      </c>
      <c r="AQ11" s="69" t="s">
        <v>62</v>
      </c>
      <c r="AR11" s="69" t="s">
        <v>65</v>
      </c>
      <c r="AS11" s="69" t="s">
        <v>54</v>
      </c>
      <c r="AT11" s="74" t="s">
        <v>55</v>
      </c>
      <c r="AU11" s="79" t="s">
        <v>66</v>
      </c>
      <c r="AV11" s="80" t="s">
        <v>59</v>
      </c>
      <c r="AW11" s="67" t="s">
        <v>56</v>
      </c>
      <c r="AX11" s="81" t="s">
        <v>54</v>
      </c>
      <c r="AY11" s="81" t="s">
        <v>55</v>
      </c>
      <c r="AZ11" s="82" t="s">
        <v>58</v>
      </c>
      <c r="BA11" s="82" t="s">
        <v>59</v>
      </c>
      <c r="BB11" s="82" t="s">
        <v>56</v>
      </c>
      <c r="BC11" s="67" t="s">
        <v>54</v>
      </c>
      <c r="BD11" s="77" t="s">
        <v>55</v>
      </c>
      <c r="BE11" s="69"/>
      <c r="BF11" s="83" t="s">
        <v>57</v>
      </c>
      <c r="BG11" s="69" t="s">
        <v>54</v>
      </c>
      <c r="BH11" s="77" t="s">
        <v>55</v>
      </c>
      <c r="BI11" s="74"/>
      <c r="BJ11" s="83" t="s">
        <v>57</v>
      </c>
      <c r="BK11" s="67" t="s">
        <v>54</v>
      </c>
      <c r="BL11" s="68" t="s">
        <v>55</v>
      </c>
      <c r="BM11" s="68"/>
      <c r="BN11" s="69" t="s">
        <v>57</v>
      </c>
      <c r="BO11" s="69" t="s">
        <v>54</v>
      </c>
      <c r="BP11" s="77" t="s">
        <v>55</v>
      </c>
      <c r="BQ11" s="67" t="s">
        <v>66</v>
      </c>
      <c r="BR11" s="67" t="s">
        <v>67</v>
      </c>
      <c r="BS11" s="67" t="s">
        <v>56</v>
      </c>
      <c r="BT11" s="69" t="s">
        <v>54</v>
      </c>
      <c r="BU11" s="77" t="s">
        <v>55</v>
      </c>
      <c r="BV11" s="67" t="s">
        <v>66</v>
      </c>
      <c r="BW11" s="67" t="s">
        <v>59</v>
      </c>
      <c r="BX11" s="67" t="s">
        <v>56</v>
      </c>
      <c r="BY11" s="67" t="s">
        <v>54</v>
      </c>
      <c r="BZ11" s="68" t="s">
        <v>55</v>
      </c>
      <c r="CA11" s="69" t="s">
        <v>58</v>
      </c>
      <c r="CB11" s="69" t="s">
        <v>68</v>
      </c>
      <c r="CC11" s="69" t="s">
        <v>56</v>
      </c>
      <c r="CD11" s="69" t="s">
        <v>54</v>
      </c>
      <c r="CE11" s="68" t="s">
        <v>55</v>
      </c>
      <c r="CF11" s="69"/>
      <c r="CG11" s="69"/>
      <c r="CH11" s="84" t="s">
        <v>57</v>
      </c>
      <c r="CI11" s="69" t="s">
        <v>54</v>
      </c>
      <c r="CJ11" s="68" t="s">
        <v>55</v>
      </c>
      <c r="CK11" s="68"/>
      <c r="CL11" s="69"/>
      <c r="CM11" s="84" t="s">
        <v>57</v>
      </c>
      <c r="CN11" s="69" t="s">
        <v>54</v>
      </c>
      <c r="CO11" s="68" t="s">
        <v>55</v>
      </c>
      <c r="CP11" s="68"/>
      <c r="CQ11" s="69"/>
      <c r="CR11" s="84" t="s">
        <v>57</v>
      </c>
      <c r="CS11" s="81" t="s">
        <v>54</v>
      </c>
      <c r="CT11" s="81" t="s">
        <v>55</v>
      </c>
      <c r="CU11" s="82" t="s">
        <v>58</v>
      </c>
      <c r="CV11" s="82" t="s">
        <v>59</v>
      </c>
      <c r="CW11" s="82" t="s">
        <v>56</v>
      </c>
      <c r="CX11" s="81" t="s">
        <v>54</v>
      </c>
      <c r="CY11" s="81" t="s">
        <v>55</v>
      </c>
      <c r="CZ11" s="81" t="s">
        <v>58</v>
      </c>
      <c r="DA11" s="81" t="s">
        <v>59</v>
      </c>
      <c r="DB11" s="82" t="s">
        <v>56</v>
      </c>
      <c r="DC11" s="73" t="s">
        <v>54</v>
      </c>
      <c r="DD11" s="85" t="s">
        <v>55</v>
      </c>
      <c r="DE11" s="86" t="s">
        <v>58</v>
      </c>
      <c r="DF11" s="70" t="s">
        <v>59</v>
      </c>
      <c r="DG11" s="70" t="s">
        <v>56</v>
      </c>
    </row>
    <row r="12" spans="1:116" s="103" customFormat="1" ht="14.4">
      <c r="A12" s="87">
        <v>1</v>
      </c>
      <c r="B12" s="2"/>
      <c r="C12" s="2"/>
      <c r="D12" s="88"/>
      <c r="E12" s="88"/>
      <c r="F12" s="89"/>
      <c r="G12" s="90" t="s">
        <v>69</v>
      </c>
      <c r="H12" s="91"/>
      <c r="I12" s="91"/>
      <c r="J12" s="9"/>
      <c r="K12" s="92"/>
      <c r="L12" s="9"/>
      <c r="M12" s="93"/>
      <c r="N12" s="94"/>
      <c r="O12" s="94"/>
      <c r="P12" s="94"/>
      <c r="Q12" s="94"/>
      <c r="R12" s="93"/>
      <c r="S12" s="9"/>
      <c r="T12" s="95"/>
      <c r="U12" s="16"/>
      <c r="V12" s="93"/>
      <c r="W12" s="96"/>
      <c r="X12" s="97"/>
      <c r="Y12" s="98"/>
      <c r="Z12" s="93"/>
      <c r="AA12" s="91"/>
      <c r="AB12" s="99"/>
      <c r="AC12" s="99"/>
      <c r="AD12" s="99"/>
      <c r="AE12" s="9"/>
      <c r="AF12" s="100"/>
      <c r="AG12" s="100"/>
      <c r="AH12" s="100"/>
      <c r="AI12" s="100"/>
      <c r="AJ12" s="93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16"/>
      <c r="AX12" s="101"/>
      <c r="AY12" s="101"/>
      <c r="AZ12" s="101"/>
      <c r="BA12" s="101"/>
      <c r="BB12" s="101"/>
      <c r="BC12" s="9"/>
      <c r="BD12" s="9"/>
      <c r="BE12" s="9"/>
      <c r="BF12" s="9"/>
      <c r="BG12" s="9"/>
      <c r="BH12" s="9"/>
      <c r="BI12" s="102"/>
      <c r="BJ12" s="102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87"/>
      <c r="BZ12" s="91"/>
      <c r="CA12" s="9"/>
      <c r="CB12" s="9"/>
      <c r="CC12" s="9"/>
      <c r="CD12" s="93"/>
      <c r="CE12" s="93"/>
      <c r="CF12" s="93"/>
      <c r="CG12" s="93"/>
      <c r="CH12" s="93"/>
      <c r="CI12" s="9"/>
      <c r="CJ12" s="9"/>
      <c r="CK12" s="9"/>
      <c r="CL12" s="88"/>
      <c r="CM12" s="88"/>
      <c r="CN12" s="9"/>
      <c r="CO12" s="9"/>
      <c r="CP12" s="9"/>
      <c r="CQ12" s="88"/>
      <c r="CR12" s="88"/>
      <c r="CS12" s="101"/>
      <c r="CU12" s="101"/>
      <c r="CV12" s="101"/>
      <c r="CW12" s="101"/>
      <c r="CX12" s="101"/>
      <c r="CY12" s="101"/>
      <c r="CZ12" s="101"/>
      <c r="DA12" s="101"/>
      <c r="DB12" s="101"/>
      <c r="DC12" s="104"/>
      <c r="DD12" s="104"/>
      <c r="DE12" s="105"/>
      <c r="DF12" s="66"/>
      <c r="DG12" s="106"/>
      <c r="DI12" s="13"/>
    </row>
    <row r="13" spans="1:116" s="103" customFormat="1">
      <c r="A13" s="107">
        <f t="shared" ref="A13:A44" si="0">+A12+1</f>
        <v>2</v>
      </c>
      <c r="C13" s="9"/>
      <c r="D13" s="9"/>
      <c r="E13" s="9"/>
      <c r="F13" s="87">
        <v>1</v>
      </c>
      <c r="G13" s="9"/>
      <c r="H13" s="108" t="s">
        <v>66</v>
      </c>
      <c r="I13" s="88" t="s">
        <v>70</v>
      </c>
      <c r="J13" s="109" t="s">
        <v>71</v>
      </c>
      <c r="K13" s="87" t="s">
        <v>72</v>
      </c>
      <c r="L13" s="9"/>
      <c r="M13" s="87">
        <v>1</v>
      </c>
      <c r="N13" s="110" t="s">
        <v>73</v>
      </c>
      <c r="O13" s="111"/>
      <c r="P13" s="111"/>
      <c r="Q13" s="112"/>
      <c r="R13" s="87">
        <v>1</v>
      </c>
      <c r="S13" s="95" t="s">
        <v>74</v>
      </c>
      <c r="T13" s="113"/>
      <c r="U13" s="114">
        <v>413817759.0187788</v>
      </c>
      <c r="V13" s="87">
        <v>1</v>
      </c>
      <c r="W13" s="96" t="s">
        <v>75</v>
      </c>
      <c r="X13" s="115">
        <f>+'[1]KJB-4 Sum'!AS51</f>
        <v>5097962433.1576805</v>
      </c>
      <c r="Y13" s="98" t="s">
        <v>76</v>
      </c>
      <c r="Z13" s="87">
        <v>1</v>
      </c>
      <c r="AA13" s="12" t="s">
        <v>77</v>
      </c>
      <c r="AB13" s="116">
        <v>249419038.22</v>
      </c>
      <c r="AC13" s="116">
        <v>306788477.58413273</v>
      </c>
      <c r="AD13" s="116">
        <f>AC13-AB13</f>
        <v>57369439.364132732</v>
      </c>
      <c r="AE13" s="87">
        <v>1</v>
      </c>
      <c r="AF13" s="4" t="s">
        <v>78</v>
      </c>
      <c r="AG13" s="117">
        <v>162500</v>
      </c>
      <c r="AH13" s="117">
        <v>76666.666666666672</v>
      </c>
      <c r="AI13" s="117">
        <f>AH13-AG13</f>
        <v>-85833.333333333328</v>
      </c>
      <c r="AJ13" s="87">
        <v>1</v>
      </c>
      <c r="AK13" s="9" t="s">
        <v>79</v>
      </c>
      <c r="AL13" s="87" t="s">
        <v>80</v>
      </c>
      <c r="AM13" s="87" t="s">
        <v>81</v>
      </c>
      <c r="AN13" s="87" t="s">
        <v>81</v>
      </c>
      <c r="AO13" s="87" t="s">
        <v>81</v>
      </c>
      <c r="AP13" s="87" t="s">
        <v>81</v>
      </c>
      <c r="AQ13" s="87" t="s">
        <v>82</v>
      </c>
      <c r="AR13" s="9"/>
      <c r="AS13" s="87">
        <v>1</v>
      </c>
      <c r="AT13" s="12" t="s">
        <v>83</v>
      </c>
      <c r="AU13" s="4"/>
      <c r="AV13" s="4"/>
      <c r="AW13" s="4"/>
      <c r="AX13" s="12">
        <v>1</v>
      </c>
      <c r="AY13" s="12" t="s">
        <v>84</v>
      </c>
      <c r="AZ13" s="118">
        <v>117054.47314375022</v>
      </c>
      <c r="BA13" s="118">
        <v>92221.976429313785</v>
      </c>
      <c r="BB13" s="118">
        <f>+BA13-AZ13</f>
        <v>-24832.496714436435</v>
      </c>
      <c r="BC13" s="107" t="s">
        <v>85</v>
      </c>
      <c r="BD13" s="2" t="s">
        <v>86</v>
      </c>
      <c r="BE13" s="2"/>
      <c r="BF13" s="119">
        <v>108170.94876945516</v>
      </c>
      <c r="BG13" s="87">
        <v>1</v>
      </c>
      <c r="BH13" s="91" t="s">
        <v>87</v>
      </c>
      <c r="BI13" s="120"/>
      <c r="BJ13" s="7"/>
      <c r="BK13" s="107" t="s">
        <v>85</v>
      </c>
      <c r="BL13" s="104" t="s">
        <v>88</v>
      </c>
      <c r="BM13" s="104"/>
      <c r="BN13" s="3">
        <v>1736007.1099999975</v>
      </c>
      <c r="BO13" s="87">
        <v>1</v>
      </c>
      <c r="BP13" s="9" t="s">
        <v>89</v>
      </c>
      <c r="BQ13" s="114">
        <v>4178643.7106927508</v>
      </c>
      <c r="BR13" s="114">
        <v>4124900.4153809994</v>
      </c>
      <c r="BS13" s="114">
        <f>+BR13-BQ13</f>
        <v>-53743.29531175131</v>
      </c>
      <c r="BT13" s="87">
        <v>1</v>
      </c>
      <c r="BU13" s="9" t="s">
        <v>90</v>
      </c>
      <c r="BV13" s="121">
        <v>6111576.3846948147</v>
      </c>
      <c r="BW13" s="121">
        <v>7934569.3772687921</v>
      </c>
      <c r="BX13" s="121">
        <f>+BW13-BV13</f>
        <v>1822992.9925739774</v>
      </c>
      <c r="BY13" s="87">
        <v>1</v>
      </c>
      <c r="BZ13" s="9" t="s">
        <v>91</v>
      </c>
      <c r="CA13" s="13"/>
      <c r="CB13" s="13"/>
      <c r="CC13" s="13"/>
      <c r="CD13" s="87">
        <v>1</v>
      </c>
      <c r="CE13" s="122" t="s">
        <v>92</v>
      </c>
      <c r="CF13" s="9"/>
      <c r="CG13" s="9"/>
      <c r="CH13" s="123"/>
      <c r="CI13" s="87">
        <v>1</v>
      </c>
      <c r="CJ13" s="124" t="s">
        <v>93</v>
      </c>
      <c r="CK13" s="9"/>
      <c r="CL13" s="125"/>
      <c r="CM13" s="125"/>
      <c r="CN13" s="87">
        <v>1</v>
      </c>
      <c r="CO13" s="126" t="s">
        <v>94</v>
      </c>
      <c r="CP13" s="9"/>
      <c r="CQ13" s="125"/>
      <c r="CR13" s="125"/>
      <c r="CS13" s="127">
        <v>1</v>
      </c>
      <c r="CT13" s="128" t="s">
        <v>95</v>
      </c>
      <c r="CU13" s="129"/>
      <c r="CV13" s="129"/>
      <c r="CW13" s="129"/>
      <c r="CX13" s="12">
        <v>1</v>
      </c>
      <c r="CY13" s="130" t="s">
        <v>96</v>
      </c>
      <c r="CZ13" s="129"/>
      <c r="DA13" s="129"/>
      <c r="DB13" s="129"/>
      <c r="DC13" s="127">
        <v>1</v>
      </c>
      <c r="DD13" s="131" t="s">
        <v>97</v>
      </c>
      <c r="DE13" s="132">
        <v>84291892.014198005</v>
      </c>
      <c r="DF13" s="132">
        <v>84328016.972460017</v>
      </c>
      <c r="DG13" s="133">
        <f>DF13-DE13</f>
        <v>36124.958262011409</v>
      </c>
      <c r="DI13" s="13"/>
    </row>
    <row r="14" spans="1:116" s="103" customFormat="1" ht="16.95" customHeight="1">
      <c r="A14" s="107">
        <f t="shared" si="0"/>
        <v>3</v>
      </c>
      <c r="B14" s="134" t="s">
        <v>98</v>
      </c>
      <c r="C14" s="9"/>
      <c r="D14" s="9"/>
      <c r="E14" s="9"/>
      <c r="F14" s="107">
        <f t="shared" ref="F14:F53" si="1">+F13+1</f>
        <v>2</v>
      </c>
      <c r="G14" s="9"/>
      <c r="H14" s="135" t="s">
        <v>99</v>
      </c>
      <c r="I14" s="135" t="s">
        <v>99</v>
      </c>
      <c r="J14" s="136" t="s">
        <v>100</v>
      </c>
      <c r="K14" s="137">
        <v>7.2999999999999995E-2</v>
      </c>
      <c r="L14" s="9"/>
      <c r="M14" s="87">
        <f t="shared" ref="M14:M50" si="2">M13+1</f>
        <v>2</v>
      </c>
      <c r="N14" s="138" t="s">
        <v>101</v>
      </c>
      <c r="O14" s="111"/>
      <c r="P14" s="105" t="s">
        <v>76</v>
      </c>
      <c r="Q14" s="139">
        <v>102287066.92</v>
      </c>
      <c r="R14" s="87">
        <f t="shared" ref="R14:R32" si="3">R13+1</f>
        <v>2</v>
      </c>
      <c r="S14" s="91"/>
      <c r="T14" s="91"/>
      <c r="U14" s="140"/>
      <c r="V14" s="87">
        <f t="shared" ref="V14:V23" si="4">V13+1</f>
        <v>2</v>
      </c>
      <c r="W14" s="96" t="s">
        <v>76</v>
      </c>
      <c r="X14" s="141" t="s">
        <v>76</v>
      </c>
      <c r="Y14" s="142"/>
      <c r="Z14" s="87">
        <f t="shared" ref="Z14:Z42" si="5">Z13+1</f>
        <v>2</v>
      </c>
      <c r="AA14" s="91" t="s">
        <v>102</v>
      </c>
      <c r="AB14" s="143">
        <v>15207047.519823998</v>
      </c>
      <c r="AC14" s="143">
        <v>13232378.856776908</v>
      </c>
      <c r="AD14" s="144">
        <f>+AC14-AB14</f>
        <v>-1974668.6630470902</v>
      </c>
      <c r="AE14" s="87">
        <v>2</v>
      </c>
      <c r="AF14" s="7" t="s">
        <v>103</v>
      </c>
      <c r="AG14" s="145">
        <v>300359.45390300005</v>
      </c>
      <c r="AH14" s="145">
        <v>279442.50856566668</v>
      </c>
      <c r="AI14" s="145">
        <f>AH14-AG14</f>
        <v>-20916.945337333367</v>
      </c>
      <c r="AJ14" s="87">
        <f t="shared" ref="AJ14:AJ29" si="6">AJ13+1</f>
        <v>2</v>
      </c>
      <c r="AK14" s="146" t="s">
        <v>104</v>
      </c>
      <c r="AL14" s="142">
        <v>13270215.639999984</v>
      </c>
      <c r="AM14" s="142">
        <v>2127321374.8900001</v>
      </c>
      <c r="AN14" s="142">
        <v>29723813.52</v>
      </c>
      <c r="AO14" s="142">
        <v>3626759.2399999974</v>
      </c>
      <c r="AP14" s="142">
        <v>352508.76</v>
      </c>
      <c r="AQ14" s="147">
        <f>AM14-AN14-AO14-AP14</f>
        <v>2093618293.3700001</v>
      </c>
      <c r="AR14" s="148">
        <f>ROUND(AL14/AQ14,6)</f>
        <v>6.3379999999999999E-3</v>
      </c>
      <c r="AS14" s="87">
        <f t="shared" ref="AS14:AS30" si="7">AS13+1</f>
        <v>2</v>
      </c>
      <c r="AT14" s="91" t="s">
        <v>105</v>
      </c>
      <c r="AU14" s="4">
        <v>330277.21861834492</v>
      </c>
      <c r="AV14" s="4">
        <v>323610.34041521908</v>
      </c>
      <c r="AW14" s="116">
        <f t="shared" ref="AW14:AW21" si="8">+AV14-AU14</f>
        <v>-6666.8782031258452</v>
      </c>
      <c r="AX14" s="12">
        <v>2</v>
      </c>
      <c r="AY14" s="12"/>
      <c r="AZ14" s="149"/>
      <c r="BA14" s="149"/>
      <c r="BB14" s="149"/>
      <c r="BC14" s="107">
        <f>BC13+1</f>
        <v>2</v>
      </c>
      <c r="BD14" s="9"/>
      <c r="BE14" s="9"/>
      <c r="BF14" s="4"/>
      <c r="BG14" s="87">
        <f t="shared" ref="BG14:BG31" si="9">+BG13+1</f>
        <v>2</v>
      </c>
      <c r="BH14" s="91"/>
      <c r="BI14" s="120"/>
      <c r="BJ14" s="7"/>
      <c r="BK14" s="107">
        <f t="shared" ref="BK14:BK31" si="10">1+BK13</f>
        <v>2</v>
      </c>
      <c r="BL14" s="104" t="s">
        <v>106</v>
      </c>
      <c r="BM14" s="104"/>
      <c r="BN14" s="7">
        <v>-353278.49999999959</v>
      </c>
      <c r="BO14" s="87">
        <f t="shared" ref="BO14:BO20" si="11">BO13+1</f>
        <v>2</v>
      </c>
      <c r="BP14" s="9" t="s">
        <v>107</v>
      </c>
      <c r="BQ14" s="7">
        <v>2006229.4154838233</v>
      </c>
      <c r="BR14" s="7">
        <v>1958207.9099557111</v>
      </c>
      <c r="BS14" s="7">
        <f>+BR14-BQ14</f>
        <v>-48021.505528112175</v>
      </c>
      <c r="BT14" s="87">
        <f>BT13+1</f>
        <v>2</v>
      </c>
      <c r="BU14" s="9"/>
      <c r="BV14" s="150"/>
      <c r="BW14" s="150"/>
      <c r="BX14" s="150"/>
      <c r="BY14" s="87">
        <v>2</v>
      </c>
      <c r="BZ14" s="151" t="s">
        <v>108</v>
      </c>
      <c r="CA14" s="114">
        <v>4380759.8377278037</v>
      </c>
      <c r="CB14" s="114">
        <v>4527515.2922916859</v>
      </c>
      <c r="CC14" s="114">
        <f t="shared" ref="CC14:CC21" si="12">+CB14-CA14</f>
        <v>146755.4545638822</v>
      </c>
      <c r="CD14" s="87">
        <f t="shared" ref="CD14:CD35" si="13">CD13+1</f>
        <v>2</v>
      </c>
      <c r="CE14" s="152" t="s">
        <v>109</v>
      </c>
      <c r="CF14" s="153"/>
      <c r="CG14" s="4">
        <v>7483207.9381920006</v>
      </c>
      <c r="CI14" s="87">
        <v>2</v>
      </c>
      <c r="CJ14" s="91" t="s">
        <v>110</v>
      </c>
      <c r="CK14" s="91"/>
      <c r="CL14" s="140"/>
      <c r="CM14" s="142">
        <v>15271331.540317921</v>
      </c>
      <c r="CN14" s="87">
        <f t="shared" ref="CN14:CN27" si="14">CN13+1</f>
        <v>2</v>
      </c>
      <c r="CO14" s="154"/>
      <c r="CP14" s="91"/>
      <c r="CQ14" s="140"/>
      <c r="CR14" s="142"/>
      <c r="CS14" s="127">
        <v>2</v>
      </c>
      <c r="CT14" s="12" t="s">
        <v>111</v>
      </c>
      <c r="CU14" s="155">
        <v>1047962.0507459998</v>
      </c>
      <c r="CV14" s="155">
        <v>835892.12481449998</v>
      </c>
      <c r="CW14" s="118">
        <f>+CV14-CU14</f>
        <v>-212069.92593149981</v>
      </c>
      <c r="CX14" s="12">
        <v>2</v>
      </c>
      <c r="CY14" s="128" t="s">
        <v>112</v>
      </c>
      <c r="CZ14" s="149"/>
      <c r="DA14" s="149"/>
      <c r="DB14" s="149"/>
      <c r="DC14" s="127">
        <v>2</v>
      </c>
      <c r="DD14" s="156" t="s">
        <v>113</v>
      </c>
      <c r="DE14" s="102">
        <v>4386765.2</v>
      </c>
      <c r="DF14" s="102">
        <v>4334851.9246400008</v>
      </c>
      <c r="DG14" s="157">
        <f>DF14-DE14</f>
        <v>-51913.275359999388</v>
      </c>
      <c r="DI14" s="13"/>
    </row>
    <row r="15" spans="1:116" s="103" customFormat="1" ht="18" customHeight="1" thickBot="1">
      <c r="A15" s="107">
        <f t="shared" si="0"/>
        <v>4</v>
      </c>
      <c r="B15" s="158" t="s">
        <v>114</v>
      </c>
      <c r="C15" s="9"/>
      <c r="D15" s="142">
        <v>6318302.8499999996</v>
      </c>
      <c r="E15" s="159"/>
      <c r="F15" s="107">
        <f t="shared" si="1"/>
        <v>3</v>
      </c>
      <c r="G15" s="160" t="s">
        <v>115</v>
      </c>
      <c r="H15" s="161">
        <v>1709553137</v>
      </c>
      <c r="I15" s="161">
        <v>1757265842.6147575</v>
      </c>
      <c r="J15" s="92">
        <f t="shared" ref="J15:J26" si="15">+I15-H15</f>
        <v>47712705.614757538</v>
      </c>
      <c r="K15" s="92">
        <f t="shared" ref="K15:K26" si="16">ROUND(+J15*(1-$K$14),0)</f>
        <v>44229678</v>
      </c>
      <c r="L15" s="9"/>
      <c r="M15" s="87">
        <f t="shared" si="2"/>
        <v>3</v>
      </c>
      <c r="N15" s="152" t="s">
        <v>116</v>
      </c>
      <c r="O15" s="153"/>
      <c r="P15" s="105" t="s">
        <v>76</v>
      </c>
      <c r="Q15" s="112">
        <v>58785500.5</v>
      </c>
      <c r="R15" s="87">
        <f t="shared" si="3"/>
        <v>3</v>
      </c>
      <c r="S15" s="162" t="s">
        <v>26</v>
      </c>
      <c r="T15" s="163">
        <v>0.35</v>
      </c>
      <c r="U15" s="164">
        <f>U13*T15</f>
        <v>144836215.65657258</v>
      </c>
      <c r="V15" s="87">
        <f t="shared" si="4"/>
        <v>3</v>
      </c>
      <c r="W15" s="104" t="s">
        <v>117</v>
      </c>
      <c r="X15" s="165">
        <f>SUM(X13:X14)</f>
        <v>5097962433.1576805</v>
      </c>
      <c r="Y15" s="142"/>
      <c r="Z15" s="87">
        <f t="shared" si="5"/>
        <v>3</v>
      </c>
      <c r="AA15" s="91" t="s">
        <v>118</v>
      </c>
      <c r="AB15" s="143">
        <v>55937.910695999999</v>
      </c>
      <c r="AC15" s="143">
        <v>55937.910695999999</v>
      </c>
      <c r="AD15" s="144">
        <f>+AC15-AB15</f>
        <v>0</v>
      </c>
      <c r="AE15" s="87">
        <v>3</v>
      </c>
      <c r="AF15" s="7" t="s">
        <v>119</v>
      </c>
      <c r="AG15" s="105">
        <f>SUM(AG13:AG14)</f>
        <v>462859.45390300005</v>
      </c>
      <c r="AH15" s="105">
        <f>SUM(AH13:AH14)</f>
        <v>356109.17523233336</v>
      </c>
      <c r="AI15" s="105">
        <f>SUM(AI13:AI14)</f>
        <v>-106750.2786706667</v>
      </c>
      <c r="AJ15" s="87">
        <f t="shared" si="6"/>
        <v>3</v>
      </c>
      <c r="AK15" s="146" t="s">
        <v>120</v>
      </c>
      <c r="AL15" s="102">
        <v>13381338.190000001</v>
      </c>
      <c r="AM15" s="102">
        <v>2006366630.26</v>
      </c>
      <c r="AN15" s="102">
        <v>33059229.91</v>
      </c>
      <c r="AO15" s="102">
        <v>65827878.809999995</v>
      </c>
      <c r="AP15" s="102">
        <v>321888.03000000003</v>
      </c>
      <c r="AQ15" s="102">
        <f>AM15-AN15-AO15-AP15</f>
        <v>1907157633.51</v>
      </c>
      <c r="AR15" s="148">
        <f>ROUND(AL15/AQ15,6)</f>
        <v>7.0159999999999997E-3</v>
      </c>
      <c r="AS15" s="87">
        <f t="shared" si="7"/>
        <v>3</v>
      </c>
      <c r="AT15" s="91" t="s">
        <v>121</v>
      </c>
      <c r="AU15" s="102">
        <v>1539502.5690667895</v>
      </c>
      <c r="AV15" s="105">
        <v>1483757.3337856447</v>
      </c>
      <c r="AW15" s="105">
        <f t="shared" si="8"/>
        <v>-55745.235281144734</v>
      </c>
      <c r="AX15" s="12">
        <v>3</v>
      </c>
      <c r="AY15" s="12" t="s">
        <v>122</v>
      </c>
      <c r="AZ15" s="149"/>
      <c r="BA15" s="149"/>
      <c r="BB15" s="149">
        <f>BB13</f>
        <v>-24832.496714436435</v>
      </c>
      <c r="BC15" s="107">
        <f>BC14+1</f>
        <v>3</v>
      </c>
      <c r="BD15" s="9" t="s">
        <v>123</v>
      </c>
      <c r="BE15" s="9"/>
      <c r="BF15" s="166">
        <f>-BF13</f>
        <v>-108170.94876945516</v>
      </c>
      <c r="BG15" s="87">
        <f t="shared" si="9"/>
        <v>3</v>
      </c>
      <c r="BH15" s="91" t="s">
        <v>124</v>
      </c>
      <c r="BI15" s="167">
        <v>1040000</v>
      </c>
      <c r="BJ15" s="168"/>
      <c r="BK15" s="107">
        <f t="shared" si="10"/>
        <v>3</v>
      </c>
      <c r="BL15" s="104" t="s">
        <v>125</v>
      </c>
      <c r="BM15" s="9"/>
      <c r="BN15" s="165">
        <f>SUM(BN13:BN14)</f>
        <v>1382728.609999998</v>
      </c>
      <c r="BO15" s="87">
        <f t="shared" si="11"/>
        <v>3</v>
      </c>
      <c r="BP15" s="91" t="s">
        <v>126</v>
      </c>
      <c r="BQ15" s="165">
        <f>SUM(BQ13:BQ14)</f>
        <v>6184873.1261765743</v>
      </c>
      <c r="BR15" s="165">
        <f>SUM(BR13:BR14)</f>
        <v>6083108.3253367105</v>
      </c>
      <c r="BS15" s="165">
        <f>SUM(BS13:BS14)</f>
        <v>-101764.80083986348</v>
      </c>
      <c r="BT15" s="87">
        <f>BT14+1</f>
        <v>3</v>
      </c>
      <c r="BU15" s="91" t="s">
        <v>126</v>
      </c>
      <c r="BV15" s="7">
        <f>SUM(BV13:BV14)</f>
        <v>6111576.3846948147</v>
      </c>
      <c r="BW15" s="7">
        <f>SUM(BW13:BW14)</f>
        <v>7934569.3772687921</v>
      </c>
      <c r="BX15" s="7">
        <f>SUM(BX13:BX14)</f>
        <v>1822992.9925739774</v>
      </c>
      <c r="BY15" s="87">
        <v>3</v>
      </c>
      <c r="BZ15" s="151" t="s">
        <v>127</v>
      </c>
      <c r="CA15" s="169">
        <v>20419279.131090328</v>
      </c>
      <c r="CB15" s="169">
        <v>20758759.979530361</v>
      </c>
      <c r="CC15" s="169">
        <f t="shared" si="12"/>
        <v>339480.84844003245</v>
      </c>
      <c r="CD15" s="87">
        <f t="shared" si="13"/>
        <v>3</v>
      </c>
      <c r="CE15" s="104" t="s">
        <v>128</v>
      </c>
      <c r="CF15" s="170">
        <v>3.3500000000000002E-2</v>
      </c>
      <c r="CG15" s="171">
        <f>CG14*CF15</f>
        <v>250687.46592943204</v>
      </c>
      <c r="CI15" s="87">
        <v>3</v>
      </c>
      <c r="CJ15" s="91" t="s">
        <v>129</v>
      </c>
      <c r="CK15" s="91"/>
      <c r="CL15" s="140"/>
      <c r="CM15" s="171">
        <v>9200243.6631220803</v>
      </c>
      <c r="CN15" s="87">
        <f t="shared" si="14"/>
        <v>3</v>
      </c>
      <c r="CO15" s="154" t="s">
        <v>130</v>
      </c>
      <c r="CP15" s="91"/>
      <c r="CQ15" s="172">
        <v>9596412.3000000007</v>
      </c>
      <c r="CR15" s="7"/>
      <c r="CS15" s="127">
        <v>3</v>
      </c>
      <c r="CT15" s="12" t="s">
        <v>122</v>
      </c>
      <c r="CU15" s="105">
        <f>SUM(CU14)</f>
        <v>1047962.0507459998</v>
      </c>
      <c r="CV15" s="105">
        <f>SUM(CV14)</f>
        <v>835892.12481449998</v>
      </c>
      <c r="CW15" s="105">
        <f>SUM(CW14)</f>
        <v>-212069.92593149981</v>
      </c>
      <c r="CX15" s="12">
        <v>3</v>
      </c>
      <c r="CY15" s="173" t="s">
        <v>131</v>
      </c>
      <c r="CZ15" s="132">
        <v>2565876.3629749999</v>
      </c>
      <c r="DA15" s="132">
        <v>20603887.664999999</v>
      </c>
      <c r="DB15" s="133">
        <f t="shared" ref="DB15:DB21" si="17">DA15-CZ15</f>
        <v>18038011.302024998</v>
      </c>
      <c r="DC15" s="127">
        <v>3</v>
      </c>
      <c r="DD15" s="174" t="s">
        <v>132</v>
      </c>
      <c r="DE15" s="175">
        <f>DE13+DE14</f>
        <v>88678657.214198008</v>
      </c>
      <c r="DF15" s="175">
        <f>DF13+DF14</f>
        <v>88662868.897100016</v>
      </c>
      <c r="DG15" s="175">
        <f>DG13+DG14</f>
        <v>-15788.31709798798</v>
      </c>
      <c r="DI15" s="13"/>
    </row>
    <row r="16" spans="1:116" s="103" customFormat="1" ht="14.4" thickTop="1">
      <c r="A16" s="107">
        <f t="shared" si="0"/>
        <v>5</v>
      </c>
      <c r="B16" s="158" t="s">
        <v>133</v>
      </c>
      <c r="C16" s="9"/>
      <c r="D16" s="176">
        <v>54955983.910000004</v>
      </c>
      <c r="E16" s="159"/>
      <c r="F16" s="107">
        <f t="shared" si="1"/>
        <v>4</v>
      </c>
      <c r="G16" s="160" t="s">
        <v>134</v>
      </c>
      <c r="H16" s="161">
        <v>2071074561</v>
      </c>
      <c r="I16" s="161">
        <v>2021559503.7397845</v>
      </c>
      <c r="J16" s="92">
        <f t="shared" si="15"/>
        <v>-49515057.260215521</v>
      </c>
      <c r="K16" s="92">
        <f t="shared" si="16"/>
        <v>-45900458</v>
      </c>
      <c r="L16" s="9"/>
      <c r="M16" s="87">
        <f t="shared" si="2"/>
        <v>4</v>
      </c>
      <c r="N16" s="138" t="s">
        <v>135</v>
      </c>
      <c r="O16" s="153"/>
      <c r="P16" s="105" t="s">
        <v>76</v>
      </c>
      <c r="Q16" s="112">
        <v>84690569.569999993</v>
      </c>
      <c r="R16" s="87">
        <f t="shared" si="3"/>
        <v>4</v>
      </c>
      <c r="S16" s="91" t="s">
        <v>136</v>
      </c>
      <c r="T16" s="9"/>
      <c r="U16" s="177">
        <f>U15</f>
        <v>144836215.65657258</v>
      </c>
      <c r="V16" s="87">
        <f t="shared" si="4"/>
        <v>4</v>
      </c>
      <c r="W16" s="104"/>
      <c r="X16" s="104"/>
      <c r="Y16" s="104"/>
      <c r="Z16" s="87">
        <f t="shared" si="5"/>
        <v>4</v>
      </c>
      <c r="AA16" s="91" t="s">
        <v>137</v>
      </c>
      <c r="AB16" s="143">
        <v>29770695.186882004</v>
      </c>
      <c r="AC16" s="143">
        <v>29770695.186882004</v>
      </c>
      <c r="AD16" s="178">
        <f>+AC16-AB16</f>
        <v>0</v>
      </c>
      <c r="AE16" s="87">
        <v>4</v>
      </c>
      <c r="AF16" s="179"/>
      <c r="AG16" s="105"/>
      <c r="AH16" s="105"/>
      <c r="AI16" s="105"/>
      <c r="AJ16" s="87">
        <f t="shared" si="6"/>
        <v>4</v>
      </c>
      <c r="AK16" s="146" t="s">
        <v>138</v>
      </c>
      <c r="AL16" s="102">
        <v>17507852.960000001</v>
      </c>
      <c r="AM16" s="102">
        <v>2204873602.5399995</v>
      </c>
      <c r="AN16" s="102">
        <v>51568623.43</v>
      </c>
      <c r="AO16" s="102">
        <v>-4047083.2700000033</v>
      </c>
      <c r="AP16" s="102">
        <v>323282.82</v>
      </c>
      <c r="AQ16" s="102">
        <f>AM16-AN16-AO16-AP16</f>
        <v>2157028779.5599995</v>
      </c>
      <c r="AR16" s="180">
        <f>ROUND(AL16/AQ16,6)</f>
        <v>8.1169999999999992E-3</v>
      </c>
      <c r="AS16" s="87">
        <f t="shared" si="7"/>
        <v>4</v>
      </c>
      <c r="AT16" s="12" t="s">
        <v>139</v>
      </c>
      <c r="AU16" s="102">
        <v>675496.77630054636</v>
      </c>
      <c r="AV16" s="105">
        <v>657399.03559729992</v>
      </c>
      <c r="AW16" s="105">
        <f t="shared" si="8"/>
        <v>-18097.74070324644</v>
      </c>
      <c r="AX16" s="12">
        <v>4</v>
      </c>
      <c r="AY16" s="12"/>
      <c r="AZ16" s="105"/>
      <c r="BA16" s="105"/>
      <c r="BB16" s="105"/>
      <c r="BC16" s="107"/>
      <c r="BD16" s="9"/>
      <c r="BE16" s="9"/>
      <c r="BF16" s="9"/>
      <c r="BG16" s="87">
        <f t="shared" si="9"/>
        <v>4</v>
      </c>
      <c r="BH16" s="91"/>
      <c r="BI16" s="120"/>
      <c r="BJ16" s="7"/>
      <c r="BK16" s="107">
        <f t="shared" si="10"/>
        <v>4</v>
      </c>
      <c r="BL16" s="9"/>
      <c r="BM16" s="9"/>
      <c r="BN16" s="102"/>
      <c r="BO16" s="87">
        <f t="shared" si="11"/>
        <v>4</v>
      </c>
      <c r="BP16" s="91"/>
      <c r="BQ16" s="9"/>
      <c r="BR16" s="9"/>
      <c r="BS16" s="102"/>
      <c r="BT16" s="87">
        <f>BT15+1</f>
        <v>4</v>
      </c>
      <c r="BU16" s="91"/>
      <c r="BV16" s="9"/>
      <c r="BW16" s="9"/>
      <c r="BX16" s="102"/>
      <c r="BY16" s="87">
        <v>4</v>
      </c>
      <c r="BZ16" s="151" t="s">
        <v>139</v>
      </c>
      <c r="CA16" s="169">
        <v>8959227.0002665874</v>
      </c>
      <c r="CB16" s="169">
        <v>9197453.1000313908</v>
      </c>
      <c r="CC16" s="169">
        <f t="shared" si="12"/>
        <v>238226.09976480342</v>
      </c>
      <c r="CD16" s="87">
        <f t="shared" si="13"/>
        <v>4</v>
      </c>
      <c r="CE16" s="181" t="s">
        <v>140</v>
      </c>
      <c r="CF16" s="153"/>
      <c r="CG16" s="153"/>
      <c r="CH16" s="100">
        <f>SUM(CG14:CG15)</f>
        <v>7733895.4041214325</v>
      </c>
      <c r="CI16" s="87">
        <v>4</v>
      </c>
      <c r="CJ16" s="9" t="s">
        <v>141</v>
      </c>
      <c r="CK16" s="9"/>
      <c r="CL16" s="140"/>
      <c r="CM16" s="165">
        <f>SUM(CM14:CM15)</f>
        <v>24471575.203440003</v>
      </c>
      <c r="CN16" s="87">
        <f t="shared" si="14"/>
        <v>4</v>
      </c>
      <c r="CO16" s="104" t="s">
        <v>142</v>
      </c>
      <c r="CP16" s="9"/>
      <c r="CQ16" s="140"/>
      <c r="CR16" s="157">
        <f>CQ15/5</f>
        <v>1919282.4600000002</v>
      </c>
      <c r="CS16" s="127">
        <v>4</v>
      </c>
      <c r="CT16" s="12"/>
      <c r="CU16" s="105"/>
      <c r="CV16" s="105"/>
      <c r="CW16" s="105"/>
      <c r="CX16" s="12">
        <v>4</v>
      </c>
      <c r="CY16" s="173" t="s">
        <v>143</v>
      </c>
      <c r="CZ16" s="105">
        <v>2296590.5674166665</v>
      </c>
      <c r="DA16" s="105">
        <v>0</v>
      </c>
      <c r="DB16" s="105">
        <f t="shared" si="17"/>
        <v>-2296590.5674166665</v>
      </c>
      <c r="DC16" s="127">
        <v>4</v>
      </c>
      <c r="DD16" s="174"/>
      <c r="DE16" s="105"/>
      <c r="DF16" s="182"/>
      <c r="DG16" s="182"/>
      <c r="DI16" s="13"/>
    </row>
    <row r="17" spans="1:113" s="103" customFormat="1" ht="13.8">
      <c r="A17" s="107">
        <f t="shared" si="0"/>
        <v>6</v>
      </c>
      <c r="B17" s="158" t="s">
        <v>144</v>
      </c>
      <c r="C17" s="9"/>
      <c r="D17" s="176">
        <v>29011926</v>
      </c>
      <c r="E17" s="159"/>
      <c r="F17" s="107">
        <f t="shared" si="1"/>
        <v>5</v>
      </c>
      <c r="G17" s="160" t="s">
        <v>145</v>
      </c>
      <c r="H17" s="161">
        <v>2293718205</v>
      </c>
      <c r="I17" s="161">
        <v>2341463234.1684051</v>
      </c>
      <c r="J17" s="92">
        <f t="shared" si="15"/>
        <v>47745029.168405056</v>
      </c>
      <c r="K17" s="92">
        <f t="shared" si="16"/>
        <v>44259642</v>
      </c>
      <c r="L17" s="9"/>
      <c r="M17" s="87">
        <f t="shared" si="2"/>
        <v>5</v>
      </c>
      <c r="N17" s="138" t="s">
        <v>146</v>
      </c>
      <c r="O17" s="153"/>
      <c r="P17" s="105"/>
      <c r="Q17" s="112">
        <v>13257.679999999998</v>
      </c>
      <c r="R17" s="87">
        <f t="shared" si="3"/>
        <v>5</v>
      </c>
      <c r="S17" s="91" t="s">
        <v>76</v>
      </c>
      <c r="T17" s="91"/>
      <c r="U17" s="100" t="s">
        <v>76</v>
      </c>
      <c r="V17" s="87">
        <f t="shared" si="4"/>
        <v>5</v>
      </c>
      <c r="W17" s="96" t="s">
        <v>147</v>
      </c>
      <c r="X17" s="183">
        <v>2.9899999999999999E-2</v>
      </c>
      <c r="Y17" s="169" t="s">
        <v>76</v>
      </c>
      <c r="Z17" s="87">
        <f t="shared" si="5"/>
        <v>5</v>
      </c>
      <c r="AA17" s="91" t="s">
        <v>148</v>
      </c>
      <c r="AB17" s="184">
        <f>SUM(AB13:AB16)</f>
        <v>294452718.83740199</v>
      </c>
      <c r="AC17" s="184">
        <f>SUM(AC13:AC16)</f>
        <v>349847489.53848767</v>
      </c>
      <c r="AD17" s="185">
        <f>SUM(AD13:AD16)</f>
        <v>55394770.701085642</v>
      </c>
      <c r="AE17" s="87">
        <v>5</v>
      </c>
      <c r="AF17" s="186" t="s">
        <v>149</v>
      </c>
      <c r="AG17" s="105"/>
      <c r="AH17" s="105"/>
      <c r="AI17" s="105">
        <f>AI15</f>
        <v>-106750.2786706667</v>
      </c>
      <c r="AJ17" s="87">
        <f t="shared" si="6"/>
        <v>5</v>
      </c>
      <c r="AK17" s="187" t="s">
        <v>150</v>
      </c>
      <c r="AL17" s="188"/>
      <c r="AM17" s="188"/>
      <c r="AN17" s="188"/>
      <c r="AO17" s="188"/>
      <c r="AP17" s="188"/>
      <c r="AQ17" s="189"/>
      <c r="AR17" s="148">
        <f>ROUND(IF(ISERROR(AVERAGE(AR14,AR15,AR16)),0,AVERAGE(AR14,AR15,AR16)),6)</f>
        <v>7.1570000000000002E-3</v>
      </c>
      <c r="AS17" s="87">
        <f t="shared" si="7"/>
        <v>5</v>
      </c>
      <c r="AT17" s="12" t="s">
        <v>151</v>
      </c>
      <c r="AU17" s="102">
        <v>1814058.848417453</v>
      </c>
      <c r="AV17" s="105">
        <v>1746069.2993820761</v>
      </c>
      <c r="AW17" s="105">
        <f t="shared" si="8"/>
        <v>-67989.549035376869</v>
      </c>
      <c r="AX17" s="12">
        <v>5</v>
      </c>
      <c r="AY17" s="12" t="s">
        <v>152</v>
      </c>
      <c r="AZ17" s="105"/>
      <c r="BA17" s="190">
        <v>0.35</v>
      </c>
      <c r="BB17" s="145">
        <f>-BB15*BA17</f>
        <v>8691.3738500527506</v>
      </c>
      <c r="BC17" s="107"/>
      <c r="BD17" s="2"/>
      <c r="BE17" s="2"/>
      <c r="BF17" s="2"/>
      <c r="BG17" s="87">
        <f t="shared" si="9"/>
        <v>5</v>
      </c>
      <c r="BH17" s="191" t="s">
        <v>153</v>
      </c>
      <c r="BI17" s="192">
        <f>BI15/2</f>
        <v>520000</v>
      </c>
      <c r="BJ17" s="193"/>
      <c r="BK17" s="107">
        <f t="shared" si="10"/>
        <v>5</v>
      </c>
      <c r="BL17" s="194" t="s">
        <v>154</v>
      </c>
      <c r="BM17" s="9"/>
      <c r="BN17" s="102">
        <v>-4002173.9600000004</v>
      </c>
      <c r="BO17" s="87">
        <f t="shared" si="11"/>
        <v>5</v>
      </c>
      <c r="BP17" s="9" t="s">
        <v>155</v>
      </c>
      <c r="BQ17" s="9"/>
      <c r="BR17" s="9"/>
      <c r="BS17" s="102">
        <f>BS15</f>
        <v>-101764.80083986348</v>
      </c>
      <c r="BT17" s="87">
        <f>BT16+1</f>
        <v>5</v>
      </c>
      <c r="BU17" s="91" t="s">
        <v>152</v>
      </c>
      <c r="BV17" s="195">
        <v>0.35</v>
      </c>
      <c r="BW17" s="163"/>
      <c r="BX17" s="177">
        <f>-BV17*BX15</f>
        <v>-638047.54740089201</v>
      </c>
      <c r="BY17" s="87">
        <v>5</v>
      </c>
      <c r="BZ17" s="151" t="s">
        <v>151</v>
      </c>
      <c r="CA17" s="169">
        <v>24060543.133236647</v>
      </c>
      <c r="CB17" s="169">
        <v>24428711.200946681</v>
      </c>
      <c r="CC17" s="169">
        <f t="shared" si="12"/>
        <v>368168.06771003455</v>
      </c>
      <c r="CD17" s="87">
        <f t="shared" si="13"/>
        <v>5</v>
      </c>
      <c r="CE17" s="11"/>
      <c r="CF17" s="153"/>
      <c r="CG17" s="153"/>
      <c r="CH17" s="100"/>
      <c r="CI17" s="87">
        <v>5</v>
      </c>
      <c r="CJ17" s="9"/>
      <c r="CK17" s="9"/>
      <c r="CL17" s="140"/>
      <c r="CM17" s="102"/>
      <c r="CN17" s="87">
        <f t="shared" si="14"/>
        <v>5</v>
      </c>
      <c r="CO17" s="104"/>
      <c r="CP17" s="9"/>
      <c r="CQ17" s="140"/>
      <c r="CR17" s="102"/>
      <c r="CS17" s="127">
        <v>5</v>
      </c>
      <c r="CT17" s="12"/>
      <c r="CU17" s="196"/>
      <c r="CV17" s="196"/>
      <c r="CW17" s="196"/>
      <c r="CX17" s="12">
        <v>5</v>
      </c>
      <c r="CY17" s="173" t="s">
        <v>156</v>
      </c>
      <c r="CZ17" s="105">
        <v>-41074.731625878645</v>
      </c>
      <c r="DA17" s="105">
        <v>-1199152.1377783362</v>
      </c>
      <c r="DB17" s="105">
        <f t="shared" si="17"/>
        <v>-1158077.4061524575</v>
      </c>
      <c r="DC17" s="127">
        <v>5</v>
      </c>
      <c r="DD17" s="152" t="s">
        <v>157</v>
      </c>
      <c r="DE17" s="105"/>
      <c r="DF17" s="182"/>
      <c r="DG17" s="7">
        <f>DG15</f>
        <v>-15788.31709798798</v>
      </c>
      <c r="DI17" s="13"/>
    </row>
    <row r="18" spans="1:113" s="103" customFormat="1" ht="14.4" thickBot="1">
      <c r="A18" s="107">
        <f t="shared" si="0"/>
        <v>7</v>
      </c>
      <c r="B18" s="158" t="s">
        <v>158</v>
      </c>
      <c r="C18" s="9"/>
      <c r="D18" s="176">
        <v>-29745544</v>
      </c>
      <c r="E18" s="159"/>
      <c r="F18" s="107">
        <f t="shared" si="1"/>
        <v>6</v>
      </c>
      <c r="G18" s="160" t="s">
        <v>159</v>
      </c>
      <c r="H18" s="161">
        <v>2264400226</v>
      </c>
      <c r="I18" s="161">
        <v>2313151612.2310338</v>
      </c>
      <c r="J18" s="92">
        <f t="shared" si="15"/>
        <v>48751386.231033802</v>
      </c>
      <c r="K18" s="92">
        <f t="shared" si="16"/>
        <v>45192535</v>
      </c>
      <c r="L18" s="9"/>
      <c r="M18" s="87">
        <f t="shared" si="2"/>
        <v>6</v>
      </c>
      <c r="N18" s="138" t="s">
        <v>160</v>
      </c>
      <c r="O18" s="153"/>
      <c r="P18" s="105" t="s">
        <v>76</v>
      </c>
      <c r="Q18" s="112">
        <v>17088658.920000002</v>
      </c>
      <c r="R18" s="87">
        <f t="shared" si="3"/>
        <v>6</v>
      </c>
      <c r="S18" s="9" t="s">
        <v>161</v>
      </c>
      <c r="T18" s="9"/>
      <c r="U18" s="177">
        <v>64183937.829999998</v>
      </c>
      <c r="V18" s="87">
        <f t="shared" si="4"/>
        <v>6</v>
      </c>
      <c r="W18" s="96" t="s">
        <v>162</v>
      </c>
      <c r="Y18" s="102">
        <f>+X15*X17</f>
        <v>152429076.75141466</v>
      </c>
      <c r="Z18" s="87">
        <f t="shared" si="5"/>
        <v>6</v>
      </c>
      <c r="AA18" s="91"/>
      <c r="AB18" s="197"/>
      <c r="AC18" s="197"/>
      <c r="AD18" s="197"/>
      <c r="AE18" s="87">
        <v>6</v>
      </c>
      <c r="AF18" s="186" t="s">
        <v>152</v>
      </c>
      <c r="AG18" s="12"/>
      <c r="AH18" s="198">
        <v>0.35</v>
      </c>
      <c r="AI18" s="145">
        <f>ROUND(-AI17*AH18,0)</f>
        <v>37363</v>
      </c>
      <c r="AJ18" s="87">
        <f t="shared" si="6"/>
        <v>6</v>
      </c>
      <c r="AK18" s="9"/>
      <c r="AL18" s="9"/>
      <c r="AM18" s="9"/>
      <c r="AN18" s="9"/>
      <c r="AO18" s="9"/>
      <c r="AP18" s="9"/>
      <c r="AQ18" s="9"/>
      <c r="AR18" s="9"/>
      <c r="AS18" s="87">
        <f t="shared" si="7"/>
        <v>6</v>
      </c>
      <c r="AT18" s="12" t="s">
        <v>163</v>
      </c>
      <c r="AU18" s="102">
        <v>831692.0644458835</v>
      </c>
      <c r="AV18" s="105">
        <v>797699.13248879998</v>
      </c>
      <c r="AW18" s="105">
        <f t="shared" si="8"/>
        <v>-33992.931957083521</v>
      </c>
      <c r="AX18" s="12">
        <v>6</v>
      </c>
      <c r="AY18" s="12"/>
      <c r="AZ18" s="105"/>
      <c r="BA18" s="105"/>
      <c r="BB18" s="105"/>
      <c r="BC18" s="107"/>
      <c r="BD18" s="9"/>
      <c r="BE18" s="9"/>
      <c r="BF18" s="9"/>
      <c r="BG18" s="87">
        <f t="shared" si="9"/>
        <v>6</v>
      </c>
      <c r="BH18" s="199" t="s">
        <v>164</v>
      </c>
      <c r="BI18" s="164">
        <v>180704.512644</v>
      </c>
      <c r="BJ18" s="193"/>
      <c r="BK18" s="107">
        <f t="shared" si="10"/>
        <v>6</v>
      </c>
      <c r="BL18" s="194" t="s">
        <v>165</v>
      </c>
      <c r="BM18" s="9"/>
      <c r="BN18" s="102">
        <v>328215.27999999997</v>
      </c>
      <c r="BO18" s="87">
        <f t="shared" si="11"/>
        <v>6</v>
      </c>
      <c r="BP18" s="9"/>
      <c r="BQ18" s="9"/>
      <c r="BR18" s="9"/>
      <c r="BS18" s="140"/>
      <c r="BT18" s="87">
        <f>BT17+1</f>
        <v>6</v>
      </c>
      <c r="BU18" s="91" t="s">
        <v>123</v>
      </c>
      <c r="BV18" s="9"/>
      <c r="BW18" s="9"/>
      <c r="BX18" s="200">
        <f>-BX15-BX17</f>
        <v>-1184945.4451730854</v>
      </c>
      <c r="BY18" s="87">
        <v>6</v>
      </c>
      <c r="BZ18" s="151" t="s">
        <v>163</v>
      </c>
      <c r="CA18" s="169">
        <v>11030663.555404065</v>
      </c>
      <c r="CB18" s="169">
        <v>11160381.690797323</v>
      </c>
      <c r="CC18" s="169">
        <f t="shared" si="12"/>
        <v>129718.13539325818</v>
      </c>
      <c r="CD18" s="87">
        <f t="shared" si="13"/>
        <v>6</v>
      </c>
      <c r="CE18" s="122" t="s">
        <v>166</v>
      </c>
      <c r="CF18" s="201"/>
      <c r="CG18" s="201"/>
      <c r="CH18" s="100"/>
      <c r="CI18" s="87">
        <v>6</v>
      </c>
      <c r="CJ18" s="14" t="s">
        <v>167</v>
      </c>
      <c r="CK18" s="202">
        <v>0.54659120593235488</v>
      </c>
      <c r="CL18" s="9"/>
      <c r="CM18" s="102">
        <f>ROUND(+CK18*CM16,0)</f>
        <v>13375948</v>
      </c>
      <c r="CN18" s="87">
        <f t="shared" si="14"/>
        <v>6</v>
      </c>
      <c r="CO18" s="126" t="s">
        <v>168</v>
      </c>
      <c r="CP18" s="203"/>
      <c r="CQ18" s="9"/>
      <c r="CR18" s="102"/>
      <c r="CS18" s="127">
        <v>6</v>
      </c>
      <c r="CT18" s="128" t="s">
        <v>169</v>
      </c>
      <c r="CU18" s="204"/>
      <c r="CV18" s="149"/>
      <c r="CW18" s="149"/>
      <c r="CX18" s="12">
        <v>6</v>
      </c>
      <c r="CY18" s="173" t="s">
        <v>170</v>
      </c>
      <c r="CZ18" s="105">
        <v>31060.331498886484</v>
      </c>
      <c r="DA18" s="105">
        <v>0</v>
      </c>
      <c r="DB18" s="105">
        <f t="shared" si="17"/>
        <v>-31060.331498886484</v>
      </c>
      <c r="DC18" s="127">
        <v>6</v>
      </c>
      <c r="DD18" s="152" t="s">
        <v>171</v>
      </c>
      <c r="DE18" s="163">
        <v>0.35</v>
      </c>
      <c r="DF18" s="182"/>
      <c r="DG18" s="150">
        <f>ROUND(-DG17*DE18,0)</f>
        <v>5526</v>
      </c>
      <c r="DI18" s="13"/>
    </row>
    <row r="19" spans="1:113" s="103" customFormat="1" ht="17.25" customHeight="1" thickTop="1" thickBot="1">
      <c r="A19" s="107">
        <f t="shared" si="0"/>
        <v>8</v>
      </c>
      <c r="B19" s="158" t="s">
        <v>172</v>
      </c>
      <c r="C19" s="9"/>
      <c r="D19" s="176">
        <v>-82720471.5</v>
      </c>
      <c r="E19" s="159"/>
      <c r="F19" s="107">
        <f t="shared" si="1"/>
        <v>7</v>
      </c>
      <c r="G19" s="160" t="s">
        <v>173</v>
      </c>
      <c r="H19" s="161">
        <v>1926704963</v>
      </c>
      <c r="I19" s="161">
        <v>2027518228.9616108</v>
      </c>
      <c r="J19" s="92">
        <f t="shared" si="15"/>
        <v>100813265.96161079</v>
      </c>
      <c r="K19" s="92">
        <f t="shared" si="16"/>
        <v>93453898</v>
      </c>
      <c r="L19" s="9"/>
      <c r="M19" s="87">
        <f t="shared" si="2"/>
        <v>7</v>
      </c>
      <c r="N19" s="205" t="s">
        <v>174</v>
      </c>
      <c r="O19" s="153"/>
      <c r="P19" s="105" t="s">
        <v>76</v>
      </c>
      <c r="Q19" s="112">
        <v>-72579362.799999982</v>
      </c>
      <c r="R19" s="87">
        <f t="shared" si="3"/>
        <v>7</v>
      </c>
      <c r="S19" s="9" t="s">
        <v>175</v>
      </c>
      <c r="T19" s="9"/>
      <c r="U19" s="177"/>
      <c r="V19" s="87">
        <f t="shared" si="4"/>
        <v>7</v>
      </c>
      <c r="W19" s="96"/>
      <c r="X19" s="206"/>
      <c r="Y19" s="207"/>
      <c r="Z19" s="87">
        <f t="shared" si="5"/>
        <v>7</v>
      </c>
      <c r="AA19" s="12" t="s">
        <v>176</v>
      </c>
      <c r="AB19" s="143">
        <v>1352124.73</v>
      </c>
      <c r="AC19" s="143">
        <v>1739313.9972498522</v>
      </c>
      <c r="AD19" s="144">
        <f>AC19-AB19</f>
        <v>387189.26724985219</v>
      </c>
      <c r="AE19" s="87">
        <v>7</v>
      </c>
      <c r="AF19" s="186"/>
      <c r="AG19" s="12"/>
      <c r="AH19" s="12"/>
      <c r="AI19" s="105"/>
      <c r="AJ19" s="87">
        <f t="shared" si="6"/>
        <v>7</v>
      </c>
      <c r="AK19" s="208" t="s">
        <v>177</v>
      </c>
      <c r="AL19" s="102"/>
      <c r="AM19" s="102">
        <v>2395339771.079999</v>
      </c>
      <c r="AN19" s="102">
        <v>201125741.739999</v>
      </c>
      <c r="AO19" s="102">
        <v>47841338.950000003</v>
      </c>
      <c r="AP19" s="102">
        <v>324382.2</v>
      </c>
      <c r="AQ19" s="102">
        <f>AM19-AN19-AO19-AP19</f>
        <v>2146048308.1900001</v>
      </c>
      <c r="AR19" s="209"/>
      <c r="AS19" s="87">
        <f t="shared" si="7"/>
        <v>7</v>
      </c>
      <c r="AT19" s="12" t="s">
        <v>178</v>
      </c>
      <c r="AU19" s="102">
        <v>104449.15828380465</v>
      </c>
      <c r="AV19" s="105">
        <v>102018.92658053512</v>
      </c>
      <c r="AW19" s="105">
        <f t="shared" si="8"/>
        <v>-2430.2317032695282</v>
      </c>
      <c r="AX19" s="12">
        <v>7</v>
      </c>
      <c r="AY19" s="12" t="s">
        <v>123</v>
      </c>
      <c r="AZ19" s="105"/>
      <c r="BA19" s="105"/>
      <c r="BB19" s="166">
        <f>-BB15-BB17</f>
        <v>16141.122864383684</v>
      </c>
      <c r="BC19" s="107"/>
      <c r="BD19" s="9"/>
      <c r="BE19" s="9"/>
      <c r="BF19" s="9"/>
      <c r="BG19" s="87">
        <f t="shared" si="9"/>
        <v>7</v>
      </c>
      <c r="BH19" s="91" t="s">
        <v>179</v>
      </c>
      <c r="BI19" s="105">
        <f>+BI17-BI18</f>
        <v>339295.487356</v>
      </c>
      <c r="BJ19" s="192">
        <f>+BI19</f>
        <v>339295.487356</v>
      </c>
      <c r="BK19" s="107">
        <f t="shared" si="10"/>
        <v>7</v>
      </c>
      <c r="BL19" s="9" t="s">
        <v>180</v>
      </c>
      <c r="BM19" s="9"/>
      <c r="BN19" s="210">
        <f>SUM(BN17:BN18)</f>
        <v>-3673958.6800000006</v>
      </c>
      <c r="BO19" s="87">
        <f t="shared" si="11"/>
        <v>7</v>
      </c>
      <c r="BP19" s="91" t="s">
        <v>152</v>
      </c>
      <c r="BQ19" s="195">
        <v>0.35</v>
      </c>
      <c r="BR19" s="163"/>
      <c r="BS19" s="177">
        <f>-BQ19*BS17</f>
        <v>35617.680293952217</v>
      </c>
      <c r="BT19" s="87"/>
      <c r="BU19" s="9"/>
      <c r="BV19" s="9"/>
      <c r="BW19" s="9"/>
      <c r="BX19" s="9"/>
      <c r="BY19" s="87">
        <v>7</v>
      </c>
      <c r="BZ19" s="151" t="s">
        <v>178</v>
      </c>
      <c r="CA19" s="169">
        <v>1385463.025825866</v>
      </c>
      <c r="CB19" s="169">
        <v>1427346.657537359</v>
      </c>
      <c r="CC19" s="169">
        <f t="shared" si="12"/>
        <v>41883.631711493013</v>
      </c>
      <c r="CD19" s="87">
        <f t="shared" si="13"/>
        <v>7</v>
      </c>
      <c r="CE19" s="152" t="s">
        <v>181</v>
      </c>
      <c r="CF19" s="153"/>
      <c r="CG19" s="140">
        <v>2733666.2376000001</v>
      </c>
      <c r="CI19" s="87">
        <v>7</v>
      </c>
      <c r="CJ19" s="211" t="s">
        <v>182</v>
      </c>
      <c r="CK19" s="202"/>
      <c r="CL19" s="195"/>
      <c r="CM19" s="102">
        <v>13188639.070766069</v>
      </c>
      <c r="CN19" s="87">
        <f t="shared" si="14"/>
        <v>7</v>
      </c>
      <c r="CO19" s="154"/>
      <c r="CP19" s="91"/>
      <c r="CQ19" s="195"/>
      <c r="CR19" s="12"/>
      <c r="CS19" s="127">
        <v>7</v>
      </c>
      <c r="CT19" s="212" t="s">
        <v>183</v>
      </c>
      <c r="CU19" s="133"/>
      <c r="CV19" s="149">
        <v>2476040.8475628183</v>
      </c>
      <c r="CW19" s="213">
        <f>+CV19-CU19</f>
        <v>2476040.8475628183</v>
      </c>
      <c r="CX19" s="12">
        <v>7</v>
      </c>
      <c r="CY19" s="173" t="s">
        <v>184</v>
      </c>
      <c r="CZ19" s="105">
        <v>-1087774.3612499998</v>
      </c>
      <c r="DA19" s="105">
        <v>0</v>
      </c>
      <c r="DB19" s="105">
        <f t="shared" si="17"/>
        <v>1087774.3612499998</v>
      </c>
      <c r="DC19" s="127">
        <v>7</v>
      </c>
      <c r="DD19" s="152" t="s">
        <v>185</v>
      </c>
      <c r="DE19" s="105"/>
      <c r="DF19" s="182"/>
      <c r="DG19" s="214">
        <f>-DG17-DG18</f>
        <v>10262.31709798798</v>
      </c>
      <c r="DI19" s="13"/>
    </row>
    <row r="20" spans="1:113" s="103" customFormat="1" ht="15" customHeight="1" thickTop="1" thickBot="1">
      <c r="A20" s="107">
        <f t="shared" si="0"/>
        <v>9</v>
      </c>
      <c r="B20" s="158" t="s">
        <v>186</v>
      </c>
      <c r="D20" s="176">
        <v>146.57999999999811</v>
      </c>
      <c r="E20" s="159"/>
      <c r="F20" s="107">
        <f t="shared" si="1"/>
        <v>8</v>
      </c>
      <c r="G20" s="160" t="s">
        <v>187</v>
      </c>
      <c r="H20" s="161">
        <v>1958545780</v>
      </c>
      <c r="I20" s="161">
        <v>2015037059.0936217</v>
      </c>
      <c r="J20" s="92">
        <f t="shared" si="15"/>
        <v>56491279.093621731</v>
      </c>
      <c r="K20" s="92">
        <f t="shared" si="16"/>
        <v>52367416</v>
      </c>
      <c r="L20" s="9"/>
      <c r="M20" s="87">
        <f t="shared" si="2"/>
        <v>8</v>
      </c>
      <c r="N20" s="134" t="s">
        <v>188</v>
      </c>
      <c r="O20" s="153"/>
      <c r="P20" s="105" t="s">
        <v>76</v>
      </c>
      <c r="Q20" s="112">
        <v>-2081681.16</v>
      </c>
      <c r="R20" s="87">
        <f t="shared" si="3"/>
        <v>8</v>
      </c>
      <c r="S20" s="9" t="s">
        <v>189</v>
      </c>
      <c r="T20" s="9"/>
      <c r="U20" s="164"/>
      <c r="V20" s="87">
        <f t="shared" si="4"/>
        <v>8</v>
      </c>
      <c r="W20" s="104" t="s">
        <v>190</v>
      </c>
      <c r="Y20" s="102">
        <f>-Y18</f>
        <v>-152429076.75141466</v>
      </c>
      <c r="Z20" s="87">
        <f t="shared" si="5"/>
        <v>8</v>
      </c>
      <c r="AA20" s="91" t="s">
        <v>191</v>
      </c>
      <c r="AB20" s="143">
        <v>1476016.7034779999</v>
      </c>
      <c r="AC20" s="143">
        <v>0</v>
      </c>
      <c r="AD20" s="215">
        <f>AC20-AB20</f>
        <v>-1476016.7034779999</v>
      </c>
      <c r="AE20" s="87">
        <v>8</v>
      </c>
      <c r="AF20" s="186" t="s">
        <v>123</v>
      </c>
      <c r="AG20" s="12"/>
      <c r="AH20" s="12"/>
      <c r="AI20" s="166">
        <f>-AI17-AI18</f>
        <v>69387.278670666696</v>
      </c>
      <c r="AJ20" s="87">
        <f t="shared" si="6"/>
        <v>8</v>
      </c>
      <c r="AK20" s="216" t="s">
        <v>192</v>
      </c>
      <c r="AL20" s="102"/>
      <c r="AM20" s="217"/>
      <c r="AN20" s="102"/>
      <c r="AO20" s="102"/>
      <c r="AP20" s="102"/>
      <c r="AQ20" s="218">
        <f>L41</f>
        <v>28313253</v>
      </c>
      <c r="AR20" s="217"/>
      <c r="AS20" s="87">
        <f t="shared" si="7"/>
        <v>8</v>
      </c>
      <c r="AT20" s="12" t="s">
        <v>193</v>
      </c>
      <c r="AU20" s="102">
        <v>15752.022461405353</v>
      </c>
      <c r="AV20" s="105">
        <v>15299.629274645029</v>
      </c>
      <c r="AW20" s="105">
        <f t="shared" si="8"/>
        <v>-452.39318676032417</v>
      </c>
      <c r="AX20" s="12"/>
      <c r="AY20" s="12"/>
      <c r="BC20" s="107"/>
      <c r="BD20" s="9"/>
      <c r="BE20" s="9"/>
      <c r="BF20" s="9"/>
      <c r="BG20" s="87">
        <f t="shared" si="9"/>
        <v>8</v>
      </c>
      <c r="BH20" s="91"/>
      <c r="BI20" s="7"/>
      <c r="BJ20" s="219"/>
      <c r="BK20" s="107">
        <f t="shared" si="10"/>
        <v>8</v>
      </c>
      <c r="BL20" s="9"/>
      <c r="BM20" s="9"/>
      <c r="BN20" s="165"/>
      <c r="BO20" s="87">
        <f t="shared" si="11"/>
        <v>8</v>
      </c>
      <c r="BP20" s="91" t="s">
        <v>123</v>
      </c>
      <c r="BQ20" s="9"/>
      <c r="BR20" s="9"/>
      <c r="BS20" s="200">
        <f>-BS17-BS19</f>
        <v>66147.120545911268</v>
      </c>
      <c r="BT20" s="87"/>
      <c r="BU20" s="9"/>
      <c r="BV20" s="9"/>
      <c r="BW20" s="9"/>
      <c r="BX20" s="9"/>
      <c r="BY20" s="87">
        <v>8</v>
      </c>
      <c r="BZ20" s="151" t="s">
        <v>193</v>
      </c>
      <c r="CA20" s="169">
        <v>209317.86788684683</v>
      </c>
      <c r="CB20" s="169">
        <v>214075.16440109309</v>
      </c>
      <c r="CC20" s="169">
        <f t="shared" si="12"/>
        <v>4757.2965142462635</v>
      </c>
      <c r="CD20" s="87">
        <f t="shared" si="13"/>
        <v>8</v>
      </c>
      <c r="CE20" s="104" t="s">
        <v>194</v>
      </c>
      <c r="CF20" s="220">
        <v>6.875E-3</v>
      </c>
      <c r="CG20" s="171">
        <f>CG19*CF20</f>
        <v>18793.955383500001</v>
      </c>
      <c r="CI20" s="87">
        <v>8</v>
      </c>
      <c r="CJ20" s="9" t="s">
        <v>126</v>
      </c>
      <c r="CK20" s="9"/>
      <c r="CL20" s="9"/>
      <c r="CM20" s="165">
        <f>CM18-CM19</f>
        <v>187308.92923393101</v>
      </c>
      <c r="CN20" s="87">
        <f t="shared" si="14"/>
        <v>8</v>
      </c>
      <c r="CO20" s="104" t="s">
        <v>195</v>
      </c>
      <c r="CP20" s="9"/>
      <c r="CQ20" s="102">
        <v>-2483527.0531491903</v>
      </c>
      <c r="CR20" s="105"/>
      <c r="CS20" s="127">
        <v>8</v>
      </c>
      <c r="CT20" s="12" t="s">
        <v>196</v>
      </c>
      <c r="CU20" s="145">
        <v>0</v>
      </c>
      <c r="CV20" s="149">
        <v>2486031.0369156054</v>
      </c>
      <c r="CW20" s="213">
        <f>+CV20-CU20</f>
        <v>2486031.0369156054</v>
      </c>
      <c r="CX20" s="12">
        <f t="shared" ref="CX20:CX29" si="18">CX19+1</f>
        <v>8</v>
      </c>
      <c r="CY20" s="221" t="s">
        <v>197</v>
      </c>
      <c r="CZ20" s="105">
        <v>13548.583466044467</v>
      </c>
      <c r="DA20" s="105">
        <v>283809.31891272456</v>
      </c>
      <c r="DB20" s="105">
        <f t="shared" si="17"/>
        <v>270260.7354466801</v>
      </c>
      <c r="DC20" s="12"/>
      <c r="DD20" s="13"/>
      <c r="DE20" s="13"/>
      <c r="DF20" s="13"/>
      <c r="DG20" s="13"/>
      <c r="DH20" s="13"/>
      <c r="DI20" s="13"/>
    </row>
    <row r="21" spans="1:113" s="103" customFormat="1" ht="13.8" thickTop="1">
      <c r="A21" s="107">
        <f t="shared" si="0"/>
        <v>10</v>
      </c>
      <c r="B21" s="158" t="s">
        <v>198</v>
      </c>
      <c r="C21" s="222"/>
      <c r="D21" s="176">
        <v>7446504.8799999999</v>
      </c>
      <c r="E21" s="159"/>
      <c r="F21" s="107">
        <f t="shared" si="1"/>
        <v>9</v>
      </c>
      <c r="G21" s="160" t="s">
        <v>199</v>
      </c>
      <c r="H21" s="161">
        <v>1641032699</v>
      </c>
      <c r="I21" s="161">
        <v>1717808476.922034</v>
      </c>
      <c r="J21" s="92">
        <f t="shared" si="15"/>
        <v>76775777.922034025</v>
      </c>
      <c r="K21" s="92">
        <f t="shared" si="16"/>
        <v>71171146</v>
      </c>
      <c r="L21" s="9"/>
      <c r="M21" s="87">
        <f t="shared" si="2"/>
        <v>9</v>
      </c>
      <c r="N21" s="134" t="s">
        <v>200</v>
      </c>
      <c r="O21" s="9"/>
      <c r="P21" s="9"/>
      <c r="Q21" s="112">
        <v>1841461.71</v>
      </c>
      <c r="R21" s="87">
        <f t="shared" si="3"/>
        <v>9</v>
      </c>
      <c r="S21" s="9" t="s">
        <v>201</v>
      </c>
      <c r="T21" s="9"/>
      <c r="U21" s="177">
        <f>SUM(U16:U20)</f>
        <v>209020153.48657256</v>
      </c>
      <c r="V21" s="87">
        <f t="shared" si="4"/>
        <v>9</v>
      </c>
      <c r="W21" s="104"/>
      <c r="X21" s="223"/>
      <c r="Y21" s="98" t="s">
        <v>76</v>
      </c>
      <c r="Z21" s="87">
        <f t="shared" si="5"/>
        <v>9</v>
      </c>
      <c r="AA21" s="91" t="s">
        <v>202</v>
      </c>
      <c r="AB21" s="184">
        <f>SUM(AB19:AB20)</f>
        <v>2828141.4334779996</v>
      </c>
      <c r="AC21" s="184">
        <f>SUM(AC19:AC20)</f>
        <v>1739313.9972498522</v>
      </c>
      <c r="AD21" s="185">
        <f>SUM(AD19:AD20)</f>
        <v>-1088827.4362281477</v>
      </c>
      <c r="AJ21" s="87">
        <f t="shared" si="6"/>
        <v>9</v>
      </c>
      <c r="AK21" s="208" t="s">
        <v>203</v>
      </c>
      <c r="AQ21" s="102">
        <f>SUM(AQ19:AQ20)</f>
        <v>2174361561.1900001</v>
      </c>
      <c r="AS21" s="87">
        <f t="shared" si="7"/>
        <v>9</v>
      </c>
      <c r="AT21" s="12" t="s">
        <v>204</v>
      </c>
      <c r="AU21" s="102">
        <v>2049529.5019409845</v>
      </c>
      <c r="AV21" s="105">
        <v>2006840.6030095925</v>
      </c>
      <c r="AW21" s="105">
        <f t="shared" si="8"/>
        <v>-42688.898931392003</v>
      </c>
      <c r="AX21" s="12"/>
      <c r="AY21" s="12"/>
      <c r="BC21" s="9"/>
      <c r="BD21" s="9"/>
      <c r="BE21" s="9"/>
      <c r="BF21" s="9"/>
      <c r="BG21" s="87">
        <f t="shared" si="9"/>
        <v>9</v>
      </c>
      <c r="BH21" s="91" t="s">
        <v>205</v>
      </c>
      <c r="BI21" s="192">
        <v>273000</v>
      </c>
      <c r="BJ21" s="142"/>
      <c r="BK21" s="107">
        <f t="shared" si="10"/>
        <v>9</v>
      </c>
      <c r="BL21" s="9" t="s">
        <v>206</v>
      </c>
      <c r="BM21" s="102"/>
      <c r="BN21" s="102">
        <f>BN15+BN19</f>
        <v>-2291230.0700000026</v>
      </c>
      <c r="BO21" s="87"/>
      <c r="BP21" s="91"/>
      <c r="BQ21" s="9"/>
      <c r="BR21" s="9"/>
      <c r="BS21" s="9"/>
      <c r="BT21" s="87"/>
      <c r="BU21" s="91"/>
      <c r="BV21" s="9"/>
      <c r="BW21" s="9"/>
      <c r="BX21" s="9"/>
      <c r="BY21" s="87">
        <v>9</v>
      </c>
      <c r="BZ21" s="151" t="s">
        <v>204</v>
      </c>
      <c r="CA21" s="224">
        <v>27183671.346791636</v>
      </c>
      <c r="CB21" s="224">
        <v>28077102.382967826</v>
      </c>
      <c r="CC21" s="224">
        <f t="shared" si="12"/>
        <v>893431.03617618978</v>
      </c>
      <c r="CD21" s="87">
        <f t="shared" si="13"/>
        <v>9</v>
      </c>
      <c r="CE21" s="181" t="s">
        <v>207</v>
      </c>
      <c r="CF21" s="181"/>
      <c r="CG21" s="181"/>
      <c r="CH21" s="100">
        <f>SUM(CG19:CG20)</f>
        <v>2752460.1929835002</v>
      </c>
      <c r="CI21" s="87">
        <v>9</v>
      </c>
      <c r="CJ21" s="9"/>
      <c r="CK21" s="9"/>
      <c r="CL21" s="9"/>
      <c r="CM21" s="102"/>
      <c r="CN21" s="87">
        <f t="shared" si="14"/>
        <v>9</v>
      </c>
      <c r="CO21" s="104" t="s">
        <v>208</v>
      </c>
      <c r="CP21" s="9"/>
      <c r="CQ21" s="102"/>
      <c r="CR21" s="225">
        <f>CQ20/5</f>
        <v>-496705.41062983806</v>
      </c>
      <c r="CS21" s="127">
        <v>9</v>
      </c>
      <c r="CT21" s="12" t="s">
        <v>122</v>
      </c>
      <c r="CU21" s="105">
        <f>SUM(CU19:CU20)</f>
        <v>0</v>
      </c>
      <c r="CV21" s="226">
        <f>SUM(CV19:CV20)</f>
        <v>4962071.8844784237</v>
      </c>
      <c r="CW21" s="226">
        <f>SUM(CW19:CW20)</f>
        <v>4962071.8844784237</v>
      </c>
      <c r="CX21" s="12">
        <f t="shared" si="18"/>
        <v>9</v>
      </c>
      <c r="CY21" s="227" t="s">
        <v>209</v>
      </c>
      <c r="CZ21" s="105">
        <v>-4742.0042131155633</v>
      </c>
      <c r="DA21" s="105"/>
      <c r="DB21" s="105">
        <f t="shared" si="17"/>
        <v>4742.0042131155633</v>
      </c>
      <c r="DC21" s="12"/>
      <c r="DD21" s="13"/>
      <c r="DE21" s="13"/>
      <c r="DF21" s="13"/>
      <c r="DG21" s="13"/>
      <c r="DH21" s="13"/>
      <c r="DI21" s="13"/>
    </row>
    <row r="22" spans="1:113" s="103" customFormat="1" ht="20.25" customHeight="1" thickBot="1">
      <c r="A22" s="107">
        <f t="shared" si="0"/>
        <v>11</v>
      </c>
      <c r="B22" s="158" t="s">
        <v>210</v>
      </c>
      <c r="D22" s="176">
        <v>-3902999.6601178469</v>
      </c>
      <c r="E22" s="159"/>
      <c r="F22" s="107">
        <f t="shared" si="1"/>
        <v>10</v>
      </c>
      <c r="G22" s="160" t="s">
        <v>211</v>
      </c>
      <c r="H22" s="161">
        <v>1626432632</v>
      </c>
      <c r="I22" s="161">
        <v>1641730768.4739172</v>
      </c>
      <c r="J22" s="92">
        <f t="shared" si="15"/>
        <v>15298136.473917246</v>
      </c>
      <c r="K22" s="92">
        <f t="shared" si="16"/>
        <v>14181373</v>
      </c>
      <c r="L22" s="9"/>
      <c r="M22" s="87">
        <f t="shared" si="2"/>
        <v>10</v>
      </c>
      <c r="N22" s="134"/>
      <c r="O22" s="9"/>
      <c r="P22" s="9"/>
      <c r="Q22" s="112"/>
      <c r="R22" s="87">
        <f t="shared" si="3"/>
        <v>10</v>
      </c>
      <c r="S22" s="9"/>
      <c r="T22" s="9"/>
      <c r="U22" s="140"/>
      <c r="V22" s="87">
        <f t="shared" si="4"/>
        <v>10</v>
      </c>
      <c r="W22" s="104" t="s">
        <v>212</v>
      </c>
      <c r="X22" s="195">
        <v>0.35</v>
      </c>
      <c r="Y22" s="102">
        <v>-53350176.862995125</v>
      </c>
      <c r="Z22" s="87">
        <f t="shared" si="5"/>
        <v>10</v>
      </c>
      <c r="AA22" s="91"/>
      <c r="AB22" s="141"/>
      <c r="AC22" s="141"/>
      <c r="AD22" s="105"/>
      <c r="AJ22" s="87">
        <f t="shared" si="6"/>
        <v>10</v>
      </c>
      <c r="AK22" s="9" t="s">
        <v>213</v>
      </c>
      <c r="AL22" s="102"/>
      <c r="AM22" s="102"/>
      <c r="AN22" s="102"/>
      <c r="AO22" s="102"/>
      <c r="AP22" s="102"/>
      <c r="AQ22" s="148">
        <f>AR17</f>
        <v>7.1570000000000002E-3</v>
      </c>
      <c r="AR22" s="102"/>
      <c r="AS22" s="87">
        <f t="shared" si="7"/>
        <v>10</v>
      </c>
      <c r="AT22" s="11" t="s">
        <v>214</v>
      </c>
      <c r="AU22" s="165">
        <f>SUM(AU14:AU21)</f>
        <v>7360758.1595352115</v>
      </c>
      <c r="AV22" s="226">
        <f>SUM(AV14:AV21)</f>
        <v>7132694.3005338134</v>
      </c>
      <c r="AW22" s="226">
        <f>AV22-AU22</f>
        <v>-228063.85900139809</v>
      </c>
      <c r="AX22" s="12"/>
      <c r="AY22" s="12"/>
      <c r="BC22" s="9"/>
      <c r="BD22" s="9"/>
      <c r="BE22" s="9"/>
      <c r="BF22" s="9"/>
      <c r="BG22" s="87">
        <f t="shared" si="9"/>
        <v>10</v>
      </c>
      <c r="BH22" s="91"/>
      <c r="BI22" s="7"/>
      <c r="BJ22" s="102"/>
      <c r="BK22" s="107">
        <f t="shared" si="10"/>
        <v>10</v>
      </c>
      <c r="BL22" s="9"/>
      <c r="BM22" s="102"/>
      <c r="BN22" s="102"/>
      <c r="BO22" s="87"/>
      <c r="BP22" s="91"/>
      <c r="BQ22" s="9"/>
      <c r="BR22" s="9"/>
      <c r="BS22" s="9"/>
      <c r="BT22" s="87"/>
      <c r="BU22" s="91"/>
      <c r="BV22" s="9"/>
      <c r="BW22" s="9"/>
      <c r="BX22" s="9"/>
      <c r="BY22" s="87">
        <v>10</v>
      </c>
      <c r="BZ22" s="91" t="s">
        <v>215</v>
      </c>
      <c r="CA22" s="165">
        <f>SUM(CA14:CA21)</f>
        <v>97628924.898229778</v>
      </c>
      <c r="CB22" s="165">
        <f>SUM(CB14:CB21)</f>
        <v>99791345.468503729</v>
      </c>
      <c r="CC22" s="165">
        <f>SUM(CC13:CC21)</f>
        <v>2162420.57027394</v>
      </c>
      <c r="CD22" s="87">
        <f t="shared" si="13"/>
        <v>10</v>
      </c>
      <c r="CE22" s="11"/>
      <c r="CF22" s="11"/>
      <c r="CG22" s="11"/>
      <c r="CH22" s="100"/>
      <c r="CI22" s="87">
        <v>10</v>
      </c>
      <c r="CJ22" s="91" t="s">
        <v>171</v>
      </c>
      <c r="CK22" s="195">
        <v>0.35</v>
      </c>
      <c r="CL22" s="9"/>
      <c r="CM22" s="177">
        <f>-ROUND(+CM20*CK22,0)</f>
        <v>-65558</v>
      </c>
      <c r="CN22" s="87">
        <f t="shared" si="14"/>
        <v>10</v>
      </c>
      <c r="CO22" s="228"/>
      <c r="CQ22" s="9"/>
      <c r="CR22" s="229"/>
      <c r="CS22" s="127">
        <v>10</v>
      </c>
      <c r="CT22" s="12"/>
      <c r="CU22" s="149"/>
      <c r="CV22" s="149"/>
      <c r="CW22" s="149"/>
      <c r="CX22" s="12">
        <f t="shared" si="18"/>
        <v>10</v>
      </c>
      <c r="CY22" s="12" t="s">
        <v>216</v>
      </c>
      <c r="CZ22" s="230">
        <f>SUM(CZ15:CZ21)</f>
        <v>3773484.7482676036</v>
      </c>
      <c r="DA22" s="230">
        <f>SUM(DA15:DA21)</f>
        <v>19688544.846134391</v>
      </c>
      <c r="DB22" s="230">
        <f>SUM(DB15:DB21)</f>
        <v>15915060.097866783</v>
      </c>
      <c r="DC22" s="12"/>
    </row>
    <row r="23" spans="1:113" s="103" customFormat="1" ht="14.4" thickTop="1" thickBot="1">
      <c r="A23" s="107">
        <f t="shared" si="0"/>
        <v>12</v>
      </c>
      <c r="B23" s="231" t="s">
        <v>217</v>
      </c>
      <c r="C23" s="9"/>
      <c r="D23" s="165">
        <f>SUM(D15:D22)</f>
        <v>-18636150.940117843</v>
      </c>
      <c r="F23" s="107">
        <f t="shared" si="1"/>
        <v>11</v>
      </c>
      <c r="G23" s="160" t="s">
        <v>218</v>
      </c>
      <c r="H23" s="161">
        <v>1597200862</v>
      </c>
      <c r="I23" s="161">
        <v>1584799398.2238727</v>
      </c>
      <c r="J23" s="92">
        <f t="shared" si="15"/>
        <v>-12401463.776127338</v>
      </c>
      <c r="K23" s="92">
        <f t="shared" si="16"/>
        <v>-11496157</v>
      </c>
      <c r="L23" s="9"/>
      <c r="M23" s="87">
        <f t="shared" si="2"/>
        <v>11</v>
      </c>
      <c r="N23" s="134"/>
      <c r="O23" s="9"/>
      <c r="P23" s="9"/>
      <c r="Q23" s="112"/>
      <c r="R23" s="87">
        <f t="shared" si="3"/>
        <v>11</v>
      </c>
      <c r="S23" s="9" t="s">
        <v>219</v>
      </c>
      <c r="T23" s="232"/>
      <c r="U23" s="140"/>
      <c r="V23" s="87">
        <f t="shared" si="4"/>
        <v>11</v>
      </c>
      <c r="W23" s="104" t="s">
        <v>123</v>
      </c>
      <c r="Y23" s="200">
        <f>-Y22</f>
        <v>53350176.862995125</v>
      </c>
      <c r="Z23" s="87">
        <f t="shared" si="5"/>
        <v>11</v>
      </c>
      <c r="AA23" s="91" t="s">
        <v>220</v>
      </c>
      <c r="AB23" s="184">
        <f>AB17+AB21</f>
        <v>297280860.27087998</v>
      </c>
      <c r="AC23" s="184">
        <f>AC17+AC21</f>
        <v>351586803.53573751</v>
      </c>
      <c r="AD23" s="185">
        <f>AD17+AD21</f>
        <v>54305943.264857493</v>
      </c>
      <c r="AJ23" s="87">
        <f t="shared" si="6"/>
        <v>11</v>
      </c>
      <c r="AK23" s="9" t="s">
        <v>221</v>
      </c>
      <c r="AL23" s="102"/>
      <c r="AM23" s="102"/>
      <c r="AN23" s="102"/>
      <c r="AO23" s="102"/>
      <c r="AP23" s="102"/>
      <c r="AQ23" s="102">
        <f>ROUND(AQ21*AQ22,0)</f>
        <v>15561906</v>
      </c>
      <c r="AR23" s="102"/>
      <c r="AS23" s="87">
        <f t="shared" si="7"/>
        <v>11</v>
      </c>
      <c r="AT23" s="233"/>
      <c r="AU23" s="142"/>
      <c r="AV23" s="142"/>
      <c r="AW23" s="142"/>
      <c r="AX23" s="12"/>
      <c r="AY23" s="12"/>
      <c r="BC23" s="9"/>
      <c r="BD23" s="9"/>
      <c r="BE23" s="9"/>
      <c r="BF23" s="9"/>
      <c r="BG23" s="87">
        <f t="shared" si="9"/>
        <v>11</v>
      </c>
      <c r="BH23" s="191" t="s">
        <v>222</v>
      </c>
      <c r="BI23" s="192">
        <f>BI21/4</f>
        <v>68250</v>
      </c>
      <c r="BJ23" s="102"/>
      <c r="BK23" s="107">
        <f t="shared" si="10"/>
        <v>11</v>
      </c>
      <c r="BL23" s="2" t="s">
        <v>223</v>
      </c>
      <c r="BM23" s="102"/>
      <c r="BN23" s="234">
        <f>BN21/36*12</f>
        <v>-763743.3566666675</v>
      </c>
      <c r="BO23" s="152"/>
      <c r="BP23" s="9"/>
      <c r="BQ23" s="140"/>
      <c r="BR23" s="140"/>
      <c r="BS23" s="140"/>
      <c r="BT23" s="152"/>
      <c r="BU23" s="140"/>
      <c r="BV23" s="140"/>
      <c r="BW23" s="140"/>
      <c r="BX23" s="140"/>
      <c r="BY23" s="87">
        <v>11</v>
      </c>
      <c r="BZ23" s="9"/>
      <c r="CA23" s="177"/>
      <c r="CB23" s="177"/>
      <c r="CC23" s="177"/>
      <c r="CD23" s="87">
        <f t="shared" si="13"/>
        <v>11</v>
      </c>
      <c r="CE23" s="122" t="s">
        <v>224</v>
      </c>
      <c r="CF23" s="201"/>
      <c r="CG23" s="201"/>
      <c r="CH23" s="100"/>
      <c r="CI23" s="87">
        <v>11</v>
      </c>
      <c r="CJ23" s="9"/>
      <c r="CK23" s="9"/>
      <c r="CL23" s="9"/>
      <c r="CM23" s="165"/>
      <c r="CN23" s="87">
        <f t="shared" si="14"/>
        <v>11</v>
      </c>
      <c r="CO23" s="104" t="s">
        <v>225</v>
      </c>
      <c r="CP23" s="9"/>
      <c r="CQ23" s="9"/>
      <c r="CR23" s="225">
        <f>SUM(CR16:CR21)</f>
        <v>1422577.0493701622</v>
      </c>
      <c r="CS23" s="127">
        <v>11</v>
      </c>
      <c r="CT23" s="12" t="s">
        <v>226</v>
      </c>
      <c r="CU23" s="149"/>
      <c r="CV23" s="149"/>
      <c r="CW23" s="149">
        <f>CW15+CW21</f>
        <v>4750001.9585469235</v>
      </c>
      <c r="CX23" s="12">
        <f t="shared" si="18"/>
        <v>11</v>
      </c>
      <c r="CY23" s="12"/>
      <c r="CZ23" s="105"/>
      <c r="DA23" s="105"/>
      <c r="DB23" s="235"/>
      <c r="DC23" s="12"/>
    </row>
    <row r="24" spans="1:113" s="103" customFormat="1" ht="14.4" thickTop="1" thickBot="1">
      <c r="A24" s="107">
        <f t="shared" si="0"/>
        <v>13</v>
      </c>
      <c r="B24" s="236"/>
      <c r="C24" s="9"/>
      <c r="D24" s="237"/>
      <c r="E24" s="159"/>
      <c r="F24" s="107">
        <f t="shared" si="1"/>
        <v>12</v>
      </c>
      <c r="G24" s="160" t="s">
        <v>227</v>
      </c>
      <c r="H24" s="161">
        <v>1647778275</v>
      </c>
      <c r="I24" s="161">
        <v>1645397292.7076356</v>
      </c>
      <c r="J24" s="92">
        <f t="shared" si="15"/>
        <v>-2380982.2923643589</v>
      </c>
      <c r="K24" s="92">
        <f t="shared" si="16"/>
        <v>-2207171</v>
      </c>
      <c r="L24" s="9"/>
      <c r="M24" s="87">
        <f t="shared" si="2"/>
        <v>12</v>
      </c>
      <c r="N24" s="238" t="s">
        <v>228</v>
      </c>
      <c r="O24" s="9"/>
      <c r="P24" s="9"/>
      <c r="Q24" s="112">
        <v>4599593.6399999997</v>
      </c>
      <c r="R24" s="87">
        <f t="shared" si="3"/>
        <v>12</v>
      </c>
      <c r="S24" s="91" t="s">
        <v>136</v>
      </c>
      <c r="T24" s="114"/>
      <c r="U24" s="140">
        <v>0</v>
      </c>
      <c r="Y24" s="9"/>
      <c r="Z24" s="87">
        <f t="shared" si="5"/>
        <v>12</v>
      </c>
      <c r="AA24" s="91"/>
      <c r="AB24" s="141"/>
      <c r="AC24" s="190"/>
      <c r="AD24" s="149"/>
      <c r="AJ24" s="87">
        <f t="shared" si="6"/>
        <v>12</v>
      </c>
      <c r="AK24" s="9"/>
      <c r="AL24" s="102"/>
      <c r="AM24" s="102"/>
      <c r="AN24" s="102"/>
      <c r="AO24" s="102"/>
      <c r="AP24" s="102"/>
      <c r="AQ24" s="102"/>
      <c r="AR24" s="102"/>
      <c r="AS24" s="87">
        <f t="shared" si="7"/>
        <v>12</v>
      </c>
      <c r="AT24" s="233" t="s">
        <v>229</v>
      </c>
      <c r="AU24" s="102">
        <v>462245.76916034456</v>
      </c>
      <c r="AV24" s="239">
        <f>(AV22/(AU22/AU24))</f>
        <v>447923.66379607399</v>
      </c>
      <c r="AW24" s="102">
        <f>AV24-AU24</f>
        <v>-14322.105364270566</v>
      </c>
      <c r="AX24" s="12"/>
      <c r="AY24" s="12"/>
      <c r="BC24" s="9"/>
      <c r="BD24" s="9"/>
      <c r="BE24" s="9"/>
      <c r="BF24" s="9"/>
      <c r="BG24" s="87">
        <f t="shared" si="9"/>
        <v>12</v>
      </c>
      <c r="BH24" s="199" t="s">
        <v>164</v>
      </c>
      <c r="BI24" s="150">
        <v>0</v>
      </c>
      <c r="BJ24" s="102"/>
      <c r="BK24" s="107">
        <f t="shared" si="10"/>
        <v>12</v>
      </c>
      <c r="BL24" s="91"/>
      <c r="BM24" s="102"/>
      <c r="BN24" s="7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87">
        <v>12</v>
      </c>
      <c r="BZ24" s="91" t="s">
        <v>230</v>
      </c>
      <c r="CA24" s="164">
        <v>6486464.3989615748</v>
      </c>
      <c r="CB24" s="164">
        <v>6627179.6998789413</v>
      </c>
      <c r="CC24" s="164">
        <v>140715.30091736629</v>
      </c>
      <c r="CD24" s="87">
        <f t="shared" si="13"/>
        <v>12</v>
      </c>
      <c r="CE24" s="152" t="s">
        <v>231</v>
      </c>
      <c r="CF24" s="153"/>
      <c r="CG24" s="140">
        <v>1013154.9303599999</v>
      </c>
      <c r="CI24" s="87">
        <v>12</v>
      </c>
      <c r="CJ24" s="91" t="s">
        <v>185</v>
      </c>
      <c r="CK24" s="91"/>
      <c r="CL24" s="9"/>
      <c r="CM24" s="166">
        <f>-CM20-CM22</f>
        <v>-121750.92923393101</v>
      </c>
      <c r="CN24" s="87">
        <f t="shared" si="14"/>
        <v>12</v>
      </c>
      <c r="CO24" s="104"/>
      <c r="CP24" s="91"/>
      <c r="CQ24" s="9"/>
      <c r="CR24" s="13"/>
      <c r="CS24" s="127">
        <v>12</v>
      </c>
      <c r="CT24" s="12"/>
      <c r="CU24" s="149"/>
      <c r="CV24" s="149"/>
      <c r="CW24" s="149"/>
      <c r="CX24" s="12">
        <f t="shared" si="18"/>
        <v>12</v>
      </c>
      <c r="CY24" s="130" t="s">
        <v>232</v>
      </c>
      <c r="CZ24" s="235"/>
      <c r="DA24" s="235"/>
      <c r="DB24" s="235"/>
    </row>
    <row r="25" spans="1:113" s="103" customFormat="1" ht="13.8" thickTop="1">
      <c r="A25" s="107">
        <f t="shared" si="0"/>
        <v>14</v>
      </c>
      <c r="B25" s="231" t="s">
        <v>76</v>
      </c>
      <c r="C25" s="9"/>
      <c r="D25" s="159"/>
      <c r="E25" s="159"/>
      <c r="F25" s="107">
        <f t="shared" si="1"/>
        <v>13</v>
      </c>
      <c r="G25" s="160" t="s">
        <v>233</v>
      </c>
      <c r="H25" s="161">
        <v>1712297533</v>
      </c>
      <c r="I25" s="161">
        <v>1680388551.7681735</v>
      </c>
      <c r="J25" s="92">
        <f t="shared" si="15"/>
        <v>-31908981.231826544</v>
      </c>
      <c r="K25" s="92">
        <f t="shared" si="16"/>
        <v>-29579626</v>
      </c>
      <c r="L25" s="9"/>
      <c r="M25" s="87">
        <f t="shared" si="2"/>
        <v>13</v>
      </c>
      <c r="N25" s="238" t="s">
        <v>234</v>
      </c>
      <c r="O25" s="9"/>
      <c r="P25" s="9"/>
      <c r="Q25" s="112">
        <v>-1563408.86</v>
      </c>
      <c r="R25" s="87">
        <f t="shared" si="3"/>
        <v>13</v>
      </c>
      <c r="S25" s="9" t="s">
        <v>235</v>
      </c>
      <c r="T25" s="240"/>
      <c r="U25" s="140">
        <v>581832300.8599999</v>
      </c>
      <c r="X25" s="241"/>
      <c r="Z25" s="87">
        <f t="shared" si="5"/>
        <v>13</v>
      </c>
      <c r="AA25" s="91" t="s">
        <v>236</v>
      </c>
      <c r="AB25" s="141"/>
      <c r="AC25" s="141"/>
      <c r="AD25" s="242"/>
      <c r="AJ25" s="87">
        <f t="shared" si="6"/>
        <v>13</v>
      </c>
      <c r="AK25" s="91" t="s">
        <v>237</v>
      </c>
      <c r="AL25" s="102"/>
      <c r="AM25" s="102"/>
      <c r="AN25" s="243"/>
      <c r="AO25" s="243"/>
      <c r="AP25" s="189"/>
      <c r="AQ25" s="102">
        <v>16407059.630000001</v>
      </c>
      <c r="AR25" s="102"/>
      <c r="AS25" s="87">
        <f t="shared" si="7"/>
        <v>13</v>
      </c>
      <c r="AT25" s="9" t="s">
        <v>126</v>
      </c>
      <c r="AU25" s="165">
        <f>SUM(AU22:AU24)</f>
        <v>7823003.9286955558</v>
      </c>
      <c r="AV25" s="226">
        <f>SUM(AV22:AV24)</f>
        <v>7580617.9643298872</v>
      </c>
      <c r="AW25" s="226">
        <f>SUM(AW22:AW24)</f>
        <v>-242385.96436566865</v>
      </c>
      <c r="BC25" s="9"/>
      <c r="BD25" s="9"/>
      <c r="BE25" s="9"/>
      <c r="BF25" s="9"/>
      <c r="BG25" s="87">
        <f t="shared" si="9"/>
        <v>13</v>
      </c>
      <c r="BH25" s="91" t="s">
        <v>179</v>
      </c>
      <c r="BI25" s="226">
        <f>+BI23-BI24</f>
        <v>68250</v>
      </c>
      <c r="BJ25" s="7">
        <f>+BI25</f>
        <v>68250</v>
      </c>
      <c r="BK25" s="107">
        <f t="shared" si="10"/>
        <v>13</v>
      </c>
      <c r="BL25" s="9" t="s">
        <v>238</v>
      </c>
      <c r="BM25" s="102"/>
      <c r="BN25" s="218">
        <v>-500359.08000000007</v>
      </c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87">
        <v>13</v>
      </c>
      <c r="BZ25" s="91" t="s">
        <v>239</v>
      </c>
      <c r="CA25" s="165">
        <f>SUM(CA22:CA24)</f>
        <v>104115389.29719135</v>
      </c>
      <c r="CB25" s="165">
        <f>SUM(CB22:CB24)</f>
        <v>106418525.16838267</v>
      </c>
      <c r="CC25" s="165">
        <f>SUM(CC22:CC24)</f>
        <v>2303135.871191306</v>
      </c>
      <c r="CD25" s="87">
        <f t="shared" si="13"/>
        <v>13</v>
      </c>
      <c r="CE25" s="104" t="s">
        <v>240</v>
      </c>
      <c r="CF25" s="220">
        <v>0.03</v>
      </c>
      <c r="CG25" s="171">
        <f>CG24*CF25</f>
        <v>30394.647910799995</v>
      </c>
      <c r="CI25" s="87"/>
      <c r="CJ25" s="9"/>
      <c r="CK25" s="9"/>
      <c r="CL25" s="9"/>
      <c r="CM25" s="9"/>
      <c r="CN25" s="87">
        <f t="shared" si="14"/>
        <v>13</v>
      </c>
      <c r="CO25" s="11" t="s">
        <v>241</v>
      </c>
      <c r="CP25" s="195">
        <v>0.35</v>
      </c>
      <c r="CQ25" s="9"/>
      <c r="CR25" s="244">
        <f>ROUND(-CR23*CP25,0)</f>
        <v>-497902</v>
      </c>
      <c r="CS25" s="127">
        <v>13</v>
      </c>
      <c r="CT25" s="12" t="s">
        <v>152</v>
      </c>
      <c r="CU25" s="105"/>
      <c r="CV25" s="190">
        <v>0.35</v>
      </c>
      <c r="CW25" s="105">
        <f>-CW23*CV25</f>
        <v>-1662500.6854914231</v>
      </c>
      <c r="CX25" s="12">
        <f t="shared" si="18"/>
        <v>13</v>
      </c>
      <c r="CY25" s="245" t="s">
        <v>242</v>
      </c>
      <c r="CZ25" s="105">
        <v>363750.12810969783</v>
      </c>
      <c r="DA25" s="105">
        <v>0</v>
      </c>
      <c r="DB25" s="105">
        <f>DA25-CZ25</f>
        <v>-363750.12810969783</v>
      </c>
    </row>
    <row r="26" spans="1:113" s="103" customFormat="1">
      <c r="A26" s="107">
        <f t="shared" si="0"/>
        <v>15</v>
      </c>
      <c r="B26" s="236"/>
      <c r="C26" s="9"/>
      <c r="D26" s="159"/>
      <c r="E26" s="159"/>
      <c r="F26" s="107">
        <f t="shared" si="1"/>
        <v>14</v>
      </c>
      <c r="G26" s="160" t="s">
        <v>243</v>
      </c>
      <c r="H26" s="161">
        <v>1559199266</v>
      </c>
      <c r="I26" s="161">
        <v>1565709070.7194872</v>
      </c>
      <c r="J26" s="246">
        <f t="shared" si="15"/>
        <v>6509804.7194871902</v>
      </c>
      <c r="K26" s="246">
        <f t="shared" si="16"/>
        <v>6034589</v>
      </c>
      <c r="L26" s="9"/>
      <c r="M26" s="87">
        <f t="shared" si="2"/>
        <v>14</v>
      </c>
      <c r="N26" s="138" t="s">
        <v>244</v>
      </c>
      <c r="O26" s="9"/>
      <c r="P26" s="9"/>
      <c r="Q26" s="112">
        <v>-257285.07999999996</v>
      </c>
      <c r="R26" s="87">
        <f t="shared" si="3"/>
        <v>14</v>
      </c>
      <c r="S26" s="9" t="s">
        <v>245</v>
      </c>
      <c r="T26" s="240"/>
      <c r="U26" s="140">
        <v>-399835386.18000001</v>
      </c>
      <c r="V26" s="13"/>
      <c r="W26" s="13"/>
      <c r="X26" s="13"/>
      <c r="Y26" s="13"/>
      <c r="Z26" s="87">
        <f t="shared" si="5"/>
        <v>14</v>
      </c>
      <c r="AA26" s="91" t="s">
        <v>246</v>
      </c>
      <c r="AB26" s="143">
        <v>1424661.0825685868</v>
      </c>
      <c r="AC26" s="143">
        <v>1820785.2132301694</v>
      </c>
      <c r="AD26" s="7">
        <f>AC26-AB26</f>
        <v>396124.13066158257</v>
      </c>
      <c r="AJ26" s="87">
        <f t="shared" si="6"/>
        <v>14</v>
      </c>
      <c r="AK26" s="194" t="s">
        <v>179</v>
      </c>
      <c r="AL26" s="102"/>
      <c r="AM26" s="102"/>
      <c r="AN26" s="102"/>
      <c r="AO26" s="102"/>
      <c r="AP26" s="102"/>
      <c r="AQ26" s="165"/>
      <c r="AR26" s="102">
        <f>ROUND(AQ23-AQ25,0)</f>
        <v>-845154</v>
      </c>
      <c r="AS26" s="87">
        <f t="shared" si="7"/>
        <v>14</v>
      </c>
      <c r="AT26" s="9"/>
      <c r="AU26" s="102"/>
      <c r="AV26" s="102"/>
      <c r="AW26" s="102"/>
      <c r="BC26" s="9"/>
      <c r="BD26" s="9"/>
      <c r="BE26" s="9"/>
      <c r="BF26" s="9"/>
      <c r="BG26" s="87">
        <f t="shared" si="9"/>
        <v>14</v>
      </c>
      <c r="BH26" s="9"/>
      <c r="BI26" s="102"/>
      <c r="BJ26" s="7"/>
      <c r="BK26" s="107">
        <f t="shared" si="10"/>
        <v>14</v>
      </c>
      <c r="BL26" s="9"/>
      <c r="BM26" s="102"/>
      <c r="BN26" s="7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87">
        <v>14</v>
      </c>
      <c r="BZ26" s="91"/>
      <c r="CA26" s="177"/>
      <c r="CB26" s="247"/>
      <c r="CC26" s="177"/>
      <c r="CD26" s="87">
        <f t="shared" si="13"/>
        <v>14</v>
      </c>
      <c r="CE26" s="181" t="s">
        <v>247</v>
      </c>
      <c r="CF26" s="181"/>
      <c r="CG26" s="181"/>
      <c r="CH26" s="100">
        <f>SUM(CG24:CG25)</f>
        <v>1043549.5782707998</v>
      </c>
      <c r="CI26" s="152"/>
      <c r="CJ26" s="9"/>
      <c r="CK26" s="9"/>
      <c r="CL26" s="9"/>
      <c r="CM26" s="9"/>
      <c r="CN26" s="87">
        <f t="shared" si="14"/>
        <v>14</v>
      </c>
      <c r="CO26" s="11"/>
      <c r="CP26" s="9"/>
      <c r="CQ26" s="9"/>
      <c r="CR26" s="13"/>
      <c r="CS26" s="127">
        <v>14</v>
      </c>
      <c r="CT26" s="12"/>
      <c r="CU26" s="105"/>
      <c r="CV26" s="105"/>
      <c r="CW26" s="105"/>
      <c r="CX26" s="12">
        <f t="shared" si="18"/>
        <v>14</v>
      </c>
      <c r="CY26" s="245" t="s">
        <v>248</v>
      </c>
      <c r="CZ26" s="105">
        <v>52293.815747347493</v>
      </c>
      <c r="DA26" s="105">
        <v>101997.73424324865</v>
      </c>
      <c r="DB26" s="105">
        <f>DA26-CZ26</f>
        <v>49703.918495901155</v>
      </c>
    </row>
    <row r="27" spans="1:113" s="103" customFormat="1" ht="13.8" thickBot="1">
      <c r="A27" s="107">
        <f t="shared" si="0"/>
        <v>16</v>
      </c>
      <c r="B27" s="231" t="s">
        <v>249</v>
      </c>
      <c r="E27" s="159"/>
      <c r="F27" s="107">
        <f t="shared" si="1"/>
        <v>15</v>
      </c>
      <c r="G27" s="9"/>
      <c r="H27" s="248">
        <f>ROUND(SUM(H15:H26),0)</f>
        <v>22007938139</v>
      </c>
      <c r="I27" s="248">
        <f>ROUND(SUM(I15:I26),0)</f>
        <v>22311829040</v>
      </c>
      <c r="J27" s="248">
        <f>ROUND(SUM(J15:J26),0)</f>
        <v>303890901</v>
      </c>
      <c r="K27" s="248">
        <f>SUM(K15:K26)</f>
        <v>281706865</v>
      </c>
      <c r="L27" s="249"/>
      <c r="M27" s="87">
        <f t="shared" si="2"/>
        <v>15</v>
      </c>
      <c r="N27" s="138" t="s">
        <v>250</v>
      </c>
      <c r="O27" s="153"/>
      <c r="P27" s="105"/>
      <c r="Q27" s="250">
        <f>SUM(Q14:Q26)</f>
        <v>192824371.04000002</v>
      </c>
      <c r="R27" s="87">
        <f t="shared" si="3"/>
        <v>15</v>
      </c>
      <c r="S27" s="9" t="s">
        <v>251</v>
      </c>
      <c r="T27" s="150"/>
      <c r="U27" s="251">
        <v>0</v>
      </c>
      <c r="V27" s="13"/>
      <c r="W27" s="13"/>
      <c r="X27" s="13"/>
      <c r="Y27" s="13"/>
      <c r="Z27" s="87">
        <f t="shared" si="5"/>
        <v>15</v>
      </c>
      <c r="AA27" s="140" t="s">
        <v>252</v>
      </c>
      <c r="AB27" s="143">
        <v>1148003.003511413</v>
      </c>
      <c r="AC27" s="143">
        <v>0</v>
      </c>
      <c r="AD27" s="218">
        <f>AC27-AB27</f>
        <v>-1148003.003511413</v>
      </c>
      <c r="AJ27" s="87">
        <f t="shared" si="6"/>
        <v>15</v>
      </c>
      <c r="AK27" s="252"/>
      <c r="AL27" s="102"/>
      <c r="AM27" s="102"/>
      <c r="AN27" s="102"/>
      <c r="AO27" s="102"/>
      <c r="AP27" s="102"/>
      <c r="AQ27" s="102"/>
      <c r="AR27" s="102"/>
      <c r="AS27" s="87">
        <f t="shared" si="7"/>
        <v>15</v>
      </c>
      <c r="AT27" s="9" t="s">
        <v>155</v>
      </c>
      <c r="AU27" s="102"/>
      <c r="AV27" s="102"/>
      <c r="AW27" s="105">
        <f>AW25</f>
        <v>-242385.96436566865</v>
      </c>
      <c r="BC27" s="9"/>
      <c r="BD27" s="9"/>
      <c r="BE27" s="9"/>
      <c r="BF27" s="9"/>
      <c r="BG27" s="87">
        <f t="shared" si="9"/>
        <v>15</v>
      </c>
      <c r="BH27" s="91"/>
      <c r="BI27" s="102"/>
      <c r="BJ27" s="164"/>
      <c r="BK27" s="107">
        <f t="shared" si="10"/>
        <v>15</v>
      </c>
      <c r="BL27" s="9" t="s">
        <v>253</v>
      </c>
      <c r="BM27" s="102"/>
      <c r="BN27" s="102">
        <f>BN23-BN25</f>
        <v>-263384.27666666743</v>
      </c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87">
        <v>15</v>
      </c>
      <c r="BZ27" s="91" t="s">
        <v>155</v>
      </c>
      <c r="CA27" s="247"/>
      <c r="CB27" s="247"/>
      <c r="CC27" s="177">
        <f>CC25</f>
        <v>2303135.871191306</v>
      </c>
      <c r="CD27" s="87">
        <f t="shared" si="13"/>
        <v>15</v>
      </c>
      <c r="CE27" s="11"/>
      <c r="CF27" s="11"/>
      <c r="CG27" s="11"/>
      <c r="CI27" s="87"/>
      <c r="CJ27" s="9"/>
      <c r="CK27" s="9"/>
      <c r="CL27" s="9"/>
      <c r="CM27" s="9"/>
      <c r="CN27" s="87">
        <f t="shared" si="14"/>
        <v>15</v>
      </c>
      <c r="CO27" s="11" t="s">
        <v>123</v>
      </c>
      <c r="CP27" s="9"/>
      <c r="CQ27" s="9"/>
      <c r="CR27" s="166">
        <f>-CR23-CR25</f>
        <v>-924675.04937016219</v>
      </c>
      <c r="CS27" s="127">
        <v>15</v>
      </c>
      <c r="CT27" s="12" t="s">
        <v>123</v>
      </c>
      <c r="CU27" s="105"/>
      <c r="CV27" s="105"/>
      <c r="CW27" s="200">
        <f>-CW23-CW25</f>
        <v>-3087501.2730555004</v>
      </c>
      <c r="CX27" s="12">
        <f t="shared" si="18"/>
        <v>15</v>
      </c>
      <c r="CY27" s="245" t="s">
        <v>254</v>
      </c>
      <c r="CZ27" s="105">
        <v>-39544.098966941405</v>
      </c>
      <c r="DA27" s="105">
        <v>0</v>
      </c>
      <c r="DB27" s="105">
        <f>DA27-CZ27</f>
        <v>39544.098966941405</v>
      </c>
    </row>
    <row r="28" spans="1:113" s="103" customFormat="1" ht="13.8" thickTop="1">
      <c r="A28" s="107">
        <f t="shared" si="0"/>
        <v>17</v>
      </c>
      <c r="B28" s="253" t="s">
        <v>255</v>
      </c>
      <c r="C28" s="101"/>
      <c r="D28" s="176">
        <v>-7446504.8799999999</v>
      </c>
      <c r="E28" s="159"/>
      <c r="F28" s="107">
        <f t="shared" si="1"/>
        <v>16</v>
      </c>
      <c r="G28" s="9"/>
      <c r="H28" s="16"/>
      <c r="I28" s="16"/>
      <c r="J28" s="87" t="s">
        <v>76</v>
      </c>
      <c r="K28" s="9"/>
      <c r="L28" s="9"/>
      <c r="M28" s="87">
        <f t="shared" si="2"/>
        <v>16</v>
      </c>
      <c r="N28" s="9"/>
      <c r="O28" s="9"/>
      <c r="P28" s="9"/>
      <c r="Q28" s="102"/>
      <c r="R28" s="87">
        <f t="shared" si="3"/>
        <v>16</v>
      </c>
      <c r="S28" s="91" t="s">
        <v>256</v>
      </c>
      <c r="T28" s="2"/>
      <c r="U28" s="150">
        <f>SUM(U24:U27)</f>
        <v>181996914.67999989</v>
      </c>
      <c r="V28" s="13"/>
      <c r="W28" s="13"/>
      <c r="X28" s="13"/>
      <c r="Y28" s="13"/>
      <c r="Z28" s="87">
        <f t="shared" si="5"/>
        <v>16</v>
      </c>
      <c r="AA28" s="9" t="s">
        <v>257</v>
      </c>
      <c r="AB28" s="184">
        <f>SUM(AB26:AB27)</f>
        <v>2572664.0860799998</v>
      </c>
      <c r="AC28" s="184">
        <f>SUM(AC26:AC27)</f>
        <v>1820785.2132301694</v>
      </c>
      <c r="AD28" s="185">
        <f>SUM(AD26:AD27)</f>
        <v>-751878.87284983043</v>
      </c>
      <c r="AJ28" s="87">
        <f t="shared" si="6"/>
        <v>16</v>
      </c>
      <c r="AK28" s="194" t="s">
        <v>258</v>
      </c>
      <c r="AL28" s="102"/>
      <c r="AM28" s="102"/>
      <c r="AN28" s="102"/>
      <c r="AO28" s="102"/>
      <c r="AP28" s="102"/>
      <c r="AQ28" s="195">
        <v>0.35</v>
      </c>
      <c r="AR28" s="102">
        <f>ROUND(-AR26*AQ28,0)</f>
        <v>295804</v>
      </c>
      <c r="AS28" s="87">
        <f t="shared" si="7"/>
        <v>16</v>
      </c>
      <c r="AT28" s="9"/>
      <c r="AU28" s="102"/>
      <c r="AV28" s="102"/>
      <c r="AW28" s="102"/>
      <c r="BC28" s="9"/>
      <c r="BD28" s="9"/>
      <c r="BE28" s="9"/>
      <c r="BF28" s="9"/>
      <c r="BG28" s="87">
        <f t="shared" si="9"/>
        <v>16</v>
      </c>
      <c r="BH28" s="91" t="s">
        <v>259</v>
      </c>
      <c r="BI28" s="102"/>
      <c r="BJ28" s="219">
        <f>+BJ19+BJ25</f>
        <v>407545.487356</v>
      </c>
      <c r="BK28" s="107">
        <f t="shared" si="10"/>
        <v>16</v>
      </c>
      <c r="BL28" s="9"/>
      <c r="BM28" s="102"/>
      <c r="BN28" s="7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87">
        <v>16</v>
      </c>
      <c r="BZ28" s="91" t="s">
        <v>260</v>
      </c>
      <c r="CA28" s="177"/>
      <c r="CB28" s="177"/>
      <c r="CC28" s="177">
        <f>-CC27*0.35</f>
        <v>-806097.55491695704</v>
      </c>
      <c r="CD28" s="87">
        <f t="shared" si="13"/>
        <v>16</v>
      </c>
      <c r="CE28" s="254" t="s">
        <v>261</v>
      </c>
      <c r="CF28" s="255"/>
      <c r="CG28" s="255"/>
      <c r="CI28" s="87"/>
      <c r="CJ28" s="9"/>
      <c r="CK28" s="9"/>
      <c r="CL28" s="9"/>
      <c r="CM28" s="9"/>
      <c r="CN28" s="87"/>
      <c r="CO28" s="9"/>
      <c r="CP28" s="9"/>
      <c r="CQ28" s="9"/>
      <c r="CR28" s="9"/>
      <c r="CT28" s="12"/>
      <c r="CX28" s="12">
        <f t="shared" si="18"/>
        <v>16</v>
      </c>
      <c r="CY28" s="245" t="s">
        <v>262</v>
      </c>
      <c r="CZ28" s="145">
        <v>393261.64299999998</v>
      </c>
      <c r="DA28" s="145">
        <v>0</v>
      </c>
      <c r="DB28" s="145">
        <f>DA28-CZ28</f>
        <v>-393261.64299999998</v>
      </c>
    </row>
    <row r="29" spans="1:113" s="103" customFormat="1" ht="17.25" customHeight="1" thickBot="1">
      <c r="A29" s="107">
        <f t="shared" si="0"/>
        <v>18</v>
      </c>
      <c r="B29" s="158" t="s">
        <v>263</v>
      </c>
      <c r="C29" s="101"/>
      <c r="D29" s="176">
        <v>11994134.030000001</v>
      </c>
      <c r="E29" s="159"/>
      <c r="F29" s="107">
        <f t="shared" si="1"/>
        <v>17</v>
      </c>
      <c r="G29" s="9" t="s">
        <v>264</v>
      </c>
      <c r="H29" s="9" t="s">
        <v>265</v>
      </c>
      <c r="I29" s="140"/>
      <c r="J29" s="161">
        <v>242969649.42949438</v>
      </c>
      <c r="K29" s="256">
        <v>25306989</v>
      </c>
      <c r="L29" s="9"/>
      <c r="M29" s="87">
        <f t="shared" si="2"/>
        <v>17</v>
      </c>
      <c r="N29" s="257" t="s">
        <v>266</v>
      </c>
      <c r="O29" s="153"/>
      <c r="P29" s="258"/>
      <c r="Q29" s="102"/>
      <c r="R29" s="87">
        <f t="shared" si="3"/>
        <v>17</v>
      </c>
      <c r="S29" s="9" t="s">
        <v>76</v>
      </c>
      <c r="T29" s="259"/>
      <c r="U29" s="140" t="s">
        <v>76</v>
      </c>
      <c r="V29" s="13"/>
      <c r="W29" s="13"/>
      <c r="X29" s="13"/>
      <c r="Y29" s="13"/>
      <c r="Z29" s="87">
        <f t="shared" si="5"/>
        <v>17</v>
      </c>
      <c r="AA29" s="140"/>
      <c r="AB29" s="140"/>
      <c r="AC29" s="140"/>
      <c r="AD29" s="140"/>
      <c r="AJ29" s="87">
        <f t="shared" si="6"/>
        <v>17</v>
      </c>
      <c r="AK29" s="194" t="s">
        <v>123</v>
      </c>
      <c r="AL29" s="102"/>
      <c r="AM29" s="102"/>
      <c r="AN29" s="102"/>
      <c r="AO29" s="102"/>
      <c r="AP29" s="102"/>
      <c r="AQ29" s="102"/>
      <c r="AR29" s="200">
        <f>-AR26-AR28</f>
        <v>549350</v>
      </c>
      <c r="AS29" s="87">
        <f t="shared" si="7"/>
        <v>17</v>
      </c>
      <c r="AT29" s="91" t="s">
        <v>152</v>
      </c>
      <c r="AU29" s="9"/>
      <c r="AV29" s="195">
        <v>0.35</v>
      </c>
      <c r="AW29" s="177">
        <f>-AW27*AV29</f>
        <v>84835.087527984026</v>
      </c>
      <c r="BC29" s="87"/>
      <c r="BD29" s="9"/>
      <c r="BE29" s="9"/>
      <c r="BF29" s="9"/>
      <c r="BG29" s="87">
        <f t="shared" si="9"/>
        <v>17</v>
      </c>
      <c r="BH29" s="260"/>
      <c r="BI29" s="102"/>
      <c r="BJ29" s="261"/>
      <c r="BK29" s="107">
        <f t="shared" si="10"/>
        <v>17</v>
      </c>
      <c r="BL29" s="3" t="s">
        <v>260</v>
      </c>
      <c r="BM29" s="102"/>
      <c r="BN29" s="218">
        <f>-BN27*0.35</f>
        <v>92184.4968333336</v>
      </c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87">
        <v>17</v>
      </c>
      <c r="BZ29" s="91" t="s">
        <v>123</v>
      </c>
      <c r="CA29" s="102"/>
      <c r="CB29" s="102"/>
      <c r="CC29" s="262">
        <f>-CC27-CC28</f>
        <v>-1497038.3162743491</v>
      </c>
      <c r="CD29" s="87">
        <f t="shared" si="13"/>
        <v>17</v>
      </c>
      <c r="CE29" s="263" t="s">
        <v>267</v>
      </c>
      <c r="CF29" s="153"/>
      <c r="CG29" s="153"/>
      <c r="CH29" s="100">
        <f>+CH16+CH21+CH26</f>
        <v>11529905.175375734</v>
      </c>
      <c r="CI29" s="87"/>
      <c r="CJ29" s="9"/>
      <c r="CK29" s="9"/>
      <c r="CL29" s="9"/>
      <c r="CM29" s="9"/>
      <c r="CN29" s="87"/>
      <c r="CO29" s="9"/>
      <c r="CP29" s="9"/>
      <c r="CQ29" s="9"/>
      <c r="CR29" s="9"/>
      <c r="CX29" s="12">
        <f t="shared" si="18"/>
        <v>17</v>
      </c>
      <c r="CY29" s="245" t="s">
        <v>76</v>
      </c>
      <c r="CZ29" s="149"/>
      <c r="DA29" s="149"/>
      <c r="DB29" s="149"/>
    </row>
    <row r="30" spans="1:113" s="103" customFormat="1" ht="14.4" thickTop="1" thickBot="1">
      <c r="A30" s="107">
        <f t="shared" si="0"/>
        <v>19</v>
      </c>
      <c r="B30" s="158" t="s">
        <v>268</v>
      </c>
      <c r="C30" s="264" t="s">
        <v>76</v>
      </c>
      <c r="D30" s="176">
        <v>-32491234.77</v>
      </c>
      <c r="E30" s="102"/>
      <c r="F30" s="107">
        <f t="shared" si="1"/>
        <v>18</v>
      </c>
      <c r="G30" s="87"/>
      <c r="H30" s="9" t="s">
        <v>269</v>
      </c>
      <c r="I30" s="140"/>
      <c r="J30" s="161">
        <v>22548468.167257171</v>
      </c>
      <c r="K30" s="161">
        <v>2013368</v>
      </c>
      <c r="L30" s="9"/>
      <c r="M30" s="87">
        <f t="shared" si="2"/>
        <v>18</v>
      </c>
      <c r="N30" s="9" t="s">
        <v>30</v>
      </c>
      <c r="O30" s="9"/>
      <c r="P30" s="258">
        <v>7.1570000000000002E-3</v>
      </c>
      <c r="Q30" s="102">
        <f>-SUM(Q14+Q15+Q16+Q17+Q18+Q19+Q20+Q24+Q26)*P30</f>
        <v>-1378053.9992858302</v>
      </c>
      <c r="R30" s="87">
        <f t="shared" si="3"/>
        <v>18</v>
      </c>
      <c r="S30" s="91" t="s">
        <v>270</v>
      </c>
      <c r="T30" s="91"/>
      <c r="U30" s="102">
        <f>U16-U24</f>
        <v>144836215.65657258</v>
      </c>
      <c r="V30" s="13"/>
      <c r="W30" s="13"/>
      <c r="X30" s="13"/>
      <c r="Y30" s="13"/>
      <c r="Z30" s="87">
        <f t="shared" si="5"/>
        <v>18</v>
      </c>
      <c r="AA30" s="216" t="s">
        <v>271</v>
      </c>
      <c r="AB30" s="143">
        <v>846819.31998199993</v>
      </c>
      <c r="AC30" s="143">
        <v>539848.88443131489</v>
      </c>
      <c r="AD30" s="7">
        <f>AC30-AB30</f>
        <v>-306970.43555068504</v>
      </c>
      <c r="AS30" s="87">
        <f t="shared" si="7"/>
        <v>18</v>
      </c>
      <c r="AT30" s="91" t="s">
        <v>123</v>
      </c>
      <c r="AU30" s="91"/>
      <c r="AV30" s="9"/>
      <c r="AW30" s="200">
        <f>-AW27-AW29</f>
        <v>157550.87683768463</v>
      </c>
      <c r="BC30" s="87"/>
      <c r="BD30" s="9"/>
      <c r="BE30" s="9"/>
      <c r="BF30" s="9"/>
      <c r="BG30" s="87">
        <f t="shared" si="9"/>
        <v>18</v>
      </c>
      <c r="BH30" s="260" t="s">
        <v>171</v>
      </c>
      <c r="BI30" s="265">
        <v>0.35</v>
      </c>
      <c r="BJ30" s="266">
        <f>-BJ28*BI30</f>
        <v>-142640.92057459999</v>
      </c>
      <c r="BK30" s="107">
        <f t="shared" si="10"/>
        <v>18</v>
      </c>
      <c r="BL30" s="140"/>
      <c r="BM30" s="140"/>
      <c r="BN30" s="140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87">
        <f t="shared" si="13"/>
        <v>18</v>
      </c>
      <c r="CE30" s="267" t="s">
        <v>272</v>
      </c>
      <c r="CF30" s="170">
        <v>0.54659120593235488</v>
      </c>
      <c r="CG30" s="170"/>
      <c r="CH30" s="140">
        <f>+CH29*CF30</f>
        <v>6302144.7740943218</v>
      </c>
      <c r="CI30" s="9"/>
      <c r="CJ30" s="9"/>
      <c r="CK30" s="9"/>
      <c r="CL30" s="9"/>
      <c r="CM30" s="9"/>
      <c r="CN30" s="13"/>
      <c r="CO30" s="13"/>
      <c r="CP30" s="13"/>
      <c r="CQ30" s="13"/>
      <c r="CR30" s="13"/>
      <c r="CX30" s="13"/>
      <c r="CY30" s="268" t="s">
        <v>273</v>
      </c>
      <c r="CZ30" s="269">
        <f>SUM(CZ25:CZ29)</f>
        <v>769761.48789010383</v>
      </c>
      <c r="DA30" s="269">
        <f>SUM(DA25:DA29)</f>
        <v>101997.73424324865</v>
      </c>
      <c r="DB30" s="269">
        <f>SUM(DB25:DB29)</f>
        <v>-667763.75364685524</v>
      </c>
    </row>
    <row r="31" spans="1:113" s="103" customFormat="1" ht="14.4" thickTop="1" thickBot="1">
      <c r="A31" s="107">
        <f t="shared" si="0"/>
        <v>20</v>
      </c>
      <c r="B31" s="158" t="s">
        <v>274</v>
      </c>
      <c r="D31" s="105">
        <v>17718442.649999999</v>
      </c>
      <c r="E31" s="270"/>
      <c r="F31" s="107">
        <f t="shared" si="1"/>
        <v>19</v>
      </c>
      <c r="G31" s="9"/>
      <c r="H31" s="91" t="s">
        <v>275</v>
      </c>
      <c r="I31" s="140"/>
      <c r="J31" s="161">
        <v>11247064.07998576</v>
      </c>
      <c r="K31" s="161">
        <v>720622</v>
      </c>
      <c r="L31" s="9"/>
      <c r="M31" s="87">
        <f t="shared" si="2"/>
        <v>19</v>
      </c>
      <c r="N31" s="9" t="s">
        <v>276</v>
      </c>
      <c r="O31" s="9"/>
      <c r="P31" s="271">
        <v>2E-3</v>
      </c>
      <c r="Q31" s="102">
        <f>-SUM(Q14+Q15+Q16+Q17+Q18+Q19+Q20+Q24+Q26)*P31</f>
        <v>-385092.63638000004</v>
      </c>
      <c r="R31" s="87">
        <f t="shared" si="3"/>
        <v>19</v>
      </c>
      <c r="S31" s="91" t="s">
        <v>277</v>
      </c>
      <c r="T31" s="9"/>
      <c r="U31" s="150">
        <f>U18+U19+U20-U25-U26-U27</f>
        <v>-117812976.8499999</v>
      </c>
      <c r="V31" s="13"/>
      <c r="W31" s="13"/>
      <c r="X31" s="13"/>
      <c r="Y31" s="13"/>
      <c r="Z31" s="87">
        <f t="shared" si="5"/>
        <v>19</v>
      </c>
      <c r="AA31" s="140"/>
      <c r="AB31" s="210"/>
      <c r="AC31" s="210"/>
      <c r="AD31" s="210"/>
      <c r="AS31" s="87"/>
      <c r="BC31" s="9"/>
      <c r="BD31" s="9"/>
      <c r="BE31" s="9"/>
      <c r="BF31" s="9"/>
      <c r="BG31" s="87">
        <f t="shared" si="9"/>
        <v>19</v>
      </c>
      <c r="BH31" s="260" t="s">
        <v>185</v>
      </c>
      <c r="BI31" s="142"/>
      <c r="BJ31" s="200">
        <f>-BJ28-BJ30</f>
        <v>-264904.5667814</v>
      </c>
      <c r="BK31" s="107">
        <f t="shared" si="10"/>
        <v>19</v>
      </c>
      <c r="BL31" s="140" t="s">
        <v>123</v>
      </c>
      <c r="BM31" s="140"/>
      <c r="BN31" s="166">
        <f>-BN27-BN29</f>
        <v>171199.77983333383</v>
      </c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152"/>
      <c r="BZ31" s="9"/>
      <c r="CA31" s="9"/>
      <c r="CB31" s="9"/>
      <c r="CC31" s="142"/>
      <c r="CD31" s="87">
        <f t="shared" si="13"/>
        <v>19</v>
      </c>
      <c r="CE31" s="152" t="s">
        <v>278</v>
      </c>
      <c r="CF31" s="163"/>
      <c r="CG31" s="163"/>
      <c r="CH31" s="272">
        <f>(+CG14+CG19+CG24)*CF30</f>
        <v>6138235.1517870678</v>
      </c>
      <c r="CI31" s="9"/>
      <c r="CJ31" s="9"/>
      <c r="CK31" s="9"/>
      <c r="CL31" s="9"/>
      <c r="CM31" s="9"/>
      <c r="CN31" s="13"/>
      <c r="CO31" s="13"/>
      <c r="CP31" s="13"/>
      <c r="CQ31" s="13"/>
      <c r="CR31" s="13"/>
      <c r="CX31" s="13"/>
    </row>
    <row r="32" spans="1:113" s="103" customFormat="1" ht="14.4" thickTop="1" thickBot="1">
      <c r="A32" s="107">
        <f t="shared" si="0"/>
        <v>21</v>
      </c>
      <c r="B32" s="158" t="s">
        <v>279</v>
      </c>
      <c r="C32" s="264"/>
      <c r="D32" s="165">
        <f>SUM(D28:D31)</f>
        <v>-10225162.969999999</v>
      </c>
      <c r="F32" s="107">
        <f t="shared" si="1"/>
        <v>20</v>
      </c>
      <c r="G32" s="9"/>
      <c r="H32" s="9" t="s">
        <v>280</v>
      </c>
      <c r="I32" s="140"/>
      <c r="J32" s="161">
        <v>-231987.67610922537</v>
      </c>
      <c r="K32" s="161">
        <v>-13163</v>
      </c>
      <c r="L32" s="9"/>
      <c r="M32" s="87">
        <f t="shared" si="2"/>
        <v>20</v>
      </c>
      <c r="N32" s="9" t="s">
        <v>281</v>
      </c>
      <c r="O32" s="9"/>
      <c r="P32" s="273">
        <v>3.8456999999999998E-2</v>
      </c>
      <c r="Q32" s="102">
        <f>-SUM(Q14+Q15+Q16+Q17+Q18+Q19+Q20+Q24+Q26)*P32</f>
        <v>-7404753.7586328303</v>
      </c>
      <c r="R32" s="87">
        <f t="shared" si="3"/>
        <v>20</v>
      </c>
      <c r="S32" s="91" t="s">
        <v>282</v>
      </c>
      <c r="T32" s="91"/>
      <c r="U32" s="200">
        <f>-SUM(U30:U31)</f>
        <v>-27023238.806572676</v>
      </c>
      <c r="V32" s="13"/>
      <c r="W32" s="13"/>
      <c r="X32" s="13"/>
      <c r="Y32" s="13"/>
      <c r="Z32" s="87">
        <f t="shared" si="5"/>
        <v>20</v>
      </c>
      <c r="AA32" s="140"/>
      <c r="AB32" s="140"/>
      <c r="AC32" s="140"/>
      <c r="AD32" s="140"/>
      <c r="AS32" s="87"/>
      <c r="BC32" s="9"/>
      <c r="BD32" s="9"/>
      <c r="BE32" s="9"/>
      <c r="BF32" s="9"/>
      <c r="BG32" s="87"/>
      <c r="BH32" s="9"/>
      <c r="BI32" s="9"/>
      <c r="BJ32" s="9"/>
      <c r="BK32" s="9"/>
      <c r="BL32" s="3"/>
      <c r="BM32" s="3"/>
      <c r="BN32" s="3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13"/>
      <c r="BZ32" s="13"/>
      <c r="CA32" s="13"/>
      <c r="CB32" s="13"/>
      <c r="CC32" s="13"/>
      <c r="CD32" s="87">
        <f t="shared" si="13"/>
        <v>20</v>
      </c>
      <c r="CE32" s="274" t="s">
        <v>179</v>
      </c>
      <c r="CF32" s="275"/>
      <c r="CG32" s="275"/>
      <c r="CH32" s="276">
        <f>CH30-CH31</f>
        <v>163909.622307254</v>
      </c>
      <c r="CI32" s="9"/>
      <c r="CJ32" s="9"/>
      <c r="CK32" s="9"/>
      <c r="CL32" s="9"/>
      <c r="CM32" s="9"/>
      <c r="CN32" s="13"/>
      <c r="CO32" s="13"/>
      <c r="CP32" s="13"/>
      <c r="CQ32" s="13"/>
      <c r="CR32" s="13"/>
      <c r="CS32" s="13"/>
      <c r="CX32" s="13"/>
      <c r="CY32" s="268" t="s">
        <v>152</v>
      </c>
      <c r="DA32" s="190">
        <v>0.35</v>
      </c>
      <c r="DB32" s="105">
        <f>-DB30*DA32</f>
        <v>233717.31377639933</v>
      </c>
    </row>
    <row r="33" spans="1:106" s="103" customFormat="1" ht="13.8" thickTop="1">
      <c r="A33" s="107">
        <f t="shared" si="0"/>
        <v>22</v>
      </c>
      <c r="B33" s="104" t="s">
        <v>283</v>
      </c>
      <c r="C33" s="264"/>
      <c r="D33" s="270"/>
      <c r="E33" s="277">
        <f>+D32+D23+D25</f>
        <v>-28861313.910117842</v>
      </c>
      <c r="F33" s="107">
        <f t="shared" si="1"/>
        <v>21</v>
      </c>
      <c r="G33" s="9"/>
      <c r="H33" s="91" t="s">
        <v>284</v>
      </c>
      <c r="I33" s="140"/>
      <c r="J33" s="161">
        <v>-158746.83383420159</v>
      </c>
      <c r="K33" s="161">
        <v>-8444</v>
      </c>
      <c r="L33" s="9"/>
      <c r="M33" s="87">
        <f t="shared" si="2"/>
        <v>21</v>
      </c>
      <c r="N33" s="9" t="s">
        <v>261</v>
      </c>
      <c r="O33" s="9"/>
      <c r="P33" s="105"/>
      <c r="Q33" s="250">
        <f>SUM(Q30:Q32)</f>
        <v>-9167900.3942986615</v>
      </c>
      <c r="R33" s="87"/>
      <c r="S33" s="91"/>
      <c r="T33" s="163"/>
      <c r="U33" s="9"/>
      <c r="V33" s="13"/>
      <c r="W33" s="13"/>
      <c r="X33" s="13"/>
      <c r="Y33" s="13"/>
      <c r="Z33" s="87">
        <f t="shared" si="5"/>
        <v>21</v>
      </c>
      <c r="AA33" s="140" t="s">
        <v>179</v>
      </c>
      <c r="AB33" s="140"/>
      <c r="AC33" s="140"/>
      <c r="AD33" s="143">
        <f>AD23+AD28+AD30</f>
        <v>53247093.956456982</v>
      </c>
      <c r="AS33" s="91"/>
      <c r="BC33" s="9"/>
      <c r="BD33" s="9"/>
      <c r="BE33" s="9"/>
      <c r="BF33" s="9"/>
      <c r="BG33" s="87"/>
      <c r="BH33" s="102"/>
      <c r="BI33" s="102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13"/>
      <c r="BZ33" s="13"/>
      <c r="CA33" s="13"/>
      <c r="CB33" s="13"/>
      <c r="CC33" s="13"/>
      <c r="CD33" s="87">
        <f t="shared" si="13"/>
        <v>21</v>
      </c>
      <c r="CE33" s="11"/>
      <c r="CF33" s="153"/>
      <c r="CG33" s="153"/>
      <c r="CH33" s="140"/>
      <c r="CI33" s="9"/>
      <c r="CJ33" s="9"/>
      <c r="CK33" s="9"/>
      <c r="CL33" s="9"/>
      <c r="CM33" s="9"/>
      <c r="CN33" s="13"/>
      <c r="CO33" s="13"/>
      <c r="CP33" s="13"/>
      <c r="CQ33" s="13"/>
      <c r="CR33" s="13"/>
      <c r="CS33" s="13"/>
      <c r="CX33" s="13"/>
      <c r="DB33" s="149"/>
    </row>
    <row r="34" spans="1:106" s="103" customFormat="1" ht="13.8" thickBot="1">
      <c r="A34" s="107">
        <f t="shared" si="0"/>
        <v>23</v>
      </c>
      <c r="B34" s="9" t="s">
        <v>285</v>
      </c>
      <c r="C34" s="264"/>
      <c r="D34" s="9"/>
      <c r="E34" s="270"/>
      <c r="F34" s="107">
        <f t="shared" si="1"/>
        <v>22</v>
      </c>
      <c r="G34" s="9"/>
      <c r="H34" s="91" t="s">
        <v>286</v>
      </c>
      <c r="I34" s="140"/>
      <c r="J34" s="161">
        <v>957232.70373482071</v>
      </c>
      <c r="K34" s="161">
        <v>52022</v>
      </c>
      <c r="L34" s="9"/>
      <c r="M34" s="87">
        <f t="shared" si="2"/>
        <v>22</v>
      </c>
      <c r="N34" s="9"/>
      <c r="O34" s="9"/>
      <c r="P34" s="105"/>
      <c r="Q34" s="102"/>
      <c r="R34" s="87"/>
      <c r="S34" s="9"/>
      <c r="T34" s="9"/>
      <c r="U34" s="2"/>
      <c r="V34" s="13"/>
      <c r="W34" s="13"/>
      <c r="X34" s="13"/>
      <c r="Y34" s="13"/>
      <c r="Z34" s="87">
        <f t="shared" si="5"/>
        <v>22</v>
      </c>
      <c r="AA34" s="140" t="s">
        <v>258</v>
      </c>
      <c r="AB34" s="140"/>
      <c r="AC34" s="140"/>
      <c r="AD34" s="102">
        <f>-AD33*0.35</f>
        <v>-18636482.884759944</v>
      </c>
      <c r="AS34" s="87"/>
      <c r="BC34" s="9"/>
      <c r="BD34" s="9"/>
      <c r="BE34" s="9"/>
      <c r="BF34" s="9"/>
      <c r="BG34" s="87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13"/>
      <c r="BZ34" s="13"/>
      <c r="CA34" s="13"/>
      <c r="CB34" s="13"/>
      <c r="CC34" s="13"/>
      <c r="CD34" s="87">
        <f t="shared" si="13"/>
        <v>22</v>
      </c>
      <c r="CE34" s="152" t="s">
        <v>152</v>
      </c>
      <c r="CF34" s="163">
        <v>0.35</v>
      </c>
      <c r="CG34" s="163"/>
      <c r="CH34" s="278">
        <f>ROUND(-CH32*CF34,0)</f>
        <v>-57368</v>
      </c>
      <c r="CI34" s="9"/>
      <c r="CJ34" s="9"/>
      <c r="CK34" s="9"/>
      <c r="CL34" s="9"/>
      <c r="CM34" s="9"/>
      <c r="CN34" s="13"/>
      <c r="CO34" s="13"/>
      <c r="CP34" s="13"/>
      <c r="CQ34" s="13"/>
      <c r="CR34" s="13"/>
      <c r="CS34" s="13"/>
      <c r="CX34" s="13"/>
      <c r="CY34" s="268" t="s">
        <v>123</v>
      </c>
      <c r="DB34" s="200">
        <f>-DB30-DB32</f>
        <v>434046.43987045588</v>
      </c>
    </row>
    <row r="35" spans="1:106" s="103" customFormat="1" ht="14.4" thickTop="1" thickBot="1">
      <c r="A35" s="107">
        <f t="shared" si="0"/>
        <v>24</v>
      </c>
      <c r="B35" s="279" t="s">
        <v>287</v>
      </c>
      <c r="C35" s="9"/>
      <c r="D35" s="100">
        <v>-22899640</v>
      </c>
      <c r="E35" s="9"/>
      <c r="F35" s="107">
        <f t="shared" si="1"/>
        <v>23</v>
      </c>
      <c r="G35" s="9"/>
      <c r="H35" s="9" t="s">
        <v>288</v>
      </c>
      <c r="I35" s="140"/>
      <c r="J35" s="161">
        <v>3836119.7974334164</v>
      </c>
      <c r="K35" s="161">
        <v>214416</v>
      </c>
      <c r="L35" s="9"/>
      <c r="M35" s="87">
        <f t="shared" si="2"/>
        <v>23</v>
      </c>
      <c r="N35" s="124" t="s">
        <v>289</v>
      </c>
      <c r="O35" s="9"/>
      <c r="P35" s="105"/>
      <c r="Q35" s="102"/>
      <c r="R35" s="87"/>
      <c r="S35" s="13"/>
      <c r="T35" s="13"/>
      <c r="U35" s="13"/>
      <c r="V35" s="13"/>
      <c r="W35" s="13"/>
      <c r="X35" s="13"/>
      <c r="Y35" s="13"/>
      <c r="Z35" s="87">
        <f t="shared" si="5"/>
        <v>23</v>
      </c>
      <c r="AA35" s="140" t="s">
        <v>123</v>
      </c>
      <c r="AB35" s="140"/>
      <c r="AC35" s="140"/>
      <c r="AD35" s="280">
        <f>-AD33-AD34</f>
        <v>-34610611.071697041</v>
      </c>
      <c r="AS35" s="87"/>
      <c r="BC35" s="9"/>
      <c r="BD35" s="9"/>
      <c r="BE35" s="9"/>
      <c r="BF35" s="9"/>
      <c r="BG35" s="87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13"/>
      <c r="BZ35" s="13"/>
      <c r="CA35" s="13"/>
      <c r="CB35" s="13"/>
      <c r="CC35" s="13"/>
      <c r="CD35" s="87">
        <f t="shared" si="13"/>
        <v>23</v>
      </c>
      <c r="CE35" s="152" t="s">
        <v>123</v>
      </c>
      <c r="CF35" s="153"/>
      <c r="CG35" s="153"/>
      <c r="CH35" s="214">
        <f>-CH32-CH34</f>
        <v>-106541.622307254</v>
      </c>
      <c r="CI35" s="9"/>
      <c r="CJ35" s="9"/>
      <c r="CK35" s="9"/>
      <c r="CL35" s="9"/>
      <c r="CM35" s="9"/>
      <c r="CN35" s="13"/>
      <c r="CO35" s="13"/>
      <c r="CP35" s="13"/>
      <c r="CQ35" s="13"/>
      <c r="CR35" s="13"/>
      <c r="CS35" s="13"/>
      <c r="CX35" s="13"/>
    </row>
    <row r="36" spans="1:106" s="103" customFormat="1" ht="13.8" thickTop="1">
      <c r="A36" s="107">
        <f t="shared" si="0"/>
        <v>25</v>
      </c>
      <c r="B36" s="279" t="s">
        <v>290</v>
      </c>
      <c r="D36" s="100"/>
      <c r="E36" s="102"/>
      <c r="F36" s="107">
        <f t="shared" si="1"/>
        <v>24</v>
      </c>
      <c r="G36" s="9"/>
      <c r="H36" s="91" t="s">
        <v>291</v>
      </c>
      <c r="I36" s="140"/>
      <c r="J36" s="161">
        <v>139730.50241881609</v>
      </c>
      <c r="K36" s="161">
        <v>7914</v>
      </c>
      <c r="L36" s="9"/>
      <c r="M36" s="87">
        <f t="shared" si="2"/>
        <v>24</v>
      </c>
      <c r="N36" s="138" t="s">
        <v>292</v>
      </c>
      <c r="O36" s="9"/>
      <c r="P36" s="105"/>
      <c r="Q36" s="112">
        <v>-97540765.159999996</v>
      </c>
      <c r="R36" s="13"/>
      <c r="S36" s="13"/>
      <c r="T36" s="13"/>
      <c r="U36" s="13"/>
      <c r="V36" s="13"/>
      <c r="W36" s="13"/>
      <c r="X36" s="13"/>
      <c r="Y36" s="13"/>
      <c r="Z36" s="87">
        <f t="shared" si="5"/>
        <v>24</v>
      </c>
      <c r="AA36" s="140"/>
      <c r="AB36" s="140"/>
      <c r="AC36" s="140"/>
      <c r="AD36" s="140"/>
      <c r="AS36" s="87"/>
      <c r="BC36" s="9"/>
      <c r="BD36" s="9"/>
      <c r="BE36" s="9"/>
      <c r="BF36" s="9"/>
      <c r="BG36" s="87"/>
      <c r="BH36" s="102"/>
      <c r="BI36" s="102"/>
      <c r="BJ36" s="102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13"/>
      <c r="BZ36" s="13"/>
      <c r="CA36" s="13"/>
      <c r="CB36" s="13"/>
      <c r="CC36" s="13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13"/>
      <c r="CO36" s="13"/>
      <c r="CP36" s="13"/>
      <c r="CQ36" s="13"/>
      <c r="CR36" s="13"/>
      <c r="CS36" s="13"/>
      <c r="CX36" s="13"/>
    </row>
    <row r="37" spans="1:106" s="103" customFormat="1">
      <c r="A37" s="107">
        <f t="shared" si="0"/>
        <v>26</v>
      </c>
      <c r="B37" s="279" t="s">
        <v>293</v>
      </c>
      <c r="C37" s="9"/>
      <c r="D37" s="100">
        <v>40241934.120000005</v>
      </c>
      <c r="F37" s="107">
        <f t="shared" si="1"/>
        <v>25</v>
      </c>
      <c r="G37" s="9"/>
      <c r="H37" s="91" t="s">
        <v>294</v>
      </c>
      <c r="I37" s="140"/>
      <c r="J37" s="161">
        <v>283772.54288090428</v>
      </c>
      <c r="K37" s="161">
        <v>16073</v>
      </c>
      <c r="L37" s="9"/>
      <c r="M37" s="87">
        <f t="shared" si="2"/>
        <v>25</v>
      </c>
      <c r="N37" s="152" t="s">
        <v>295</v>
      </c>
      <c r="O37" s="9"/>
      <c r="P37" s="105"/>
      <c r="Q37" s="112">
        <v>-55961766.059999995</v>
      </c>
      <c r="R37" s="13"/>
      <c r="S37" s="13"/>
      <c r="T37" s="13"/>
      <c r="U37" s="13"/>
      <c r="V37" s="13"/>
      <c r="W37" s="13"/>
      <c r="X37" s="13"/>
      <c r="Y37" s="13"/>
      <c r="Z37" s="87">
        <f t="shared" si="5"/>
        <v>25</v>
      </c>
      <c r="AA37" s="281"/>
      <c r="AB37" s="140"/>
      <c r="AC37" s="140"/>
      <c r="AD37" s="140"/>
      <c r="AS37" s="87"/>
      <c r="BC37" s="9"/>
      <c r="BD37" s="9"/>
      <c r="BE37" s="9"/>
      <c r="BF37" s="9"/>
      <c r="BG37" s="87"/>
      <c r="BH37" s="102"/>
      <c r="BI37" s="102"/>
      <c r="BJ37" s="102"/>
      <c r="BK37" s="9"/>
      <c r="BL37" s="9"/>
      <c r="BM37" s="9"/>
      <c r="BN37" s="9"/>
      <c r="BO37" s="3"/>
      <c r="BP37" s="3"/>
      <c r="BQ37" s="3"/>
      <c r="BR37" s="3"/>
      <c r="BS37" s="3"/>
      <c r="BT37" s="3"/>
      <c r="BU37" s="3"/>
      <c r="BV37" s="3"/>
      <c r="BW37" s="9"/>
      <c r="BX37" s="9"/>
      <c r="BY37" s="13"/>
      <c r="BZ37" s="13"/>
      <c r="CA37" s="13"/>
      <c r="CB37" s="13"/>
      <c r="CC37" s="13"/>
      <c r="CD37" s="152"/>
      <c r="CE37" s="9"/>
      <c r="CF37" s="9"/>
      <c r="CG37" s="9"/>
      <c r="CH37" s="9"/>
      <c r="CI37" s="9"/>
      <c r="CJ37" s="9"/>
      <c r="CK37" s="9"/>
      <c r="CL37" s="9"/>
      <c r="CM37" s="9"/>
      <c r="CN37" s="13"/>
      <c r="CO37" s="13"/>
      <c r="CP37" s="13"/>
      <c r="CQ37" s="13"/>
      <c r="CR37" s="13"/>
      <c r="CS37" s="13"/>
      <c r="CX37" s="13"/>
    </row>
    <row r="38" spans="1:106" s="103" customFormat="1">
      <c r="A38" s="107">
        <f t="shared" si="0"/>
        <v>27</v>
      </c>
      <c r="B38" s="104" t="s">
        <v>296</v>
      </c>
      <c r="C38" s="9"/>
      <c r="D38" s="282"/>
      <c r="E38" s="270"/>
      <c r="F38" s="107">
        <f t="shared" si="1"/>
        <v>26</v>
      </c>
      <c r="G38" s="9"/>
      <c r="H38" s="91" t="s">
        <v>297</v>
      </c>
      <c r="I38" s="140"/>
      <c r="J38" s="161">
        <v>-30131.256685476605</v>
      </c>
      <c r="K38" s="161">
        <v>-1662</v>
      </c>
      <c r="L38" s="9"/>
      <c r="M38" s="87">
        <f t="shared" si="2"/>
        <v>26</v>
      </c>
      <c r="N38" s="138" t="s">
        <v>135</v>
      </c>
      <c r="O38" s="9"/>
      <c r="P38" s="105"/>
      <c r="Q38" s="112">
        <v>-80920052.489999995</v>
      </c>
      <c r="R38" s="13"/>
      <c r="S38" s="13"/>
      <c r="T38" s="13"/>
      <c r="U38" s="13"/>
      <c r="V38" s="13"/>
      <c r="W38" s="13"/>
      <c r="X38" s="13"/>
      <c r="Y38" s="13"/>
      <c r="Z38" s="87">
        <f t="shared" si="5"/>
        <v>26</v>
      </c>
      <c r="AA38" s="283" t="s">
        <v>298</v>
      </c>
      <c r="AB38" s="140"/>
      <c r="AC38" s="140"/>
      <c r="AD38" s="140"/>
      <c r="AS38" s="87"/>
      <c r="BC38" s="9"/>
      <c r="BD38" s="9"/>
      <c r="BE38" s="9"/>
      <c r="BF38" s="9"/>
      <c r="BG38" s="87"/>
      <c r="BH38" s="102"/>
      <c r="BI38" s="102"/>
      <c r="BJ38" s="102"/>
      <c r="BK38" s="9"/>
      <c r="BL38" s="9"/>
      <c r="BM38" s="9"/>
      <c r="BN38" s="9"/>
      <c r="BO38" s="140"/>
      <c r="BP38" s="140"/>
      <c r="BQ38" s="140"/>
      <c r="BR38" s="140"/>
      <c r="BS38" s="140"/>
      <c r="BT38" s="140"/>
      <c r="BU38" s="140"/>
      <c r="BV38" s="140"/>
      <c r="BW38" s="9"/>
      <c r="BX38" s="9"/>
      <c r="BY38" s="13"/>
      <c r="BZ38" s="13"/>
      <c r="CA38" s="13"/>
      <c r="CB38" s="13"/>
      <c r="CC38" s="13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13"/>
      <c r="CO38" s="13"/>
      <c r="CP38" s="13"/>
      <c r="CQ38" s="13"/>
      <c r="CR38" s="13"/>
      <c r="CS38" s="13"/>
      <c r="CX38" s="13"/>
    </row>
    <row r="39" spans="1:106" s="103" customFormat="1">
      <c r="A39" s="107">
        <f t="shared" si="0"/>
        <v>28</v>
      </c>
      <c r="B39" s="270"/>
      <c r="C39" s="9"/>
      <c r="D39" s="270"/>
      <c r="E39" s="165">
        <f>+D35+D37</f>
        <v>17342294.120000005</v>
      </c>
      <c r="F39" s="107">
        <f t="shared" si="1"/>
        <v>27</v>
      </c>
      <c r="G39" s="9"/>
      <c r="H39" s="9" t="s">
        <v>299</v>
      </c>
      <c r="I39" s="140"/>
      <c r="J39" s="161">
        <v>145693.42218082878</v>
      </c>
      <c r="K39" s="161">
        <v>5118</v>
      </c>
      <c r="L39" s="9"/>
      <c r="M39" s="87">
        <f t="shared" si="2"/>
        <v>27</v>
      </c>
      <c r="N39" s="138" t="s">
        <v>300</v>
      </c>
      <c r="O39" s="9"/>
      <c r="P39" s="105"/>
      <c r="Q39" s="112">
        <v>-16296500.52</v>
      </c>
      <c r="R39" s="13"/>
      <c r="S39" s="13"/>
      <c r="T39" s="13"/>
      <c r="U39" s="13"/>
      <c r="V39" s="13"/>
      <c r="W39" s="13"/>
      <c r="X39" s="13"/>
      <c r="Y39" s="13"/>
      <c r="Z39" s="87">
        <f t="shared" si="5"/>
        <v>27</v>
      </c>
      <c r="AA39" s="140" t="s">
        <v>301</v>
      </c>
      <c r="AB39" s="195">
        <v>0.5</v>
      </c>
      <c r="AC39" s="140"/>
      <c r="AD39" s="256">
        <f>-AD33*AB39</f>
        <v>-26623546.978228491</v>
      </c>
      <c r="AS39" s="87"/>
      <c r="AT39" s="9"/>
      <c r="AU39" s="9"/>
      <c r="AV39" s="9"/>
      <c r="BC39" s="9"/>
      <c r="BD39" s="9"/>
      <c r="BE39" s="9"/>
      <c r="BF39" s="9"/>
      <c r="BG39" s="87"/>
      <c r="BH39" s="102"/>
      <c r="BI39" s="102"/>
      <c r="BJ39" s="102"/>
      <c r="BK39" s="9"/>
      <c r="BL39" s="9"/>
      <c r="BM39" s="9"/>
      <c r="BN39" s="9"/>
      <c r="BO39" s="140"/>
      <c r="BP39" s="140"/>
      <c r="BQ39" s="140"/>
      <c r="BR39" s="140"/>
      <c r="BS39" s="140"/>
      <c r="BT39" s="140"/>
      <c r="BU39" s="140"/>
      <c r="BV39" s="140"/>
      <c r="BW39" s="9"/>
      <c r="BX39" s="9"/>
      <c r="BY39" s="13"/>
      <c r="BZ39" s="13"/>
      <c r="CA39" s="13"/>
      <c r="CB39" s="13"/>
      <c r="CC39" s="13"/>
      <c r="CD39" s="9"/>
      <c r="CE39" s="9"/>
      <c r="CF39" s="9"/>
      <c r="CG39" s="9"/>
      <c r="CH39" s="9"/>
      <c r="CI39" s="9"/>
      <c r="CJ39" s="9"/>
      <c r="CK39" s="9"/>
      <c r="CL39" s="87"/>
      <c r="CM39" s="9"/>
      <c r="CN39" s="13"/>
      <c r="CO39" s="13"/>
      <c r="CP39" s="13"/>
      <c r="CQ39" s="13"/>
      <c r="CR39" s="13"/>
      <c r="CS39" s="13"/>
      <c r="CX39" s="13"/>
    </row>
    <row r="40" spans="1:106" s="103" customFormat="1">
      <c r="A40" s="107">
        <f t="shared" si="0"/>
        <v>29</v>
      </c>
      <c r="B40" s="231" t="s">
        <v>302</v>
      </c>
      <c r="C40" s="284">
        <v>7.1570000000000002E-3</v>
      </c>
      <c r="D40" s="120">
        <f>+$E$33*C40</f>
        <v>-206560.42365471341</v>
      </c>
      <c r="E40" s="270"/>
      <c r="F40" s="107">
        <f t="shared" si="1"/>
        <v>28</v>
      </c>
      <c r="G40" s="9"/>
      <c r="H40" s="9"/>
      <c r="I40" s="140"/>
      <c r="J40" s="171"/>
      <c r="K40" s="218"/>
      <c r="L40" s="75"/>
      <c r="M40" s="87">
        <f t="shared" si="2"/>
        <v>28</v>
      </c>
      <c r="N40" s="205" t="s">
        <v>174</v>
      </c>
      <c r="O40" s="9"/>
      <c r="P40" s="105"/>
      <c r="Q40" s="112">
        <v>69268219.670000002</v>
      </c>
      <c r="R40" s="13"/>
      <c r="S40" s="13"/>
      <c r="T40" s="13"/>
      <c r="U40" s="13"/>
      <c r="V40" s="13"/>
      <c r="W40" s="13"/>
      <c r="X40" s="13"/>
      <c r="Y40" s="13"/>
      <c r="Z40" s="87">
        <f t="shared" si="5"/>
        <v>28</v>
      </c>
      <c r="AA40" s="285" t="s">
        <v>303</v>
      </c>
      <c r="AB40" s="286"/>
      <c r="AC40" s="216"/>
      <c r="AD40" s="287">
        <v>9318241.4423799794</v>
      </c>
      <c r="AS40" s="87"/>
      <c r="AW40" s="288"/>
      <c r="BC40" s="9"/>
      <c r="BD40" s="9"/>
      <c r="BE40" s="9"/>
      <c r="BF40" s="9"/>
      <c r="BG40" s="87"/>
      <c r="BH40" s="9"/>
      <c r="BI40" s="9"/>
      <c r="BJ40" s="9"/>
      <c r="BK40" s="9"/>
      <c r="BL40" s="9"/>
      <c r="BM40" s="9"/>
      <c r="BN40" s="9"/>
      <c r="BO40" s="3"/>
      <c r="BP40" s="3"/>
      <c r="BQ40" s="3"/>
      <c r="BR40" s="3"/>
      <c r="BS40" s="3"/>
      <c r="BT40" s="3"/>
      <c r="BU40" s="3"/>
      <c r="BV40" s="3"/>
      <c r="BW40" s="9"/>
      <c r="BX40" s="9"/>
      <c r="BY40" s="13"/>
      <c r="BZ40" s="13"/>
      <c r="CA40" s="13"/>
      <c r="CB40" s="13"/>
      <c r="CC40" s="13"/>
      <c r="CD40" s="9"/>
      <c r="CE40" s="9"/>
      <c r="CF40" s="9"/>
      <c r="CG40" s="9"/>
      <c r="CH40" s="9"/>
      <c r="CI40" s="9"/>
      <c r="CJ40" s="9"/>
      <c r="CK40" s="9"/>
      <c r="CL40" s="87"/>
      <c r="CM40" s="9"/>
      <c r="CN40" s="13"/>
      <c r="CO40" s="13"/>
      <c r="CP40" s="13"/>
      <c r="CQ40" s="13"/>
      <c r="CR40" s="13"/>
      <c r="CS40" s="13"/>
      <c r="CX40" s="13"/>
    </row>
    <row r="41" spans="1:106" s="103" customFormat="1">
      <c r="A41" s="107">
        <f t="shared" si="0"/>
        <v>30</v>
      </c>
      <c r="B41" s="289" t="s">
        <v>304</v>
      </c>
      <c r="C41" s="284">
        <v>2E-3</v>
      </c>
      <c r="D41" s="120">
        <f>+$E$33*C41</f>
        <v>-57722.627820235684</v>
      </c>
      <c r="E41" s="176"/>
      <c r="F41" s="107">
        <f t="shared" si="1"/>
        <v>29</v>
      </c>
      <c r="G41" s="9" t="s">
        <v>305</v>
      </c>
      <c r="H41" s="9"/>
      <c r="I41" s="9"/>
      <c r="J41" s="102">
        <f>SUM(J29:J40)</f>
        <v>281706864.87875712</v>
      </c>
      <c r="K41" s="102">
        <f>SUM(K29:K40)</f>
        <v>28313253</v>
      </c>
      <c r="L41" s="161">
        <f>SUM(K29:K40)</f>
        <v>28313253</v>
      </c>
      <c r="M41" s="87">
        <f t="shared" si="2"/>
        <v>29</v>
      </c>
      <c r="N41" s="134" t="s">
        <v>306</v>
      </c>
      <c r="O41" s="9"/>
      <c r="P41" s="105"/>
      <c r="Q41" s="112">
        <v>138514.25</v>
      </c>
      <c r="R41" s="13"/>
      <c r="S41" s="13"/>
      <c r="T41" s="13"/>
      <c r="U41" s="13"/>
      <c r="V41" s="13"/>
      <c r="W41" s="13"/>
      <c r="X41" s="13"/>
      <c r="Y41" s="13"/>
      <c r="Z41" s="87">
        <f t="shared" si="5"/>
        <v>29</v>
      </c>
      <c r="AA41" s="285"/>
      <c r="AB41" s="195"/>
      <c r="AC41" s="140"/>
      <c r="AD41" s="165"/>
      <c r="AS41" s="87"/>
      <c r="BC41" s="9"/>
      <c r="BD41" s="9"/>
      <c r="BE41" s="9"/>
      <c r="BF41" s="9"/>
      <c r="BG41" s="87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13"/>
      <c r="BZ41" s="13"/>
      <c r="CA41" s="13"/>
      <c r="CB41" s="13"/>
      <c r="CC41" s="13"/>
      <c r="CD41" s="9"/>
      <c r="CE41" s="9"/>
      <c r="CF41" s="9"/>
      <c r="CG41" s="9"/>
      <c r="CH41" s="9"/>
      <c r="CI41" s="9"/>
      <c r="CJ41" s="9"/>
      <c r="CK41" s="9"/>
      <c r="CL41" s="87"/>
      <c r="CM41" s="9"/>
      <c r="CN41" s="13"/>
      <c r="CO41" s="13"/>
      <c r="CP41" s="13"/>
      <c r="CQ41" s="13"/>
      <c r="CR41" s="13"/>
      <c r="CS41" s="13"/>
      <c r="CX41" s="13"/>
    </row>
    <row r="42" spans="1:106" s="103" customFormat="1" ht="15.75" customHeight="1" thickBot="1">
      <c r="A42" s="107">
        <f t="shared" si="0"/>
        <v>31</v>
      </c>
      <c r="B42" s="91" t="s">
        <v>307</v>
      </c>
      <c r="C42" s="284">
        <v>3.8456999999999998E-2</v>
      </c>
      <c r="D42" s="120">
        <f>+$E$33*C42</f>
        <v>-1109919.5490414018</v>
      </c>
      <c r="E42" s="102"/>
      <c r="F42" s="107">
        <f t="shared" si="1"/>
        <v>30</v>
      </c>
      <c r="G42" s="290"/>
      <c r="H42" s="290"/>
      <c r="I42" s="100"/>
      <c r="J42" s="100"/>
      <c r="K42" s="4"/>
      <c r="L42" s="9"/>
      <c r="M42" s="87">
        <f t="shared" si="2"/>
        <v>30</v>
      </c>
      <c r="N42" s="238" t="s">
        <v>308</v>
      </c>
      <c r="O42" s="9"/>
      <c r="P42" s="105"/>
      <c r="Q42" s="112">
        <v>-979067.74</v>
      </c>
      <c r="R42" s="13"/>
      <c r="S42" s="13"/>
      <c r="T42" s="13"/>
      <c r="U42" s="13"/>
      <c r="V42" s="13"/>
      <c r="W42" s="13"/>
      <c r="X42" s="13"/>
      <c r="Y42" s="13"/>
      <c r="Z42" s="87">
        <f t="shared" si="5"/>
        <v>30</v>
      </c>
      <c r="AA42" s="140" t="s">
        <v>309</v>
      </c>
      <c r="AB42" s="140"/>
      <c r="AC42" s="140"/>
      <c r="AD42" s="291">
        <f>SUM(AD39:AD41)</f>
        <v>-17305305.535848513</v>
      </c>
      <c r="AS42" s="87"/>
      <c r="BC42" s="9"/>
      <c r="BD42" s="9"/>
      <c r="BE42" s="9"/>
      <c r="BF42" s="9"/>
      <c r="BG42" s="87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13"/>
      <c r="BZ42" s="13"/>
      <c r="CA42" s="13"/>
      <c r="CB42" s="13"/>
      <c r="CC42" s="13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13"/>
      <c r="CO42" s="13"/>
      <c r="CP42" s="13"/>
      <c r="CQ42" s="13"/>
      <c r="CR42" s="13"/>
      <c r="CS42" s="13"/>
      <c r="CX42" s="13"/>
    </row>
    <row r="43" spans="1:106" s="103" customFormat="1" ht="13.8" thickTop="1">
      <c r="A43" s="107">
        <f t="shared" si="0"/>
        <v>32</v>
      </c>
      <c r="B43" s="104" t="s">
        <v>310</v>
      </c>
      <c r="C43" s="284"/>
      <c r="D43" s="292"/>
      <c r="E43" s="270"/>
      <c r="F43" s="107">
        <f t="shared" si="1"/>
        <v>31</v>
      </c>
      <c r="G43" s="91" t="s">
        <v>302</v>
      </c>
      <c r="H43" s="91"/>
      <c r="I43" s="91"/>
      <c r="J43" s="293">
        <v>7.1570000000000002E-3</v>
      </c>
      <c r="K43" s="102">
        <f>ROUND(L41*J43,0)</f>
        <v>202638</v>
      </c>
      <c r="L43" s="102"/>
      <c r="M43" s="87">
        <f t="shared" si="2"/>
        <v>31</v>
      </c>
      <c r="N43" s="238" t="s">
        <v>311</v>
      </c>
      <c r="O43" s="2"/>
      <c r="P43" s="105"/>
      <c r="Q43" s="112">
        <v>-41429.58</v>
      </c>
      <c r="R43" s="13"/>
      <c r="S43" s="13"/>
      <c r="T43" s="13"/>
      <c r="U43" s="13"/>
      <c r="V43" s="13"/>
      <c r="W43" s="13"/>
      <c r="X43" s="13"/>
      <c r="Y43" s="13"/>
      <c r="Z43" s="102"/>
      <c r="AA43" s="140"/>
      <c r="AB43" s="140"/>
      <c r="AC43" s="140"/>
      <c r="AD43" s="140"/>
      <c r="AS43" s="87"/>
      <c r="BC43" s="9"/>
      <c r="BD43" s="9"/>
      <c r="BE43" s="9"/>
      <c r="BF43" s="9"/>
      <c r="BG43" s="87"/>
      <c r="BH43" s="102"/>
      <c r="BI43" s="102"/>
      <c r="BJ43" s="102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13"/>
      <c r="BZ43" s="13"/>
      <c r="CA43" s="13"/>
      <c r="CB43" s="13"/>
      <c r="CC43" s="13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13"/>
      <c r="CO43" s="13"/>
      <c r="CP43" s="13"/>
      <c r="CQ43" s="13"/>
      <c r="CR43" s="13"/>
      <c r="CS43" s="13"/>
      <c r="CX43" s="13"/>
    </row>
    <row r="44" spans="1:106" s="103" customFormat="1">
      <c r="A44" s="107">
        <f t="shared" si="0"/>
        <v>33</v>
      </c>
      <c r="B44" s="270"/>
      <c r="C44" s="270"/>
      <c r="D44" s="270"/>
      <c r="E44" s="165">
        <f>SUM(D40:D42)</f>
        <v>-1374202.6005163509</v>
      </c>
      <c r="F44" s="107">
        <f t="shared" si="1"/>
        <v>32</v>
      </c>
      <c r="G44" s="91" t="s">
        <v>304</v>
      </c>
      <c r="H44" s="91"/>
      <c r="I44" s="91"/>
      <c r="J44" s="293">
        <v>2E-3</v>
      </c>
      <c r="K44" s="294">
        <f>ROUND(L41*J44,0)</f>
        <v>56627</v>
      </c>
      <c r="L44" s="102"/>
      <c r="M44" s="87">
        <f t="shared" si="2"/>
        <v>32</v>
      </c>
      <c r="N44" s="238" t="s">
        <v>312</v>
      </c>
      <c r="O44" s="2"/>
      <c r="P44" s="105"/>
      <c r="Q44" s="112">
        <v>-11150.8</v>
      </c>
      <c r="R44" s="13"/>
      <c r="S44" s="13"/>
      <c r="T44" s="13"/>
      <c r="U44" s="13"/>
      <c r="V44" s="13"/>
      <c r="W44" s="13"/>
      <c r="X44" s="13"/>
      <c r="Y44" s="13"/>
      <c r="Z44" s="7"/>
      <c r="AA44" s="4"/>
      <c r="AB44" s="4"/>
      <c r="AC44" s="4"/>
      <c r="AD44" s="4"/>
      <c r="AS44" s="87"/>
      <c r="BC44" s="9"/>
      <c r="BD44" s="9"/>
      <c r="BE44" s="9"/>
      <c r="BF44" s="9"/>
      <c r="BG44" s="87"/>
      <c r="BH44" s="102"/>
      <c r="BI44" s="102"/>
      <c r="BJ44" s="102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13"/>
      <c r="BZ44" s="13"/>
      <c r="CA44" s="13"/>
      <c r="CB44" s="13"/>
      <c r="CC44" s="13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13"/>
      <c r="CO44" s="13"/>
      <c r="CP44" s="13"/>
      <c r="CQ44" s="13"/>
      <c r="CR44" s="13"/>
      <c r="CS44" s="13"/>
      <c r="CX44" s="13"/>
    </row>
    <row r="45" spans="1:106" s="103" customFormat="1">
      <c r="A45" s="107">
        <v>31</v>
      </c>
      <c r="B45" s="231" t="s">
        <v>190</v>
      </c>
      <c r="C45" s="295"/>
      <c r="D45" s="140"/>
      <c r="E45" s="270"/>
      <c r="F45" s="107">
        <f t="shared" si="1"/>
        <v>33</v>
      </c>
      <c r="G45" s="162" t="s">
        <v>313</v>
      </c>
      <c r="H45" s="91"/>
      <c r="I45" s="91"/>
      <c r="J45" s="293"/>
      <c r="K45" s="140"/>
      <c r="L45" s="102">
        <f>SUM(K43:K44)</f>
        <v>259265</v>
      </c>
      <c r="M45" s="87">
        <f t="shared" si="2"/>
        <v>33</v>
      </c>
      <c r="N45" s="138" t="s">
        <v>314</v>
      </c>
      <c r="O45" s="2"/>
      <c r="P45" s="105"/>
      <c r="Q45" s="296">
        <v>226820.57</v>
      </c>
      <c r="R45" s="13"/>
      <c r="S45" s="13"/>
      <c r="T45" s="13"/>
      <c r="U45" s="13"/>
      <c r="V45" s="13"/>
      <c r="W45" s="13"/>
      <c r="X45" s="13"/>
      <c r="Y45" s="13"/>
      <c r="Z45" s="7"/>
      <c r="AA45" s="9"/>
      <c r="AB45" s="9"/>
      <c r="AC45" s="9"/>
      <c r="AD45" s="9"/>
      <c r="AS45" s="87"/>
      <c r="AT45" s="297"/>
      <c r="AU45" s="297"/>
      <c r="AV45" s="297"/>
      <c r="AW45" s="297"/>
      <c r="BC45" s="9"/>
      <c r="BD45" s="9"/>
      <c r="BE45" s="9"/>
      <c r="BF45" s="9"/>
      <c r="BG45" s="87"/>
      <c r="BH45" s="102"/>
      <c r="BI45" s="102"/>
      <c r="BJ45" s="102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13"/>
      <c r="BZ45" s="13"/>
      <c r="CA45" s="13"/>
      <c r="CB45" s="13"/>
      <c r="CC45" s="13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13"/>
      <c r="CO45" s="13"/>
      <c r="CP45" s="13"/>
      <c r="CQ45" s="13"/>
      <c r="CR45" s="13"/>
      <c r="CS45" s="13"/>
      <c r="CX45" s="13"/>
    </row>
    <row r="46" spans="1:106" s="103" customFormat="1">
      <c r="A46" s="107">
        <f>+A45+1</f>
        <v>32</v>
      </c>
      <c r="B46" s="231"/>
      <c r="C46" s="159"/>
      <c r="D46" s="140"/>
      <c r="E46" s="218">
        <f>+E33-E39-E44</f>
        <v>-44829405.429601498</v>
      </c>
      <c r="F46" s="107">
        <f t="shared" si="1"/>
        <v>34</v>
      </c>
      <c r="G46" s="91"/>
      <c r="H46" s="91"/>
      <c r="I46" s="91"/>
      <c r="J46" s="293"/>
      <c r="K46" s="100"/>
      <c r="L46" s="102"/>
      <c r="M46" s="87">
        <f t="shared" si="2"/>
        <v>34</v>
      </c>
      <c r="N46" s="138" t="s">
        <v>259</v>
      </c>
      <c r="O46" s="2"/>
      <c r="P46" s="105"/>
      <c r="Q46" s="112">
        <f>SUM(Q36:Q45)</f>
        <v>-182117177.86000004</v>
      </c>
      <c r="R46" s="13"/>
      <c r="S46" s="13"/>
      <c r="T46" s="13"/>
      <c r="U46" s="13"/>
      <c r="V46" s="13"/>
      <c r="W46" s="13"/>
      <c r="X46" s="13"/>
      <c r="Y46" s="13"/>
      <c r="Z46" s="4"/>
      <c r="AA46" s="102"/>
      <c r="AB46" s="102"/>
      <c r="AC46" s="102"/>
      <c r="AD46" s="142"/>
      <c r="AS46" s="87"/>
      <c r="AT46" s="297"/>
      <c r="AU46" s="297"/>
      <c r="AV46" s="297"/>
      <c r="AW46" s="297"/>
      <c r="BC46" s="9"/>
      <c r="BD46" s="9"/>
      <c r="BE46" s="9"/>
      <c r="BF46" s="9"/>
      <c r="BG46" s="87"/>
      <c r="BH46" s="102"/>
      <c r="BI46" s="102"/>
      <c r="BJ46" s="102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13"/>
      <c r="BZ46" s="13"/>
      <c r="CA46" s="13"/>
      <c r="CB46" s="13"/>
      <c r="CC46" s="13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13"/>
      <c r="CO46" s="13"/>
      <c r="CP46" s="13"/>
      <c r="CQ46" s="13"/>
      <c r="CR46" s="13"/>
      <c r="CS46" s="13"/>
      <c r="CX46" s="13"/>
    </row>
    <row r="47" spans="1:106" s="103" customFormat="1">
      <c r="A47" s="107">
        <f>+A46+1</f>
        <v>33</v>
      </c>
      <c r="B47" s="298"/>
      <c r="D47" s="298"/>
      <c r="E47" s="4"/>
      <c r="F47" s="107">
        <f t="shared" si="1"/>
        <v>35</v>
      </c>
      <c r="G47" s="91" t="s">
        <v>307</v>
      </c>
      <c r="H47" s="91"/>
      <c r="I47" s="91"/>
      <c r="J47" s="293">
        <v>3.8456999999999998E-2</v>
      </c>
      <c r="K47" s="218">
        <f>ROUND(L41*J47,0)</f>
        <v>1088843</v>
      </c>
      <c r="L47" s="102"/>
      <c r="M47" s="87">
        <f t="shared" si="2"/>
        <v>35</v>
      </c>
      <c r="N47" s="2"/>
      <c r="O47" s="2"/>
      <c r="P47" s="102"/>
      <c r="Q47" s="7"/>
      <c r="R47" s="13"/>
      <c r="S47" s="13"/>
      <c r="T47" s="13"/>
      <c r="U47" s="13"/>
      <c r="V47" s="13"/>
      <c r="W47" s="13"/>
      <c r="X47" s="13"/>
      <c r="Y47" s="13"/>
      <c r="Z47" s="2"/>
      <c r="AA47" s="7"/>
      <c r="AB47" s="7"/>
      <c r="AC47" s="7"/>
      <c r="AD47" s="102"/>
      <c r="AS47" s="87"/>
      <c r="AT47" s="297"/>
      <c r="AU47" s="297"/>
      <c r="AV47" s="297"/>
      <c r="AW47" s="297"/>
      <c r="BC47" s="9"/>
      <c r="BD47" s="9"/>
      <c r="BE47" s="9"/>
      <c r="BF47" s="9"/>
      <c r="BG47" s="87"/>
      <c r="BH47" s="102"/>
      <c r="BI47" s="102"/>
      <c r="BJ47" s="102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13"/>
      <c r="BZ47" s="13"/>
      <c r="CA47" s="13"/>
      <c r="CB47" s="13"/>
      <c r="CC47" s="13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13"/>
      <c r="CO47" s="13"/>
      <c r="CP47" s="13"/>
      <c r="CQ47" s="13"/>
      <c r="CR47" s="13"/>
      <c r="CS47" s="13"/>
      <c r="CX47" s="13"/>
    </row>
    <row r="48" spans="1:106" s="103" customFormat="1">
      <c r="A48" s="107">
        <f>+A47+1</f>
        <v>34</v>
      </c>
      <c r="B48" s="298" t="s">
        <v>152</v>
      </c>
      <c r="C48" s="265">
        <v>0.35</v>
      </c>
      <c r="D48" s="4"/>
      <c r="E48" s="7">
        <f>E46*C48</f>
        <v>-15690291.900360523</v>
      </c>
      <c r="F48" s="107">
        <f t="shared" si="1"/>
        <v>36</v>
      </c>
      <c r="G48" s="162" t="s">
        <v>315</v>
      </c>
      <c r="H48" s="91"/>
      <c r="I48" s="91"/>
      <c r="J48" s="9"/>
      <c r="K48" s="100"/>
      <c r="L48" s="218">
        <f>SUM(K47:K47)</f>
        <v>1088843</v>
      </c>
      <c r="M48" s="87">
        <f t="shared" si="2"/>
        <v>36</v>
      </c>
      <c r="N48" s="2" t="s">
        <v>316</v>
      </c>
      <c r="O48" s="2"/>
      <c r="P48" s="102"/>
      <c r="Q48" s="7">
        <f>-Q27-Q33-Q46</f>
        <v>-1539292.7857013047</v>
      </c>
      <c r="R48" s="13"/>
      <c r="S48" s="13"/>
      <c r="T48" s="13"/>
      <c r="U48" s="13"/>
      <c r="V48" s="13"/>
      <c r="W48" s="13"/>
      <c r="X48" s="13"/>
      <c r="Y48" s="13"/>
      <c r="Z48" s="2"/>
      <c r="AA48" s="7"/>
      <c r="AB48" s="7"/>
      <c r="AC48" s="7"/>
      <c r="AD48" s="7"/>
      <c r="AS48" s="87"/>
      <c r="BC48" s="9"/>
      <c r="BD48" s="9"/>
      <c r="BE48" s="9"/>
      <c r="BF48" s="9"/>
      <c r="BG48" s="87"/>
      <c r="BH48" s="102"/>
      <c r="BI48" s="102"/>
      <c r="BJ48" s="102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13"/>
      <c r="BZ48" s="13"/>
      <c r="CA48" s="13"/>
      <c r="CB48" s="13"/>
      <c r="CC48" s="13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13"/>
      <c r="CO48" s="13"/>
      <c r="CP48" s="13"/>
      <c r="CQ48" s="13"/>
      <c r="CR48" s="13"/>
      <c r="CS48" s="13"/>
      <c r="CX48" s="13"/>
    </row>
    <row r="49" spans="1:97" s="103" customFormat="1" ht="17.25" customHeight="1" thickBot="1">
      <c r="A49" s="107">
        <f>+A48+1</f>
        <v>35</v>
      </c>
      <c r="B49" s="298" t="s">
        <v>123</v>
      </c>
      <c r="C49" s="13"/>
      <c r="D49" s="13"/>
      <c r="E49" s="299">
        <f>E46-E48</f>
        <v>-29139113.529240973</v>
      </c>
      <c r="F49" s="107">
        <f t="shared" si="1"/>
        <v>37</v>
      </c>
      <c r="G49" s="91"/>
      <c r="H49" s="91"/>
      <c r="I49" s="91"/>
      <c r="J49" s="9"/>
      <c r="K49" s="9"/>
      <c r="L49" s="102"/>
      <c r="M49" s="87">
        <f t="shared" si="2"/>
        <v>37</v>
      </c>
      <c r="N49" s="2" t="s">
        <v>258</v>
      </c>
      <c r="O49" s="2"/>
      <c r="P49" s="102"/>
      <c r="Q49" s="102">
        <f>Q48*0.35</f>
        <v>-538752.47499545664</v>
      </c>
      <c r="R49" s="13"/>
      <c r="S49" s="13"/>
      <c r="T49" s="13"/>
      <c r="U49" s="13"/>
      <c r="V49" s="13"/>
      <c r="W49" s="13"/>
      <c r="X49" s="13"/>
      <c r="Y49" s="13"/>
      <c r="Z49" s="2"/>
      <c r="AA49" s="4"/>
      <c r="AB49" s="4"/>
      <c r="AC49" s="4"/>
      <c r="AD49" s="4"/>
      <c r="AS49" s="87"/>
      <c r="BC49" s="9"/>
      <c r="BD49" s="9"/>
      <c r="BE49" s="9"/>
      <c r="BF49" s="9"/>
      <c r="BG49" s="87"/>
      <c r="BH49" s="102"/>
      <c r="BI49" s="102"/>
      <c r="BJ49" s="102"/>
      <c r="BK49" s="9"/>
      <c r="BL49" s="9"/>
      <c r="BM49" s="9"/>
      <c r="BN49" s="9"/>
      <c r="BO49" s="9"/>
      <c r="BP49" s="9"/>
      <c r="BQ49" s="9"/>
      <c r="BR49" s="9"/>
      <c r="BS49" s="9"/>
      <c r="BT49" s="87"/>
      <c r="BU49" s="9"/>
      <c r="BV49" s="9"/>
      <c r="BW49" s="9"/>
      <c r="BX49" s="9"/>
      <c r="BY49" s="13"/>
      <c r="BZ49" s="13"/>
      <c r="CA49" s="13"/>
      <c r="CB49" s="13"/>
      <c r="CC49" s="13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13"/>
    </row>
    <row r="50" spans="1:97" s="103" customFormat="1" ht="14.4" thickTop="1" thickBot="1">
      <c r="A50" s="107"/>
      <c r="B50" s="91"/>
      <c r="C50" s="13"/>
      <c r="D50" s="13"/>
      <c r="E50" s="13"/>
      <c r="F50" s="107">
        <f t="shared" si="1"/>
        <v>38</v>
      </c>
      <c r="G50" s="91" t="s">
        <v>190</v>
      </c>
      <c r="H50" s="91"/>
      <c r="I50" s="91"/>
      <c r="J50" s="9"/>
      <c r="K50" s="140"/>
      <c r="L50" s="102">
        <f>L41-L45-L48</f>
        <v>26965145</v>
      </c>
      <c r="M50" s="87">
        <f t="shared" si="2"/>
        <v>38</v>
      </c>
      <c r="N50" s="2" t="s">
        <v>123</v>
      </c>
      <c r="O50" s="2"/>
      <c r="P50" s="105"/>
      <c r="Q50" s="214">
        <f>Q48-Q49</f>
        <v>-1000540.310705848</v>
      </c>
      <c r="R50" s="13"/>
      <c r="S50" s="13"/>
      <c r="T50" s="13"/>
      <c r="U50" s="13"/>
      <c r="V50" s="13"/>
      <c r="W50" s="13"/>
      <c r="X50" s="13"/>
      <c r="Y50" s="13"/>
      <c r="Z50" s="7"/>
      <c r="AA50" s="2"/>
      <c r="AB50" s="2"/>
      <c r="AC50" s="2"/>
      <c r="AD50" s="2"/>
      <c r="AS50" s="87"/>
      <c r="BC50" s="9"/>
      <c r="BD50" s="9"/>
      <c r="BE50" s="9"/>
      <c r="BF50" s="9"/>
      <c r="BG50" s="87"/>
      <c r="BH50" s="102"/>
      <c r="BI50" s="102"/>
      <c r="BJ50" s="102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13"/>
      <c r="BZ50" s="13"/>
      <c r="CA50" s="13"/>
      <c r="CB50" s="13"/>
      <c r="CC50" s="13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13"/>
    </row>
    <row r="51" spans="1:97" s="103" customFormat="1" ht="13.8" thickTop="1">
      <c r="A51" s="107"/>
      <c r="B51" s="91"/>
      <c r="C51" s="13"/>
      <c r="D51" s="13"/>
      <c r="E51" s="13"/>
      <c r="F51" s="107">
        <f t="shared" si="1"/>
        <v>39</v>
      </c>
      <c r="G51" s="91"/>
      <c r="H51" s="91"/>
      <c r="I51" s="91"/>
      <c r="J51" s="9"/>
      <c r="K51" s="140"/>
      <c r="L51" s="140"/>
      <c r="M51" s="87"/>
      <c r="Q51" s="297"/>
      <c r="R51" s="13"/>
      <c r="S51" s="13"/>
      <c r="T51" s="13"/>
      <c r="U51" s="13"/>
      <c r="V51" s="13"/>
      <c r="W51" s="13"/>
      <c r="X51" s="13"/>
      <c r="Y51" s="13"/>
      <c r="Z51" s="7"/>
      <c r="AA51" s="2"/>
      <c r="AB51" s="2"/>
      <c r="AC51" s="2"/>
      <c r="AD51" s="2"/>
      <c r="AS51" s="87"/>
      <c r="BC51" s="9"/>
      <c r="BD51" s="9"/>
      <c r="BE51" s="9"/>
      <c r="BF51" s="9"/>
      <c r="BG51" s="87"/>
      <c r="BH51" s="102"/>
      <c r="BI51" s="102"/>
      <c r="BJ51" s="102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13"/>
      <c r="BZ51" s="13"/>
      <c r="CA51" s="13"/>
      <c r="CB51" s="13"/>
      <c r="CC51" s="13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</row>
    <row r="52" spans="1:97" s="103" customFormat="1">
      <c r="A52" s="107"/>
      <c r="C52" s="13"/>
      <c r="D52" s="13"/>
      <c r="E52" s="13"/>
      <c r="F52" s="107">
        <f t="shared" si="1"/>
        <v>40</v>
      </c>
      <c r="G52" s="91" t="s">
        <v>152</v>
      </c>
      <c r="H52" s="91"/>
      <c r="I52" s="91"/>
      <c r="J52" s="295">
        <v>0.35</v>
      </c>
      <c r="K52" s="140"/>
      <c r="L52" s="7">
        <f>ROUND(L50*J52,0)</f>
        <v>9437801</v>
      </c>
      <c r="Q52" s="297"/>
      <c r="R52" s="13"/>
      <c r="S52" s="13"/>
      <c r="T52" s="13"/>
      <c r="U52" s="13"/>
      <c r="V52" s="13"/>
      <c r="W52" s="13"/>
      <c r="X52" s="13"/>
      <c r="Y52" s="13"/>
      <c r="Z52" s="2"/>
      <c r="AA52" s="2"/>
      <c r="AB52" s="2"/>
      <c r="AC52" s="2"/>
      <c r="AD52" s="2"/>
      <c r="AS52" s="87"/>
      <c r="BC52" s="9"/>
      <c r="BD52" s="9"/>
      <c r="BE52" s="9"/>
      <c r="BF52" s="9"/>
      <c r="BG52" s="87"/>
      <c r="BH52" s="102"/>
      <c r="BI52" s="102"/>
      <c r="BJ52" s="102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13"/>
      <c r="BZ52" s="13"/>
      <c r="CA52" s="13"/>
      <c r="CB52" s="13"/>
      <c r="CC52" s="13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</row>
    <row r="53" spans="1:97" s="103" customFormat="1" ht="13.8" thickBot="1">
      <c r="A53" s="107"/>
      <c r="F53" s="107">
        <f t="shared" si="1"/>
        <v>41</v>
      </c>
      <c r="G53" s="91" t="s">
        <v>123</v>
      </c>
      <c r="H53" s="91"/>
      <c r="I53" s="91"/>
      <c r="J53" s="9"/>
      <c r="K53" s="140"/>
      <c r="L53" s="300">
        <f>L50-L52</f>
        <v>17527344</v>
      </c>
      <c r="Q53" s="297"/>
      <c r="R53" s="13"/>
      <c r="S53" s="13"/>
      <c r="T53" s="13"/>
      <c r="U53" s="13"/>
      <c r="V53" s="13"/>
      <c r="W53" s="13"/>
      <c r="X53" s="13"/>
      <c r="Y53" s="13"/>
      <c r="Z53" s="4"/>
      <c r="AA53" s="7"/>
      <c r="AB53" s="7"/>
      <c r="AC53" s="7"/>
      <c r="AD53" s="7"/>
      <c r="AS53" s="87"/>
      <c r="BC53" s="9"/>
      <c r="BD53" s="9"/>
      <c r="BE53" s="9"/>
      <c r="BF53" s="9"/>
      <c r="BG53" s="102"/>
      <c r="BH53" s="102"/>
      <c r="BI53" s="102"/>
      <c r="BJ53" s="102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13"/>
      <c r="BZ53" s="13"/>
      <c r="CA53" s="13"/>
      <c r="CB53" s="13"/>
      <c r="CC53" s="13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</row>
    <row r="54" spans="1:97" s="103" customFormat="1" ht="13.8" thickTop="1">
      <c r="A54" s="107"/>
      <c r="F54" s="107"/>
      <c r="G54" s="9"/>
      <c r="H54" s="9"/>
      <c r="I54" s="9"/>
      <c r="J54" s="9"/>
      <c r="K54" s="9"/>
      <c r="L54" s="9"/>
      <c r="Q54" s="297"/>
      <c r="R54" s="13"/>
      <c r="S54" s="13"/>
      <c r="T54" s="13"/>
      <c r="U54" s="13"/>
      <c r="V54" s="13"/>
      <c r="W54" s="13"/>
      <c r="X54" s="13"/>
      <c r="Y54" s="13"/>
      <c r="Z54" s="2"/>
      <c r="AA54" s="7"/>
      <c r="AB54" s="7"/>
      <c r="AC54" s="7"/>
      <c r="AD54" s="7"/>
      <c r="AS54" s="87"/>
      <c r="BC54" s="9"/>
      <c r="BD54" s="9"/>
      <c r="BE54" s="9"/>
      <c r="BF54" s="9"/>
      <c r="BG54" s="152"/>
      <c r="BH54" s="102"/>
      <c r="BI54" s="102"/>
      <c r="BJ54" s="102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13"/>
      <c r="BZ54" s="13"/>
      <c r="CA54" s="13"/>
      <c r="CB54" s="13"/>
      <c r="CC54" s="13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</row>
    <row r="55" spans="1:97" s="103" customFormat="1">
      <c r="A55" s="152"/>
      <c r="D55" s="301"/>
      <c r="F55" s="152"/>
      <c r="Q55" s="297"/>
      <c r="R55" s="13"/>
      <c r="S55" s="13"/>
      <c r="T55" s="13"/>
      <c r="U55" s="13"/>
      <c r="V55" s="13"/>
      <c r="W55" s="13"/>
      <c r="X55" s="13"/>
      <c r="Y55" s="13"/>
      <c r="Z55" s="9"/>
      <c r="AA55" s="2"/>
      <c r="AB55" s="2"/>
      <c r="AC55" s="2"/>
      <c r="AD55" s="2"/>
      <c r="AS55" s="87"/>
      <c r="BC55" s="9"/>
      <c r="BD55" s="9"/>
      <c r="BE55" s="9"/>
      <c r="BF55" s="9"/>
      <c r="BG55" s="102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13"/>
      <c r="BZ55" s="13"/>
      <c r="CA55" s="13"/>
      <c r="CB55" s="13"/>
      <c r="CC55" s="13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</row>
    <row r="56" spans="1:97" s="103" customFormat="1">
      <c r="Q56" s="297"/>
      <c r="R56" s="13"/>
      <c r="S56" s="13"/>
      <c r="T56" s="13"/>
      <c r="U56" s="13"/>
      <c r="V56" s="13"/>
      <c r="W56" s="13"/>
      <c r="X56" s="13"/>
      <c r="Y56" s="13"/>
      <c r="Z56" s="9"/>
      <c r="AA56" s="4"/>
      <c r="AB56" s="4"/>
      <c r="AC56" s="4"/>
      <c r="AD56" s="4"/>
      <c r="AS56" s="87"/>
      <c r="BC56" s="9"/>
      <c r="BD56" s="9"/>
      <c r="BE56" s="9"/>
      <c r="BF56" s="9"/>
      <c r="BG56" s="102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13"/>
      <c r="BZ56" s="13"/>
      <c r="CA56" s="13"/>
      <c r="CB56" s="13"/>
      <c r="CC56" s="241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</row>
    <row r="57" spans="1:97" s="103" customFormat="1">
      <c r="G57" s="9"/>
      <c r="H57" s="9"/>
      <c r="I57" s="9"/>
      <c r="J57" s="9"/>
      <c r="K57" s="142"/>
      <c r="L57" s="9"/>
      <c r="Q57" s="297"/>
      <c r="R57" s="13"/>
      <c r="S57" s="13"/>
      <c r="T57" s="13"/>
      <c r="U57" s="13"/>
      <c r="V57" s="13"/>
      <c r="W57" s="13"/>
      <c r="X57" s="13"/>
      <c r="Y57" s="13"/>
      <c r="Z57" s="9"/>
      <c r="AA57" s="2"/>
      <c r="AB57" s="2"/>
      <c r="AC57" s="2"/>
      <c r="AD57" s="2"/>
      <c r="AS57" s="87"/>
      <c r="BC57" s="9"/>
      <c r="BD57" s="9"/>
      <c r="BE57" s="9"/>
      <c r="BF57" s="9"/>
      <c r="BG57" s="102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13"/>
      <c r="BZ57" s="13"/>
      <c r="CA57" s="13"/>
      <c r="CB57" s="13"/>
      <c r="CC57" s="13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</row>
    <row r="58" spans="1:97" s="103" customFormat="1">
      <c r="C58" s="301"/>
      <c r="Q58" s="297"/>
      <c r="R58" s="13"/>
      <c r="S58" s="13"/>
      <c r="T58" s="13"/>
      <c r="U58" s="13"/>
      <c r="V58" s="13"/>
      <c r="W58" s="13"/>
      <c r="X58" s="13"/>
      <c r="Y58" s="13"/>
      <c r="Z58" s="9"/>
      <c r="AA58" s="9"/>
      <c r="AB58" s="9"/>
      <c r="AC58" s="9"/>
      <c r="AD58" s="9"/>
      <c r="AS58" s="87"/>
      <c r="BC58" s="9"/>
      <c r="BD58" s="9"/>
      <c r="BE58" s="9"/>
      <c r="BF58" s="9"/>
      <c r="BG58" s="102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</row>
    <row r="59" spans="1:97" s="103" customFormat="1">
      <c r="Q59" s="297"/>
      <c r="R59" s="13"/>
      <c r="S59" s="13"/>
      <c r="T59" s="13"/>
      <c r="U59" s="13"/>
      <c r="V59" s="13"/>
      <c r="W59" s="13"/>
      <c r="X59" s="13"/>
      <c r="Y59" s="13"/>
      <c r="Z59" s="9"/>
      <c r="AA59" s="9"/>
      <c r="AB59" s="9"/>
      <c r="AC59" s="9"/>
      <c r="AD59" s="9"/>
      <c r="AS59" s="87"/>
      <c r="BC59" s="9"/>
      <c r="BD59" s="9"/>
      <c r="BE59" s="9"/>
      <c r="BF59" s="9"/>
      <c r="BG59" s="102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</row>
    <row r="60" spans="1:97" s="103" customFormat="1">
      <c r="Q60" s="297"/>
      <c r="R60" s="13"/>
      <c r="S60" s="13"/>
      <c r="T60" s="13"/>
      <c r="U60" s="13"/>
      <c r="V60" s="13"/>
      <c r="W60" s="13"/>
      <c r="X60" s="13"/>
      <c r="Y60" s="13"/>
      <c r="Z60" s="9"/>
      <c r="AA60" s="9"/>
      <c r="AB60" s="9"/>
      <c r="AC60" s="9"/>
      <c r="AD60" s="9"/>
      <c r="AS60" s="87"/>
      <c r="BC60" s="9"/>
      <c r="BD60" s="9"/>
      <c r="BE60" s="9"/>
      <c r="BF60" s="9"/>
      <c r="BG60" s="102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</row>
    <row r="61" spans="1:97" s="103" customFormat="1">
      <c r="R61" s="13"/>
      <c r="S61" s="13"/>
      <c r="T61" s="13"/>
      <c r="U61" s="13"/>
      <c r="V61" s="13"/>
      <c r="W61" s="13"/>
      <c r="X61" s="13"/>
      <c r="Y61" s="13"/>
      <c r="Z61" s="9"/>
      <c r="AA61" s="9"/>
      <c r="AB61" s="9"/>
      <c r="AC61" s="9"/>
      <c r="AD61" s="9"/>
      <c r="AS61" s="87"/>
      <c r="BC61" s="9"/>
      <c r="BD61" s="9"/>
      <c r="BE61" s="9"/>
      <c r="BF61" s="9"/>
      <c r="BG61" s="102"/>
      <c r="BH61" s="9"/>
      <c r="BI61" s="9"/>
      <c r="BJ61" s="9"/>
      <c r="BK61" s="9"/>
      <c r="BL61" s="9"/>
      <c r="BM61" s="9"/>
      <c r="BN61" s="9"/>
      <c r="BO61" s="302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</row>
    <row r="62" spans="1:97" s="103" customFormat="1">
      <c r="R62" s="13"/>
      <c r="S62" s="13"/>
      <c r="T62" s="13"/>
      <c r="U62" s="13"/>
      <c r="V62" s="13"/>
      <c r="W62" s="13"/>
      <c r="X62" s="13"/>
      <c r="Y62" s="13"/>
      <c r="Z62" s="9"/>
      <c r="AA62" s="9"/>
      <c r="AB62" s="9"/>
      <c r="AC62" s="9"/>
      <c r="AD62" s="9"/>
      <c r="AS62" s="87"/>
      <c r="BC62" s="9"/>
      <c r="BD62" s="9"/>
      <c r="BE62" s="9"/>
      <c r="BF62" s="9"/>
      <c r="BG62" s="102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</row>
    <row r="63" spans="1:97" s="103" customFormat="1">
      <c r="R63" s="13"/>
      <c r="S63" s="13"/>
      <c r="T63" s="13"/>
      <c r="U63" s="13"/>
      <c r="V63" s="13"/>
      <c r="W63" s="13"/>
      <c r="X63" s="13"/>
      <c r="Y63" s="13"/>
      <c r="Z63" s="9"/>
      <c r="AA63" s="9"/>
      <c r="AB63" s="9"/>
      <c r="AC63" s="9"/>
      <c r="AD63" s="9"/>
      <c r="AS63" s="87"/>
      <c r="BC63" s="9"/>
      <c r="BD63" s="9"/>
      <c r="BE63" s="9"/>
      <c r="BF63" s="9"/>
      <c r="BG63" s="102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</row>
    <row r="64" spans="1:97" s="103" customFormat="1">
      <c r="R64" s="13"/>
      <c r="S64" s="13"/>
      <c r="T64" s="13"/>
      <c r="U64" s="13"/>
      <c r="V64" s="13"/>
      <c r="W64" s="13"/>
      <c r="X64" s="13"/>
      <c r="Y64" s="13"/>
      <c r="Z64" s="9"/>
      <c r="AA64" s="9"/>
      <c r="AB64" s="9"/>
      <c r="AC64" s="9"/>
      <c r="AD64" s="9"/>
      <c r="AS64" s="87"/>
      <c r="BC64" s="9"/>
      <c r="BD64" s="9"/>
      <c r="BE64" s="9"/>
      <c r="BF64" s="9"/>
      <c r="BG64" s="102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</row>
    <row r="65" spans="18:96" s="103" customFormat="1">
      <c r="R65" s="13"/>
      <c r="S65" s="13"/>
      <c r="T65" s="13"/>
      <c r="U65" s="13"/>
      <c r="V65" s="13"/>
      <c r="W65" s="13"/>
      <c r="X65" s="13"/>
      <c r="Y65" s="13"/>
      <c r="Z65" s="9"/>
      <c r="AA65" s="9"/>
      <c r="AB65" s="9"/>
      <c r="AC65" s="9"/>
      <c r="AD65" s="9"/>
      <c r="AS65" s="87"/>
      <c r="BC65" s="9"/>
      <c r="BD65" s="9"/>
      <c r="BE65" s="9"/>
      <c r="BF65" s="9"/>
      <c r="BG65" s="102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</row>
    <row r="66" spans="18:96" s="103" customFormat="1">
      <c r="R66" s="13"/>
      <c r="S66" s="13"/>
      <c r="T66" s="13"/>
      <c r="U66" s="13"/>
      <c r="V66" s="13"/>
      <c r="W66" s="13"/>
      <c r="X66" s="13"/>
      <c r="Y66" s="13"/>
      <c r="Z66" s="9"/>
      <c r="AA66" s="9"/>
      <c r="AB66" s="9"/>
      <c r="AC66" s="9"/>
      <c r="AD66" s="9"/>
      <c r="AS66" s="87"/>
      <c r="BC66" s="9"/>
      <c r="BD66" s="9"/>
      <c r="BE66" s="9"/>
      <c r="BF66" s="9"/>
      <c r="BG66" s="102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</row>
    <row r="67" spans="18:96" s="103" customFormat="1">
      <c r="R67" s="13"/>
      <c r="S67" s="13"/>
      <c r="T67" s="13"/>
      <c r="U67" s="13"/>
      <c r="V67" s="13"/>
      <c r="W67" s="13"/>
      <c r="X67" s="13"/>
      <c r="Y67" s="13"/>
      <c r="Z67" s="9"/>
      <c r="AA67" s="9"/>
      <c r="AB67" s="9"/>
      <c r="AC67" s="9"/>
      <c r="AD67" s="9"/>
      <c r="AS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</row>
    <row r="68" spans="18:96" s="103" customFormat="1">
      <c r="R68" s="13"/>
      <c r="S68" s="13"/>
      <c r="T68" s="13"/>
      <c r="U68" s="13"/>
      <c r="V68" s="13"/>
      <c r="W68" s="13"/>
      <c r="X68" s="13"/>
      <c r="Y68" s="13"/>
      <c r="Z68" s="9"/>
      <c r="AA68" s="9"/>
      <c r="AB68" s="9"/>
      <c r="AC68" s="9"/>
      <c r="AD68" s="9"/>
      <c r="AS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</row>
    <row r="69" spans="18:96" s="103" customFormat="1">
      <c r="R69" s="13"/>
      <c r="S69" s="13"/>
      <c r="T69" s="13"/>
      <c r="U69" s="13"/>
      <c r="V69" s="13"/>
      <c r="W69" s="13"/>
      <c r="X69" s="13"/>
      <c r="Y69" s="13"/>
      <c r="Z69" s="297"/>
      <c r="AA69" s="9"/>
      <c r="AB69" s="9"/>
      <c r="AC69" s="9"/>
      <c r="AD69" s="9"/>
      <c r="AS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</row>
    <row r="70" spans="18:96" s="103" customFormat="1">
      <c r="R70" s="13"/>
      <c r="S70" s="13"/>
      <c r="T70" s="13"/>
      <c r="U70" s="13"/>
      <c r="V70" s="13"/>
      <c r="W70" s="13"/>
      <c r="X70" s="13"/>
      <c r="Y70" s="13"/>
      <c r="Z70" s="297"/>
      <c r="AA70" s="9"/>
      <c r="AB70" s="9"/>
      <c r="AC70" s="9"/>
      <c r="AD70" s="9"/>
      <c r="AS70" s="87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</row>
    <row r="71" spans="18:96" s="103" customFormat="1">
      <c r="R71" s="13"/>
      <c r="S71" s="13"/>
      <c r="T71" s="13"/>
      <c r="U71" s="13"/>
      <c r="V71" s="13"/>
      <c r="W71" s="13"/>
      <c r="X71" s="13"/>
      <c r="Y71" s="13"/>
      <c r="Z71" s="297"/>
      <c r="AA71" s="9"/>
      <c r="AB71" s="9"/>
      <c r="AC71" s="9"/>
      <c r="AD71" s="9"/>
      <c r="AS71" s="87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9"/>
      <c r="CR71" s="9"/>
    </row>
    <row r="72" spans="18:96" s="103" customFormat="1">
      <c r="R72" s="13"/>
      <c r="S72" s="13"/>
      <c r="T72" s="13"/>
      <c r="U72" s="13"/>
      <c r="V72" s="13"/>
      <c r="W72" s="13"/>
      <c r="X72" s="13"/>
      <c r="Y72" s="13"/>
      <c r="Z72" s="297"/>
      <c r="AA72" s="297"/>
      <c r="AB72" s="297"/>
      <c r="AC72" s="297"/>
      <c r="AD72" s="297"/>
      <c r="AS72" s="87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</row>
    <row r="73" spans="18:96" s="103" customFormat="1">
      <c r="R73" s="13"/>
      <c r="S73" s="13"/>
      <c r="T73" s="13"/>
      <c r="U73" s="13"/>
      <c r="V73" s="13"/>
      <c r="W73" s="13"/>
      <c r="X73" s="13"/>
      <c r="Y73" s="13"/>
      <c r="Z73" s="9"/>
      <c r="AA73" s="9"/>
      <c r="AB73" s="9"/>
      <c r="AC73" s="9"/>
      <c r="AD73" s="9"/>
      <c r="AS73" s="87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</row>
    <row r="74" spans="18:96" s="103" customFormat="1">
      <c r="R74" s="13"/>
      <c r="S74" s="13"/>
      <c r="T74" s="13"/>
      <c r="U74" s="13"/>
      <c r="V74" s="13"/>
      <c r="W74" s="13"/>
      <c r="X74" s="13"/>
      <c r="Y74" s="13"/>
      <c r="Z74" s="9"/>
      <c r="AA74" s="9"/>
      <c r="AB74" s="9"/>
      <c r="AC74" s="9"/>
      <c r="AD74" s="9"/>
      <c r="AS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</row>
    <row r="75" spans="18:96" s="103" customFormat="1">
      <c r="R75" s="13"/>
      <c r="S75" s="13"/>
      <c r="T75" s="13"/>
      <c r="U75" s="13"/>
      <c r="V75" s="13"/>
      <c r="W75" s="13"/>
      <c r="X75" s="13"/>
      <c r="Y75" s="13"/>
      <c r="Z75" s="9"/>
      <c r="AA75" s="9"/>
      <c r="AB75" s="9"/>
      <c r="AC75" s="9"/>
      <c r="AD75" s="9"/>
      <c r="AS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</row>
    <row r="76" spans="18:96" s="103" customFormat="1">
      <c r="R76" s="13"/>
      <c r="S76" s="13"/>
      <c r="T76" s="13"/>
      <c r="U76" s="13"/>
      <c r="V76" s="13"/>
      <c r="W76" s="13"/>
      <c r="X76" s="13"/>
      <c r="Y76" s="13"/>
      <c r="Z76" s="297"/>
      <c r="AA76" s="297"/>
      <c r="AB76" s="297"/>
      <c r="AC76" s="297"/>
      <c r="AD76" s="297"/>
      <c r="AS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  <c r="CK76" s="9"/>
      <c r="CL76" s="9"/>
      <c r="CM76" s="9"/>
      <c r="CN76" s="9"/>
      <c r="CO76" s="9"/>
      <c r="CP76" s="9"/>
      <c r="CQ76" s="9"/>
      <c r="CR76" s="9"/>
    </row>
    <row r="77" spans="18:96" s="103" customFormat="1">
      <c r="R77" s="13"/>
      <c r="S77" s="13"/>
      <c r="T77" s="13"/>
      <c r="U77" s="13"/>
      <c r="V77" s="13"/>
      <c r="W77" s="13"/>
      <c r="X77" s="13"/>
      <c r="Y77" s="13"/>
      <c r="Z77" s="7"/>
      <c r="AA77" s="4"/>
      <c r="AB77" s="4"/>
      <c r="AC77" s="4"/>
      <c r="AD77" s="4"/>
      <c r="AS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</row>
    <row r="78" spans="18:96" s="103" customFormat="1">
      <c r="R78" s="13"/>
      <c r="S78" s="13"/>
      <c r="T78" s="13"/>
      <c r="U78" s="13"/>
      <c r="V78" s="13"/>
      <c r="W78" s="13"/>
      <c r="X78" s="13"/>
      <c r="Y78" s="13"/>
      <c r="Z78" s="7"/>
      <c r="AA78" s="9"/>
      <c r="AB78" s="9"/>
      <c r="AC78" s="9"/>
      <c r="AD78" s="9"/>
      <c r="AS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</row>
    <row r="79" spans="18:96" s="103" customFormat="1">
      <c r="R79" s="13"/>
      <c r="S79" s="13"/>
      <c r="T79" s="13"/>
      <c r="U79" s="13"/>
      <c r="V79" s="13"/>
      <c r="W79" s="13"/>
      <c r="X79" s="13"/>
      <c r="Y79" s="13"/>
      <c r="Z79" s="4"/>
      <c r="AA79" s="102"/>
      <c r="AB79" s="102"/>
      <c r="AC79" s="102"/>
      <c r="AD79" s="142"/>
      <c r="AS79" s="9"/>
      <c r="AT79" s="9"/>
      <c r="AU79" s="9"/>
      <c r="AV79" s="9"/>
      <c r="AW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</row>
    <row r="80" spans="18:96" s="103" customFormat="1">
      <c r="R80" s="13"/>
      <c r="S80" s="13"/>
      <c r="T80" s="13"/>
      <c r="U80" s="13"/>
      <c r="V80" s="13"/>
      <c r="W80" s="13"/>
      <c r="X80" s="13"/>
      <c r="Y80" s="13"/>
      <c r="Z80" s="2"/>
      <c r="AA80" s="7"/>
      <c r="AB80" s="7"/>
      <c r="AC80" s="7"/>
      <c r="AD80" s="7"/>
      <c r="AS80" s="9"/>
      <c r="AT80" s="9"/>
      <c r="AU80" s="9"/>
      <c r="AV80" s="9"/>
      <c r="AW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9"/>
      <c r="CO80" s="9"/>
      <c r="CP80" s="9"/>
      <c r="CQ80" s="9"/>
      <c r="CR80" s="9"/>
    </row>
    <row r="81" spans="18:96" s="103" customFormat="1">
      <c r="R81" s="13"/>
      <c r="S81" s="13"/>
      <c r="T81" s="13"/>
      <c r="U81" s="13"/>
      <c r="V81" s="13"/>
      <c r="W81" s="13"/>
      <c r="X81" s="13"/>
      <c r="Y81" s="13"/>
      <c r="Z81" s="2"/>
      <c r="AA81" s="7"/>
      <c r="AB81" s="7"/>
      <c r="AC81" s="7"/>
      <c r="AD81" s="7"/>
      <c r="AS81" s="9"/>
      <c r="AT81" s="9"/>
      <c r="AU81" s="9"/>
      <c r="AV81" s="9"/>
      <c r="AW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</row>
    <row r="82" spans="18:96" s="103" customFormat="1">
      <c r="R82" s="13"/>
      <c r="S82" s="13"/>
      <c r="T82" s="13"/>
      <c r="U82" s="13"/>
      <c r="V82" s="13"/>
      <c r="W82" s="13"/>
      <c r="X82" s="13"/>
      <c r="Y82" s="13"/>
      <c r="Z82" s="2"/>
      <c r="AA82" s="4"/>
      <c r="AB82" s="7"/>
      <c r="AC82" s="7"/>
      <c r="AD82" s="7"/>
      <c r="AS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  <c r="CJ82" s="9"/>
      <c r="CK82" s="9"/>
      <c r="CL82" s="9"/>
      <c r="CM82" s="9"/>
      <c r="CN82" s="9"/>
      <c r="CO82" s="9"/>
      <c r="CP82" s="9"/>
      <c r="CQ82" s="9"/>
      <c r="CR82" s="9"/>
    </row>
    <row r="83" spans="18:96" s="103" customFormat="1">
      <c r="R83" s="13"/>
      <c r="S83" s="13"/>
      <c r="T83" s="13"/>
      <c r="U83" s="13"/>
      <c r="V83" s="13"/>
      <c r="W83" s="13"/>
      <c r="X83" s="13"/>
      <c r="Y83" s="13"/>
      <c r="Z83" s="7"/>
      <c r="AA83" s="2"/>
      <c r="AB83" s="7"/>
      <c r="AC83" s="7"/>
      <c r="AD83" s="7"/>
      <c r="AS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</row>
    <row r="84" spans="18:96" s="103" customFormat="1">
      <c r="R84" s="13"/>
      <c r="S84" s="13"/>
      <c r="T84" s="13"/>
      <c r="U84" s="13"/>
      <c r="V84" s="13"/>
      <c r="W84" s="13"/>
      <c r="X84" s="13"/>
      <c r="Y84" s="13"/>
      <c r="Z84" s="7"/>
      <c r="AA84" s="2"/>
      <c r="AB84" s="7"/>
      <c r="AC84" s="7"/>
      <c r="AD84" s="7"/>
      <c r="AS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  <c r="CI84" s="9"/>
      <c r="CJ84" s="9"/>
      <c r="CK84" s="9"/>
      <c r="CL84" s="9"/>
      <c r="CM84" s="9"/>
      <c r="CN84" s="9"/>
      <c r="CO84" s="9"/>
      <c r="CP84" s="9"/>
      <c r="CQ84" s="9"/>
      <c r="CR84" s="9"/>
    </row>
    <row r="85" spans="18:96" s="103" customFormat="1">
      <c r="R85" s="13"/>
      <c r="S85" s="13"/>
      <c r="T85" s="13"/>
      <c r="U85" s="13"/>
      <c r="V85" s="13"/>
      <c r="W85" s="13"/>
      <c r="X85" s="13"/>
      <c r="Y85" s="13"/>
      <c r="Z85" s="2"/>
      <c r="AA85" s="2"/>
      <c r="AB85" s="7"/>
      <c r="AC85" s="7"/>
      <c r="AD85" s="7"/>
      <c r="AS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  <c r="CI85" s="9"/>
      <c r="CJ85" s="9"/>
      <c r="CK85" s="9"/>
      <c r="CL85" s="9"/>
      <c r="CM85" s="9"/>
      <c r="CN85" s="9"/>
      <c r="CO85" s="9"/>
      <c r="CP85" s="9"/>
      <c r="CQ85" s="9"/>
      <c r="CR85" s="9"/>
    </row>
    <row r="86" spans="18:96" s="103" customFormat="1">
      <c r="R86" s="13"/>
      <c r="S86" s="13"/>
      <c r="T86" s="13"/>
      <c r="U86" s="13"/>
      <c r="V86" s="13"/>
      <c r="W86" s="13"/>
      <c r="X86" s="13"/>
      <c r="Y86" s="13"/>
      <c r="Z86" s="4"/>
      <c r="AA86" s="7"/>
      <c r="AB86" s="7"/>
      <c r="AC86" s="7"/>
      <c r="AD86" s="7"/>
      <c r="AS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9"/>
      <c r="CN86" s="9"/>
      <c r="CO86" s="9"/>
      <c r="CP86" s="9"/>
      <c r="CQ86" s="9"/>
      <c r="CR86" s="9"/>
    </row>
    <row r="87" spans="18:96" s="103" customFormat="1">
      <c r="R87" s="13"/>
      <c r="S87" s="13"/>
      <c r="T87" s="13"/>
      <c r="U87" s="13"/>
      <c r="V87" s="13"/>
      <c r="W87" s="13"/>
      <c r="X87" s="13"/>
      <c r="Y87" s="13"/>
      <c r="Z87" s="2"/>
      <c r="AA87" s="7"/>
      <c r="AB87" s="7"/>
      <c r="AC87" s="7"/>
      <c r="AD87" s="7"/>
      <c r="AS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  <c r="CK87" s="9"/>
      <c r="CL87" s="9"/>
      <c r="CM87" s="9"/>
      <c r="CN87" s="9"/>
      <c r="CO87" s="9"/>
      <c r="CP87" s="9"/>
      <c r="CQ87" s="9"/>
      <c r="CR87" s="9"/>
    </row>
    <row r="88" spans="18:96" s="103" customFormat="1">
      <c r="R88" s="13"/>
      <c r="S88" s="13"/>
      <c r="T88" s="13"/>
      <c r="U88" s="13"/>
      <c r="V88" s="13"/>
      <c r="W88" s="13"/>
      <c r="X88" s="13"/>
      <c r="Y88" s="13"/>
      <c r="Z88" s="9"/>
      <c r="AA88" s="2"/>
      <c r="AB88" s="7"/>
      <c r="AC88" s="7"/>
      <c r="AD88" s="7"/>
      <c r="AS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  <c r="CJ88" s="9"/>
      <c r="CK88" s="9"/>
      <c r="CL88" s="9"/>
      <c r="CM88" s="9"/>
      <c r="CN88" s="9"/>
      <c r="CO88" s="9"/>
      <c r="CP88" s="9"/>
      <c r="CQ88" s="9"/>
      <c r="CR88" s="9"/>
    </row>
    <row r="89" spans="18:96" s="103" customFormat="1">
      <c r="R89" s="13"/>
      <c r="S89" s="13"/>
      <c r="T89" s="13"/>
      <c r="U89" s="13"/>
      <c r="V89" s="13"/>
      <c r="W89" s="13"/>
      <c r="X89" s="13"/>
      <c r="Y89" s="13"/>
      <c r="Z89" s="9"/>
      <c r="AA89" s="4"/>
      <c r="AB89" s="7"/>
      <c r="AC89" s="7"/>
      <c r="AD89" s="7"/>
      <c r="AS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  <c r="CI89" s="9"/>
      <c r="CJ89" s="9"/>
      <c r="CK89" s="9"/>
      <c r="CL89" s="9"/>
      <c r="CM89" s="9"/>
      <c r="CN89" s="9"/>
      <c r="CO89" s="9"/>
      <c r="CP89" s="9"/>
      <c r="CQ89" s="9"/>
      <c r="CR89" s="9"/>
    </row>
    <row r="90" spans="18:96" s="103" customFormat="1">
      <c r="R90" s="13"/>
      <c r="S90" s="13"/>
      <c r="T90" s="13"/>
      <c r="U90" s="13"/>
      <c r="V90" s="13"/>
      <c r="W90" s="13"/>
      <c r="X90" s="13"/>
      <c r="Y90" s="13"/>
      <c r="Z90" s="9"/>
      <c r="AA90" s="2"/>
      <c r="AB90" s="7"/>
      <c r="AC90" s="7"/>
      <c r="AD90" s="7"/>
      <c r="AS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  <c r="CH90" s="9"/>
      <c r="CI90" s="9"/>
      <c r="CJ90" s="9"/>
      <c r="CK90" s="9"/>
      <c r="CL90" s="9"/>
      <c r="CM90" s="9"/>
      <c r="CN90" s="9"/>
      <c r="CO90" s="9"/>
      <c r="CP90" s="9"/>
      <c r="CQ90" s="9"/>
      <c r="CR90" s="9"/>
    </row>
    <row r="91" spans="18:96" s="103" customFormat="1">
      <c r="R91" s="13"/>
      <c r="S91" s="13"/>
      <c r="T91" s="13"/>
      <c r="U91" s="13"/>
      <c r="V91" s="13"/>
      <c r="W91" s="13"/>
      <c r="X91" s="13"/>
      <c r="Y91" s="13"/>
      <c r="Z91" s="9"/>
      <c r="AA91" s="9"/>
      <c r="AB91" s="7"/>
      <c r="AC91" s="7"/>
      <c r="AD91" s="7"/>
      <c r="AS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9"/>
      <c r="CH91" s="9"/>
      <c r="CI91" s="9"/>
      <c r="CJ91" s="9"/>
      <c r="CK91" s="9"/>
      <c r="CL91" s="9"/>
      <c r="CM91" s="9"/>
      <c r="CN91" s="9"/>
      <c r="CO91" s="9"/>
      <c r="CP91" s="9"/>
      <c r="CQ91" s="9"/>
      <c r="CR91" s="9"/>
    </row>
    <row r="92" spans="18:96" s="103" customFormat="1">
      <c r="R92" s="13"/>
      <c r="S92" s="13"/>
      <c r="T92" s="13"/>
      <c r="U92" s="13"/>
      <c r="V92" s="13"/>
      <c r="W92" s="13"/>
      <c r="X92" s="13"/>
      <c r="Y92" s="13"/>
      <c r="Z92" s="9"/>
      <c r="AA92" s="9"/>
      <c r="AB92" s="7"/>
      <c r="AC92" s="7"/>
      <c r="AD92" s="7"/>
      <c r="AS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9"/>
      <c r="CI92" s="9"/>
      <c r="CJ92" s="9"/>
      <c r="CK92" s="9"/>
      <c r="CL92" s="9"/>
      <c r="CM92" s="9"/>
      <c r="CN92" s="9"/>
      <c r="CO92" s="9"/>
      <c r="CP92" s="9"/>
      <c r="CQ92" s="9"/>
      <c r="CR92" s="9"/>
    </row>
    <row r="93" spans="18:96" s="103" customFormat="1">
      <c r="R93" s="13"/>
      <c r="S93" s="13"/>
      <c r="T93" s="13"/>
      <c r="U93" s="13"/>
      <c r="V93" s="13"/>
      <c r="W93" s="13"/>
      <c r="X93" s="13"/>
      <c r="Y93" s="13"/>
      <c r="Z93" s="9"/>
      <c r="AA93" s="9"/>
      <c r="AB93" s="7"/>
      <c r="AC93" s="7"/>
      <c r="AD93" s="7"/>
      <c r="AS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  <c r="CG93" s="9"/>
      <c r="CH93" s="9"/>
      <c r="CI93" s="9"/>
      <c r="CJ93" s="9"/>
      <c r="CK93" s="9"/>
      <c r="CL93" s="9"/>
      <c r="CM93" s="9"/>
      <c r="CN93" s="9"/>
      <c r="CO93" s="9"/>
      <c r="CP93" s="9"/>
      <c r="CQ93" s="9"/>
      <c r="CR93" s="9"/>
    </row>
    <row r="94" spans="18:96" s="103" customFormat="1">
      <c r="R94" s="13"/>
      <c r="S94" s="13"/>
      <c r="T94" s="13"/>
      <c r="U94" s="13"/>
      <c r="V94" s="13"/>
      <c r="W94" s="13"/>
      <c r="X94" s="13"/>
      <c r="Y94" s="13"/>
      <c r="Z94" s="9"/>
      <c r="AA94" s="9"/>
      <c r="AB94" s="7"/>
      <c r="AC94" s="7"/>
      <c r="AD94" s="7"/>
      <c r="AS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9"/>
      <c r="CH94" s="9"/>
      <c r="CI94" s="9"/>
      <c r="CJ94" s="9"/>
      <c r="CK94" s="9"/>
      <c r="CL94" s="9"/>
      <c r="CM94" s="9"/>
      <c r="CN94" s="9"/>
      <c r="CO94" s="9"/>
      <c r="CP94" s="9"/>
      <c r="CQ94" s="9"/>
      <c r="CR94" s="9"/>
    </row>
    <row r="95" spans="18:96" s="103" customFormat="1">
      <c r="R95" s="13"/>
      <c r="S95" s="13"/>
      <c r="T95" s="13"/>
      <c r="U95" s="13"/>
      <c r="V95" s="13"/>
      <c r="W95" s="13"/>
      <c r="X95" s="13"/>
      <c r="Y95" s="13"/>
      <c r="Z95" s="9"/>
      <c r="AA95" s="9"/>
      <c r="AB95" s="7"/>
      <c r="AC95" s="7"/>
      <c r="AD95" s="7"/>
      <c r="AS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9"/>
      <c r="CA95" s="9"/>
      <c r="CB95" s="9"/>
      <c r="CC95" s="9"/>
      <c r="CD95" s="9"/>
      <c r="CE95" s="9"/>
      <c r="CF95" s="9"/>
      <c r="CG95" s="9"/>
      <c r="CH95" s="9"/>
      <c r="CI95" s="9"/>
      <c r="CJ95" s="9"/>
      <c r="CK95" s="9"/>
      <c r="CL95" s="9"/>
      <c r="CM95" s="9"/>
      <c r="CN95" s="9"/>
      <c r="CO95" s="9"/>
      <c r="CP95" s="9"/>
      <c r="CQ95" s="9"/>
      <c r="CR95" s="9"/>
    </row>
    <row r="96" spans="18:96" s="103" customFormat="1">
      <c r="R96" s="13"/>
      <c r="S96" s="13"/>
      <c r="T96" s="13"/>
      <c r="U96" s="13"/>
      <c r="V96" s="13"/>
      <c r="W96" s="13"/>
      <c r="X96" s="13"/>
      <c r="Y96" s="13"/>
      <c r="Z96" s="9"/>
      <c r="AA96" s="9"/>
      <c r="AB96" s="7"/>
      <c r="AC96" s="7"/>
      <c r="AD96" s="7"/>
      <c r="AS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  <c r="BX96" s="9"/>
      <c r="BY96" s="9"/>
      <c r="BZ96" s="9"/>
      <c r="CA96" s="9"/>
      <c r="CB96" s="9"/>
      <c r="CC96" s="9"/>
      <c r="CD96" s="9"/>
      <c r="CE96" s="9"/>
      <c r="CF96" s="9"/>
      <c r="CG96" s="9"/>
      <c r="CH96" s="9"/>
      <c r="CI96" s="9"/>
      <c r="CJ96" s="9"/>
      <c r="CK96" s="9"/>
      <c r="CL96" s="9"/>
      <c r="CM96" s="9"/>
      <c r="CN96" s="9"/>
      <c r="CO96" s="9"/>
      <c r="CP96" s="9"/>
      <c r="CQ96" s="9"/>
      <c r="CR96" s="9"/>
    </row>
    <row r="97" spans="2:111" s="103" customFormat="1">
      <c r="R97" s="13"/>
      <c r="S97" s="13"/>
      <c r="T97" s="13"/>
      <c r="U97" s="13"/>
      <c r="V97" s="13"/>
      <c r="W97" s="13"/>
      <c r="X97" s="13"/>
      <c r="Y97" s="13"/>
      <c r="Z97" s="9"/>
      <c r="AA97" s="9"/>
      <c r="AB97" s="7"/>
      <c r="AC97" s="7"/>
      <c r="AD97" s="7"/>
      <c r="AS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  <c r="CA97" s="9"/>
      <c r="CB97" s="9"/>
      <c r="CC97" s="9"/>
      <c r="CD97" s="9"/>
      <c r="CE97" s="9"/>
      <c r="CF97" s="9"/>
      <c r="CG97" s="9"/>
      <c r="CH97" s="9"/>
      <c r="CI97" s="9"/>
      <c r="CJ97" s="9"/>
      <c r="CK97" s="9"/>
      <c r="CL97" s="9"/>
      <c r="CM97" s="9"/>
      <c r="CN97" s="9"/>
      <c r="CO97" s="9"/>
      <c r="CP97" s="9"/>
      <c r="CQ97" s="9"/>
      <c r="CR97" s="9"/>
    </row>
    <row r="98" spans="2:111" s="103" customFormat="1">
      <c r="R98" s="13"/>
      <c r="S98" s="13"/>
      <c r="T98" s="13"/>
      <c r="U98" s="13"/>
      <c r="V98" s="13"/>
      <c r="W98" s="13"/>
      <c r="X98" s="13"/>
      <c r="Y98" s="13"/>
      <c r="Z98" s="9"/>
      <c r="AA98" s="9"/>
      <c r="AB98" s="7"/>
      <c r="AC98" s="7"/>
      <c r="AD98" s="7"/>
      <c r="AS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  <c r="CH98" s="9"/>
      <c r="CI98" s="9"/>
      <c r="CJ98" s="9"/>
      <c r="CK98" s="9"/>
      <c r="CL98" s="9"/>
      <c r="CM98" s="9"/>
      <c r="CN98" s="9"/>
      <c r="CO98" s="9"/>
      <c r="CP98" s="9"/>
      <c r="CQ98" s="9"/>
      <c r="CR98" s="9"/>
    </row>
    <row r="99" spans="2:111" s="103" customFormat="1">
      <c r="R99" s="13"/>
      <c r="S99" s="13"/>
      <c r="T99" s="13"/>
      <c r="U99" s="13"/>
      <c r="V99" s="13"/>
      <c r="W99" s="13"/>
      <c r="X99" s="13"/>
      <c r="Y99" s="13"/>
      <c r="Z99" s="9"/>
      <c r="AA99" s="9"/>
      <c r="AB99" s="7"/>
      <c r="AC99" s="7"/>
      <c r="AD99" s="7"/>
      <c r="AS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9"/>
      <c r="BX99" s="9"/>
      <c r="BY99" s="9"/>
      <c r="BZ99" s="9"/>
      <c r="CA99" s="9"/>
      <c r="CB99" s="9"/>
      <c r="CC99" s="9"/>
      <c r="CD99" s="9"/>
      <c r="CE99" s="9"/>
      <c r="CF99" s="9"/>
      <c r="CG99" s="9"/>
      <c r="CH99" s="9"/>
      <c r="CI99" s="9"/>
      <c r="CJ99" s="9"/>
      <c r="CK99" s="9"/>
      <c r="CL99" s="9"/>
      <c r="CM99" s="9"/>
      <c r="CN99" s="9"/>
      <c r="CO99" s="9"/>
      <c r="CP99" s="9"/>
      <c r="CQ99" s="9"/>
      <c r="CR99" s="9"/>
    </row>
    <row r="100" spans="2:111" s="103" customFormat="1">
      <c r="R100" s="13"/>
      <c r="S100" s="13"/>
      <c r="T100" s="13"/>
      <c r="U100" s="13"/>
      <c r="V100" s="13"/>
      <c r="W100" s="13"/>
      <c r="X100" s="13"/>
      <c r="Y100" s="13"/>
      <c r="Z100" s="9"/>
      <c r="AA100" s="9"/>
      <c r="AB100" s="7"/>
      <c r="AC100" s="7"/>
      <c r="AD100" s="7"/>
      <c r="AS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9"/>
      <c r="BU100" s="9"/>
      <c r="BV100" s="9"/>
      <c r="BW100" s="9"/>
      <c r="BX100" s="9"/>
      <c r="BY100" s="9"/>
      <c r="BZ100" s="9"/>
      <c r="CA100" s="9"/>
      <c r="CB100" s="9"/>
      <c r="CC100" s="9"/>
      <c r="CD100" s="9"/>
      <c r="CE100" s="9"/>
      <c r="CF100" s="9"/>
      <c r="CG100" s="9"/>
      <c r="CH100" s="9"/>
      <c r="CI100" s="9"/>
      <c r="CJ100" s="9"/>
      <c r="CK100" s="9"/>
      <c r="CL100" s="9"/>
      <c r="CM100" s="9"/>
      <c r="CN100" s="9"/>
      <c r="CO100" s="9"/>
      <c r="CP100" s="9"/>
      <c r="CQ100" s="9"/>
      <c r="CR100" s="9"/>
    </row>
    <row r="101" spans="2:111" s="103" customFormat="1">
      <c r="R101" s="13"/>
      <c r="S101" s="13"/>
      <c r="T101" s="13"/>
      <c r="U101" s="13"/>
      <c r="V101" s="13"/>
      <c r="W101" s="13"/>
      <c r="X101" s="13"/>
      <c r="Y101" s="13"/>
      <c r="Z101" s="9"/>
      <c r="AA101" s="9"/>
      <c r="AB101" s="7"/>
      <c r="AC101" s="7"/>
      <c r="AD101" s="7"/>
      <c r="AS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9"/>
      <c r="BZ101" s="9"/>
      <c r="CA101" s="9"/>
      <c r="CB101" s="9"/>
      <c r="CC101" s="9"/>
      <c r="CD101" s="9"/>
      <c r="CE101" s="9"/>
      <c r="CF101" s="9"/>
      <c r="CG101" s="9"/>
      <c r="CH101" s="9"/>
      <c r="CI101" s="9"/>
      <c r="CJ101" s="9"/>
      <c r="CK101" s="9"/>
      <c r="CL101" s="9"/>
      <c r="CM101" s="9"/>
      <c r="CN101" s="9"/>
      <c r="CO101" s="9"/>
      <c r="CP101" s="9"/>
      <c r="CQ101" s="9"/>
      <c r="CR101" s="9"/>
    </row>
    <row r="102" spans="2:111" s="103" customFormat="1">
      <c r="B102" s="13"/>
      <c r="C102" s="13"/>
      <c r="D102" s="13"/>
      <c r="E102" s="13"/>
      <c r="R102" s="13"/>
      <c r="S102" s="13"/>
      <c r="T102" s="13"/>
      <c r="U102" s="13"/>
      <c r="V102" s="13"/>
      <c r="W102" s="13"/>
      <c r="X102" s="13"/>
      <c r="Y102" s="13"/>
      <c r="Z102" s="297"/>
      <c r="AA102" s="9"/>
      <c r="AB102" s="7"/>
      <c r="AC102" s="7"/>
      <c r="AD102" s="7"/>
      <c r="AS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  <c r="BZ102" s="9"/>
      <c r="CA102" s="9"/>
      <c r="CB102" s="9"/>
      <c r="CC102" s="9"/>
      <c r="CD102" s="9"/>
      <c r="CE102" s="9"/>
      <c r="CF102" s="9"/>
      <c r="CG102" s="9"/>
      <c r="CH102" s="9"/>
      <c r="CI102" s="9"/>
      <c r="CJ102" s="9"/>
      <c r="CK102" s="9"/>
      <c r="CL102" s="9"/>
      <c r="CM102" s="9"/>
      <c r="CN102" s="9"/>
      <c r="CO102" s="9"/>
      <c r="CP102" s="9"/>
      <c r="CQ102" s="9"/>
      <c r="CR102" s="9"/>
    </row>
    <row r="103" spans="2:111" s="103" customFormat="1">
      <c r="B103" s="13"/>
      <c r="C103" s="13"/>
      <c r="D103" s="13"/>
      <c r="E103" s="13"/>
      <c r="R103" s="13"/>
      <c r="S103" s="13"/>
      <c r="T103" s="13"/>
      <c r="U103" s="13"/>
      <c r="V103" s="13"/>
      <c r="W103" s="13"/>
      <c r="X103" s="13"/>
      <c r="Y103" s="13"/>
      <c r="Z103" s="297"/>
      <c r="AA103" s="9"/>
      <c r="AB103" s="7"/>
      <c r="AC103" s="7"/>
      <c r="AD103" s="7"/>
      <c r="AS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  <c r="CG103" s="9"/>
      <c r="CH103" s="9"/>
      <c r="CI103" s="9"/>
      <c r="CJ103" s="9"/>
      <c r="CK103" s="9"/>
      <c r="CL103" s="9"/>
      <c r="CM103" s="9"/>
      <c r="CN103" s="9"/>
      <c r="CO103" s="9"/>
      <c r="CP103" s="9"/>
      <c r="CQ103" s="9"/>
      <c r="CR103" s="9"/>
    </row>
    <row r="104" spans="2:111" s="103" customFormat="1">
      <c r="B104" s="13"/>
      <c r="C104" s="13"/>
      <c r="D104" s="13"/>
      <c r="E104" s="13"/>
      <c r="R104" s="13"/>
      <c r="S104" s="13"/>
      <c r="T104" s="13"/>
      <c r="U104" s="13"/>
      <c r="Z104" s="297"/>
      <c r="AA104" s="9"/>
      <c r="AB104" s="7"/>
      <c r="AC104" s="7"/>
      <c r="AD104" s="7"/>
      <c r="AS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  <c r="BZ104" s="9"/>
      <c r="CA104" s="9"/>
      <c r="CB104" s="9"/>
      <c r="CC104" s="9"/>
      <c r="CD104" s="9"/>
      <c r="CE104" s="9"/>
      <c r="CF104" s="9"/>
      <c r="CG104" s="9"/>
      <c r="CH104" s="9"/>
      <c r="CI104" s="9"/>
      <c r="CJ104" s="9"/>
      <c r="CK104" s="9"/>
      <c r="CL104" s="9"/>
      <c r="CM104" s="9"/>
      <c r="CN104" s="9"/>
      <c r="CO104" s="9"/>
      <c r="CP104" s="9"/>
      <c r="CQ104" s="9"/>
      <c r="CR104" s="9"/>
    </row>
    <row r="105" spans="2:111" s="103" customFormat="1">
      <c r="B105" s="13"/>
      <c r="C105" s="13"/>
      <c r="D105" s="13"/>
      <c r="E105" s="13"/>
      <c r="R105" s="13"/>
      <c r="S105" s="13"/>
      <c r="T105" s="13"/>
      <c r="U105" s="13"/>
      <c r="Z105" s="297"/>
      <c r="AA105" s="297"/>
      <c r="AB105" s="7"/>
      <c r="AC105" s="7"/>
      <c r="AD105" s="7"/>
      <c r="AS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  <c r="CH105" s="9"/>
      <c r="CI105" s="9"/>
      <c r="CJ105" s="9"/>
      <c r="CK105" s="9"/>
      <c r="CL105" s="9"/>
      <c r="CM105" s="9"/>
      <c r="CN105" s="9"/>
      <c r="CO105" s="9"/>
      <c r="CP105" s="9"/>
      <c r="CQ105" s="9"/>
      <c r="CR105" s="9"/>
    </row>
    <row r="106" spans="2:111" s="103" customFormat="1">
      <c r="B106" s="13"/>
      <c r="C106" s="13"/>
      <c r="D106" s="13"/>
      <c r="E106" s="13"/>
      <c r="R106" s="13"/>
      <c r="S106" s="13"/>
      <c r="T106" s="13"/>
      <c r="U106" s="13"/>
      <c r="Z106" s="9"/>
      <c r="AA106" s="9"/>
      <c r="AB106" s="7"/>
      <c r="AC106" s="7"/>
      <c r="AD106" s="7"/>
      <c r="AS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  <c r="CJ106" s="9"/>
      <c r="CK106" s="9"/>
      <c r="CL106" s="9"/>
      <c r="CM106" s="9"/>
      <c r="CN106" s="9"/>
      <c r="CO106" s="9"/>
      <c r="CP106" s="9"/>
      <c r="CQ106" s="9"/>
      <c r="CR106" s="9"/>
    </row>
    <row r="107" spans="2:111" s="103" customFormat="1">
      <c r="B107" s="13"/>
      <c r="C107" s="13"/>
      <c r="D107" s="13"/>
      <c r="E107" s="13"/>
      <c r="R107" s="13"/>
      <c r="S107" s="13"/>
      <c r="T107" s="13"/>
      <c r="U107" s="13"/>
      <c r="Z107" s="9"/>
      <c r="AA107" s="9"/>
      <c r="AB107" s="7"/>
      <c r="AC107" s="7"/>
      <c r="AD107" s="7"/>
      <c r="AS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  <c r="CG107" s="9"/>
      <c r="CH107" s="9"/>
      <c r="CI107" s="9"/>
      <c r="CJ107" s="9"/>
      <c r="CK107" s="9"/>
      <c r="CL107" s="9"/>
      <c r="CM107" s="9"/>
      <c r="CN107" s="9"/>
      <c r="CO107" s="9"/>
      <c r="CP107" s="9"/>
      <c r="CQ107" s="9"/>
      <c r="CR107" s="9"/>
    </row>
    <row r="108" spans="2:111" s="103" customFormat="1">
      <c r="B108" s="13"/>
      <c r="C108" s="13"/>
      <c r="D108" s="13"/>
      <c r="E108" s="13"/>
      <c r="R108" s="13"/>
      <c r="S108" s="13"/>
      <c r="T108" s="13"/>
      <c r="U108" s="13"/>
      <c r="Z108" s="9"/>
      <c r="AA108" s="9"/>
      <c r="AB108" s="7"/>
      <c r="AC108" s="7"/>
      <c r="AD108" s="7"/>
      <c r="AS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BX108" s="9"/>
      <c r="BY108" s="9"/>
      <c r="BZ108" s="9"/>
      <c r="CA108" s="9"/>
      <c r="CB108" s="9"/>
      <c r="CC108" s="9"/>
      <c r="CD108" s="9"/>
      <c r="CE108" s="9"/>
      <c r="CF108" s="9"/>
      <c r="CG108" s="9"/>
      <c r="CH108" s="9"/>
      <c r="CI108" s="9"/>
      <c r="CJ108" s="9"/>
      <c r="CK108" s="9"/>
      <c r="CL108" s="9"/>
      <c r="CM108" s="9"/>
      <c r="CN108" s="9"/>
      <c r="CO108" s="9"/>
      <c r="CP108" s="9"/>
      <c r="CQ108" s="9"/>
      <c r="CR108" s="9"/>
      <c r="DD108" s="13"/>
      <c r="DE108" s="13"/>
      <c r="DF108" s="13"/>
      <c r="DG108" s="13"/>
    </row>
    <row r="109" spans="2:111" s="103" customFormat="1">
      <c r="B109" s="13"/>
      <c r="C109" s="13"/>
      <c r="D109" s="13"/>
      <c r="E109" s="13"/>
      <c r="M109" s="13"/>
      <c r="R109" s="13"/>
      <c r="S109" s="13"/>
      <c r="T109" s="13"/>
      <c r="U109" s="13"/>
      <c r="Z109" s="9"/>
      <c r="AA109" s="9"/>
      <c r="AB109" s="9"/>
      <c r="AC109" s="9"/>
      <c r="AD109" s="9"/>
      <c r="AS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9"/>
      <c r="BU109" s="9"/>
      <c r="BV109" s="9"/>
      <c r="BW109" s="9"/>
      <c r="BX109" s="9"/>
      <c r="BY109" s="9"/>
      <c r="BZ109" s="9"/>
      <c r="CA109" s="9"/>
      <c r="CB109" s="9"/>
      <c r="CC109" s="9"/>
      <c r="CD109" s="9"/>
      <c r="CE109" s="9"/>
      <c r="CF109" s="9"/>
      <c r="CG109" s="9"/>
      <c r="CH109" s="9"/>
      <c r="CI109" s="9"/>
      <c r="CJ109" s="9"/>
      <c r="CK109" s="9"/>
      <c r="CL109" s="9"/>
      <c r="CM109" s="9"/>
      <c r="CN109" s="9"/>
      <c r="CO109" s="9"/>
      <c r="CP109" s="9"/>
      <c r="CQ109" s="9"/>
      <c r="CR109" s="9"/>
      <c r="DD109" s="13"/>
      <c r="DE109" s="13"/>
      <c r="DF109" s="13"/>
      <c r="DG109" s="13"/>
    </row>
    <row r="110" spans="2:111">
      <c r="G110" s="103"/>
      <c r="H110" s="103"/>
      <c r="I110" s="103"/>
      <c r="J110" s="103"/>
      <c r="K110" s="103"/>
      <c r="L110" s="103"/>
      <c r="N110" s="103"/>
      <c r="O110" s="103"/>
      <c r="P110" s="103"/>
      <c r="Q110" s="103"/>
      <c r="AT110" s="103"/>
      <c r="AU110" s="103"/>
      <c r="AV110" s="103"/>
      <c r="AW110" s="103"/>
      <c r="CS110" s="103"/>
      <c r="CT110" s="103"/>
      <c r="CU110" s="103"/>
      <c r="CV110" s="103"/>
      <c r="CW110" s="103"/>
      <c r="CX110" s="103"/>
      <c r="CY110" s="103"/>
      <c r="CZ110" s="103"/>
      <c r="DA110" s="103"/>
      <c r="DB110" s="103"/>
    </row>
    <row r="111" spans="2:111">
      <c r="G111" s="103"/>
      <c r="H111" s="103"/>
      <c r="I111" s="103"/>
      <c r="J111" s="103"/>
      <c r="K111" s="103"/>
      <c r="L111" s="103"/>
      <c r="N111" s="103"/>
      <c r="O111" s="103"/>
      <c r="P111" s="103"/>
      <c r="Q111" s="103"/>
      <c r="AT111" s="103"/>
      <c r="AU111" s="103"/>
      <c r="AV111" s="103"/>
      <c r="AW111" s="103"/>
      <c r="CS111" s="103"/>
      <c r="CT111" s="103"/>
      <c r="CU111" s="103"/>
      <c r="CV111" s="103"/>
      <c r="CW111" s="103"/>
      <c r="CY111" s="103"/>
      <c r="CZ111" s="103"/>
      <c r="DA111" s="103"/>
      <c r="DB111" s="103"/>
    </row>
    <row r="112" spans="2:111">
      <c r="N112" s="103"/>
      <c r="O112" s="103"/>
      <c r="P112" s="103"/>
      <c r="Q112" s="103"/>
      <c r="AT112" s="103"/>
      <c r="AU112" s="103"/>
      <c r="AV112" s="103"/>
      <c r="AW112" s="103"/>
      <c r="CS112" s="103"/>
      <c r="CT112" s="103"/>
      <c r="CU112" s="103"/>
      <c r="CV112" s="103"/>
      <c r="CW112" s="103"/>
      <c r="CY112" s="103"/>
      <c r="CZ112" s="103"/>
      <c r="DA112" s="103"/>
      <c r="DB112" s="103"/>
    </row>
    <row r="113" spans="14:106">
      <c r="N113" s="103"/>
      <c r="O113" s="103"/>
      <c r="P113" s="103"/>
      <c r="Q113" s="103"/>
      <c r="AT113" s="103"/>
      <c r="AU113" s="103"/>
      <c r="AV113" s="103"/>
      <c r="AW113" s="103"/>
      <c r="CT113" s="103"/>
      <c r="CU113" s="103"/>
      <c r="CV113" s="103"/>
      <c r="CW113" s="103"/>
      <c r="CY113" s="103"/>
      <c r="CZ113" s="103"/>
      <c r="DA113" s="103"/>
      <c r="DB113" s="103"/>
    </row>
    <row r="114" spans="14:106">
      <c r="N114" s="103"/>
      <c r="O114" s="103"/>
      <c r="P114" s="103"/>
      <c r="Q114" s="103"/>
      <c r="AT114" s="103"/>
      <c r="AU114" s="103"/>
      <c r="AV114" s="103"/>
      <c r="AW114" s="103"/>
      <c r="CT114" s="103"/>
      <c r="CU114" s="103"/>
      <c r="CV114" s="103"/>
      <c r="CW114" s="103"/>
      <c r="CY114" s="103"/>
      <c r="CZ114" s="103"/>
      <c r="DA114" s="103"/>
      <c r="DB114" s="103"/>
    </row>
    <row r="115" spans="14:106">
      <c r="N115" s="103"/>
      <c r="O115" s="103"/>
      <c r="P115" s="103"/>
      <c r="Q115" s="103"/>
      <c r="AT115" s="103"/>
      <c r="AU115" s="103"/>
      <c r="AV115" s="103"/>
      <c r="AW115" s="103"/>
      <c r="CT115" s="103"/>
      <c r="CU115" s="103"/>
      <c r="CV115" s="103"/>
      <c r="CW115" s="103"/>
      <c r="CY115" s="103"/>
      <c r="CZ115" s="103"/>
      <c r="DA115" s="103"/>
      <c r="DB115" s="103"/>
    </row>
    <row r="116" spans="14:106">
      <c r="AT116" s="103"/>
      <c r="AU116" s="103"/>
      <c r="AV116" s="103"/>
      <c r="AW116" s="103"/>
      <c r="CT116" s="103"/>
      <c r="CU116" s="103"/>
      <c r="CV116" s="103"/>
      <c r="CW116" s="103"/>
    </row>
    <row r="117" spans="14:106">
      <c r="AT117" s="103"/>
      <c r="AU117" s="103"/>
      <c r="AV117" s="103"/>
      <c r="AW117" s="103"/>
      <c r="CT117" s="103"/>
      <c r="CU117" s="103"/>
      <c r="CV117" s="103"/>
      <c r="CW117" s="103"/>
    </row>
    <row r="118" spans="14:106">
      <c r="AT118" s="303"/>
      <c r="AU118" s="303"/>
      <c r="AV118" s="303"/>
      <c r="AW118" s="303"/>
      <c r="CT118" s="103"/>
      <c r="CU118" s="103"/>
      <c r="CV118" s="103"/>
      <c r="CW118" s="103"/>
    </row>
    <row r="119" spans="14:106">
      <c r="AT119" s="303"/>
      <c r="AU119" s="303"/>
      <c r="AV119" s="303"/>
      <c r="AW119" s="303"/>
    </row>
    <row r="120" spans="14:106">
      <c r="AT120" s="303"/>
      <c r="AU120" s="303"/>
      <c r="AV120" s="303"/>
      <c r="AW120" s="303"/>
    </row>
    <row r="121" spans="14:106">
      <c r="AT121" s="303"/>
      <c r="AU121" s="303"/>
      <c r="AV121" s="303"/>
      <c r="AW121" s="303"/>
    </row>
  </sheetData>
  <mergeCells count="12">
    <mergeCell ref="DC7:DG7"/>
    <mergeCell ref="AX8:BB8"/>
    <mergeCell ref="CS8:CW8"/>
    <mergeCell ref="CX8:DB8"/>
    <mergeCell ref="DC8:DG8"/>
    <mergeCell ref="CA10:CC10"/>
    <mergeCell ref="M6:Q6"/>
    <mergeCell ref="BO6:BS6"/>
    <mergeCell ref="BT6:BX6"/>
    <mergeCell ref="AX7:BB7"/>
    <mergeCell ref="CS7:CW7"/>
    <mergeCell ref="CX7:DB7"/>
  </mergeCells>
  <conditionalFormatting sqref="AE1:CM1 A1:AC1">
    <cfRule type="cellIs" dxfId="13" priority="14" stopIfTrue="1" operator="notEqual">
      <formula>0</formula>
    </cfRule>
  </conditionalFormatting>
  <conditionalFormatting sqref="CT1:CV1">
    <cfRule type="cellIs" dxfId="12" priority="9" stopIfTrue="1" operator="notEqual">
      <formula>0</formula>
    </cfRule>
  </conditionalFormatting>
  <conditionalFormatting sqref="CN1:CR1">
    <cfRule type="cellIs" dxfId="11" priority="13" stopIfTrue="1" operator="notEqual">
      <formula>0</formula>
    </cfRule>
  </conditionalFormatting>
  <conditionalFormatting sqref="AD1">
    <cfRule type="cellIs" dxfId="10" priority="12" stopIfTrue="1" operator="notEqual">
      <formula>0</formula>
    </cfRule>
  </conditionalFormatting>
  <conditionalFormatting sqref="CW1">
    <cfRule type="cellIs" dxfId="9" priority="11" stopIfTrue="1" operator="notEqual">
      <formula>0</formula>
    </cfRule>
  </conditionalFormatting>
  <conditionalFormatting sqref="DB1">
    <cfRule type="cellIs" dxfId="8" priority="10" stopIfTrue="1" operator="notEqual">
      <formula>0</formula>
    </cfRule>
  </conditionalFormatting>
  <conditionalFormatting sqref="CX1:CZ1">
    <cfRule type="cellIs" dxfId="7" priority="8" stopIfTrue="1" operator="notEqual">
      <formula>0</formula>
    </cfRule>
  </conditionalFormatting>
  <conditionalFormatting sqref="DA1">
    <cfRule type="cellIs" dxfId="6" priority="7" stopIfTrue="1" operator="notEqual">
      <formula>0</formula>
    </cfRule>
  </conditionalFormatting>
  <conditionalFormatting sqref="DG1">
    <cfRule type="cellIs" dxfId="5" priority="6" stopIfTrue="1" operator="notEqual">
      <formula>0</formula>
    </cfRule>
  </conditionalFormatting>
  <conditionalFormatting sqref="DC1:DE1">
    <cfRule type="cellIs" dxfId="4" priority="5" stopIfTrue="1" operator="notEqual">
      <formula>0</formula>
    </cfRule>
  </conditionalFormatting>
  <conditionalFormatting sqref="DF1">
    <cfRule type="cellIs" dxfId="3" priority="4" stopIfTrue="1" operator="notEqual">
      <formula>0</formula>
    </cfRule>
  </conditionalFormatting>
  <conditionalFormatting sqref="DL1">
    <cfRule type="cellIs" dxfId="2" priority="3" stopIfTrue="1" operator="notEqual">
      <formula>0</formula>
    </cfRule>
  </conditionalFormatting>
  <conditionalFormatting sqref="DH1:DJ1">
    <cfRule type="cellIs" dxfId="1" priority="2" stopIfTrue="1" operator="notEqual">
      <formula>0</formula>
    </cfRule>
  </conditionalFormatting>
  <conditionalFormatting sqref="DK1">
    <cfRule type="cellIs" dxfId="0" priority="1" stopIfTrue="1" operator="notEqual">
      <formula>0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18D2FBB09848246B6FD4A5A815592E3" ma:contentTypeVersion="92" ma:contentTypeDescription="" ma:contentTypeScope="" ma:versionID="22aef20f0bee0b57018fbd7776052d4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88f51cce7439777dbacc0aa8de4abac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2017-01-13T08:00:00+00:00</OpenedDate>
    <Date1 xmlns="dc463f71-b30c-4ab2-9473-d307f9d35888">2017-01-13T08:00:00+00:00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170033</DocketNumber>
    <DelegatedOrder xmlns="dc463f71-b30c-4ab2-9473-d307f9d35888">false</DelegatedOrder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9CA798D6-9D22-4764-B0D2-30F7DD5AABA6}"/>
</file>

<file path=customXml/itemProps2.xml><?xml version="1.0" encoding="utf-8"?>
<ds:datastoreItem xmlns:ds="http://schemas.openxmlformats.org/officeDocument/2006/customXml" ds:itemID="{197CACB2-9AED-49EA-82C3-5FF4819EDD22}"/>
</file>

<file path=customXml/itemProps3.xml><?xml version="1.0" encoding="utf-8"?>
<ds:datastoreItem xmlns:ds="http://schemas.openxmlformats.org/officeDocument/2006/customXml" ds:itemID="{ABD92845-5967-4368-9F6A-309E86FF98C5}"/>
</file>

<file path=customXml/itemProps4.xml><?xml version="1.0" encoding="utf-8"?>
<ds:datastoreItem xmlns:ds="http://schemas.openxmlformats.org/officeDocument/2006/customXml" ds:itemID="{B4FAF990-BACE-45B7-BDAF-FF8D64B8DE0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KJB-6</vt:lpstr>
      <vt:lpstr>Case_Name</vt:lpstr>
      <vt:lpstr>keep_TESTYEAR</vt:lpstr>
    </vt:vector>
  </TitlesOfParts>
  <Company>Perkins Coie LLP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 Name</dc:creator>
  <cp:lastModifiedBy>No Name</cp:lastModifiedBy>
  <dcterms:created xsi:type="dcterms:W3CDTF">2017-01-05T16:38:54Z</dcterms:created>
  <dcterms:modified xsi:type="dcterms:W3CDTF">2017-01-05T16:44:58Z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0x0101006E56B4D1795A2E4DB2F0B01679ED314A00718D2FBB09848246B6FD4A5A815592E3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