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5" windowHeight="10650" activeTab="0"/>
  </bookViews>
  <sheets>
    <sheet name="CONFIDENTIAL" sheetId="1" r:id="rId1"/>
    <sheet name="CofCap" sheetId="2" r:id="rId2"/>
    <sheet name="(R) Cost of Total Debt" sheetId="3" r:id="rId3"/>
    <sheet name="STD Int&amp;Fees-Details AMA" sheetId="4" r:id="rId4"/>
    <sheet name="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2">'(R) Cost of Total Debt'!$A$1:$J$49</definedName>
    <definedName name="_xlnm.Print_Area" localSheetId="1">'CofCap'!$A$1:$F$42</definedName>
    <definedName name="_xlnm.Print_Area" localSheetId="4">'Reacquired Debt'!$A$1:$K$29</definedName>
    <definedName name="_xlnm.Print_Area" localSheetId="3">'STD Int&amp;Fees-Details AMA'!$A$1:$P$70</definedName>
    <definedName name="_xlnm.Print_Titles" localSheetId="4">'Reacquired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<sst xmlns="http://schemas.openxmlformats.org/spreadsheetml/2006/main" count="257" uniqueCount="153">
  <si>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</si>
  <si>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</si>
  <si>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</si>
  <si>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</si>
  <si>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</si>
  <si>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</si>
  <si>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</si>
  <si>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</si>
  <si>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</si>
  <si>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</si>
  <si>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</si>
  <si>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</si>
  <si>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</si>
  <si>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</si>
  <si>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</si>
  <si>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</si>
  <si>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</si>
  <si>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</si>
  <si>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</si>
  <si>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</si>
  <si>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</si>
  <si>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</si>
  <si>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</si>
  <si>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</si>
  <si>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</si>
  <si>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</si>
  <si>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</si>
  <si>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</si>
  <si>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</si>
  <si>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</si>
  <si>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</si>
  <si>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</si>
  <si>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</si>
  <si>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</si>
  <si>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</si>
  <si>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</si>
  <si>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</si>
  <si>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</si>
  <si>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</si>
  <si>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</si>
  <si>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</si>
  <si>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</si>
  <si>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</si>
  <si>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</si>
  <si>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</si>
  <si>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</si>
  <si>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</si>
  <si>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2003 PCB's</t>
  </si>
  <si>
    <t>30 Yr 6.724%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</si>
  <si>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</si>
  <si>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</si>
  <si>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</si>
  <si>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</si>
  <si>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</si>
  <si>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</si>
  <si>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</si>
  <si>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</si>
  <si>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</si>
  <si>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</si>
  <si>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</si>
  <si>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</si>
  <si>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</si>
  <si>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</si>
  <si>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</si>
  <si>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</si>
  <si>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</si>
  <si>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</si>
  <si>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</si>
  <si>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</si>
  <si>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</si>
  <si>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</si>
  <si>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</si>
  <si>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</si>
  <si>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</si>
  <si>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</si>
  <si>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</si>
  <si>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</si>
  <si>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</si>
  <si>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</si>
  <si>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</si>
  <si>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</si>
  <si>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</si>
  <si>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</si>
  <si>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</si>
  <si>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</si>
  <si>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</si>
  <si>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</si>
  <si>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</si>
  <si>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</si>
  <si>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</si>
  <si>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</si>
  <si>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</si>
  <si>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</si>
  <si>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</si>
  <si>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</si>
  <si>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</si>
  <si>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</si>
  <si>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</si>
  <si>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</si>
  <si>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</si>
  <si>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</si>
  <si>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</si>
  <si>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</si>
  <si>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</si>
  <si>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</si>
  <si>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</si>
  <si>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</si>
  <si>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</si>
  <si>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</si>
  <si>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</si>
  <si>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</si>
  <si>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</si>
  <si>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</si>
  <si>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</si>
  <si>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</si>
  <si>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</si>
  <si>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</si>
  <si>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</si>
  <si>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</si>
  <si>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</si>
  <si>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</si>
  <si>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</si>
  <si>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</si>
  <si>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</si>
  <si>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</si>
  <si>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</si>
  <si>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</si>
  <si>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</si>
  <si>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</si>
  <si>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</si>
  <si>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</si>
  <si>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</si>
  <si>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LTD Average Balance (in 000's)</t>
  </si>
  <si>
    <t>Total STD and LTD</t>
  </si>
  <si>
    <t>Total Long-term Debt Cost of Interest on AMA basis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</si>
  <si>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</si>
  <si>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</si>
  <si>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</si>
  <si>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</si>
  <si>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</si>
  <si>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</si>
  <si>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</si>
  <si>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</si>
  <si>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For The 12 Months Ended December 31, 2025</t>
  </si>
  <si>
    <t>Requested For Rate Year January 2025 through December 2025</t>
  </si>
  <si>
    <t>LC Outstanding  with TD_1 (000'0)</t>
  </si>
  <si>
    <t>LC Outstanding  with TD_2 (000'0)</t>
  </si>
  <si>
    <t>Credit Facilities SOFR adj.</t>
  </si>
  <si>
    <t>SHADED INFORMATION IS DESIGNATED AS CONFIDENTIAL PER WAC 480-07-160</t>
  </si>
  <si>
    <t>This file contains confidential information</t>
  </si>
  <si>
    <t>Shaded information is designated as confidential per WAC 480-07-160</t>
  </si>
  <si>
    <t>REDACTED VERSION</t>
  </si>
  <si>
    <t>XXXXX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</si>
</sst>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$-409]dddd\,\ mmmm\ d\,\ yyyy"/>
    <numFmt numFmtId="225" formatCode="_(&quot;$&quot;* #,##0.000_);_(&quot;$&quot;* \(#,##0.000\);_(&quot;$&quot;* &quot;-&quot;??_);_(@_)"/>
  </numFmts>
  <fonts count="54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20"/>
      <color indexed="8"/>
      <name val="Calibri"/>
      <family val="2"/>
    </font>
    <font>
      <sz val="18"/>
      <name val="Arial"/>
      <family val="2"/>
    </font>
    <font>
      <sz val="9"/>
      <color rgb="FFFF0000"/>
      <name val="Times New Roman"/>
      <family val="1"/>
    </font>
    <font>
      <sz val="20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FF00"/>
      </left>
      <right/>
      <top style="thick">
        <color rgb="FFFFFF00"/>
      </top>
      <bottom style="thick">
        <color rgb="FFFFFF00"/>
      </bottom>
    </border>
    <border>
      <left/>
      <right/>
      <top style="thick">
        <color rgb="FFFFFF00"/>
      </top>
      <bottom style="thick">
        <color rgb="FFFFFF00"/>
      </bottom>
    </border>
    <border>
      <left/>
      <right style="thick">
        <color rgb="FFFFFF00"/>
      </right>
      <top style="thick">
        <color rgb="FFFFFF00"/>
      </top>
      <bottom style="thick">
        <color rgb="FFFFFF00"/>
      </bottom>
    </border>
    <border>
      <left style="medium">
        <color rgb="FFFFFF00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2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8" applyFont="1">
      <alignment/>
      <protection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12" fillId="0" borderId="0" xfId="108" applyNumberFormat="1" applyFont="1" applyFill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0" fontId="35" fillId="0" borderId="0" xfId="110" applyNumberFormat="1" applyFont="1" applyAlignment="1" applyProtection="1">
      <alignment/>
      <protection/>
    </xf>
    <xf numFmtId="5" fontId="36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1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181" fontId="11" fillId="0" borderId="0" xfId="108" applyNumberFormat="1" applyFont="1" applyFill="1" applyAlignment="1" applyProtection="1" quotePrefix="1">
      <alignment horizontal="centerContinuous"/>
      <protection/>
    </xf>
    <xf numFmtId="181" fontId="11" fillId="0" borderId="0" xfId="108" applyNumberFormat="1" applyFont="1" applyFill="1" applyAlignment="1" applyProtection="1">
      <alignment horizontal="centerContinuous"/>
      <protection/>
    </xf>
    <xf numFmtId="3" fontId="12" fillId="0" borderId="0" xfId="109" applyFont="1" applyAlignment="1">
      <alignment horizontal="center"/>
      <protection/>
    </xf>
    <xf numFmtId="37" fontId="39" fillId="0" borderId="0" xfId="107" applyFont="1" applyAlignment="1" applyProtection="1">
      <alignment horizontal="center"/>
      <protection/>
    </xf>
    <xf numFmtId="3" fontId="3" fillId="0" borderId="0" xfId="109" applyFont="1" applyAlignment="1">
      <alignment horizontal="center"/>
      <protection/>
    </xf>
    <xf numFmtId="168" fontId="34" fillId="0" borderId="0" xfId="109" applyNumberFormat="1" applyFont="1" applyAlignment="1" applyProtection="1">
      <alignment horizontal="center"/>
      <protection/>
    </xf>
    <xf numFmtId="3" fontId="34" fillId="0" borderId="0" xfId="109" applyFont="1" applyAlignment="1">
      <alignment horizontal="center"/>
      <protection/>
    </xf>
    <xf numFmtId="3" fontId="34" fillId="0" borderId="10" xfId="109" applyFont="1" applyBorder="1" applyAlignment="1" applyProtection="1">
      <alignment horizontal="center"/>
      <protection/>
    </xf>
    <xf numFmtId="3" fontId="34" fillId="0" borderId="10" xfId="109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6" applyNumberFormat="1" applyFont="1" applyFill="1" applyProtection="1">
      <alignment/>
      <protection/>
    </xf>
    <xf numFmtId="175" fontId="12" fillId="0" borderId="0" xfId="106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6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6" applyNumberFormat="1" applyFont="1" applyFill="1" applyProtection="1">
      <alignment/>
      <protection/>
    </xf>
    <xf numFmtId="17" fontId="12" fillId="0" borderId="0" xfId="108" applyNumberFormat="1" applyFont="1" applyAlignment="1" applyProtection="1">
      <alignment horizontal="left"/>
      <protection/>
    </xf>
    <xf numFmtId="37" fontId="34" fillId="0" borderId="0" xfId="108" applyNumberFormat="1" applyFont="1" applyAlignment="1" applyProtection="1">
      <alignment horizontal="left"/>
      <protection/>
    </xf>
    <xf numFmtId="10" fontId="34" fillId="0" borderId="0" xfId="116" applyNumberFormat="1" applyFont="1" applyFill="1" applyAlignment="1">
      <alignment/>
    </xf>
    <xf numFmtId="175" fontId="34" fillId="0" borderId="12" xfId="106" applyNumberFormat="1" applyFont="1" applyFill="1" applyBorder="1" applyProtection="1">
      <alignment/>
      <protection/>
    </xf>
    <xf numFmtId="192" fontId="41" fillId="0" borderId="12" xfId="106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09" applyFont="1">
      <alignment/>
      <protection/>
    </xf>
    <xf numFmtId="10" fontId="12" fillId="0" borderId="0" xfId="116" applyNumberFormat="1" applyFont="1" applyFill="1" applyAlignment="1">
      <alignment/>
    </xf>
    <xf numFmtId="37" fontId="34" fillId="0" borderId="0" xfId="105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8" applyNumberFormat="1" applyFont="1" applyFill="1" applyBorder="1" applyProtection="1">
      <alignment/>
      <protection/>
    </xf>
    <xf numFmtId="187" fontId="43" fillId="0" borderId="0" xfId="106" applyNumberFormat="1" applyFont="1" applyFill="1" applyBorder="1" applyProtection="1">
      <alignment/>
      <protection/>
    </xf>
    <xf numFmtId="192" fontId="41" fillId="0" borderId="0" xfId="106" applyNumberFormat="1" applyFont="1" applyBorder="1" applyProtection="1">
      <alignment/>
      <protection/>
    </xf>
    <xf numFmtId="3" fontId="34" fillId="0" borderId="0" xfId="109" applyFont="1" quotePrefix="1">
      <alignment/>
      <protection/>
    </xf>
    <xf numFmtId="37" fontId="34" fillId="0" borderId="0" xfId="108" applyNumberFormat="1" applyFont="1">
      <alignment/>
      <protection/>
    </xf>
    <xf numFmtId="37" fontId="12" fillId="0" borderId="0" xfId="108" applyNumberFormat="1" applyFont="1">
      <alignment/>
      <protection/>
    </xf>
    <xf numFmtId="171" fontId="12" fillId="0" borderId="0" xfId="0" applyNumberFormat="1" applyFont="1" applyAlignment="1">
      <alignment/>
    </xf>
    <xf numFmtId="179" fontId="42" fillId="0" borderId="0" xfId="106" applyNumberFormat="1" applyFont="1" applyFill="1" applyProtection="1">
      <alignment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40" fillId="0" borderId="0" xfId="105" applyNumberFormat="1" applyFont="1" applyFill="1" applyBorder="1" applyAlignment="1">
      <alignment horizontal="center"/>
      <protection/>
    </xf>
    <xf numFmtId="37" fontId="40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2" fillId="0" borderId="0" xfId="106" applyNumberFormat="1" applyFont="1" applyFill="1" applyBorder="1" applyProtection="1">
      <alignment/>
      <protection/>
    </xf>
    <xf numFmtId="5" fontId="4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2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2" fillId="0" borderId="13" xfId="106" applyNumberFormat="1" applyFont="1" applyFill="1" applyBorder="1" applyProtection="1">
      <alignment/>
      <protection/>
    </xf>
    <xf numFmtId="5" fontId="41" fillId="0" borderId="13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2" fillId="0" borderId="11" xfId="106" applyNumberFormat="1" applyFont="1" applyFill="1" applyBorder="1" applyProtection="1">
      <alignment/>
      <protection/>
    </xf>
    <xf numFmtId="37" fontId="44" fillId="0" borderId="0" xfId="105" applyFont="1" applyFill="1" applyBorder="1" applyAlignment="1">
      <alignment horizontal="center"/>
      <protection/>
    </xf>
    <xf numFmtId="37" fontId="45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2" xfId="105" applyFont="1" applyFill="1" applyBorder="1">
      <alignment/>
      <protection/>
    </xf>
    <xf numFmtId="5" fontId="41" fillId="0" borderId="12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2" fillId="0" borderId="11" xfId="106" applyNumberFormat="1" applyFont="1" applyFill="1" applyBorder="1" applyProtection="1">
      <alignment/>
      <protection/>
    </xf>
    <xf numFmtId="37" fontId="40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2" fillId="0" borderId="12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6" fillId="0" borderId="0" xfId="117" applyNumberFormat="1" applyFont="1" applyFill="1" applyAlignment="1">
      <alignment horizontal="center"/>
    </xf>
    <xf numFmtId="10" fontId="46" fillId="0" borderId="0" xfId="117" applyNumberFormat="1" applyFont="1" applyFill="1" applyAlignment="1">
      <alignment horizontal="center"/>
    </xf>
    <xf numFmtId="199" fontId="42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1" fillId="0" borderId="0" xfId="117" applyNumberFormat="1" applyFont="1" applyFill="1" applyBorder="1" applyAlignment="1" applyProtection="1">
      <alignment/>
      <protection/>
    </xf>
    <xf numFmtId="5" fontId="12" fillId="0" borderId="12" xfId="105" applyNumberFormat="1" applyFont="1" applyFill="1" applyBorder="1">
      <alignment/>
      <protection/>
    </xf>
    <xf numFmtId="5" fontId="12" fillId="0" borderId="0" xfId="105" applyNumberFormat="1" applyFont="1" applyFill="1" applyBorder="1">
      <alignment/>
      <protection/>
    </xf>
    <xf numFmtId="37" fontId="47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8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2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75" fontId="49" fillId="0" borderId="0" xfId="106" applyNumberFormat="1" applyFont="1" applyFill="1" applyProtection="1">
      <alignment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7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6" fillId="0" borderId="0" xfId="110" applyNumberFormat="1" applyFont="1" applyFill="1" applyBorder="1" applyAlignment="1" applyProtection="1">
      <alignment horizontal="right"/>
      <protection/>
    </xf>
    <xf numFmtId="10" fontId="38" fillId="0" borderId="0" xfId="110" applyFont="1" applyFill="1" applyBorder="1" applyAlignment="1">
      <alignment horizontal="right"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192" fontId="42" fillId="0" borderId="0" xfId="106" applyNumberFormat="1" applyFont="1" applyFill="1" applyBorder="1" applyProtection="1">
      <alignment/>
      <protection/>
    </xf>
    <xf numFmtId="192" fontId="41" fillId="0" borderId="0" xfId="106" applyNumberFormat="1" applyFont="1" applyFill="1" applyBorder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7" fontId="12" fillId="0" borderId="0" xfId="108" applyFont="1" applyFill="1">
      <alignment/>
      <protection/>
    </xf>
    <xf numFmtId="37" fontId="12" fillId="0" borderId="0" xfId="108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43" fontId="11" fillId="0" borderId="0" xfId="69" applyFont="1" applyBorder="1" applyAlignment="1">
      <alignment horizontal="left"/>
    </xf>
    <xf numFmtId="37" fontId="52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1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5" fillId="0" borderId="0" xfId="110" applyNumberFormat="1" applyFont="1" applyFill="1" applyAlignment="1" applyProtection="1">
      <alignment horizontal="right"/>
      <protection/>
    </xf>
    <xf numFmtId="7" fontId="42" fillId="0" borderId="0" xfId="106" applyNumberFormat="1" applyFont="1" applyFill="1" applyBorder="1" applyProtection="1">
      <alignment/>
      <protection/>
    </xf>
    <xf numFmtId="10" fontId="42" fillId="0" borderId="0" xfId="116" applyNumberFormat="1" applyFont="1" applyFill="1" applyBorder="1" applyAlignment="1" applyProtection="1">
      <alignment/>
      <protection/>
    </xf>
    <xf numFmtId="39" fontId="1" fillId="0" borderId="0" xfId="0" applyNumberFormat="1" applyFont="1" applyAlignment="1">
      <alignment/>
    </xf>
    <xf numFmtId="170" fontId="12" fillId="0" borderId="0" xfId="69" applyNumberFormat="1" applyFont="1" applyFill="1" applyAlignment="1">
      <alignment/>
    </xf>
    <xf numFmtId="6" fontId="12" fillId="0" borderId="0" xfId="74" applyNumberFormat="1" applyFont="1" applyFill="1" applyBorder="1" applyAlignment="1">
      <alignment/>
    </xf>
    <xf numFmtId="10" fontId="35" fillId="0" borderId="0" xfId="110" applyNumberFormat="1" applyFont="1" applyFill="1" applyAlignment="1" applyProtection="1">
      <alignment/>
      <protection/>
    </xf>
    <xf numFmtId="39" fontId="12" fillId="0" borderId="0" xfId="0" applyNumberFormat="1" applyFont="1" applyFill="1" applyAlignment="1">
      <alignment horizontal="center"/>
    </xf>
    <xf numFmtId="37" fontId="12" fillId="0" borderId="0" xfId="108" applyNumberFormat="1" applyFont="1" applyAlignment="1" applyProtection="1">
      <alignment/>
      <protection/>
    </xf>
    <xf numFmtId="17" fontId="12" fillId="0" borderId="0" xfId="108" applyNumberFormat="1" applyFont="1" applyAlignment="1" applyProtection="1">
      <alignment horizontal="center"/>
      <protection/>
    </xf>
    <xf numFmtId="37" fontId="12" fillId="0" borderId="0" xfId="0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17" fontId="12" fillId="0" borderId="0" xfId="0" applyNumberFormat="1" applyFont="1" applyFill="1" applyAlignment="1">
      <alignment horizontal="center"/>
    </xf>
    <xf numFmtId="168" fontId="10" fillId="0" borderId="0" xfId="111" applyNumberFormat="1" applyFont="1" applyFill="1" applyAlignment="1">
      <alignment horizontal="left"/>
      <protection/>
    </xf>
    <xf numFmtId="15" fontId="10" fillId="0" borderId="0" xfId="111" applyNumberFormat="1" applyFont="1" applyFill="1" applyAlignment="1">
      <alignment horizontal="center"/>
      <protection/>
    </xf>
    <xf numFmtId="15" fontId="10" fillId="0" borderId="0" xfId="111" applyNumberFormat="1" applyFont="1" applyFill="1" applyAlignment="1">
      <alignment horizontal="right"/>
      <protection/>
    </xf>
    <xf numFmtId="168" fontId="10" fillId="0" borderId="0" xfId="111" applyNumberFormat="1" applyFont="1" applyFill="1" applyAlignment="1" applyProtection="1">
      <alignment horizontal="left"/>
      <protection/>
    </xf>
    <xf numFmtId="15" fontId="10" fillId="0" borderId="0" xfId="111" applyNumberFormat="1" applyFont="1" applyFill="1" applyAlignment="1" applyProtection="1">
      <alignment horizontal="center"/>
      <protection/>
    </xf>
    <xf numFmtId="10" fontId="41" fillId="0" borderId="0" xfId="116" applyNumberFormat="1" applyFont="1" applyFill="1" applyBorder="1" applyAlignment="1" applyProtection="1">
      <alignment horizontal="right"/>
      <protection/>
    </xf>
    <xf numFmtId="168" fontId="12" fillId="0" borderId="0" xfId="117" applyNumberFormat="1" applyFont="1" applyFill="1" applyAlignment="1">
      <alignment horizontal="center"/>
    </xf>
    <xf numFmtId="37" fontId="12" fillId="0" borderId="0" xfId="105" applyFont="1" applyFill="1" applyAlignment="1">
      <alignment horizontal="right"/>
      <protection/>
    </xf>
    <xf numFmtId="165" fontId="12" fillId="0" borderId="0" xfId="117" applyNumberFormat="1" applyFont="1" applyFill="1" applyBorder="1" applyAlignment="1" applyProtection="1">
      <alignment/>
      <protection/>
    </xf>
    <xf numFmtId="10" fontId="12" fillId="0" borderId="0" xfId="116" applyNumberFormat="1" applyFont="1" applyFill="1" applyBorder="1" applyAlignment="1" applyProtection="1">
      <alignment/>
      <protection/>
    </xf>
    <xf numFmtId="10" fontId="36" fillId="0" borderId="0" xfId="110" applyNumberFormat="1" applyFont="1" applyBorder="1" applyAlignment="1" applyProtection="1">
      <alignment horizontal="right"/>
      <protection/>
    </xf>
    <xf numFmtId="17" fontId="12" fillId="18" borderId="0" xfId="0" applyNumberFormat="1" applyFont="1" applyFill="1" applyBorder="1" applyAlignment="1">
      <alignment horizontal="center"/>
    </xf>
    <xf numFmtId="39" fontId="12" fillId="18" borderId="0" xfId="0" applyNumberFormat="1" applyFont="1" applyFill="1" applyBorder="1" applyAlignment="1">
      <alignment horizontal="center"/>
    </xf>
    <xf numFmtId="10" fontId="12" fillId="18" borderId="0" xfId="0" applyNumberFormat="1" applyFont="1" applyFill="1" applyBorder="1" applyAlignment="1">
      <alignment horizontal="right"/>
    </xf>
    <xf numFmtId="175" fontId="12" fillId="18" borderId="0" xfId="106" applyNumberFormat="1" applyFont="1" applyFill="1" applyBorder="1" applyProtection="1">
      <alignment/>
      <protection/>
    </xf>
    <xf numFmtId="168" fontId="12" fillId="18" borderId="14" xfId="0" applyNumberFormat="1" applyFont="1" applyFill="1" applyBorder="1" applyAlignment="1">
      <alignment/>
    </xf>
    <xf numFmtId="17" fontId="12" fillId="18" borderId="15" xfId="0" applyNumberFormat="1" applyFont="1" applyFill="1" applyBorder="1" applyAlignment="1">
      <alignment horizontal="center"/>
    </xf>
    <xf numFmtId="39" fontId="12" fillId="18" borderId="15" xfId="0" applyNumberFormat="1" applyFont="1" applyFill="1" applyBorder="1" applyAlignment="1">
      <alignment horizontal="center"/>
    </xf>
    <xf numFmtId="10" fontId="12" fillId="18" borderId="15" xfId="0" applyNumberFormat="1" applyFont="1" applyFill="1" applyBorder="1" applyAlignment="1">
      <alignment horizontal="right"/>
    </xf>
    <xf numFmtId="175" fontId="12" fillId="18" borderId="15" xfId="106" applyNumberFormat="1" applyFont="1" applyFill="1" applyBorder="1" applyProtection="1">
      <alignment/>
      <protection/>
    </xf>
    <xf numFmtId="175" fontId="12" fillId="18" borderId="16" xfId="106" applyNumberFormat="1" applyFont="1" applyFill="1" applyBorder="1" applyProtection="1">
      <alignment/>
      <protection/>
    </xf>
    <xf numFmtId="168" fontId="12" fillId="18" borderId="17" xfId="0" applyNumberFormat="1" applyFont="1" applyFill="1" applyBorder="1" applyAlignment="1">
      <alignment/>
    </xf>
    <xf numFmtId="175" fontId="12" fillId="18" borderId="18" xfId="106" applyNumberFormat="1" applyFont="1" applyFill="1" applyBorder="1" applyProtection="1">
      <alignment/>
      <protection/>
    </xf>
    <xf numFmtId="168" fontId="12" fillId="18" borderId="19" xfId="0" applyNumberFormat="1" applyFont="1" applyFill="1" applyBorder="1" applyAlignment="1">
      <alignment/>
    </xf>
    <xf numFmtId="17" fontId="12" fillId="18" borderId="20" xfId="0" applyNumberFormat="1" applyFont="1" applyFill="1" applyBorder="1" applyAlignment="1">
      <alignment horizontal="center"/>
    </xf>
    <xf numFmtId="39" fontId="12" fillId="18" borderId="20" xfId="0" applyNumberFormat="1" applyFont="1" applyFill="1" applyBorder="1" applyAlignment="1">
      <alignment horizontal="center"/>
    </xf>
    <xf numFmtId="10" fontId="12" fillId="18" borderId="20" xfId="0" applyNumberFormat="1" applyFont="1" applyFill="1" applyBorder="1" applyAlignment="1">
      <alignment horizontal="right"/>
    </xf>
    <xf numFmtId="175" fontId="12" fillId="18" borderId="20" xfId="106" applyNumberFormat="1" applyFont="1" applyFill="1" applyBorder="1" applyProtection="1">
      <alignment/>
      <protection/>
    </xf>
    <xf numFmtId="175" fontId="12" fillId="18" borderId="21" xfId="106" applyNumberFormat="1" applyFont="1" applyFill="1" applyBorder="1" applyProtection="1">
      <alignment/>
      <protection/>
    </xf>
    <xf numFmtId="5" fontId="41" fillId="0" borderId="12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37" fontId="5" fillId="0" borderId="0" xfId="108" applyFont="1" applyFill="1">
      <alignment/>
      <protection/>
    </xf>
    <xf numFmtId="10" fontId="5" fillId="0" borderId="22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23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34" fillId="0" borderId="0" xfId="108" applyNumberFormat="1" applyFont="1" applyBorder="1" applyAlignment="1" applyProtection="1">
      <alignment horizontal="center" wrapText="1"/>
      <protection/>
    </xf>
    <xf numFmtId="37" fontId="34" fillId="0" borderId="10" xfId="108" applyNumberFormat="1" applyFont="1" applyBorder="1" applyAlignment="1" applyProtection="1">
      <alignment horizontal="center" wrapText="1"/>
      <protection/>
    </xf>
    <xf numFmtId="3" fontId="34" fillId="0" borderId="0" xfId="109" applyFont="1" applyAlignment="1">
      <alignment horizontal="left" wrapText="1"/>
      <protection/>
    </xf>
    <xf numFmtId="37" fontId="53" fillId="0" borderId="24" xfId="0" applyFont="1" applyBorder="1" applyAlignment="1">
      <alignment horizontal="center" vertical="center"/>
    </xf>
    <xf numFmtId="37" fontId="53" fillId="0" borderId="25" xfId="0" applyFont="1" applyBorder="1" applyAlignment="1">
      <alignment horizontal="center" vertical="center"/>
    </xf>
    <xf numFmtId="37" fontId="53" fillId="0" borderId="26" xfId="0" applyFont="1" applyBorder="1" applyAlignment="1">
      <alignment horizontal="center" vertical="center"/>
    </xf>
    <xf numFmtId="37" fontId="53" fillId="18" borderId="27" xfId="0" applyFont="1" applyFill="1" applyBorder="1" applyAlignment="1">
      <alignment horizontal="center" vertical="center"/>
    </xf>
    <xf numFmtId="37" fontId="53" fillId="18" borderId="28" xfId="0" applyFont="1" applyFill="1" applyBorder="1" applyAlignment="1">
      <alignment horizontal="center" vertical="center"/>
    </xf>
    <xf numFmtId="37" fontId="53" fillId="18" borderId="29" xfId="0" applyFont="1" applyFill="1" applyBorder="1" applyAlignment="1">
      <alignment horizontal="center" vertical="center"/>
    </xf>
    <xf numFmtId="37" fontId="5" fillId="19" borderId="30" xfId="108" applyFont="1" applyFill="1" applyBorder="1" applyAlignment="1">
      <alignment horizontal="center"/>
      <protection/>
    </xf>
    <xf numFmtId="37" fontId="5" fillId="19" borderId="31" xfId="108" applyFont="1" applyFill="1" applyBorder="1" applyAlignment="1">
      <alignment horizontal="center"/>
      <protection/>
    </xf>
    <xf numFmtId="37" fontId="5" fillId="19" borderId="32" xfId="108" applyFont="1" applyFill="1" applyBorder="1" applyAlignment="1">
      <alignment horizontal="center"/>
      <protection/>
    </xf>
    <xf numFmtId="37" fontId="51" fillId="0" borderId="0" xfId="0" applyFont="1" applyAlignment="1">
      <alignment/>
    </xf>
    <xf numFmtId="37" fontId="34" fillId="0" borderId="0" xfId="108" applyFont="1" applyAlignment="1" applyProtection="1">
      <alignment horizontal="left"/>
      <protection/>
    </xf>
    <xf numFmtId="10" fontId="40" fillId="0" borderId="0" xfId="110" applyFont="1" applyFill="1" applyAlignment="1" applyProtection="1">
      <alignment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bt%20and%20Shelf%20Filings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7">
          <cell r="P127">
            <v>0.046764755546309676</v>
          </cell>
        </row>
        <row r="131">
          <cell r="E131">
            <v>0.04597489294880483</v>
          </cell>
          <cell r="F131">
            <v>0.045226727387624316</v>
          </cell>
          <cell r="G131">
            <v>0.04445906446698745</v>
          </cell>
          <cell r="H131">
            <v>0.04364767267760059</v>
          </cell>
          <cell r="I131">
            <v>0.0428288080179828</v>
          </cell>
          <cell r="J131">
            <v>0.042007256568401014</v>
          </cell>
          <cell r="K131">
            <v>0.041168408204801145</v>
          </cell>
          <cell r="L131">
            <v>0.04027701002947241</v>
          </cell>
          <cell r="M131">
            <v>0.039356363504101564</v>
          </cell>
          <cell r="N131">
            <v>0.03843222723852734</v>
          </cell>
          <cell r="O131">
            <v>0.03755825354286935</v>
          </cell>
          <cell r="P131">
            <v>0.036765458518601656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V10"/>
  <sheetViews>
    <sheetView tabSelected="1" zoomScalePageLayoutView="0" workbookViewId="0" topLeftCell="A1">
      <selection activeCell="J28" sqref="J27:J28"/>
    </sheetView>
  </sheetViews>
  <sheetFormatPr defaultColWidth="9.33203125" defaultRowHeight="11.25"/>
  <sheetData>
    <row r="2" ht="12" thickBot="1"/>
    <row r="3" spans="2:22" ht="27" thickBot="1">
      <c r="B3" s="310" t="s">
        <v>149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</row>
    <row r="5" ht="12" thickBot="1"/>
    <row r="6" spans="2:22" ht="27.75" thickBot="1" thickTop="1">
      <c r="B6" s="313" t="s">
        <v>150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/>
    </row>
    <row r="7" ht="12" thickTop="1"/>
    <row r="10" ht="23.25">
      <c r="J10" s="319" t="s">
        <v>151</v>
      </c>
    </row>
  </sheetData>
  <sheetProtection/>
  <mergeCells count="2">
    <mergeCell ref="B3:V3"/>
    <mergeCell ref="B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40" sqref="H40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124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305" t="s">
        <v>2</v>
      </c>
      <c r="C3" s="305"/>
      <c r="D3" s="305"/>
      <c r="E3" s="305"/>
      <c r="F3" s="305"/>
    </row>
    <row r="4" spans="2:8" ht="15" customHeight="1">
      <c r="B4" s="306" t="s">
        <v>108</v>
      </c>
      <c r="C4" s="306"/>
      <c r="D4" s="306"/>
      <c r="E4" s="306"/>
      <c r="F4" s="306"/>
      <c r="H4" s="37"/>
    </row>
    <row r="5" spans="1:8" ht="12.75">
      <c r="A5" s="47" t="s">
        <v>144</v>
      </c>
      <c r="B5" s="252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302" t="s">
        <v>110</v>
      </c>
      <c r="C9" s="303"/>
      <c r="D9" s="303"/>
      <c r="E9" s="303"/>
      <c r="F9" s="304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6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102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49"/>
      <c r="E13" s="49"/>
      <c r="F13" s="49"/>
      <c r="H13" s="37"/>
    </row>
    <row r="14" spans="1:8" ht="12.75">
      <c r="A14" s="48">
        <f t="shared" si="0"/>
        <v>7</v>
      </c>
      <c r="B14" s="56" t="s">
        <v>120</v>
      </c>
      <c r="C14" s="49"/>
      <c r="D14" s="234">
        <f>'STD Int&amp;Fees-Details AMA'!P66</f>
        <v>0.01810995768808521</v>
      </c>
      <c r="E14" s="234">
        <f>'(R) Cost of Total Debt'!G38</f>
        <v>0.0507</v>
      </c>
      <c r="F14" s="57">
        <f>ROUND(D14*E14,4)</f>
        <v>0.0009</v>
      </c>
      <c r="H14" s="238"/>
    </row>
    <row r="15" spans="1:8" ht="12.75">
      <c r="A15" s="48">
        <f t="shared" si="0"/>
        <v>8</v>
      </c>
      <c r="B15" s="58" t="s">
        <v>25</v>
      </c>
      <c r="C15" s="49"/>
      <c r="D15" s="253"/>
      <c r="E15" s="57"/>
      <c r="F15" s="234">
        <f>'STD Int&amp;Fees-Details AMA'!P56</f>
        <v>0.0001</v>
      </c>
      <c r="H15" s="37"/>
    </row>
    <row r="16" spans="1:8" ht="12.75">
      <c r="A16" s="48">
        <f t="shared" si="0"/>
        <v>9</v>
      </c>
      <c r="B16" s="59" t="s">
        <v>97</v>
      </c>
      <c r="C16" s="60"/>
      <c r="D16" s="254"/>
      <c r="E16" s="62"/>
      <c r="F16" s="235">
        <f>'STD Int&amp;Fees-Details AMA'!P61</f>
        <v>0.0001</v>
      </c>
      <c r="H16" s="37"/>
    </row>
    <row r="17" spans="1:8" ht="12.75">
      <c r="A17" s="48">
        <f t="shared" si="0"/>
        <v>10</v>
      </c>
      <c r="B17" s="63" t="s">
        <v>119</v>
      </c>
      <c r="C17" s="49"/>
      <c r="D17" s="253"/>
      <c r="E17" s="57"/>
      <c r="F17" s="64">
        <f>SUM(F14:F16)</f>
        <v>0.0011</v>
      </c>
      <c r="H17" s="37"/>
    </row>
    <row r="18" spans="1:9" ht="12.75">
      <c r="A18" s="48">
        <f t="shared" si="0"/>
        <v>11</v>
      </c>
      <c r="B18" s="56" t="s">
        <v>121</v>
      </c>
      <c r="C18" s="65"/>
      <c r="D18" s="234">
        <f>'STD Int&amp;Fees-Details AMA'!P67</f>
        <v>0.4818900423119148</v>
      </c>
      <c r="E18" s="234">
        <f>'(R) Cost of Total Debt'!G36</f>
        <v>0.05266053077111041</v>
      </c>
      <c r="F18" s="234">
        <f>ROUND(D18*E18,4)</f>
        <v>0.0254</v>
      </c>
      <c r="H18" s="245"/>
      <c r="I18" s="37"/>
    </row>
    <row r="19" spans="1:8" ht="12.75">
      <c r="A19" s="48">
        <f t="shared" si="0"/>
        <v>12</v>
      </c>
      <c r="B19" s="59" t="s">
        <v>98</v>
      </c>
      <c r="C19" s="60"/>
      <c r="D19" s="61"/>
      <c r="E19" s="62"/>
      <c r="F19" s="235">
        <f>'Reacquired Debt'!K25</f>
        <v>0.0002</v>
      </c>
      <c r="H19" s="37"/>
    </row>
    <row r="20" spans="1:8" ht="12.75">
      <c r="A20" s="48">
        <f t="shared" si="0"/>
        <v>13</v>
      </c>
      <c r="B20" s="66" t="s">
        <v>122</v>
      </c>
      <c r="C20" s="67"/>
      <c r="D20" s="68"/>
      <c r="E20" s="69"/>
      <c r="F20" s="70">
        <f>F18+F19</f>
        <v>0.025599999999999998</v>
      </c>
      <c r="H20" s="37"/>
    </row>
    <row r="21" spans="1:8" ht="12.75">
      <c r="A21" s="48">
        <f t="shared" si="0"/>
        <v>14</v>
      </c>
      <c r="B21" s="71" t="s">
        <v>99</v>
      </c>
      <c r="C21" s="49"/>
      <c r="D21" s="64">
        <f>D14+D18</f>
        <v>0.5</v>
      </c>
      <c r="E21" s="57"/>
      <c r="F21" s="64">
        <f>F17+F20</f>
        <v>0.026699999999999998</v>
      </c>
      <c r="H21" s="37"/>
    </row>
    <row r="22" spans="1:8" ht="12.75">
      <c r="A22" s="48">
        <f t="shared" si="0"/>
        <v>15</v>
      </c>
      <c r="B22" s="71" t="s">
        <v>100</v>
      </c>
      <c r="C22" s="49"/>
      <c r="D22" s="263">
        <v>0.5</v>
      </c>
      <c r="E22" s="228">
        <v>0.0995</v>
      </c>
      <c r="F22" s="72">
        <f>ROUND(D22*E22,4)</f>
        <v>0.0498</v>
      </c>
      <c r="H22" s="37"/>
    </row>
    <row r="23" spans="1:8" ht="12.75">
      <c r="A23" s="48">
        <f t="shared" si="0"/>
        <v>16</v>
      </c>
      <c r="B23" s="71" t="s">
        <v>101</v>
      </c>
      <c r="C23" s="73"/>
      <c r="D23" s="280">
        <v>1</v>
      </c>
      <c r="E23" s="57"/>
      <c r="F23" s="233">
        <f>F21+F22</f>
        <v>0.0765</v>
      </c>
      <c r="H23" s="37"/>
    </row>
    <row r="24" spans="1:8" ht="12.75">
      <c r="A24" s="48">
        <f t="shared" si="0"/>
        <v>17</v>
      </c>
      <c r="B24" s="49"/>
      <c r="C24" s="49"/>
      <c r="D24" s="49"/>
      <c r="E24" s="49"/>
      <c r="F24" s="49"/>
      <c r="H24" s="37"/>
    </row>
    <row r="25" spans="1:8" ht="12.75">
      <c r="A25" s="48">
        <f t="shared" si="0"/>
        <v>18</v>
      </c>
      <c r="B25" s="49"/>
      <c r="C25" s="49"/>
      <c r="D25" s="49"/>
      <c r="E25" s="49"/>
      <c r="F25" s="49"/>
      <c r="H25" s="37"/>
    </row>
    <row r="26" spans="1:8" ht="12.75">
      <c r="A26" s="48">
        <f t="shared" si="0"/>
        <v>19</v>
      </c>
      <c r="B26" s="302" t="s">
        <v>111</v>
      </c>
      <c r="C26" s="303"/>
      <c r="D26" s="303"/>
      <c r="E26" s="303"/>
      <c r="F26" s="304"/>
      <c r="H26" s="37"/>
    </row>
    <row r="27" spans="1:7" ht="12.75">
      <c r="A27" s="48">
        <f t="shared" si="0"/>
        <v>20</v>
      </c>
      <c r="B27" s="196"/>
      <c r="C27" s="196"/>
      <c r="D27" s="196"/>
      <c r="E27" s="196"/>
      <c r="F27" s="196"/>
      <c r="G27" s="74"/>
    </row>
    <row r="28" spans="1:7" ht="12.75">
      <c r="A28" s="48">
        <f t="shared" si="0"/>
        <v>21</v>
      </c>
      <c r="B28" s="197"/>
      <c r="C28" s="198" t="s">
        <v>109</v>
      </c>
      <c r="D28" s="197"/>
      <c r="E28" s="199" t="s">
        <v>6</v>
      </c>
      <c r="F28" s="199" t="s">
        <v>3</v>
      </c>
      <c r="G28" s="74"/>
    </row>
    <row r="29" spans="1:8" ht="12.75">
      <c r="A29" s="48">
        <f t="shared" si="0"/>
        <v>22</v>
      </c>
      <c r="B29" s="200" t="s">
        <v>4</v>
      </c>
      <c r="C29" s="201" t="s">
        <v>112</v>
      </c>
      <c r="D29" s="202" t="s">
        <v>5</v>
      </c>
      <c r="E29" s="202" t="s">
        <v>102</v>
      </c>
      <c r="F29" s="202" t="s">
        <v>7</v>
      </c>
      <c r="G29" s="74"/>
      <c r="H29" s="246"/>
    </row>
    <row r="30" spans="1:8" ht="12.75">
      <c r="A30" s="48">
        <f t="shared" si="0"/>
        <v>23</v>
      </c>
      <c r="B30" s="203"/>
      <c r="C30" s="203"/>
      <c r="D30" s="204"/>
      <c r="E30" s="203"/>
      <c r="F30" s="205"/>
      <c r="G30" s="74"/>
      <c r="H30" s="246"/>
    </row>
    <row r="31" spans="1:8" ht="12.75">
      <c r="A31" s="48">
        <f t="shared" si="0"/>
        <v>24</v>
      </c>
      <c r="B31" s="206" t="s">
        <v>120</v>
      </c>
      <c r="C31" s="207">
        <f>'[4]New Format'!$C$14</f>
        <v>119791667</v>
      </c>
      <c r="D31" s="255">
        <f>'[4]New Format'!$D$14</f>
        <v>0.0123</v>
      </c>
      <c r="E31" s="208">
        <f>'[4]New Format'!$E$14</f>
        <v>0.0458</v>
      </c>
      <c r="F31" s="213">
        <f>ROUND(D31*E31,4)</f>
        <v>0.0006</v>
      </c>
      <c r="H31" s="247"/>
    </row>
    <row r="32" spans="1:8" ht="12.75">
      <c r="A32" s="48">
        <f t="shared" si="0"/>
        <v>25</v>
      </c>
      <c r="B32" s="210" t="s">
        <v>25</v>
      </c>
      <c r="C32" s="211"/>
      <c r="D32" s="256"/>
      <c r="E32" s="212"/>
      <c r="F32" s="213">
        <f>'[4]New Format'!$F$20</f>
        <v>0.0002</v>
      </c>
      <c r="H32" s="247"/>
    </row>
    <row r="33" spans="1:8" ht="12.75">
      <c r="A33" s="48">
        <f t="shared" si="0"/>
        <v>26</v>
      </c>
      <c r="B33" s="214" t="s">
        <v>97</v>
      </c>
      <c r="C33" s="215"/>
      <c r="D33" s="218"/>
      <c r="E33" s="217"/>
      <c r="F33" s="218">
        <f>'[4]New Format'!$F$22</f>
        <v>0.0001</v>
      </c>
      <c r="H33" s="247"/>
    </row>
    <row r="34" spans="1:8" ht="12.75">
      <c r="A34" s="48">
        <f t="shared" si="0"/>
        <v>27</v>
      </c>
      <c r="B34" s="219" t="s">
        <v>119</v>
      </c>
      <c r="C34" s="211"/>
      <c r="D34" s="256"/>
      <c r="E34" s="212"/>
      <c r="F34" s="220">
        <f>SUM(F31:F33)</f>
        <v>0.0009</v>
      </c>
      <c r="H34" s="247"/>
    </row>
    <row r="35" spans="1:8" ht="12.75">
      <c r="A35" s="48">
        <f t="shared" si="0"/>
        <v>28</v>
      </c>
      <c r="B35" s="206" t="s">
        <v>8</v>
      </c>
      <c r="C35" s="211">
        <f>'[4]New Format'!$C$16</f>
        <v>4836189614</v>
      </c>
      <c r="D35" s="255">
        <f>'[4]New Format'!$D$16</f>
        <v>0.497</v>
      </c>
      <c r="E35" s="208">
        <f>'[4]New Format'!$E$16</f>
        <v>0.0507</v>
      </c>
      <c r="F35" s="209">
        <f>ROUND(D35*E35,4)</f>
        <v>0.0252</v>
      </c>
      <c r="H35" s="247"/>
    </row>
    <row r="36" spans="1:10" ht="12.75">
      <c r="A36" s="48">
        <f t="shared" si="0"/>
        <v>29</v>
      </c>
      <c r="B36" s="214" t="s">
        <v>98</v>
      </c>
      <c r="C36" s="215"/>
      <c r="D36" s="216"/>
      <c r="E36" s="217"/>
      <c r="F36" s="218">
        <f>'[4]New Format'!$F$24</f>
        <v>0.0002</v>
      </c>
      <c r="G36" s="74"/>
      <c r="H36" s="248"/>
      <c r="I36" s="238"/>
      <c r="J36" s="239"/>
    </row>
    <row r="37" spans="1:8" ht="12.75">
      <c r="A37" s="48">
        <f t="shared" si="0"/>
        <v>30</v>
      </c>
      <c r="B37" s="221" t="s">
        <v>122</v>
      </c>
      <c r="C37" s="222"/>
      <c r="D37" s="223"/>
      <c r="E37" s="224"/>
      <c r="F37" s="225">
        <f>F35+F36</f>
        <v>0.0254</v>
      </c>
      <c r="G37" s="74"/>
      <c r="H37" s="246"/>
    </row>
    <row r="38" spans="1:9" ht="12.75">
      <c r="A38" s="48">
        <f t="shared" si="0"/>
        <v>31</v>
      </c>
      <c r="B38" s="226" t="s">
        <v>99</v>
      </c>
      <c r="C38" s="227">
        <f>+C31+C35</f>
        <v>4955981281</v>
      </c>
      <c r="D38" s="257">
        <f>'[4]New Format'!$D$26</f>
        <v>0.5093</v>
      </c>
      <c r="E38" s="208"/>
      <c r="F38" s="228">
        <f>F34+F37</f>
        <v>0.0263</v>
      </c>
      <c r="G38" s="74"/>
      <c r="H38" s="44"/>
      <c r="I38" s="43"/>
    </row>
    <row r="39" spans="1:9" ht="12.75">
      <c r="A39" s="48">
        <f t="shared" si="0"/>
        <v>32</v>
      </c>
      <c r="B39" s="226" t="s">
        <v>100</v>
      </c>
      <c r="C39" s="229">
        <f>'[4]New Format'!$C$28</f>
        <v>4774948958</v>
      </c>
      <c r="D39" s="230">
        <f>'[4]New Format'!$D$28</f>
        <v>0.4907</v>
      </c>
      <c r="E39" s="228">
        <f>'[4]New Format'!$E$28</f>
        <v>0.094</v>
      </c>
      <c r="F39" s="230">
        <f>ROUND(+D39*E39,4)</f>
        <v>0.0461</v>
      </c>
      <c r="G39" s="74"/>
      <c r="H39" s="44"/>
      <c r="I39" s="43"/>
    </row>
    <row r="40" spans="1:8" ht="12.75">
      <c r="A40" s="48">
        <f t="shared" si="0"/>
        <v>33</v>
      </c>
      <c r="B40" s="226" t="s">
        <v>101</v>
      </c>
      <c r="C40" s="231">
        <f>SUM(C38:C39)</f>
        <v>9730930239</v>
      </c>
      <c r="D40" s="233">
        <f>SUM(D38:D39)</f>
        <v>1</v>
      </c>
      <c r="E40" s="232"/>
      <c r="F40" s="233">
        <f>SUM(F38:F39)</f>
        <v>0.0724</v>
      </c>
      <c r="G40" s="74"/>
      <c r="H40" s="42"/>
    </row>
    <row r="41" spans="1:7" ht="12.75">
      <c r="A41" s="48"/>
      <c r="C41" s="76"/>
      <c r="D41" s="77"/>
      <c r="E41" s="75"/>
      <c r="F41" s="77"/>
      <c r="G41" s="74"/>
    </row>
    <row r="42" spans="1:6" ht="12.75">
      <c r="A42" s="48"/>
      <c r="B42" s="78"/>
      <c r="C42" s="79"/>
      <c r="E42" s="80"/>
      <c r="F42" s="80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
Page 1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2"/>
  <sheetViews>
    <sheetView view="pageLayout" workbookViewId="0" topLeftCell="A16">
      <selection activeCell="H53" sqref="H53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1" width="11.5" style="8" bestFit="1" customWidth="1"/>
    <col min="12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1"/>
      <c r="B1" s="82" t="s">
        <v>67</v>
      </c>
      <c r="C1" s="83"/>
      <c r="D1" s="83"/>
      <c r="E1" s="83"/>
      <c r="F1" s="83"/>
      <c r="G1" s="82"/>
      <c r="H1" s="83"/>
      <c r="I1" s="83"/>
      <c r="J1" s="82"/>
    </row>
    <row r="2" spans="1:10" s="30" customFormat="1" ht="12.75">
      <c r="A2" s="84"/>
      <c r="B2" s="82" t="s">
        <v>117</v>
      </c>
      <c r="C2" s="83"/>
      <c r="D2" s="83"/>
      <c r="E2" s="83"/>
      <c r="F2" s="83"/>
      <c r="G2" s="82"/>
      <c r="H2" s="83"/>
      <c r="I2" s="83"/>
      <c r="J2" s="82"/>
    </row>
    <row r="3" spans="1:10" s="30" customFormat="1" ht="12.75">
      <c r="A3" s="85"/>
      <c r="B3" s="82" t="s">
        <v>143</v>
      </c>
      <c r="C3" s="83"/>
      <c r="D3" s="83"/>
      <c r="E3" s="83"/>
      <c r="F3" s="83"/>
      <c r="G3" s="82"/>
      <c r="H3" s="83"/>
      <c r="I3" s="83"/>
      <c r="J3" s="82"/>
    </row>
    <row r="4" spans="1:7" ht="10.5" customHeight="1">
      <c r="A4" s="8"/>
      <c r="G4" s="8"/>
    </row>
    <row r="5" spans="1:9" ht="10.5" customHeight="1">
      <c r="A5" s="86">
        <v>1</v>
      </c>
      <c r="B5" s="87" t="s">
        <v>1</v>
      </c>
      <c r="C5" s="87" t="s">
        <v>17</v>
      </c>
      <c r="D5" s="87" t="s">
        <v>24</v>
      </c>
      <c r="E5" s="87" t="s">
        <v>26</v>
      </c>
      <c r="F5" s="87" t="s">
        <v>27</v>
      </c>
      <c r="G5" s="87" t="s">
        <v>28</v>
      </c>
      <c r="H5" s="87" t="s">
        <v>29</v>
      </c>
      <c r="I5" s="87" t="s">
        <v>30</v>
      </c>
    </row>
    <row r="6" spans="1:9" ht="10.5" customHeight="1">
      <c r="A6" s="86">
        <f>A5+1</f>
        <v>2</v>
      </c>
      <c r="B6" s="87"/>
      <c r="C6" s="87"/>
      <c r="D6" s="87"/>
      <c r="E6" s="87"/>
      <c r="F6" s="307" t="s">
        <v>107</v>
      </c>
      <c r="G6" s="88"/>
      <c r="H6" s="88"/>
      <c r="I6" s="307" t="s">
        <v>118</v>
      </c>
    </row>
    <row r="7" spans="1:9" ht="10.5" customHeight="1">
      <c r="A7" s="86">
        <f aca="true" t="shared" si="0" ref="A7:A47">A6+1</f>
        <v>3</v>
      </c>
      <c r="B7" s="87"/>
      <c r="C7" s="87"/>
      <c r="D7" s="87"/>
      <c r="E7" s="87"/>
      <c r="F7" s="307"/>
      <c r="G7" s="88"/>
      <c r="H7" s="88"/>
      <c r="I7" s="307"/>
    </row>
    <row r="8" spans="1:10" ht="10.5" customHeight="1">
      <c r="A8" s="86">
        <f t="shared" si="0"/>
        <v>4</v>
      </c>
      <c r="B8" s="87"/>
      <c r="C8" s="89" t="s">
        <v>19</v>
      </c>
      <c r="D8" s="89" t="s">
        <v>9</v>
      </c>
      <c r="E8" s="90" t="s">
        <v>44</v>
      </c>
      <c r="F8" s="307"/>
      <c r="G8" s="307" t="s">
        <v>40</v>
      </c>
      <c r="H8" s="307" t="s">
        <v>116</v>
      </c>
      <c r="I8" s="307"/>
      <c r="J8" s="194"/>
    </row>
    <row r="9" spans="1:9" ht="9.75" customHeight="1">
      <c r="A9" s="86">
        <f t="shared" si="0"/>
        <v>5</v>
      </c>
      <c r="B9" s="91" t="s">
        <v>106</v>
      </c>
      <c r="C9" s="92" t="s">
        <v>11</v>
      </c>
      <c r="D9" s="91" t="s">
        <v>45</v>
      </c>
      <c r="E9" s="91" t="s">
        <v>45</v>
      </c>
      <c r="F9" s="308"/>
      <c r="G9" s="308"/>
      <c r="H9" s="308" t="s">
        <v>39</v>
      </c>
      <c r="I9" s="308"/>
    </row>
    <row r="10" spans="1:11" s="12" customFormat="1" ht="12.75">
      <c r="A10" s="86">
        <f t="shared" si="0"/>
        <v>6</v>
      </c>
      <c r="B10" s="101" t="s">
        <v>14</v>
      </c>
      <c r="C10" s="98">
        <v>0.0715</v>
      </c>
      <c r="D10" s="93">
        <v>35053</v>
      </c>
      <c r="E10" s="93">
        <v>46010</v>
      </c>
      <c r="F10" s="264">
        <v>99.211912</v>
      </c>
      <c r="G10" s="242">
        <f>ROUND(YIELD(D10,E10,C10,F10,100,2,2),4)</f>
        <v>0.0721</v>
      </c>
      <c r="H10" s="95">
        <f>G10*I10</f>
        <v>1081500</v>
      </c>
      <c r="I10" s="95">
        <v>15000000</v>
      </c>
      <c r="J10" s="195"/>
      <c r="K10" s="191"/>
    </row>
    <row r="11" spans="1:11" s="13" customFormat="1" ht="12.75">
      <c r="A11" s="86">
        <f t="shared" si="0"/>
        <v>7</v>
      </c>
      <c r="B11" s="101" t="s">
        <v>14</v>
      </c>
      <c r="C11" s="98">
        <v>0.072</v>
      </c>
      <c r="D11" s="93">
        <v>35054</v>
      </c>
      <c r="E11" s="93">
        <v>46013</v>
      </c>
      <c r="F11" s="264">
        <v>99.2116</v>
      </c>
      <c r="G11" s="94">
        <f>ROUND(YIELD(D11,E11,C11,F11,100,2,2),4)</f>
        <v>0.0726</v>
      </c>
      <c r="H11" s="95">
        <f aca="true" t="shared" si="1" ref="H11:H27">G11*I11</f>
        <v>145200</v>
      </c>
      <c r="I11" s="95">
        <v>2000000</v>
      </c>
      <c r="J11" s="95"/>
      <c r="K11" s="192"/>
    </row>
    <row r="12" spans="1:11" s="13" customFormat="1" ht="12.75">
      <c r="A12" s="86">
        <f t="shared" si="0"/>
        <v>8</v>
      </c>
      <c r="B12" s="101" t="s">
        <v>12</v>
      </c>
      <c r="C12" s="98">
        <v>0.0702</v>
      </c>
      <c r="D12" s="93">
        <v>35786</v>
      </c>
      <c r="E12" s="93">
        <v>46722</v>
      </c>
      <c r="F12" s="264">
        <v>98.98573577666666</v>
      </c>
      <c r="G12" s="94">
        <f>ROUND(YIELD(D12,E12,C12,F12,100,2,2),4)</f>
        <v>0.071</v>
      </c>
      <c r="H12" s="95">
        <f t="shared" si="1"/>
        <v>21299999.999999996</v>
      </c>
      <c r="I12" s="95">
        <v>300000000</v>
      </c>
      <c r="J12" s="95"/>
      <c r="K12" s="192"/>
    </row>
    <row r="13" spans="1:11" s="13" customFormat="1" ht="12.75">
      <c r="A13" s="86">
        <f t="shared" si="0"/>
        <v>9</v>
      </c>
      <c r="B13" s="101" t="s">
        <v>13</v>
      </c>
      <c r="C13" s="98">
        <v>0.07</v>
      </c>
      <c r="D13" s="93">
        <v>36228</v>
      </c>
      <c r="E13" s="93">
        <v>47186</v>
      </c>
      <c r="F13" s="264">
        <v>99.04287054999999</v>
      </c>
      <c r="G13" s="94">
        <f aca="true" t="shared" si="2" ref="G13:G26">ROUND(YIELD(D13,E13,C13,F13,100,2,2),4)</f>
        <v>0.0708</v>
      </c>
      <c r="H13" s="95">
        <f t="shared" si="1"/>
        <v>7080000</v>
      </c>
      <c r="I13" s="95">
        <v>100000000</v>
      </c>
      <c r="J13" s="95"/>
      <c r="K13" s="192"/>
    </row>
    <row r="14" spans="1:11" ht="12.75">
      <c r="A14" s="86">
        <f t="shared" si="0"/>
        <v>10</v>
      </c>
      <c r="B14" s="101" t="s">
        <v>41</v>
      </c>
      <c r="C14" s="98">
        <v>0.05483</v>
      </c>
      <c r="D14" s="93">
        <v>38499</v>
      </c>
      <c r="E14" s="93">
        <v>49461</v>
      </c>
      <c r="F14" s="264">
        <v>84.886606836</v>
      </c>
      <c r="G14" s="94">
        <f t="shared" si="2"/>
        <v>0.0665</v>
      </c>
      <c r="H14" s="95">
        <f t="shared" si="1"/>
        <v>16625000</v>
      </c>
      <c r="I14" s="95">
        <v>250000000</v>
      </c>
      <c r="J14" s="95"/>
      <c r="K14" s="193"/>
    </row>
    <row r="15" spans="1:11" ht="12.75">
      <c r="A15" s="86">
        <f t="shared" si="0"/>
        <v>11</v>
      </c>
      <c r="B15" s="101" t="s">
        <v>41</v>
      </c>
      <c r="C15" s="98">
        <v>0.06724</v>
      </c>
      <c r="D15" s="93">
        <v>38898</v>
      </c>
      <c r="E15" s="93">
        <v>49841</v>
      </c>
      <c r="F15" s="264">
        <v>107.515271756</v>
      </c>
      <c r="G15" s="94">
        <f t="shared" si="2"/>
        <v>0.0617</v>
      </c>
      <c r="H15" s="95">
        <f t="shared" si="1"/>
        <v>15425000</v>
      </c>
      <c r="I15" s="95">
        <v>250000000</v>
      </c>
      <c r="J15" s="95"/>
      <c r="K15" s="193"/>
    </row>
    <row r="16" spans="1:11" ht="12.75">
      <c r="A16" s="86">
        <f t="shared" si="0"/>
        <v>12</v>
      </c>
      <c r="B16" s="101" t="s">
        <v>41</v>
      </c>
      <c r="C16" s="98">
        <v>0.06274</v>
      </c>
      <c r="D16" s="93">
        <v>38978</v>
      </c>
      <c r="E16" s="93">
        <v>50114</v>
      </c>
      <c r="F16" s="264">
        <v>98.8127</v>
      </c>
      <c r="G16" s="94">
        <f t="shared" si="2"/>
        <v>0.0636</v>
      </c>
      <c r="H16" s="95">
        <f t="shared" si="1"/>
        <v>19080000</v>
      </c>
      <c r="I16" s="95">
        <v>300000000</v>
      </c>
      <c r="J16" s="95"/>
      <c r="K16" s="193"/>
    </row>
    <row r="17" spans="1:11" ht="12.75">
      <c r="A17" s="86">
        <f t="shared" si="0"/>
        <v>13</v>
      </c>
      <c r="B17" s="101" t="s">
        <v>41</v>
      </c>
      <c r="C17" s="98">
        <v>0.05757</v>
      </c>
      <c r="D17" s="93">
        <v>40067</v>
      </c>
      <c r="E17" s="93">
        <v>51058</v>
      </c>
      <c r="F17" s="264">
        <v>98.9836</v>
      </c>
      <c r="G17" s="94">
        <f t="shared" si="2"/>
        <v>0.0583</v>
      </c>
      <c r="H17" s="95">
        <f t="shared" si="1"/>
        <v>20405000</v>
      </c>
      <c r="I17" s="95">
        <v>350000000</v>
      </c>
      <c r="J17" s="95"/>
      <c r="K17" s="193"/>
    </row>
    <row r="18" spans="1:11" ht="12.75">
      <c r="A18" s="86">
        <f t="shared" si="0"/>
        <v>14</v>
      </c>
      <c r="B18" s="101" t="s">
        <v>41</v>
      </c>
      <c r="C18" s="98">
        <v>0.05795</v>
      </c>
      <c r="D18" s="93">
        <v>40245</v>
      </c>
      <c r="E18" s="93">
        <v>51210</v>
      </c>
      <c r="F18" s="264">
        <v>98.9588</v>
      </c>
      <c r="G18" s="94">
        <f t="shared" si="2"/>
        <v>0.0587</v>
      </c>
      <c r="H18" s="95">
        <f t="shared" si="1"/>
        <v>19077500</v>
      </c>
      <c r="I18" s="95">
        <v>325000000</v>
      </c>
      <c r="J18" s="95"/>
      <c r="K18" s="193"/>
    </row>
    <row r="19" spans="1:11" ht="12.75">
      <c r="A19" s="86">
        <f t="shared" si="0"/>
        <v>15</v>
      </c>
      <c r="B19" s="101" t="s">
        <v>41</v>
      </c>
      <c r="C19" s="98">
        <v>0.05764</v>
      </c>
      <c r="D19" s="93">
        <v>40358</v>
      </c>
      <c r="E19" s="93">
        <v>51332</v>
      </c>
      <c r="F19" s="264">
        <v>98.9652</v>
      </c>
      <c r="G19" s="94">
        <f t="shared" si="2"/>
        <v>0.0584</v>
      </c>
      <c r="H19" s="95">
        <f t="shared" si="1"/>
        <v>14600000</v>
      </c>
      <c r="I19" s="95">
        <v>250000000</v>
      </c>
      <c r="J19" s="95"/>
      <c r="K19" s="193"/>
    </row>
    <row r="20" spans="1:11" ht="12.75">
      <c r="A20" s="86">
        <f t="shared" si="0"/>
        <v>16</v>
      </c>
      <c r="B20" s="101" t="s">
        <v>41</v>
      </c>
      <c r="C20" s="98">
        <v>0.05638</v>
      </c>
      <c r="D20" s="93">
        <v>40627</v>
      </c>
      <c r="E20" s="93">
        <v>51606</v>
      </c>
      <c r="F20" s="264">
        <v>98.971</v>
      </c>
      <c r="G20" s="94">
        <f t="shared" si="2"/>
        <v>0.0571</v>
      </c>
      <c r="H20" s="95">
        <f t="shared" si="1"/>
        <v>17130000</v>
      </c>
      <c r="I20" s="95">
        <v>300000000</v>
      </c>
      <c r="J20" s="95"/>
      <c r="K20" s="193"/>
    </row>
    <row r="21" spans="1:11" ht="12.75">
      <c r="A21" s="86">
        <f t="shared" si="0"/>
        <v>17</v>
      </c>
      <c r="B21" s="101" t="s">
        <v>41</v>
      </c>
      <c r="C21" s="98">
        <v>0.04434</v>
      </c>
      <c r="D21" s="93">
        <v>40863</v>
      </c>
      <c r="E21" s="93">
        <v>51820</v>
      </c>
      <c r="F21" s="264">
        <v>98.963</v>
      </c>
      <c r="G21" s="94">
        <f t="shared" si="2"/>
        <v>0.045</v>
      </c>
      <c r="H21" s="95">
        <f t="shared" si="1"/>
        <v>11250000</v>
      </c>
      <c r="I21" s="95">
        <v>250000000</v>
      </c>
      <c r="J21" s="95"/>
      <c r="K21" s="193"/>
    </row>
    <row r="22" spans="1:11" ht="12.75">
      <c r="A22" s="86">
        <f t="shared" si="0"/>
        <v>18</v>
      </c>
      <c r="B22" s="101" t="s">
        <v>41</v>
      </c>
      <c r="C22" s="98">
        <v>0.047</v>
      </c>
      <c r="D22" s="93">
        <v>40869</v>
      </c>
      <c r="E22" s="93">
        <v>55472</v>
      </c>
      <c r="F22" s="264">
        <v>98.8639</v>
      </c>
      <c r="G22" s="94">
        <f t="shared" si="2"/>
        <v>0.0476</v>
      </c>
      <c r="H22" s="95">
        <f t="shared" si="1"/>
        <v>2142000</v>
      </c>
      <c r="I22" s="95">
        <v>45000000</v>
      </c>
      <c r="J22" s="95"/>
      <c r="K22" s="193"/>
    </row>
    <row r="23" spans="1:11" ht="12.75">
      <c r="A23" s="86">
        <f t="shared" si="0"/>
        <v>19</v>
      </c>
      <c r="B23" s="265" t="s">
        <v>15</v>
      </c>
      <c r="C23" s="98">
        <v>0.039</v>
      </c>
      <c r="D23" s="93">
        <v>41417</v>
      </c>
      <c r="E23" s="266">
        <v>47908</v>
      </c>
      <c r="F23" s="264">
        <v>98.9391</v>
      </c>
      <c r="G23" s="94">
        <f t="shared" si="2"/>
        <v>0.0398</v>
      </c>
      <c r="H23" s="95">
        <f t="shared" si="1"/>
        <v>5510708</v>
      </c>
      <c r="I23" s="95">
        <v>138460000</v>
      </c>
      <c r="J23" s="95"/>
      <c r="K23" s="193"/>
    </row>
    <row r="24" spans="1:11" ht="12.75">
      <c r="A24" s="86">
        <f t="shared" si="0"/>
        <v>20</v>
      </c>
      <c r="B24" s="265" t="s">
        <v>15</v>
      </c>
      <c r="C24" s="98">
        <v>0.04</v>
      </c>
      <c r="D24" s="93">
        <v>41417</v>
      </c>
      <c r="E24" s="266">
        <v>47908</v>
      </c>
      <c r="F24" s="264">
        <v>98.9391</v>
      </c>
      <c r="G24" s="94">
        <f t="shared" si="2"/>
        <v>0.0408</v>
      </c>
      <c r="H24" s="95">
        <f t="shared" si="1"/>
        <v>954720.0000000001</v>
      </c>
      <c r="I24" s="95">
        <v>23400000</v>
      </c>
      <c r="J24" s="95"/>
      <c r="K24" s="193"/>
    </row>
    <row r="25" spans="1:11" ht="12.75">
      <c r="A25" s="86">
        <f t="shared" si="0"/>
        <v>21</v>
      </c>
      <c r="B25" s="101" t="s">
        <v>41</v>
      </c>
      <c r="C25" s="98">
        <v>0.043</v>
      </c>
      <c r="D25" s="93">
        <v>42150</v>
      </c>
      <c r="E25" s="93">
        <v>53102</v>
      </c>
      <c r="F25" s="264">
        <v>98.46</v>
      </c>
      <c r="G25" s="94">
        <f t="shared" si="2"/>
        <v>0.0439</v>
      </c>
      <c r="H25" s="95">
        <f t="shared" si="1"/>
        <v>18657500</v>
      </c>
      <c r="I25" s="95">
        <v>425000000</v>
      </c>
      <c r="J25" s="95"/>
      <c r="K25" s="193"/>
    </row>
    <row r="26" spans="1:11" ht="12.75">
      <c r="A26" s="86">
        <f t="shared" si="0"/>
        <v>22</v>
      </c>
      <c r="B26" s="101" t="s">
        <v>41</v>
      </c>
      <c r="C26" s="98">
        <v>0.04223</v>
      </c>
      <c r="D26" s="93">
        <v>43265</v>
      </c>
      <c r="E26" s="93">
        <v>54224</v>
      </c>
      <c r="F26" s="264">
        <v>98.8868</v>
      </c>
      <c r="G26" s="94">
        <f t="shared" si="2"/>
        <v>0.0429</v>
      </c>
      <c r="H26" s="95">
        <f t="shared" si="1"/>
        <v>25740000</v>
      </c>
      <c r="I26" s="95">
        <v>600000000</v>
      </c>
      <c r="J26" s="95"/>
      <c r="K26" s="193"/>
    </row>
    <row r="27" spans="1:11" ht="12.75">
      <c r="A27" s="86">
        <f t="shared" si="0"/>
        <v>23</v>
      </c>
      <c r="B27" s="101" t="s">
        <v>41</v>
      </c>
      <c r="C27" s="98">
        <v>0.0325</v>
      </c>
      <c r="D27" s="93">
        <v>43707</v>
      </c>
      <c r="E27" s="93">
        <v>54681</v>
      </c>
      <c r="F27" s="300">
        <v>98.83</v>
      </c>
      <c r="G27" s="242">
        <f aca="true" t="shared" si="3" ref="G27:G32">ROUND(YIELD(D27,E27,C27,F27,100,2,2),4)</f>
        <v>0.0331</v>
      </c>
      <c r="H27" s="95">
        <f t="shared" si="1"/>
        <v>14894999.999999998</v>
      </c>
      <c r="I27" s="95">
        <v>450000000</v>
      </c>
      <c r="J27" s="195"/>
      <c r="K27" s="193"/>
    </row>
    <row r="28" spans="1:11" ht="12.75">
      <c r="A28" s="86">
        <f t="shared" si="0"/>
        <v>24</v>
      </c>
      <c r="B28" s="267" t="s">
        <v>41</v>
      </c>
      <c r="C28" s="268">
        <v>0.02893</v>
      </c>
      <c r="D28" s="269">
        <v>44454</v>
      </c>
      <c r="E28" s="269">
        <v>55411</v>
      </c>
      <c r="F28" s="264">
        <v>98.85</v>
      </c>
      <c r="G28" s="242">
        <f t="shared" si="3"/>
        <v>0.0295</v>
      </c>
      <c r="H28" s="95">
        <f>G28*I28</f>
        <v>13275000</v>
      </c>
      <c r="I28" s="95">
        <v>450000000</v>
      </c>
      <c r="J28" s="195"/>
      <c r="K28" s="193"/>
    </row>
    <row r="29" spans="1:11" ht="12.75">
      <c r="A29" s="86">
        <f t="shared" si="0"/>
        <v>25</v>
      </c>
      <c r="B29" s="267" t="s">
        <v>41</v>
      </c>
      <c r="C29" s="268">
        <v>0.05448</v>
      </c>
      <c r="D29" s="269">
        <v>45064</v>
      </c>
      <c r="E29" s="269">
        <v>56036</v>
      </c>
      <c r="F29" s="264">
        <f>'[5]2023 PSE $400M Bond'!$C$61</f>
        <v>98.82010309500001</v>
      </c>
      <c r="G29" s="242">
        <f t="shared" si="3"/>
        <v>0.0553</v>
      </c>
      <c r="H29" s="95">
        <f>G29*I29</f>
        <v>22120000</v>
      </c>
      <c r="I29" s="95">
        <v>400000000</v>
      </c>
      <c r="J29" s="195"/>
      <c r="K29" s="193"/>
    </row>
    <row r="30" spans="1:11" ht="12.75">
      <c r="A30" s="86">
        <f t="shared" si="0"/>
        <v>26</v>
      </c>
      <c r="B30" s="267" t="s">
        <v>41</v>
      </c>
      <c r="C30" s="285" t="s">
        <v>152</v>
      </c>
      <c r="D30" s="286" t="s">
        <v>152</v>
      </c>
      <c r="E30" s="286" t="s">
        <v>152</v>
      </c>
      <c r="F30" s="287" t="s">
        <v>152</v>
      </c>
      <c r="G30" s="288" t="s">
        <v>152</v>
      </c>
      <c r="H30" s="289" t="s">
        <v>152</v>
      </c>
      <c r="I30" s="290" t="s">
        <v>152</v>
      </c>
      <c r="J30" s="195"/>
      <c r="K30" s="193"/>
    </row>
    <row r="31" spans="1:11" ht="12.75">
      <c r="A31" s="86">
        <f t="shared" si="0"/>
        <v>27</v>
      </c>
      <c r="B31" s="267" t="s">
        <v>41</v>
      </c>
      <c r="C31" s="291" t="s">
        <v>152</v>
      </c>
      <c r="D31" s="281" t="s">
        <v>152</v>
      </c>
      <c r="E31" s="281" t="s">
        <v>152</v>
      </c>
      <c r="F31" s="282" t="s">
        <v>152</v>
      </c>
      <c r="G31" s="283" t="s">
        <v>152</v>
      </c>
      <c r="H31" s="284" t="s">
        <v>152</v>
      </c>
      <c r="I31" s="292" t="s">
        <v>152</v>
      </c>
      <c r="J31" s="195"/>
      <c r="K31" s="193"/>
    </row>
    <row r="32" spans="1:11" ht="12.75">
      <c r="A32" s="86">
        <f t="shared" si="0"/>
        <v>28</v>
      </c>
      <c r="B32" s="267" t="s">
        <v>41</v>
      </c>
      <c r="C32" s="293" t="s">
        <v>152</v>
      </c>
      <c r="D32" s="294" t="s">
        <v>152</v>
      </c>
      <c r="E32" s="294" t="s">
        <v>152</v>
      </c>
      <c r="F32" s="295" t="s">
        <v>152</v>
      </c>
      <c r="G32" s="296" t="s">
        <v>152</v>
      </c>
      <c r="H32" s="297" t="s">
        <v>152</v>
      </c>
      <c r="I32" s="298" t="s">
        <v>152</v>
      </c>
      <c r="J32" s="195"/>
      <c r="K32" s="193"/>
    </row>
    <row r="33" spans="1:11" ht="12.75">
      <c r="A33" s="86">
        <f t="shared" si="0"/>
        <v>29</v>
      </c>
      <c r="H33" s="95">
        <v>0</v>
      </c>
      <c r="K33" s="193"/>
    </row>
    <row r="34" spans="1:10" ht="12.75">
      <c r="A34" s="86">
        <f t="shared" si="0"/>
        <v>30</v>
      </c>
      <c r="B34" s="97" t="s">
        <v>139</v>
      </c>
      <c r="C34" s="95"/>
      <c r="D34" s="98"/>
      <c r="E34" s="93"/>
      <c r="F34" s="93"/>
      <c r="G34" s="99"/>
      <c r="H34" s="100"/>
      <c r="I34" s="100">
        <v>6706860000</v>
      </c>
      <c r="J34" s="95"/>
    </row>
    <row r="35" spans="1:10" ht="12.75">
      <c r="A35" s="86">
        <f t="shared" si="0"/>
        <v>31</v>
      </c>
      <c r="B35" s="101"/>
      <c r="C35" s="95"/>
      <c r="D35" s="98"/>
      <c r="E35" s="93"/>
      <c r="F35" s="93"/>
      <c r="G35" s="99"/>
      <c r="H35" s="102"/>
      <c r="I35" s="96"/>
      <c r="J35" s="95"/>
    </row>
    <row r="36" spans="1:9" ht="13.5" thickBot="1">
      <c r="A36" s="86">
        <f t="shared" si="0"/>
        <v>32</v>
      </c>
      <c r="B36" s="104" t="s">
        <v>134</v>
      </c>
      <c r="C36" s="320"/>
      <c r="D36" s="98"/>
      <c r="E36" s="93"/>
      <c r="F36" s="100"/>
      <c r="G36" s="106">
        <v>0.05266053077111041</v>
      </c>
      <c r="H36" s="107">
        <v>321827461.3333333</v>
      </c>
      <c r="I36" s="108">
        <v>6111360000</v>
      </c>
    </row>
    <row r="37" spans="1:9" ht="13.5" thickTop="1">
      <c r="A37" s="86">
        <f t="shared" si="0"/>
        <v>33</v>
      </c>
      <c r="B37" s="105"/>
      <c r="C37" s="320"/>
      <c r="D37" s="98"/>
      <c r="E37" s="93"/>
      <c r="F37" s="100"/>
      <c r="G37" s="109"/>
      <c r="H37" s="109"/>
      <c r="I37" s="100"/>
    </row>
    <row r="38" spans="1:9" ht="12.75">
      <c r="A38" s="86">
        <f t="shared" si="0"/>
        <v>34</v>
      </c>
      <c r="B38" s="110" t="s">
        <v>103</v>
      </c>
      <c r="C38" s="110"/>
      <c r="D38" s="98"/>
      <c r="E38" s="93"/>
      <c r="F38" s="100"/>
      <c r="G38" s="111">
        <v>0.0507</v>
      </c>
      <c r="H38" s="96">
        <v>11636932.850787085</v>
      </c>
      <c r="I38" s="236">
        <v>229671629.00000003</v>
      </c>
    </row>
    <row r="39" spans="1:9" ht="13.5" thickBot="1">
      <c r="A39" s="86">
        <f t="shared" si="0"/>
        <v>35</v>
      </c>
      <c r="B39" s="112" t="s">
        <v>104</v>
      </c>
      <c r="C39" s="130"/>
      <c r="D39" s="98"/>
      <c r="E39" s="93"/>
      <c r="F39" s="90" t="s">
        <v>131</v>
      </c>
      <c r="G39" s="113">
        <v>0.0526</v>
      </c>
      <c r="H39" s="107">
        <v>333464394.1841204</v>
      </c>
      <c r="I39" s="108">
        <v>6341031629</v>
      </c>
    </row>
    <row r="40" spans="1:10" ht="13.5" thickTop="1">
      <c r="A40" s="86">
        <f t="shared" si="0"/>
        <v>36</v>
      </c>
      <c r="B40" s="112"/>
      <c r="C40" s="130"/>
      <c r="D40" s="98"/>
      <c r="E40" s="93"/>
      <c r="F40" s="93"/>
      <c r="G40" s="100"/>
      <c r="H40" s="114"/>
      <c r="I40" s="115"/>
      <c r="J40" s="116"/>
    </row>
    <row r="41" spans="1:10" ht="12.75">
      <c r="A41" s="86">
        <f t="shared" si="0"/>
        <v>37</v>
      </c>
      <c r="B41" s="112" t="s">
        <v>114</v>
      </c>
      <c r="C41" s="130"/>
      <c r="D41" s="98"/>
      <c r="E41" s="93"/>
      <c r="F41" s="93"/>
      <c r="H41" s="117">
        <v>6111360000</v>
      </c>
      <c r="I41" s="115"/>
      <c r="J41" s="116"/>
    </row>
    <row r="42" spans="1:10" ht="12.75">
      <c r="A42" s="86">
        <f t="shared" si="0"/>
        <v>38</v>
      </c>
      <c r="B42" s="112" t="s">
        <v>113</v>
      </c>
      <c r="C42" s="130"/>
      <c r="D42" s="98"/>
      <c r="E42" s="93"/>
      <c r="F42" s="93"/>
      <c r="H42" s="321">
        <v>0.4818900423119148</v>
      </c>
      <c r="I42" s="115"/>
      <c r="J42" s="116"/>
    </row>
    <row r="43" spans="1:10" ht="12.75">
      <c r="A43" s="86">
        <f t="shared" si="0"/>
        <v>39</v>
      </c>
      <c r="B43" s="112" t="s">
        <v>115</v>
      </c>
      <c r="C43" s="130"/>
      <c r="D43" s="98"/>
      <c r="E43" s="93"/>
      <c r="F43" s="93"/>
      <c r="H43" s="237">
        <v>12682063258</v>
      </c>
      <c r="I43" s="115"/>
      <c r="J43" s="116"/>
    </row>
    <row r="44" spans="1:10" ht="12.75">
      <c r="A44" s="86">
        <f t="shared" si="0"/>
        <v>40</v>
      </c>
      <c r="B44" s="112"/>
      <c r="C44" s="112"/>
      <c r="D44" s="98"/>
      <c r="E44" s="93"/>
      <c r="F44" s="93"/>
      <c r="G44" s="100"/>
      <c r="H44" s="114"/>
      <c r="I44" s="115"/>
      <c r="J44" s="116"/>
    </row>
    <row r="45" spans="1:9" ht="12.75">
      <c r="A45" s="86">
        <f t="shared" si="0"/>
        <v>41</v>
      </c>
      <c r="B45" s="118" t="s">
        <v>125</v>
      </c>
      <c r="C45" s="119"/>
      <c r="D45" s="120"/>
      <c r="E45" s="120"/>
      <c r="F45" s="120"/>
      <c r="G45" s="120"/>
      <c r="H45" s="120"/>
      <c r="I45" s="120"/>
    </row>
    <row r="46" spans="1:9" ht="12.75">
      <c r="A46" s="86">
        <f t="shared" si="0"/>
        <v>42</v>
      </c>
      <c r="B46" s="118" t="s">
        <v>126</v>
      </c>
      <c r="C46" s="119"/>
      <c r="D46" s="120"/>
      <c r="E46" s="120"/>
      <c r="F46" s="120"/>
      <c r="G46" s="120"/>
      <c r="H46" s="121"/>
      <c r="I46" s="120"/>
    </row>
    <row r="47" spans="1:9" ht="27.75" customHeight="1">
      <c r="A47" s="86">
        <f t="shared" si="0"/>
        <v>43</v>
      </c>
      <c r="B47" s="309" t="s">
        <v>130</v>
      </c>
      <c r="C47" s="309"/>
      <c r="D47" s="309"/>
      <c r="E47" s="309"/>
      <c r="F47" s="309"/>
      <c r="G47" s="309"/>
      <c r="H47" s="309"/>
      <c r="I47" s="309"/>
    </row>
    <row r="48" spans="1:39" ht="13.5" thickBot="1">
      <c r="A48" s="86"/>
      <c r="B48" s="240"/>
      <c r="C48" s="240"/>
      <c r="D48" s="240"/>
      <c r="E48" s="240"/>
      <c r="F48" s="241"/>
      <c r="G48" s="39"/>
      <c r="H48" s="240"/>
      <c r="I48" s="241"/>
      <c r="J48" s="9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</row>
    <row r="49" spans="1:10" ht="13.5" thickBot="1">
      <c r="A49" s="86"/>
      <c r="B49" s="316" t="s">
        <v>148</v>
      </c>
      <c r="C49" s="317"/>
      <c r="D49" s="317"/>
      <c r="E49" s="317"/>
      <c r="F49" s="317"/>
      <c r="G49" s="317"/>
      <c r="H49" s="317"/>
      <c r="I49" s="318"/>
      <c r="J49" s="101"/>
    </row>
    <row r="50" spans="1:10" ht="12.75">
      <c r="A50" s="18"/>
      <c r="B50" s="40"/>
      <c r="C50" s="40"/>
      <c r="D50" s="40"/>
      <c r="E50" s="40"/>
      <c r="F50" s="40"/>
      <c r="G50" s="38"/>
      <c r="H50" s="40"/>
      <c r="I50" s="33"/>
      <c r="J50" s="103"/>
    </row>
    <row r="51" spans="1:10" ht="12.75">
      <c r="A51" s="18"/>
      <c r="B51" s="13"/>
      <c r="C51" s="13"/>
      <c r="D51" s="13"/>
      <c r="E51" s="301" t="s">
        <v>151</v>
      </c>
      <c r="F51" s="13"/>
      <c r="G51" s="39"/>
      <c r="H51" s="13"/>
      <c r="I51" s="13"/>
      <c r="J51" s="18">
        <f>IF(J50&lt;&gt;0,"ERROR","")</f>
      </c>
    </row>
    <row r="52" spans="1:9" ht="12.75">
      <c r="A52" s="18"/>
      <c r="B52" s="13"/>
      <c r="C52" s="13"/>
      <c r="D52" s="13"/>
      <c r="E52" s="13"/>
      <c r="F52" s="13"/>
      <c r="G52" s="19"/>
      <c r="H52" s="13"/>
      <c r="I52" s="102"/>
    </row>
    <row r="53" spans="1:9" ht="12.75">
      <c r="A53" s="20"/>
      <c r="B53" s="21"/>
      <c r="C53" s="21"/>
      <c r="D53" s="22"/>
      <c r="E53" s="23"/>
      <c r="F53" s="23"/>
      <c r="G53" s="122"/>
      <c r="H53" s="25"/>
      <c r="I53" s="102"/>
    </row>
    <row r="54" spans="1:9" ht="12.75">
      <c r="A54" s="20"/>
      <c r="B54" s="21"/>
      <c r="C54" s="21"/>
      <c r="D54" s="22"/>
      <c r="E54" s="23"/>
      <c r="F54" s="23"/>
      <c r="G54" s="24"/>
      <c r="H54" s="25"/>
      <c r="I54" s="26"/>
    </row>
    <row r="55" spans="1:9" ht="12.75">
      <c r="A55" s="20"/>
      <c r="B55" s="21"/>
      <c r="C55" s="21"/>
      <c r="D55" s="22"/>
      <c r="E55" s="23"/>
      <c r="F55" s="23"/>
      <c r="G55" s="24"/>
      <c r="H55" s="25"/>
      <c r="I55" s="26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28"/>
    </row>
    <row r="57" spans="1:9" ht="12.75" hidden="1">
      <c r="A57" s="27"/>
      <c r="B57" s="13"/>
      <c r="C57" s="13"/>
      <c r="D57" s="13"/>
      <c r="E57" s="13"/>
      <c r="F57" s="13"/>
      <c r="G57" s="19"/>
      <c r="H57" s="13"/>
      <c r="I57" s="29"/>
    </row>
    <row r="58" spans="1:9" ht="12.75" hidden="1">
      <c r="A58" s="27"/>
      <c r="B58" s="13"/>
      <c r="C58" s="13"/>
      <c r="D58" s="13"/>
      <c r="E58" s="13"/>
      <c r="F58" s="13"/>
      <c r="G58" s="19"/>
      <c r="H58" s="13"/>
      <c r="I58" s="13"/>
    </row>
    <row r="59" spans="1:9" ht="12.75">
      <c r="A59" s="20"/>
      <c r="B59" s="21"/>
      <c r="C59" s="21"/>
      <c r="D59" s="22"/>
      <c r="E59" s="23"/>
      <c r="F59" s="23"/>
      <c r="G59" s="24"/>
      <c r="H59" s="25"/>
      <c r="I59" s="26"/>
    </row>
    <row r="60" spans="1:9" ht="12.75">
      <c r="A60" s="20"/>
      <c r="B60" s="21"/>
      <c r="C60" s="21"/>
      <c r="D60" s="22"/>
      <c r="E60" s="23"/>
      <c r="F60" s="23"/>
      <c r="G60" s="24"/>
      <c r="H60" s="25"/>
      <c r="I60" s="26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27"/>
      <c r="B68" s="13"/>
      <c r="C68" s="13"/>
      <c r="D68" s="13"/>
      <c r="E68" s="13"/>
      <c r="F68" s="13"/>
      <c r="G68" s="19"/>
      <c r="H68" s="13"/>
      <c r="I68" s="13"/>
    </row>
    <row r="69" spans="1:9" ht="12.75">
      <c r="A69" s="27"/>
      <c r="B69" s="13"/>
      <c r="C69" s="13"/>
      <c r="D69" s="13"/>
      <c r="E69" s="13"/>
      <c r="F69" s="13"/>
      <c r="G69" s="19"/>
      <c r="H69" s="13"/>
      <c r="I69" s="13"/>
    </row>
    <row r="70" spans="1:9" ht="12.75">
      <c r="A70" s="18"/>
      <c r="B70" s="13"/>
      <c r="C70" s="13"/>
      <c r="D70" s="21"/>
      <c r="E70" s="13"/>
      <c r="F70" s="13"/>
      <c r="G70" s="19"/>
      <c r="H70" s="13"/>
      <c r="I70" s="13"/>
    </row>
    <row r="71" spans="4:6" ht="12.75">
      <c r="D71" s="9"/>
      <c r="F71" s="15"/>
    </row>
    <row r="72" ht="12.75">
      <c r="D72" s="14"/>
    </row>
  </sheetData>
  <sheetProtection/>
  <mergeCells count="6">
    <mergeCell ref="G8:G9"/>
    <mergeCell ref="H8:H9"/>
    <mergeCell ref="F6:F9"/>
    <mergeCell ref="I6:I9"/>
    <mergeCell ref="B47:I47"/>
    <mergeCell ref="B49:I49"/>
  </mergeCells>
  <printOptions horizontalCentered="1"/>
  <pageMargins left="0.2" right="0.2" top="0.41" bottom="0.35" header="0.17" footer="0.17"/>
  <pageSetup fitToHeight="1" fitToWidth="1" horizontalDpi="600" verticalDpi="600" orientation="portrait" r:id="rId1"/>
  <headerFooter alignWithMargins="0">
    <oddFooter>&amp;C&amp;A&amp;R
Page 2 of 4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view="pageLayout" workbookViewId="0" topLeftCell="A43">
      <selection activeCell="J75" sqref="J75"/>
    </sheetView>
  </sheetViews>
  <sheetFormatPr defaultColWidth="10.5" defaultRowHeight="11.25"/>
  <cols>
    <col min="1" max="1" width="3.5" style="124" customWidth="1"/>
    <col min="2" max="2" width="37" style="124" customWidth="1"/>
    <col min="3" max="3" width="14.5" style="124" bestFit="1" customWidth="1"/>
    <col min="4" max="11" width="13.66015625" style="124" customWidth="1"/>
    <col min="12" max="12" width="12.5" style="124" customWidth="1"/>
    <col min="13" max="15" width="13.66015625" style="124" customWidth="1"/>
    <col min="16" max="16" width="20.5" style="124" customWidth="1"/>
    <col min="17" max="17" width="2" style="124" customWidth="1"/>
    <col min="18" max="18" width="8" style="124" bestFit="1" customWidth="1"/>
    <col min="19" max="19" width="10.5" style="124" customWidth="1"/>
    <col min="20" max="20" width="19.5" style="124" bestFit="1" customWidth="1"/>
    <col min="21" max="16384" width="10.5" style="124" customWidth="1"/>
  </cols>
  <sheetData>
    <row r="1" spans="1:16" ht="12.75">
      <c r="A1" s="123"/>
      <c r="B1" s="82" t="s">
        <v>67</v>
      </c>
      <c r="C1" s="83"/>
      <c r="D1" s="83"/>
      <c r="E1" s="83"/>
      <c r="F1" s="83"/>
      <c r="G1" s="82"/>
      <c r="H1" s="83"/>
      <c r="I1" s="83"/>
      <c r="J1" s="82"/>
      <c r="K1" s="82"/>
      <c r="L1" s="83"/>
      <c r="M1" s="83"/>
      <c r="N1" s="83"/>
      <c r="O1" s="83"/>
      <c r="P1" s="82"/>
    </row>
    <row r="2" spans="1:16" ht="12.75">
      <c r="A2" s="123"/>
      <c r="B2" s="82" t="s">
        <v>68</v>
      </c>
      <c r="C2" s="83"/>
      <c r="D2" s="83"/>
      <c r="E2" s="83"/>
      <c r="F2" s="83"/>
      <c r="G2" s="82"/>
      <c r="H2" s="83"/>
      <c r="I2" s="83"/>
      <c r="J2" s="82"/>
      <c r="K2" s="82"/>
      <c r="L2" s="83"/>
      <c r="M2" s="83"/>
      <c r="N2" s="83"/>
      <c r="O2" s="83"/>
      <c r="P2" s="82"/>
    </row>
    <row r="3" spans="1:16" ht="13.5" customHeight="1">
      <c r="A3" s="123"/>
      <c r="B3" s="82" t="str">
        <f>'(R) Cost of Total Debt'!$B$3</f>
        <v>For The 12 Months Ended December 31, 2025</v>
      </c>
      <c r="C3" s="83"/>
      <c r="D3" s="83"/>
      <c r="E3" s="83"/>
      <c r="F3" s="83"/>
      <c r="G3" s="82"/>
      <c r="H3" s="83"/>
      <c r="I3" s="83"/>
      <c r="J3" s="82"/>
      <c r="K3" s="82"/>
      <c r="L3" s="83"/>
      <c r="M3" s="83"/>
      <c r="N3" s="83"/>
      <c r="O3" s="83"/>
      <c r="P3" s="82"/>
    </row>
    <row r="4" spans="1:16" ht="12.75">
      <c r="A4" s="123"/>
      <c r="B4" s="125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">
      <c r="A5" s="126">
        <v>1</v>
      </c>
      <c r="B5" s="127" t="s">
        <v>1</v>
      </c>
      <c r="C5" s="127" t="s">
        <v>17</v>
      </c>
      <c r="D5" s="127" t="s">
        <v>24</v>
      </c>
      <c r="E5" s="127" t="s">
        <v>26</v>
      </c>
      <c r="F5" s="127" t="s">
        <v>27</v>
      </c>
      <c r="G5" s="127" t="s">
        <v>28</v>
      </c>
      <c r="H5" s="127" t="s">
        <v>29</v>
      </c>
      <c r="I5" s="127" t="s">
        <v>30</v>
      </c>
      <c r="J5" s="127" t="s">
        <v>31</v>
      </c>
      <c r="K5" s="127" t="s">
        <v>33</v>
      </c>
      <c r="L5" s="127" t="s">
        <v>34</v>
      </c>
      <c r="M5" s="127" t="s">
        <v>35</v>
      </c>
      <c r="N5" s="127" t="s">
        <v>36</v>
      </c>
      <c r="O5" s="127" t="s">
        <v>37</v>
      </c>
      <c r="P5" s="127" t="s">
        <v>38</v>
      </c>
    </row>
    <row r="6" spans="1:16" ht="12">
      <c r="A6" s="126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7"/>
    </row>
    <row r="7" spans="1:16" ht="12" customHeight="1">
      <c r="A7" s="126">
        <f>A5+1</f>
        <v>2</v>
      </c>
      <c r="B7" s="123"/>
      <c r="C7" s="128">
        <v>45648</v>
      </c>
      <c r="D7" s="128">
        <v>45688</v>
      </c>
      <c r="E7" s="128">
        <v>45716</v>
      </c>
      <c r="F7" s="128">
        <v>45747</v>
      </c>
      <c r="G7" s="128">
        <v>45777</v>
      </c>
      <c r="H7" s="128">
        <v>45808</v>
      </c>
      <c r="I7" s="128">
        <v>45838</v>
      </c>
      <c r="J7" s="128">
        <v>45869</v>
      </c>
      <c r="K7" s="128">
        <v>45900</v>
      </c>
      <c r="L7" s="128">
        <v>45930</v>
      </c>
      <c r="M7" s="128">
        <v>45961</v>
      </c>
      <c r="N7" s="128">
        <v>45991</v>
      </c>
      <c r="O7" s="128">
        <v>46022</v>
      </c>
      <c r="P7" s="129" t="s">
        <v>140</v>
      </c>
    </row>
    <row r="8" spans="1:16" ht="12">
      <c r="A8" s="126">
        <f>A7+1</f>
        <v>3</v>
      </c>
      <c r="B8" s="130" t="s">
        <v>138</v>
      </c>
      <c r="C8" s="131">
        <v>229671.629</v>
      </c>
      <c r="D8" s="131">
        <v>229671.629</v>
      </c>
      <c r="E8" s="131">
        <v>229671.629</v>
      </c>
      <c r="F8" s="131">
        <v>229671.629</v>
      </c>
      <c r="G8" s="131">
        <v>229671.629</v>
      </c>
      <c r="H8" s="131">
        <v>229671.629</v>
      </c>
      <c r="I8" s="131">
        <v>229671.629</v>
      </c>
      <c r="J8" s="131">
        <v>229671.629</v>
      </c>
      <c r="K8" s="131">
        <v>229671.629</v>
      </c>
      <c r="L8" s="131">
        <v>229671.629</v>
      </c>
      <c r="M8" s="131">
        <v>229671.629</v>
      </c>
      <c r="N8" s="131">
        <v>229671.629</v>
      </c>
      <c r="O8" s="131">
        <v>229671.629</v>
      </c>
      <c r="P8" s="133">
        <f>AVERAGE(D8:O8)</f>
        <v>229671.62900000004</v>
      </c>
    </row>
    <row r="9" spans="1:16" ht="5.25" customHeight="1">
      <c r="A9" s="126"/>
      <c r="B9" s="134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12">
      <c r="A10" s="126">
        <f>A8+1</f>
        <v>4</v>
      </c>
      <c r="B10" s="130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2"/>
    </row>
    <row r="11" spans="1:16" ht="12">
      <c r="A11" s="126">
        <f>A10+1</f>
        <v>5</v>
      </c>
      <c r="B11" s="134" t="s">
        <v>70</v>
      </c>
      <c r="C11" s="131">
        <f>MIN(0.5*C8,125000)</f>
        <v>114835.8145</v>
      </c>
      <c r="D11" s="131">
        <f>+C11</f>
        <v>114835.8145</v>
      </c>
      <c r="E11" s="131">
        <f aca="true" t="shared" si="0" ref="E11:O11">+D11</f>
        <v>114835.8145</v>
      </c>
      <c r="F11" s="131">
        <f t="shared" si="0"/>
        <v>114835.8145</v>
      </c>
      <c r="G11" s="131">
        <f t="shared" si="0"/>
        <v>114835.8145</v>
      </c>
      <c r="H11" s="131">
        <f t="shared" si="0"/>
        <v>114835.8145</v>
      </c>
      <c r="I11" s="131">
        <f t="shared" si="0"/>
        <v>114835.8145</v>
      </c>
      <c r="J11" s="131">
        <f t="shared" si="0"/>
        <v>114835.8145</v>
      </c>
      <c r="K11" s="131">
        <f t="shared" si="0"/>
        <v>114835.8145</v>
      </c>
      <c r="L11" s="131">
        <f t="shared" si="0"/>
        <v>114835.8145</v>
      </c>
      <c r="M11" s="131">
        <f t="shared" si="0"/>
        <v>114835.8145</v>
      </c>
      <c r="N11" s="131">
        <f t="shared" si="0"/>
        <v>114835.8145</v>
      </c>
      <c r="O11" s="131">
        <f t="shared" si="0"/>
        <v>114835.8145</v>
      </c>
      <c r="P11" s="133">
        <f>AVERAGE(D11:O11)</f>
        <v>114835.81450000002</v>
      </c>
    </row>
    <row r="12" spans="1:16" ht="12">
      <c r="A12" s="126">
        <f>A11+1</f>
        <v>6</v>
      </c>
      <c r="B12" s="134" t="s">
        <v>71</v>
      </c>
      <c r="C12" s="136">
        <f>+C8-C11</f>
        <v>114835.8145</v>
      </c>
      <c r="D12" s="136">
        <f aca="true" t="shared" si="1" ref="D12:O12">D8-D11</f>
        <v>114835.8145</v>
      </c>
      <c r="E12" s="136">
        <f t="shared" si="1"/>
        <v>114835.8145</v>
      </c>
      <c r="F12" s="136">
        <f t="shared" si="1"/>
        <v>114835.8145</v>
      </c>
      <c r="G12" s="136">
        <f t="shared" si="1"/>
        <v>114835.8145</v>
      </c>
      <c r="H12" s="136">
        <f t="shared" si="1"/>
        <v>114835.8145</v>
      </c>
      <c r="I12" s="136">
        <f t="shared" si="1"/>
        <v>114835.8145</v>
      </c>
      <c r="J12" s="136">
        <f t="shared" si="1"/>
        <v>114835.8145</v>
      </c>
      <c r="K12" s="136">
        <f t="shared" si="1"/>
        <v>114835.8145</v>
      </c>
      <c r="L12" s="136">
        <f t="shared" si="1"/>
        <v>114835.8145</v>
      </c>
      <c r="M12" s="136">
        <f t="shared" si="1"/>
        <v>114835.8145</v>
      </c>
      <c r="N12" s="136">
        <f t="shared" si="1"/>
        <v>114835.8145</v>
      </c>
      <c r="O12" s="136">
        <f t="shared" si="1"/>
        <v>114835.8145</v>
      </c>
      <c r="P12" s="133">
        <f>ROUND(((C12+O12)+(SUM(D12:N12)*2))/24,3)</f>
        <v>114835.815</v>
      </c>
    </row>
    <row r="13" spans="1:16" ht="12">
      <c r="A13" s="126">
        <f>A12+1</f>
        <v>7</v>
      </c>
      <c r="B13" s="137" t="s">
        <v>72</v>
      </c>
      <c r="C13" s="138">
        <f aca="true" t="shared" si="2" ref="C13:O13">SUM(C11:C12)</f>
        <v>229671.629</v>
      </c>
      <c r="D13" s="138">
        <f t="shared" si="2"/>
        <v>229671.629</v>
      </c>
      <c r="E13" s="138">
        <f t="shared" si="2"/>
        <v>229671.629</v>
      </c>
      <c r="F13" s="138">
        <f t="shared" si="2"/>
        <v>229671.629</v>
      </c>
      <c r="G13" s="138">
        <f t="shared" si="2"/>
        <v>229671.629</v>
      </c>
      <c r="H13" s="138">
        <f t="shared" si="2"/>
        <v>229671.629</v>
      </c>
      <c r="I13" s="138">
        <f t="shared" si="2"/>
        <v>229671.629</v>
      </c>
      <c r="J13" s="138">
        <f t="shared" si="2"/>
        <v>229671.629</v>
      </c>
      <c r="K13" s="138">
        <f t="shared" si="2"/>
        <v>229671.629</v>
      </c>
      <c r="L13" s="138">
        <f t="shared" si="2"/>
        <v>229671.629</v>
      </c>
      <c r="M13" s="138">
        <f t="shared" si="2"/>
        <v>229671.629</v>
      </c>
      <c r="N13" s="138">
        <f t="shared" si="2"/>
        <v>229671.629</v>
      </c>
      <c r="O13" s="138">
        <f t="shared" si="2"/>
        <v>229671.629</v>
      </c>
      <c r="P13" s="139">
        <f>AVERAGE(D13:O13)</f>
        <v>229671.62900000004</v>
      </c>
    </row>
    <row r="14" spans="1:16" ht="5.25" customHeight="1">
      <c r="A14" s="126"/>
      <c r="B14" s="134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6" ht="13.5" customHeight="1">
      <c r="A15" s="126">
        <f>A13+1</f>
        <v>8</v>
      </c>
      <c r="B15" s="130" t="s">
        <v>61</v>
      </c>
      <c r="M15" s="140"/>
      <c r="N15" s="141"/>
      <c r="O15" s="142"/>
      <c r="P15" s="278"/>
    </row>
    <row r="16" spans="1:19" ht="12">
      <c r="A16" s="126">
        <f>A15+1</f>
        <v>9</v>
      </c>
      <c r="B16" s="134" t="s">
        <v>142</v>
      </c>
      <c r="C16" s="157">
        <f>'[6]Sheet1'!$P$127</f>
        <v>0.046764755546309676</v>
      </c>
      <c r="D16" s="157">
        <f>'[6]Sheet1'!E131</f>
        <v>0.04597489294880483</v>
      </c>
      <c r="E16" s="157">
        <f>'[6]Sheet1'!F131</f>
        <v>0.045226727387624316</v>
      </c>
      <c r="F16" s="157">
        <f>'[6]Sheet1'!G131</f>
        <v>0.04445906446698745</v>
      </c>
      <c r="G16" s="157">
        <f>'[6]Sheet1'!H131</f>
        <v>0.04364767267760059</v>
      </c>
      <c r="H16" s="157">
        <f>'[6]Sheet1'!I131</f>
        <v>0.0428288080179828</v>
      </c>
      <c r="I16" s="157">
        <f>'[6]Sheet1'!J131</f>
        <v>0.042007256568401014</v>
      </c>
      <c r="J16" s="157">
        <f>'[6]Sheet1'!K131</f>
        <v>0.041168408204801145</v>
      </c>
      <c r="K16" s="157">
        <f>'[6]Sheet1'!L131</f>
        <v>0.04027701002947241</v>
      </c>
      <c r="L16" s="157">
        <f>'[6]Sheet1'!M131</f>
        <v>0.039356363504101564</v>
      </c>
      <c r="M16" s="157">
        <f>'[6]Sheet1'!N131</f>
        <v>0.03843222723852734</v>
      </c>
      <c r="N16" s="157">
        <f>'[6]Sheet1'!O131</f>
        <v>0.03755825354286935</v>
      </c>
      <c r="O16" s="157">
        <f>'[6]Sheet1'!P131</f>
        <v>0.036765458518601656</v>
      </c>
      <c r="S16" s="258"/>
    </row>
    <row r="17" spans="1:19" ht="12.75">
      <c r="A17" s="126">
        <f>A16+1</f>
        <v>10</v>
      </c>
      <c r="B17" s="134" t="s">
        <v>73</v>
      </c>
      <c r="C17" s="279">
        <f>(5.67%+5.72%)/2-(5.34097%)</f>
        <v>0.0035402999999999962</v>
      </c>
      <c r="D17" s="279">
        <f>(5.67%+5.72%)/2-(5.34097%)</f>
        <v>0.0035402999999999962</v>
      </c>
      <c r="E17" s="279">
        <f aca="true" t="shared" si="3" ref="E17:O17">(5.67%+5.72%)/2-(5.34097%)</f>
        <v>0.0035402999999999962</v>
      </c>
      <c r="F17" s="279">
        <f t="shared" si="3"/>
        <v>0.0035402999999999962</v>
      </c>
      <c r="G17" s="279">
        <f t="shared" si="3"/>
        <v>0.0035402999999999962</v>
      </c>
      <c r="H17" s="279">
        <f t="shared" si="3"/>
        <v>0.0035402999999999962</v>
      </c>
      <c r="I17" s="279">
        <f t="shared" si="3"/>
        <v>0.0035402999999999962</v>
      </c>
      <c r="J17" s="279">
        <f t="shared" si="3"/>
        <v>0.0035402999999999962</v>
      </c>
      <c r="K17" s="279">
        <f t="shared" si="3"/>
        <v>0.0035402999999999962</v>
      </c>
      <c r="L17" s="279">
        <f t="shared" si="3"/>
        <v>0.0035402999999999962</v>
      </c>
      <c r="M17" s="279">
        <f t="shared" si="3"/>
        <v>0.0035402999999999962</v>
      </c>
      <c r="N17" s="279">
        <f t="shared" si="3"/>
        <v>0.0035402999999999962</v>
      </c>
      <c r="O17" s="279">
        <f t="shared" si="3"/>
        <v>0.0035402999999999962</v>
      </c>
      <c r="R17" s="244"/>
      <c r="S17" s="260"/>
    </row>
    <row r="18" spans="1:19" ht="12">
      <c r="A18" s="126">
        <f>A17+1</f>
        <v>11</v>
      </c>
      <c r="B18" s="134" t="s">
        <v>74</v>
      </c>
      <c r="C18" s="151">
        <v>0.0125</v>
      </c>
      <c r="D18" s="151">
        <f>C18</f>
        <v>0.0125</v>
      </c>
      <c r="E18" s="151">
        <f aca="true" t="shared" si="4" ref="E18:O18">D18</f>
        <v>0.0125</v>
      </c>
      <c r="F18" s="151">
        <f t="shared" si="4"/>
        <v>0.0125</v>
      </c>
      <c r="G18" s="151">
        <f t="shared" si="4"/>
        <v>0.0125</v>
      </c>
      <c r="H18" s="151">
        <f t="shared" si="4"/>
        <v>0.0125</v>
      </c>
      <c r="I18" s="151">
        <f t="shared" si="4"/>
        <v>0.0125</v>
      </c>
      <c r="J18" s="151">
        <f t="shared" si="4"/>
        <v>0.0125</v>
      </c>
      <c r="K18" s="151">
        <f t="shared" si="4"/>
        <v>0.0125</v>
      </c>
      <c r="L18" s="151">
        <f t="shared" si="4"/>
        <v>0.0125</v>
      </c>
      <c r="M18" s="151">
        <f t="shared" si="4"/>
        <v>0.0125</v>
      </c>
      <c r="N18" s="151">
        <f t="shared" si="4"/>
        <v>0.0125</v>
      </c>
      <c r="O18" s="151">
        <f t="shared" si="4"/>
        <v>0.0125</v>
      </c>
      <c r="S18" s="259"/>
    </row>
    <row r="19" spans="1:19" ht="12">
      <c r="A19" s="126">
        <f>A18+1</f>
        <v>12</v>
      </c>
      <c r="B19" s="134" t="s">
        <v>147</v>
      </c>
      <c r="C19" s="151">
        <v>0.001</v>
      </c>
      <c r="D19" s="151">
        <v>0.001</v>
      </c>
      <c r="E19" s="151">
        <v>0.001</v>
      </c>
      <c r="F19" s="151">
        <v>0.001</v>
      </c>
      <c r="G19" s="151">
        <v>0.001</v>
      </c>
      <c r="H19" s="151">
        <v>0.001</v>
      </c>
      <c r="I19" s="151">
        <v>0.001</v>
      </c>
      <c r="J19" s="151">
        <v>0.001</v>
      </c>
      <c r="K19" s="151">
        <v>0.001</v>
      </c>
      <c r="L19" s="151">
        <v>0.001</v>
      </c>
      <c r="M19" s="151">
        <v>0.001</v>
      </c>
      <c r="N19" s="151">
        <v>0.001</v>
      </c>
      <c r="O19" s="151">
        <v>0.001</v>
      </c>
      <c r="S19" s="259"/>
    </row>
    <row r="20" spans="1:16" ht="6" customHeight="1">
      <c r="A20" s="126"/>
      <c r="B20" s="134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31"/>
    </row>
    <row r="21" spans="1:16" ht="12" customHeight="1">
      <c r="A21" s="126">
        <f>A19+1</f>
        <v>13</v>
      </c>
      <c r="B21" s="130" t="s">
        <v>75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31"/>
    </row>
    <row r="22" spans="1:16" ht="12">
      <c r="A22" s="126">
        <f>A21+1</f>
        <v>14</v>
      </c>
      <c r="B22" s="144" t="s">
        <v>76</v>
      </c>
      <c r="C22" s="145">
        <f>C16+C17</f>
        <v>0.05030505554630967</v>
      </c>
      <c r="D22" s="145">
        <f aca="true" t="shared" si="5" ref="D22:O22">D16+D17</f>
        <v>0.049515192948804826</v>
      </c>
      <c r="E22" s="145">
        <f t="shared" si="5"/>
        <v>0.04876702738762431</v>
      </c>
      <c r="F22" s="145">
        <f t="shared" si="5"/>
        <v>0.047999364466987444</v>
      </c>
      <c r="G22" s="145">
        <f t="shared" si="5"/>
        <v>0.04718797267760059</v>
      </c>
      <c r="H22" s="145">
        <f t="shared" si="5"/>
        <v>0.046369108017982795</v>
      </c>
      <c r="I22" s="145">
        <f t="shared" si="5"/>
        <v>0.04554755656840101</v>
      </c>
      <c r="J22" s="145">
        <f t="shared" si="5"/>
        <v>0.04470870820480114</v>
      </c>
      <c r="K22" s="145">
        <f t="shared" si="5"/>
        <v>0.04381731002947241</v>
      </c>
      <c r="L22" s="145">
        <f t="shared" si="5"/>
        <v>0.04289666350410156</v>
      </c>
      <c r="M22" s="145">
        <f t="shared" si="5"/>
        <v>0.04197252723852734</v>
      </c>
      <c r="N22" s="145">
        <f t="shared" si="5"/>
        <v>0.04109855354286935</v>
      </c>
      <c r="O22" s="145">
        <f t="shared" si="5"/>
        <v>0.04030575851860165</v>
      </c>
      <c r="P22" s="132"/>
    </row>
    <row r="23" spans="1:16" ht="12">
      <c r="A23" s="126">
        <f>A22+1</f>
        <v>15</v>
      </c>
      <c r="B23" s="144" t="s">
        <v>71</v>
      </c>
      <c r="C23" s="145">
        <f>C16+C18+C19</f>
        <v>0.06026475554630968</v>
      </c>
      <c r="D23" s="145">
        <f aca="true" t="shared" si="6" ref="D23:O23">D16+D18+D19</f>
        <v>0.05947489294880483</v>
      </c>
      <c r="E23" s="145">
        <f t="shared" si="6"/>
        <v>0.058726727387624314</v>
      </c>
      <c r="F23" s="145">
        <f t="shared" si="6"/>
        <v>0.05795906446698745</v>
      </c>
      <c r="G23" s="145">
        <f t="shared" si="6"/>
        <v>0.0571476726776006</v>
      </c>
      <c r="H23" s="145">
        <f t="shared" si="6"/>
        <v>0.056328808017982804</v>
      </c>
      <c r="I23" s="145">
        <f t="shared" si="6"/>
        <v>0.05550725656840101</v>
      </c>
      <c r="J23" s="145">
        <f t="shared" si="6"/>
        <v>0.05466840820480115</v>
      </c>
      <c r="K23" s="145">
        <f t="shared" si="6"/>
        <v>0.05377701002947241</v>
      </c>
      <c r="L23" s="145">
        <f t="shared" si="6"/>
        <v>0.05285636350410157</v>
      </c>
      <c r="M23" s="145">
        <f t="shared" si="6"/>
        <v>0.05193222723852735</v>
      </c>
      <c r="N23" s="145">
        <f t="shared" si="6"/>
        <v>0.05105825354286936</v>
      </c>
      <c r="O23" s="145">
        <f t="shared" si="6"/>
        <v>0.05026545851860166</v>
      </c>
      <c r="P23" s="132"/>
    </row>
    <row r="24" spans="1:16" ht="5.25" customHeight="1">
      <c r="A24" s="126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2">
      <c r="A25" s="126">
        <f>A23+1</f>
        <v>16</v>
      </c>
      <c r="B25" s="134" t="s">
        <v>77</v>
      </c>
      <c r="C25" s="134"/>
      <c r="D25" s="134">
        <v>31</v>
      </c>
      <c r="E25" s="134">
        <f>E7-D7</f>
        <v>28</v>
      </c>
      <c r="F25" s="134">
        <f>F7-E7</f>
        <v>31</v>
      </c>
      <c r="G25" s="134">
        <f aca="true" t="shared" si="7" ref="G25:O25">G7-F7</f>
        <v>30</v>
      </c>
      <c r="H25" s="134">
        <f t="shared" si="7"/>
        <v>31</v>
      </c>
      <c r="I25" s="134">
        <f t="shared" si="7"/>
        <v>30</v>
      </c>
      <c r="J25" s="134">
        <f t="shared" si="7"/>
        <v>31</v>
      </c>
      <c r="K25" s="134">
        <f t="shared" si="7"/>
        <v>31</v>
      </c>
      <c r="L25" s="134">
        <f t="shared" si="7"/>
        <v>30</v>
      </c>
      <c r="M25" s="134">
        <f t="shared" si="7"/>
        <v>31</v>
      </c>
      <c r="N25" s="134">
        <f t="shared" si="7"/>
        <v>30</v>
      </c>
      <c r="O25" s="134">
        <f t="shared" si="7"/>
        <v>31</v>
      </c>
      <c r="P25" s="146"/>
    </row>
    <row r="26" spans="1:16" ht="3.75" customHeight="1">
      <c r="A26" s="126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46"/>
    </row>
    <row r="27" spans="1:16" ht="12">
      <c r="A27" s="126">
        <f>A25+1</f>
        <v>17</v>
      </c>
      <c r="B27" s="130" t="s">
        <v>78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47" t="s">
        <v>53</v>
      </c>
    </row>
    <row r="28" spans="1:16" ht="12">
      <c r="A28" s="126">
        <f>A27+1</f>
        <v>18</v>
      </c>
      <c r="B28" s="134" t="s">
        <v>79</v>
      </c>
      <c r="C28" s="132"/>
      <c r="D28" s="132">
        <f>AVERAGE(C11:D11)*(D22*D25/360)*1000</f>
        <v>489637.8969011678</v>
      </c>
      <c r="E28" s="132">
        <f>AVERAGE(D11:E11)*(E22*E25/360)*1000</f>
        <v>435571.2130623502</v>
      </c>
      <c r="F28" s="132">
        <f aca="true" t="shared" si="8" ref="F28:O28">AVERAGE(E11:F11)*(F22*F25/360)*1000</f>
        <v>474648.41537642974</v>
      </c>
      <c r="G28" s="132">
        <f t="shared" si="8"/>
        <v>451572.43975300074</v>
      </c>
      <c r="H28" s="132">
        <f t="shared" si="8"/>
        <v>458527.39692608215</v>
      </c>
      <c r="I28" s="132">
        <f t="shared" si="8"/>
        <v>435874.2297514295</v>
      </c>
      <c r="J28" s="132">
        <f t="shared" si="8"/>
        <v>442108.3016116009</v>
      </c>
      <c r="K28" s="132">
        <f t="shared" si="8"/>
        <v>433293.58633177215</v>
      </c>
      <c r="L28" s="132">
        <f t="shared" si="8"/>
        <v>410506.10773549386</v>
      </c>
      <c r="M28" s="132">
        <f t="shared" si="8"/>
        <v>415051.19420514273</v>
      </c>
      <c r="N28" s="132">
        <f t="shared" si="8"/>
        <v>393298.8225722718</v>
      </c>
      <c r="O28" s="132">
        <f t="shared" si="8"/>
        <v>398569.1190673387</v>
      </c>
      <c r="P28" s="133">
        <f>SUM(D28:O28)</f>
        <v>5238658.72329408</v>
      </c>
    </row>
    <row r="29" spans="1:16" ht="12">
      <c r="A29" s="126">
        <f>A28+1</f>
        <v>19</v>
      </c>
      <c r="B29" s="134" t="s">
        <v>80</v>
      </c>
      <c r="C29" s="134"/>
      <c r="D29" s="132">
        <f>AVERAGE(C12:D12)*(D23*D25/360)*1000</f>
        <v>588125.78054546</v>
      </c>
      <c r="E29" s="132">
        <f aca="true" t="shared" si="9" ref="E29:O29">AVERAGE(D12:E12)*(E23*E25/360)*1000</f>
        <v>524528.0111926785</v>
      </c>
      <c r="F29" s="132">
        <f t="shared" si="9"/>
        <v>573136.2990207219</v>
      </c>
      <c r="G29" s="132">
        <f t="shared" si="9"/>
        <v>546883.2948926383</v>
      </c>
      <c r="H29" s="132">
        <f t="shared" si="9"/>
        <v>557015.2805703743</v>
      </c>
      <c r="I29" s="132">
        <f t="shared" si="9"/>
        <v>531185.084891067</v>
      </c>
      <c r="J29" s="132">
        <f t="shared" si="9"/>
        <v>540596.185255893</v>
      </c>
      <c r="K29" s="132">
        <f t="shared" si="9"/>
        <v>531781.4699760643</v>
      </c>
      <c r="L29" s="132">
        <f t="shared" si="9"/>
        <v>505816.96287513134</v>
      </c>
      <c r="M29" s="132">
        <f t="shared" si="9"/>
        <v>513539.077849435</v>
      </c>
      <c r="N29" s="132">
        <f t="shared" si="9"/>
        <v>488609.6777119094</v>
      </c>
      <c r="O29" s="132">
        <f t="shared" si="9"/>
        <v>497057.00271163083</v>
      </c>
      <c r="P29" s="133">
        <f>SUM(D29:O29)</f>
        <v>6398274.127493004</v>
      </c>
    </row>
    <row r="30" spans="1:16" ht="12.75" thickBot="1">
      <c r="A30" s="126">
        <f>A29+1</f>
        <v>20</v>
      </c>
      <c r="B30" s="148" t="s">
        <v>81</v>
      </c>
      <c r="C30" s="134"/>
      <c r="D30" s="149">
        <f>SUM(D28:D29)</f>
        <v>1077763.6774466278</v>
      </c>
      <c r="E30" s="149">
        <f aca="true" t="shared" si="10" ref="E30:O30">SUM(E28:E29)</f>
        <v>960099.2242550286</v>
      </c>
      <c r="F30" s="149">
        <f t="shared" si="10"/>
        <v>1047784.7143971517</v>
      </c>
      <c r="G30" s="149">
        <f t="shared" si="10"/>
        <v>998455.7346456391</v>
      </c>
      <c r="H30" s="149">
        <f t="shared" si="10"/>
        <v>1015542.6774964565</v>
      </c>
      <c r="I30" s="149">
        <f t="shared" si="10"/>
        <v>967059.3146424965</v>
      </c>
      <c r="J30" s="149">
        <f t="shared" si="10"/>
        <v>982704.486867494</v>
      </c>
      <c r="K30" s="149">
        <f t="shared" si="10"/>
        <v>965075.0563078364</v>
      </c>
      <c r="L30" s="149">
        <f t="shared" si="10"/>
        <v>916323.0706106252</v>
      </c>
      <c r="M30" s="149">
        <f t="shared" si="10"/>
        <v>928590.2720545777</v>
      </c>
      <c r="N30" s="149">
        <f t="shared" si="10"/>
        <v>881908.5002841812</v>
      </c>
      <c r="O30" s="149">
        <f t="shared" si="10"/>
        <v>895626.1217789695</v>
      </c>
      <c r="P30" s="150">
        <f>SUM(D30:O30)</f>
        <v>11636932.850787085</v>
      </c>
    </row>
    <row r="31" spans="1:16" ht="5.25" customHeight="1" thickTop="1">
      <c r="A31" s="12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6"/>
    </row>
    <row r="32" spans="1:18" ht="12">
      <c r="A32" s="126">
        <f>A30+1</f>
        <v>21</v>
      </c>
      <c r="B32" s="123" t="s">
        <v>82</v>
      </c>
      <c r="C32" s="140"/>
      <c r="D32" s="151">
        <f>(+D30/1000)/((D13+C13)/2)*(360/D25)</f>
        <v>0.05449504294880483</v>
      </c>
      <c r="E32" s="151">
        <f aca="true" t="shared" si="11" ref="E32:O32">(+E30/1000)/((E13+D13)/2)*(360/E25)</f>
        <v>0.05374687738762432</v>
      </c>
      <c r="F32" s="151">
        <f t="shared" si="11"/>
        <v>0.05297921446698745</v>
      </c>
      <c r="G32" s="151">
        <f t="shared" si="11"/>
        <v>0.05216782267760059</v>
      </c>
      <c r="H32" s="151">
        <f t="shared" si="11"/>
        <v>0.05134895801798281</v>
      </c>
      <c r="I32" s="151">
        <f t="shared" si="11"/>
        <v>0.050527406568401004</v>
      </c>
      <c r="J32" s="151">
        <f t="shared" si="11"/>
        <v>0.049688558204801156</v>
      </c>
      <c r="K32" s="151">
        <f t="shared" si="11"/>
        <v>0.04879716002947242</v>
      </c>
      <c r="L32" s="151">
        <f t="shared" si="11"/>
        <v>0.04787651350410156</v>
      </c>
      <c r="M32" s="151">
        <f t="shared" si="11"/>
        <v>0.04695237723852734</v>
      </c>
      <c r="N32" s="151">
        <f t="shared" si="11"/>
        <v>0.04607840354286935</v>
      </c>
      <c r="O32" s="151">
        <f t="shared" si="11"/>
        <v>0.045285608518601646</v>
      </c>
      <c r="P32" s="151">
        <f>ROUND(P30/(P8*1000),4)</f>
        <v>0.0507</v>
      </c>
      <c r="R32" s="151"/>
    </row>
    <row r="33" spans="1:16" ht="4.5" customHeight="1">
      <c r="A33" s="126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6"/>
    </row>
    <row r="34" spans="1:16" ht="12">
      <c r="A34" s="126">
        <f>A32+1</f>
        <v>22</v>
      </c>
      <c r="B34" s="130" t="s">
        <v>83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6"/>
    </row>
    <row r="35" spans="1:16" ht="12">
      <c r="A35" s="126">
        <f>A34+1</f>
        <v>23</v>
      </c>
      <c r="B35" s="134" t="s">
        <v>84</v>
      </c>
      <c r="C35" s="131">
        <v>800000</v>
      </c>
      <c r="D35" s="131">
        <f>C35</f>
        <v>800000</v>
      </c>
      <c r="E35" s="131">
        <f aca="true" t="shared" si="12" ref="E35:O35">D35</f>
        <v>800000</v>
      </c>
      <c r="F35" s="131">
        <f t="shared" si="12"/>
        <v>800000</v>
      </c>
      <c r="G35" s="131">
        <f t="shared" si="12"/>
        <v>800000</v>
      </c>
      <c r="H35" s="131">
        <f t="shared" si="12"/>
        <v>800000</v>
      </c>
      <c r="I35" s="131">
        <f t="shared" si="12"/>
        <v>800000</v>
      </c>
      <c r="J35" s="131">
        <f t="shared" si="12"/>
        <v>800000</v>
      </c>
      <c r="K35" s="131">
        <f t="shared" si="12"/>
        <v>800000</v>
      </c>
      <c r="L35" s="131">
        <f t="shared" si="12"/>
        <v>800000</v>
      </c>
      <c r="M35" s="131">
        <f t="shared" si="12"/>
        <v>800000</v>
      </c>
      <c r="N35" s="131">
        <f t="shared" si="12"/>
        <v>800000</v>
      </c>
      <c r="O35" s="131">
        <f t="shared" si="12"/>
        <v>800000</v>
      </c>
      <c r="P35" s="146"/>
    </row>
    <row r="36" spans="1:16" ht="12">
      <c r="A36" s="126">
        <f>A35+1</f>
        <v>24</v>
      </c>
      <c r="B36" s="134" t="s">
        <v>85</v>
      </c>
      <c r="C36" s="132">
        <f>C12+C44</f>
        <v>114835.8145</v>
      </c>
      <c r="D36" s="132">
        <f>D12+D44</f>
        <v>114835.8145</v>
      </c>
      <c r="E36" s="132">
        <f aca="true" t="shared" si="13" ref="E36:O36">E12+E44</f>
        <v>114835.8145</v>
      </c>
      <c r="F36" s="132">
        <f t="shared" si="13"/>
        <v>114835.8145</v>
      </c>
      <c r="G36" s="132">
        <f t="shared" si="13"/>
        <v>114835.8145</v>
      </c>
      <c r="H36" s="132">
        <f t="shared" si="13"/>
        <v>114835.8145</v>
      </c>
      <c r="I36" s="132">
        <f t="shared" si="13"/>
        <v>114835.8145</v>
      </c>
      <c r="J36" s="132">
        <f t="shared" si="13"/>
        <v>114835.8145</v>
      </c>
      <c r="K36" s="132">
        <f t="shared" si="13"/>
        <v>114835.8145</v>
      </c>
      <c r="L36" s="132">
        <f t="shared" si="13"/>
        <v>114835.8145</v>
      </c>
      <c r="M36" s="132">
        <f t="shared" si="13"/>
        <v>114835.8145</v>
      </c>
      <c r="N36" s="132">
        <f t="shared" si="13"/>
        <v>114835.8145</v>
      </c>
      <c r="O36" s="132">
        <f t="shared" si="13"/>
        <v>114835.8145</v>
      </c>
      <c r="P36" s="146"/>
    </row>
    <row r="37" spans="1:16" ht="12">
      <c r="A37" s="126">
        <f>A36+1</f>
        <v>25</v>
      </c>
      <c r="B37" s="152" t="s">
        <v>86</v>
      </c>
      <c r="C37" s="153">
        <f>C35-C36</f>
        <v>685164.1855</v>
      </c>
      <c r="D37" s="153">
        <f aca="true" t="shared" si="14" ref="D37:O37">D35-D36</f>
        <v>685164.1855</v>
      </c>
      <c r="E37" s="153">
        <f t="shared" si="14"/>
        <v>685164.1855</v>
      </c>
      <c r="F37" s="153">
        <f t="shared" si="14"/>
        <v>685164.1855</v>
      </c>
      <c r="G37" s="153">
        <f t="shared" si="14"/>
        <v>685164.1855</v>
      </c>
      <c r="H37" s="153">
        <f t="shared" si="14"/>
        <v>685164.1855</v>
      </c>
      <c r="I37" s="153">
        <f t="shared" si="14"/>
        <v>685164.1855</v>
      </c>
      <c r="J37" s="153">
        <f t="shared" si="14"/>
        <v>685164.1855</v>
      </c>
      <c r="K37" s="153">
        <f t="shared" si="14"/>
        <v>685164.1855</v>
      </c>
      <c r="L37" s="153">
        <f t="shared" si="14"/>
        <v>685164.1855</v>
      </c>
      <c r="M37" s="153">
        <f t="shared" si="14"/>
        <v>685164.1855</v>
      </c>
      <c r="N37" s="153">
        <f t="shared" si="14"/>
        <v>685164.1855</v>
      </c>
      <c r="O37" s="153">
        <f t="shared" si="14"/>
        <v>685164.1855</v>
      </c>
      <c r="P37" s="146"/>
    </row>
    <row r="38" spans="1:16" ht="4.5" customHeight="1">
      <c r="A38" s="126"/>
      <c r="B38" s="137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46"/>
    </row>
    <row r="39" spans="1:16" ht="12">
      <c r="A39" s="126">
        <f>A37+1</f>
        <v>26</v>
      </c>
      <c r="B39" s="130" t="s">
        <v>87</v>
      </c>
      <c r="C39" s="154" t="s">
        <v>11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6"/>
    </row>
    <row r="40" spans="1:16" ht="12">
      <c r="A40" s="126">
        <f>A39+1</f>
        <v>27</v>
      </c>
      <c r="B40" s="144" t="s">
        <v>88</v>
      </c>
      <c r="C40" s="276">
        <v>0.00175</v>
      </c>
      <c r="D40" s="132">
        <f>AVERAGE(C37:D37)*($C40*D$25/360)*1000</f>
        <v>103250.4362871528</v>
      </c>
      <c r="E40" s="132">
        <f aca="true" t="shared" si="15" ref="E40:O40">AVERAGE(D37:E37)*($C40*E$25/360)*1000</f>
        <v>93258.45858194445</v>
      </c>
      <c r="F40" s="132">
        <f t="shared" si="15"/>
        <v>103250.4362871528</v>
      </c>
      <c r="G40" s="132">
        <f t="shared" si="15"/>
        <v>99919.77705208333</v>
      </c>
      <c r="H40" s="132">
        <f t="shared" si="15"/>
        <v>103250.4362871528</v>
      </c>
      <c r="I40" s="132">
        <f t="shared" si="15"/>
        <v>99919.77705208333</v>
      </c>
      <c r="J40" s="132">
        <f t="shared" si="15"/>
        <v>103250.4362871528</v>
      </c>
      <c r="K40" s="132">
        <f t="shared" si="15"/>
        <v>103250.4362871528</v>
      </c>
      <c r="L40" s="132">
        <f t="shared" si="15"/>
        <v>99919.77705208333</v>
      </c>
      <c r="M40" s="132">
        <f t="shared" si="15"/>
        <v>103250.4362871528</v>
      </c>
      <c r="N40" s="132">
        <f t="shared" si="15"/>
        <v>99919.77705208333</v>
      </c>
      <c r="O40" s="132">
        <f t="shared" si="15"/>
        <v>103250.4362871528</v>
      </c>
      <c r="P40" s="133">
        <f>SUM(D40:O40)</f>
        <v>1215690.6208003473</v>
      </c>
    </row>
    <row r="41" spans="1:18" ht="12.75" thickBot="1">
      <c r="A41" s="126">
        <f>A40+1</f>
        <v>28</v>
      </c>
      <c r="B41" s="148" t="s">
        <v>89</v>
      </c>
      <c r="C41" s="155"/>
      <c r="D41" s="156">
        <f aca="true" t="shared" si="16" ref="D41:O41">SUM(D40:D40)</f>
        <v>103250.4362871528</v>
      </c>
      <c r="E41" s="156">
        <f t="shared" si="16"/>
        <v>93258.45858194445</v>
      </c>
      <c r="F41" s="156">
        <f t="shared" si="16"/>
        <v>103250.4362871528</v>
      </c>
      <c r="G41" s="156">
        <f t="shared" si="16"/>
        <v>99919.77705208333</v>
      </c>
      <c r="H41" s="156">
        <f t="shared" si="16"/>
        <v>103250.4362871528</v>
      </c>
      <c r="I41" s="156">
        <f t="shared" si="16"/>
        <v>99919.77705208333</v>
      </c>
      <c r="J41" s="156">
        <f t="shared" si="16"/>
        <v>103250.4362871528</v>
      </c>
      <c r="K41" s="156">
        <f t="shared" si="16"/>
        <v>103250.4362871528</v>
      </c>
      <c r="L41" s="156">
        <f t="shared" si="16"/>
        <v>99919.77705208333</v>
      </c>
      <c r="M41" s="156">
        <f t="shared" si="16"/>
        <v>103250.4362871528</v>
      </c>
      <c r="N41" s="156">
        <f t="shared" si="16"/>
        <v>99919.77705208333</v>
      </c>
      <c r="O41" s="156">
        <f t="shared" si="16"/>
        <v>103250.4362871528</v>
      </c>
      <c r="P41" s="150">
        <f>SUM(D41:O41)</f>
        <v>1215690.6208003473</v>
      </c>
      <c r="R41" s="157"/>
    </row>
    <row r="42" spans="1:16" ht="6" customHeight="1" thickTop="1">
      <c r="A42" s="126"/>
      <c r="B42" s="158"/>
      <c r="C42" s="159"/>
      <c r="D42" s="159"/>
      <c r="E42" s="159"/>
      <c r="F42" s="159"/>
      <c r="G42" s="159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16" ht="12" customHeight="1">
      <c r="A43" s="126">
        <f>A41+1</f>
        <v>29</v>
      </c>
      <c r="B43" s="130" t="s">
        <v>90</v>
      </c>
      <c r="C43" s="160"/>
      <c r="D43" s="159"/>
      <c r="E43" s="159"/>
      <c r="F43" s="159"/>
      <c r="G43" s="159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 ht="12" customHeight="1">
      <c r="A44" s="126">
        <f>A43+1</f>
        <v>30</v>
      </c>
      <c r="B44" s="134" t="s">
        <v>91</v>
      </c>
      <c r="C44" s="160"/>
      <c r="D44" s="262">
        <v>0</v>
      </c>
      <c r="E44" s="262">
        <v>0</v>
      </c>
      <c r="F44" s="262">
        <v>0</v>
      </c>
      <c r="G44" s="262">
        <v>0</v>
      </c>
      <c r="H44" s="262">
        <v>0</v>
      </c>
      <c r="I44" s="262">
        <v>0</v>
      </c>
      <c r="J44" s="262">
        <v>0</v>
      </c>
      <c r="K44" s="262">
        <v>0</v>
      </c>
      <c r="L44" s="262">
        <v>0</v>
      </c>
      <c r="M44" s="262">
        <v>0</v>
      </c>
      <c r="N44" s="262">
        <v>0</v>
      </c>
      <c r="O44" s="262">
        <v>0</v>
      </c>
      <c r="P44" s="123"/>
    </row>
    <row r="45" spans="1:16" ht="12" customHeight="1">
      <c r="A45" s="126">
        <f>A44+1</f>
        <v>31</v>
      </c>
      <c r="B45" s="134" t="s">
        <v>145</v>
      </c>
      <c r="C45" s="160"/>
      <c r="D45" s="249">
        <f>'[7]NGX 2023 '!$J$36/1000</f>
        <v>28000</v>
      </c>
      <c r="E45" s="249">
        <f>'[7]NGX 2023 '!$J$39/1000</f>
        <v>28000</v>
      </c>
      <c r="F45" s="249">
        <f>'[7]NGX 2023 '!$J$43/1000</f>
        <v>22393.939393939396</v>
      </c>
      <c r="G45" s="249">
        <f>'[7]NGX 2023 '!$J$49/1000</f>
        <v>9892.857142857143</v>
      </c>
      <c r="H45" s="261">
        <f>'[7]NGX 2023 '!$J$54/1000</f>
        <v>17612.90322580645</v>
      </c>
      <c r="I45" s="261">
        <f>'[7]NGX 2023 '!$J$61/1000</f>
        <v>9676.470588235294</v>
      </c>
      <c r="J45" s="261">
        <f>'[7]NGX 2023 '!$J$65/1000</f>
        <v>7857.142857142857</v>
      </c>
      <c r="K45" s="261">
        <f>'[7]NGX 2023 '!$J$68/1000</f>
        <v>11000</v>
      </c>
      <c r="L45" s="261">
        <f>'[7]NGX 2023 '!$J$72/1000</f>
        <v>8290.322580645161</v>
      </c>
      <c r="M45" s="261">
        <f>'[7]NGX 2023 '!$J$76/1000</f>
        <v>4290.322580645162</v>
      </c>
      <c r="N45" s="261">
        <f>'[7]NGX 2023 '!$J$80/1000</f>
        <v>4000</v>
      </c>
      <c r="O45" s="261">
        <f>'[7]NGX 2023 '!$J$84/1000</f>
        <v>4000</v>
      </c>
      <c r="P45" s="123"/>
    </row>
    <row r="46" spans="1:16" ht="12" customHeight="1">
      <c r="A46" s="126">
        <f>A45+1</f>
        <v>32</v>
      </c>
      <c r="B46" s="134" t="s">
        <v>146</v>
      </c>
      <c r="C46" s="160"/>
      <c r="D46" s="249">
        <f>40000000/1000</f>
        <v>40000</v>
      </c>
      <c r="E46" s="249">
        <f aca="true" t="shared" si="17" ref="E46:O46">40000000/1000</f>
        <v>40000</v>
      </c>
      <c r="F46" s="249">
        <f t="shared" si="17"/>
        <v>40000</v>
      </c>
      <c r="G46" s="249">
        <f t="shared" si="17"/>
        <v>40000</v>
      </c>
      <c r="H46" s="249">
        <f t="shared" si="17"/>
        <v>40000</v>
      </c>
      <c r="I46" s="249">
        <f t="shared" si="17"/>
        <v>40000</v>
      </c>
      <c r="J46" s="249">
        <f t="shared" si="17"/>
        <v>40000</v>
      </c>
      <c r="K46" s="249">
        <f t="shared" si="17"/>
        <v>40000</v>
      </c>
      <c r="L46" s="249">
        <f t="shared" si="17"/>
        <v>40000</v>
      </c>
      <c r="M46" s="249">
        <f t="shared" si="17"/>
        <v>40000</v>
      </c>
      <c r="N46" s="249">
        <f t="shared" si="17"/>
        <v>40000</v>
      </c>
      <c r="O46" s="249">
        <f t="shared" si="17"/>
        <v>40000</v>
      </c>
      <c r="P46" s="123"/>
    </row>
    <row r="47" spans="1:16" ht="12" customHeight="1">
      <c r="A47" s="126">
        <f>A46+1</f>
        <v>33</v>
      </c>
      <c r="B47" s="134" t="s">
        <v>92</v>
      </c>
      <c r="C47" s="160"/>
      <c r="D47" s="131">
        <f aca="true" t="shared" si="18" ref="D47:I47">1937250/1000</f>
        <v>1937.25</v>
      </c>
      <c r="E47" s="131">
        <f t="shared" si="18"/>
        <v>1937.25</v>
      </c>
      <c r="F47" s="131">
        <f t="shared" si="18"/>
        <v>1937.25</v>
      </c>
      <c r="G47" s="131">
        <f t="shared" si="18"/>
        <v>1937.25</v>
      </c>
      <c r="H47" s="131">
        <f t="shared" si="18"/>
        <v>1937.25</v>
      </c>
      <c r="I47" s="131">
        <f t="shared" si="18"/>
        <v>1937.25</v>
      </c>
      <c r="J47" s="131">
        <f aca="true" t="shared" si="19" ref="J47:O47">1737375/1000</f>
        <v>1737.375</v>
      </c>
      <c r="K47" s="131">
        <f t="shared" si="19"/>
        <v>1737.375</v>
      </c>
      <c r="L47" s="131">
        <f t="shared" si="19"/>
        <v>1737.375</v>
      </c>
      <c r="M47" s="131">
        <f t="shared" si="19"/>
        <v>1737.375</v>
      </c>
      <c r="N47" s="131">
        <f t="shared" si="19"/>
        <v>1737.375</v>
      </c>
      <c r="O47" s="131">
        <f t="shared" si="19"/>
        <v>1737.375</v>
      </c>
      <c r="P47" s="123"/>
    </row>
    <row r="48" spans="1:16" ht="5.25" customHeight="1">
      <c r="A48" s="126"/>
      <c r="B48" s="130"/>
      <c r="C48" s="160"/>
      <c r="D48" s="159"/>
      <c r="E48" s="159"/>
      <c r="F48" s="159"/>
      <c r="G48" s="159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16" ht="12" customHeight="1">
      <c r="A49" s="126">
        <f>A47+1</f>
        <v>34</v>
      </c>
      <c r="B49" s="134" t="s">
        <v>91</v>
      </c>
      <c r="C49" s="276">
        <v>0.01</v>
      </c>
      <c r="D49" s="131">
        <f>D44*($C49*D$25/360)*1000</f>
        <v>0</v>
      </c>
      <c r="E49" s="131">
        <f aca="true" t="shared" si="20" ref="E49:O52">E44*($C49*E$25/360)*1000</f>
        <v>0</v>
      </c>
      <c r="F49" s="131">
        <f t="shared" si="20"/>
        <v>0</v>
      </c>
      <c r="G49" s="131">
        <f t="shared" si="20"/>
        <v>0</v>
      </c>
      <c r="H49" s="131">
        <f t="shared" si="20"/>
        <v>0</v>
      </c>
      <c r="I49" s="131">
        <f t="shared" si="20"/>
        <v>0</v>
      </c>
      <c r="J49" s="131">
        <f t="shared" si="20"/>
        <v>0</v>
      </c>
      <c r="K49" s="131">
        <f t="shared" si="20"/>
        <v>0</v>
      </c>
      <c r="L49" s="131">
        <f t="shared" si="20"/>
        <v>0</v>
      </c>
      <c r="M49" s="131">
        <f t="shared" si="20"/>
        <v>0</v>
      </c>
      <c r="N49" s="131">
        <f t="shared" si="20"/>
        <v>0</v>
      </c>
      <c r="O49" s="131">
        <f t="shared" si="20"/>
        <v>0</v>
      </c>
      <c r="P49" s="133"/>
    </row>
    <row r="50" spans="1:18" ht="12" customHeight="1">
      <c r="A50" s="126">
        <f>A49+1</f>
        <v>35</v>
      </c>
      <c r="B50" s="134" t="s">
        <v>145</v>
      </c>
      <c r="C50" s="276">
        <v>0.00625</v>
      </c>
      <c r="D50" s="124">
        <f>D45*($C50*D$25/360)*1000</f>
        <v>15069.444444444445</v>
      </c>
      <c r="E50" s="124">
        <f t="shared" si="20"/>
        <v>13611.111111111113</v>
      </c>
      <c r="F50" s="124">
        <f t="shared" si="20"/>
        <v>12052.29377104377</v>
      </c>
      <c r="G50" s="124">
        <f t="shared" si="20"/>
        <v>5152.5297619047615</v>
      </c>
      <c r="H50" s="124">
        <f t="shared" si="20"/>
        <v>9479.166666666666</v>
      </c>
      <c r="I50" s="124">
        <f t="shared" si="20"/>
        <v>5039.828431372548</v>
      </c>
      <c r="J50" s="124">
        <f t="shared" si="20"/>
        <v>4228.670634920634</v>
      </c>
      <c r="K50" s="124">
        <f t="shared" si="20"/>
        <v>5920.13888888889</v>
      </c>
      <c r="L50" s="124">
        <f t="shared" si="20"/>
        <v>4317.876344086021</v>
      </c>
      <c r="M50" s="124">
        <f t="shared" si="20"/>
        <v>2309.0277777777783</v>
      </c>
      <c r="N50" s="124">
        <f t="shared" si="20"/>
        <v>2083.3333333333335</v>
      </c>
      <c r="O50" s="124">
        <f t="shared" si="20"/>
        <v>2152.777777777778</v>
      </c>
      <c r="R50" s="157"/>
    </row>
    <row r="51" spans="1:18" ht="13.5" customHeight="1">
      <c r="A51" s="126">
        <f>A50+1</f>
        <v>36</v>
      </c>
      <c r="B51" s="134" t="s">
        <v>146</v>
      </c>
      <c r="C51" s="276">
        <v>0.0075</v>
      </c>
      <c r="D51" s="124">
        <f>D46*($C51*D$25/360)*1000</f>
        <v>25833.333333333332</v>
      </c>
      <c r="E51" s="124">
        <f t="shared" si="20"/>
        <v>23333.333333333332</v>
      </c>
      <c r="F51" s="124">
        <f t="shared" si="20"/>
        <v>25833.333333333332</v>
      </c>
      <c r="G51" s="124">
        <f t="shared" si="20"/>
        <v>24999.999999999996</v>
      </c>
      <c r="H51" s="124">
        <f t="shared" si="20"/>
        <v>25833.333333333332</v>
      </c>
      <c r="I51" s="124">
        <f t="shared" si="20"/>
        <v>24999.999999999996</v>
      </c>
      <c r="J51" s="124">
        <f t="shared" si="20"/>
        <v>25833.333333333332</v>
      </c>
      <c r="K51" s="124">
        <f t="shared" si="20"/>
        <v>25833.333333333332</v>
      </c>
      <c r="L51" s="124">
        <f t="shared" si="20"/>
        <v>24999.999999999996</v>
      </c>
      <c r="M51" s="124">
        <f t="shared" si="20"/>
        <v>25833.333333333332</v>
      </c>
      <c r="N51" s="124">
        <f t="shared" si="20"/>
        <v>24999.999999999996</v>
      </c>
      <c r="O51" s="124">
        <f t="shared" si="20"/>
        <v>25833.333333333332</v>
      </c>
      <c r="R51" s="157"/>
    </row>
    <row r="52" spans="1:18" ht="12" customHeight="1">
      <c r="A52" s="126">
        <f>A51+1</f>
        <v>37</v>
      </c>
      <c r="B52" s="134" t="s">
        <v>92</v>
      </c>
      <c r="C52" s="276">
        <v>0.01</v>
      </c>
      <c r="D52" s="131">
        <f>D47*($C52*D$25/360)*1000</f>
        <v>1668.1875</v>
      </c>
      <c r="E52" s="131">
        <f t="shared" si="20"/>
        <v>1506.75</v>
      </c>
      <c r="F52" s="131">
        <f t="shared" si="20"/>
        <v>1668.1875</v>
      </c>
      <c r="G52" s="131">
        <f t="shared" si="20"/>
        <v>1614.375</v>
      </c>
      <c r="H52" s="131">
        <f t="shared" si="20"/>
        <v>1668.1875</v>
      </c>
      <c r="I52" s="131">
        <f t="shared" si="20"/>
        <v>1614.375</v>
      </c>
      <c r="J52" s="131">
        <f t="shared" si="20"/>
        <v>1496.0729166666667</v>
      </c>
      <c r="K52" s="131">
        <f t="shared" si="20"/>
        <v>1496.0729166666667</v>
      </c>
      <c r="L52" s="131">
        <f t="shared" si="20"/>
        <v>1447.8125</v>
      </c>
      <c r="M52" s="131">
        <f t="shared" si="20"/>
        <v>1496.0729166666667</v>
      </c>
      <c r="N52" s="131">
        <f t="shared" si="20"/>
        <v>1447.8125</v>
      </c>
      <c r="O52" s="131">
        <f t="shared" si="20"/>
        <v>1496.0729166666667</v>
      </c>
      <c r="P52" s="133"/>
      <c r="R52" s="157"/>
    </row>
    <row r="53" spans="1:16" ht="12.75" customHeight="1" thickBot="1">
      <c r="A53" s="126">
        <f aca="true" t="shared" si="21" ref="A53:A70">A52+1</f>
        <v>38</v>
      </c>
      <c r="B53" s="148" t="s">
        <v>127</v>
      </c>
      <c r="C53" s="160"/>
      <c r="D53" s="156">
        <f>SUM(D49:D52)</f>
        <v>42570.96527777778</v>
      </c>
      <c r="E53" s="156">
        <f aca="true" t="shared" si="22" ref="E53:O53">SUM(E49:E52)</f>
        <v>38451.194444444445</v>
      </c>
      <c r="F53" s="156">
        <f t="shared" si="22"/>
        <v>39553.814604377105</v>
      </c>
      <c r="G53" s="156">
        <f t="shared" si="22"/>
        <v>31766.904761904756</v>
      </c>
      <c r="H53" s="156">
        <f t="shared" si="22"/>
        <v>36980.6875</v>
      </c>
      <c r="I53" s="156">
        <f t="shared" si="22"/>
        <v>31654.203431372545</v>
      </c>
      <c r="J53" s="156">
        <f t="shared" si="22"/>
        <v>31558.076884920632</v>
      </c>
      <c r="K53" s="156">
        <f t="shared" si="22"/>
        <v>33249.54513888889</v>
      </c>
      <c r="L53" s="156">
        <f t="shared" si="22"/>
        <v>30765.688844086017</v>
      </c>
      <c r="M53" s="156">
        <f t="shared" si="22"/>
        <v>29638.434027777777</v>
      </c>
      <c r="N53" s="156">
        <f t="shared" si="22"/>
        <v>28531.14583333333</v>
      </c>
      <c r="O53" s="156">
        <f t="shared" si="22"/>
        <v>29482.184027777777</v>
      </c>
      <c r="P53" s="150">
        <f>SUM(D53:O53)</f>
        <v>404202.844776661</v>
      </c>
    </row>
    <row r="54" spans="1:18" ht="12.75" customHeight="1" thickTop="1">
      <c r="A54" s="126">
        <f t="shared" si="21"/>
        <v>39</v>
      </c>
      <c r="B54" s="148"/>
      <c r="C54" s="161"/>
      <c r="D54" s="132"/>
      <c r="E54" s="132"/>
      <c r="F54" s="162"/>
      <c r="G54" s="132"/>
      <c r="H54" s="132"/>
      <c r="I54" s="132"/>
      <c r="J54" s="132"/>
      <c r="K54" s="132"/>
      <c r="L54" s="132"/>
      <c r="M54" s="132"/>
      <c r="N54" s="132"/>
      <c r="O54" s="277" t="s">
        <v>93</v>
      </c>
      <c r="P54" s="133">
        <f>P41+P53</f>
        <v>1619893.4655770082</v>
      </c>
      <c r="R54" s="157"/>
    </row>
    <row r="55" spans="1:18" ht="12.75" customHeight="1">
      <c r="A55" s="126">
        <f t="shared" si="21"/>
        <v>40</v>
      </c>
      <c r="B55" s="148"/>
      <c r="C55" s="16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277" t="s">
        <v>105</v>
      </c>
      <c r="P55" s="133">
        <f>'(R) Cost of Total Debt'!H43</f>
        <v>12682063258</v>
      </c>
      <c r="R55" s="157"/>
    </row>
    <row r="56" spans="1:16" ht="11.25" customHeight="1">
      <c r="A56" s="126">
        <f t="shared" si="21"/>
        <v>41</v>
      </c>
      <c r="B56" s="148"/>
      <c r="C56" s="16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277" t="s">
        <v>94</v>
      </c>
      <c r="P56" s="164">
        <f>ROUND(P54/P55,4)</f>
        <v>0.0001</v>
      </c>
    </row>
    <row r="57" spans="1:16" ht="12">
      <c r="A57" s="126">
        <f t="shared" si="21"/>
        <v>42</v>
      </c>
      <c r="B57" s="130" t="s">
        <v>123</v>
      </c>
      <c r="C57" s="159"/>
      <c r="D57" s="159"/>
      <c r="E57" s="159"/>
      <c r="F57" s="159"/>
      <c r="G57" s="159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20" ht="12">
      <c r="A58" s="126">
        <f t="shared" si="21"/>
        <v>43</v>
      </c>
      <c r="B58" s="144" t="s">
        <v>141</v>
      </c>
      <c r="C58" s="159"/>
      <c r="D58" s="131">
        <v>54030.38</v>
      </c>
      <c r="E58" s="131">
        <f>+D58</f>
        <v>54030.38</v>
      </c>
      <c r="F58" s="131">
        <f aca="true" t="shared" si="23" ref="F58:O58">+E58</f>
        <v>54030.38</v>
      </c>
      <c r="G58" s="131">
        <f t="shared" si="23"/>
        <v>54030.38</v>
      </c>
      <c r="H58" s="131">
        <f t="shared" si="23"/>
        <v>54030.38</v>
      </c>
      <c r="I58" s="131">
        <f t="shared" si="23"/>
        <v>54030.38</v>
      </c>
      <c r="J58" s="131">
        <f t="shared" si="23"/>
        <v>54030.38</v>
      </c>
      <c r="K58" s="131">
        <f t="shared" si="23"/>
        <v>54030.38</v>
      </c>
      <c r="L58" s="131">
        <f t="shared" si="23"/>
        <v>54030.38</v>
      </c>
      <c r="M58" s="131">
        <f t="shared" si="23"/>
        <v>54030.38</v>
      </c>
      <c r="N58" s="131">
        <f t="shared" si="23"/>
        <v>54030.38</v>
      </c>
      <c r="O58" s="131">
        <f t="shared" si="23"/>
        <v>54030.38</v>
      </c>
      <c r="P58" s="133">
        <f>SUM(D58:O58)</f>
        <v>648364.5599999999</v>
      </c>
      <c r="T58" s="244"/>
    </row>
    <row r="59" spans="1:18" ht="12" customHeight="1" thickBot="1">
      <c r="A59" s="126">
        <f t="shared" si="21"/>
        <v>44</v>
      </c>
      <c r="B59" s="148" t="s">
        <v>95</v>
      </c>
      <c r="C59" s="159"/>
      <c r="D59" s="165">
        <f aca="true" t="shared" si="24" ref="D59:O59">SUM(D58:D58)</f>
        <v>54030.38</v>
      </c>
      <c r="E59" s="165">
        <f t="shared" si="24"/>
        <v>54030.38</v>
      </c>
      <c r="F59" s="165">
        <f t="shared" si="24"/>
        <v>54030.38</v>
      </c>
      <c r="G59" s="165">
        <f t="shared" si="24"/>
        <v>54030.38</v>
      </c>
      <c r="H59" s="165">
        <f t="shared" si="24"/>
        <v>54030.38</v>
      </c>
      <c r="I59" s="165">
        <f t="shared" si="24"/>
        <v>54030.38</v>
      </c>
      <c r="J59" s="165">
        <f t="shared" si="24"/>
        <v>54030.38</v>
      </c>
      <c r="K59" s="165">
        <f t="shared" si="24"/>
        <v>54030.38</v>
      </c>
      <c r="L59" s="165">
        <f t="shared" si="24"/>
        <v>54030.38</v>
      </c>
      <c r="M59" s="165">
        <f t="shared" si="24"/>
        <v>54030.38</v>
      </c>
      <c r="N59" s="165">
        <f t="shared" si="24"/>
        <v>54030.38</v>
      </c>
      <c r="O59" s="165">
        <f t="shared" si="24"/>
        <v>54030.38</v>
      </c>
      <c r="P59" s="150">
        <f>SUM(D59:O59)</f>
        <v>648364.5599999999</v>
      </c>
      <c r="R59" s="157"/>
    </row>
    <row r="60" spans="1:18" ht="12" customHeight="1" thickTop="1">
      <c r="A60" s="126">
        <f t="shared" si="21"/>
        <v>45</v>
      </c>
      <c r="B60" s="148"/>
      <c r="C60" s="159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277" t="s">
        <v>105</v>
      </c>
      <c r="P60" s="133">
        <f>'(R) Cost of Total Debt'!$H$43</f>
        <v>12682063258</v>
      </c>
      <c r="R60" s="157"/>
    </row>
    <row r="61" spans="1:18" ht="12" customHeight="1">
      <c r="A61" s="126">
        <f t="shared" si="21"/>
        <v>46</v>
      </c>
      <c r="B61" s="148"/>
      <c r="C61" s="159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277" t="s">
        <v>96</v>
      </c>
      <c r="P61" s="164">
        <f>ROUND(P59/P60,4)</f>
        <v>0.0001</v>
      </c>
      <c r="R61" s="157"/>
    </row>
    <row r="62" spans="1:18" ht="12" customHeight="1">
      <c r="A62" s="126">
        <f t="shared" si="21"/>
        <v>47</v>
      </c>
      <c r="B62" s="148"/>
      <c r="C62" s="159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3"/>
      <c r="P62" s="164"/>
      <c r="R62" s="157"/>
    </row>
    <row r="63" spans="1:18" ht="12" customHeight="1">
      <c r="A63" s="126">
        <f t="shared" si="21"/>
        <v>48</v>
      </c>
      <c r="B63" s="130" t="s">
        <v>132</v>
      </c>
      <c r="C63" s="249">
        <v>6111360</v>
      </c>
      <c r="D63" s="250">
        <v>6111360</v>
      </c>
      <c r="E63" s="250">
        <v>6111360</v>
      </c>
      <c r="F63" s="250">
        <v>6111360</v>
      </c>
      <c r="G63" s="250">
        <v>6111360</v>
      </c>
      <c r="H63" s="250">
        <v>6111360</v>
      </c>
      <c r="I63" s="250">
        <v>6111360</v>
      </c>
      <c r="J63" s="250">
        <v>6111360</v>
      </c>
      <c r="K63" s="250">
        <v>6111360</v>
      </c>
      <c r="L63" s="250">
        <v>6111360</v>
      </c>
      <c r="M63" s="166">
        <v>6111360</v>
      </c>
      <c r="N63" s="166">
        <v>6111360</v>
      </c>
      <c r="O63" s="166">
        <v>6111360</v>
      </c>
      <c r="P63" s="251">
        <f>ROUND(((C63+O63)+(SUM(D63:N63)*2))/24,3)</f>
        <v>6111360</v>
      </c>
      <c r="R63" s="157"/>
    </row>
    <row r="64" spans="1:18" ht="12" customHeight="1" thickBot="1">
      <c r="A64" s="126">
        <f>A63+1</f>
        <v>49</v>
      </c>
      <c r="B64" s="148" t="s">
        <v>133</v>
      </c>
      <c r="C64" s="156">
        <f>C13+C63</f>
        <v>6341031.629</v>
      </c>
      <c r="D64" s="156">
        <f aca="true" t="shared" si="25" ref="D64:P64">D13+D63</f>
        <v>6341031.629</v>
      </c>
      <c r="E64" s="156">
        <f t="shared" si="25"/>
        <v>6341031.629</v>
      </c>
      <c r="F64" s="156">
        <f t="shared" si="25"/>
        <v>6341031.629</v>
      </c>
      <c r="G64" s="156">
        <f t="shared" si="25"/>
        <v>6341031.629</v>
      </c>
      <c r="H64" s="156">
        <f t="shared" si="25"/>
        <v>6341031.629</v>
      </c>
      <c r="I64" s="156">
        <f t="shared" si="25"/>
        <v>6341031.629</v>
      </c>
      <c r="J64" s="156">
        <f t="shared" si="25"/>
        <v>6341031.629</v>
      </c>
      <c r="K64" s="156">
        <f t="shared" si="25"/>
        <v>6341031.629</v>
      </c>
      <c r="L64" s="156">
        <f t="shared" si="25"/>
        <v>6341031.629</v>
      </c>
      <c r="M64" s="156">
        <f t="shared" si="25"/>
        <v>6341031.629</v>
      </c>
      <c r="N64" s="156">
        <f t="shared" si="25"/>
        <v>6341031.629</v>
      </c>
      <c r="O64" s="156">
        <f t="shared" si="25"/>
        <v>6341031.629</v>
      </c>
      <c r="P64" s="299">
        <f t="shared" si="25"/>
        <v>6341031.629</v>
      </c>
      <c r="R64" s="157"/>
    </row>
    <row r="65" spans="1:18" ht="12" customHeight="1" thickTop="1">
      <c r="A65" s="126">
        <f t="shared" si="21"/>
        <v>50</v>
      </c>
      <c r="B65" s="148"/>
      <c r="C65" s="159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3"/>
      <c r="P65" s="164"/>
      <c r="R65" s="157"/>
    </row>
    <row r="66" spans="1:18" ht="12" customHeight="1">
      <c r="A66" s="126">
        <f t="shared" si="21"/>
        <v>51</v>
      </c>
      <c r="B66" s="144" t="s">
        <v>136</v>
      </c>
      <c r="C66" s="159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3"/>
      <c r="P66" s="275">
        <f>+P13/P64*(1-CofCap!D22)</f>
        <v>0.01810995768808521</v>
      </c>
      <c r="R66" s="157"/>
    </row>
    <row r="67" spans="1:16" ht="12" customHeight="1">
      <c r="A67" s="126">
        <f t="shared" si="21"/>
        <v>52</v>
      </c>
      <c r="B67" s="144" t="s">
        <v>137</v>
      </c>
      <c r="P67" s="275">
        <f>+P63/P64*(1-CofCap!D22)</f>
        <v>0.4818900423119148</v>
      </c>
    </row>
    <row r="68" spans="1:16" ht="12" customHeight="1">
      <c r="A68" s="126">
        <f t="shared" si="21"/>
        <v>53</v>
      </c>
      <c r="B68" s="148" t="s">
        <v>135</v>
      </c>
      <c r="P68" s="275">
        <f>SUM(P66:P67)</f>
        <v>0.5</v>
      </c>
    </row>
    <row r="69" spans="1:16" ht="12" customHeight="1">
      <c r="A69" s="126">
        <f t="shared" si="21"/>
        <v>54</v>
      </c>
      <c r="B69" s="144"/>
      <c r="P69" s="41"/>
    </row>
    <row r="70" spans="1:2" ht="12" customHeight="1">
      <c r="A70" s="126">
        <f t="shared" si="21"/>
        <v>55</v>
      </c>
      <c r="B70" s="130" t="s">
        <v>128</v>
      </c>
    </row>
    <row r="71" spans="2:15" ht="12">
      <c r="B71" s="167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</sheetData>
  <sheetProtection/>
  <printOptions horizontalCentered="1"/>
  <pageMargins left="0.27" right="0.23" top="0.11" bottom="0" header="0.27" footer="0.27"/>
  <pageSetup horizontalDpi="600" verticalDpi="600" orientation="landscape" scale="70" r:id="rId1"/>
  <headerFooter alignWithMargins="0">
    <oddHeader>&amp;C
</oddHeader>
    <oddFooter>&amp;C&amp;A&amp;R&amp;"Times New Roman,Regular"Page 3 of 4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4">
      <selection activeCell="J40" sqref="J40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2" t="s">
        <v>67</v>
      </c>
      <c r="C1" s="83"/>
      <c r="D1" s="83"/>
      <c r="E1" s="83"/>
      <c r="F1" s="83"/>
      <c r="G1" s="82"/>
      <c r="H1" s="83"/>
      <c r="I1" s="83"/>
      <c r="J1" s="82"/>
      <c r="K1" s="83"/>
      <c r="L1" s="169"/>
    </row>
    <row r="2" spans="2:12" ht="12.75" customHeight="1">
      <c r="B2" s="82" t="s">
        <v>16</v>
      </c>
      <c r="C2" s="83"/>
      <c r="D2" s="83"/>
      <c r="E2" s="83"/>
      <c r="F2" s="83"/>
      <c r="G2" s="82"/>
      <c r="H2" s="83"/>
      <c r="I2" s="83"/>
      <c r="J2" s="82"/>
      <c r="K2" s="83"/>
      <c r="L2" s="169"/>
    </row>
    <row r="3" spans="2:12" ht="12.75" customHeight="1">
      <c r="B3" s="82" t="str">
        <f>'(R) Cost of Total Debt'!$B$3</f>
        <v>For The 12 Months Ended December 31, 2025</v>
      </c>
      <c r="C3" s="83"/>
      <c r="D3" s="83"/>
      <c r="E3" s="83"/>
      <c r="F3" s="83"/>
      <c r="G3" s="82"/>
      <c r="H3" s="83"/>
      <c r="I3" s="83"/>
      <c r="J3" s="82"/>
      <c r="K3" s="83"/>
      <c r="L3" s="169"/>
    </row>
    <row r="4" spans="2:12" ht="12.75" customHeight="1"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69"/>
    </row>
    <row r="5" spans="1:12" ht="12.75" customHeight="1">
      <c r="A5" s="172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3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69"/>
    </row>
    <row r="6" spans="1:12" ht="23.25" customHeight="1">
      <c r="A6" s="172">
        <f aca="true" t="shared" si="0" ref="A6:A27">A5+1</f>
        <v>2</v>
      </c>
      <c r="B6" s="174" t="s">
        <v>0</v>
      </c>
      <c r="C6" s="175" t="s">
        <v>9</v>
      </c>
      <c r="D6" s="176" t="s">
        <v>44</v>
      </c>
      <c r="E6" s="177" t="s">
        <v>50</v>
      </c>
      <c r="F6" s="177" t="s">
        <v>51</v>
      </c>
      <c r="G6" s="177" t="s">
        <v>51</v>
      </c>
      <c r="H6" s="177" t="s">
        <v>32</v>
      </c>
      <c r="I6" s="176" t="s">
        <v>62</v>
      </c>
      <c r="J6" s="177" t="s">
        <v>63</v>
      </c>
      <c r="K6" s="176" t="s">
        <v>10</v>
      </c>
      <c r="L6" s="169"/>
    </row>
    <row r="7" spans="1:12" ht="12.75" customHeight="1">
      <c r="A7" s="172">
        <f t="shared" si="0"/>
        <v>3</v>
      </c>
      <c r="B7" s="178" t="s">
        <v>9</v>
      </c>
      <c r="C7" s="179" t="s">
        <v>45</v>
      </c>
      <c r="D7" s="179" t="s">
        <v>45</v>
      </c>
      <c r="E7" s="179" t="s">
        <v>45</v>
      </c>
      <c r="F7" s="179" t="s">
        <v>9</v>
      </c>
      <c r="G7" s="179" t="s">
        <v>45</v>
      </c>
      <c r="H7" s="179" t="s">
        <v>52</v>
      </c>
      <c r="I7" s="180" t="s">
        <v>49</v>
      </c>
      <c r="J7" s="179" t="s">
        <v>64</v>
      </c>
      <c r="K7" s="179" t="s">
        <v>49</v>
      </c>
      <c r="L7" s="169"/>
    </row>
    <row r="8" ht="12.75" customHeight="1">
      <c r="A8" s="172">
        <f t="shared" si="0"/>
        <v>4</v>
      </c>
    </row>
    <row r="9" spans="1:13" ht="15" customHeight="1">
      <c r="A9" s="172">
        <f t="shared" si="0"/>
        <v>5</v>
      </c>
      <c r="B9" s="270" t="s">
        <v>46</v>
      </c>
      <c r="C9" s="271">
        <v>35587</v>
      </c>
      <c r="D9" s="271">
        <v>46539</v>
      </c>
      <c r="E9" s="271">
        <v>38504</v>
      </c>
      <c r="F9" s="271"/>
      <c r="G9" s="271"/>
      <c r="H9" s="272">
        <v>46539</v>
      </c>
      <c r="I9" s="182">
        <v>19150.350000000002</v>
      </c>
      <c r="J9" s="183">
        <v>12</v>
      </c>
      <c r="K9" s="182">
        <f>ROUND(I9*J9,2)</f>
        <v>229804.2</v>
      </c>
      <c r="M9" s="182"/>
    </row>
    <row r="10" spans="1:13" ht="15" customHeight="1">
      <c r="A10" s="172">
        <f t="shared" si="0"/>
        <v>6</v>
      </c>
      <c r="B10" s="273" t="s">
        <v>20</v>
      </c>
      <c r="C10" s="271">
        <v>33457</v>
      </c>
      <c r="D10" s="271">
        <f>DATE(2021,8,1)</f>
        <v>44409</v>
      </c>
      <c r="E10" s="274">
        <v>37691</v>
      </c>
      <c r="F10" s="274" t="s">
        <v>47</v>
      </c>
      <c r="G10" s="274">
        <v>37691</v>
      </c>
      <c r="H10" s="272">
        <v>47908</v>
      </c>
      <c r="I10" s="182">
        <v>3790.0400000000004</v>
      </c>
      <c r="J10" s="183">
        <v>12</v>
      </c>
      <c r="K10" s="182">
        <f aca="true" t="shared" si="1" ref="K10:K20">ROUND(I10*J10,2)</f>
        <v>45480.48</v>
      </c>
      <c r="M10" s="182"/>
    </row>
    <row r="11" spans="1:13" ht="15" customHeight="1">
      <c r="A11" s="172">
        <f t="shared" si="0"/>
        <v>7</v>
      </c>
      <c r="B11" s="273" t="s">
        <v>21</v>
      </c>
      <c r="C11" s="271">
        <v>33457</v>
      </c>
      <c r="D11" s="271">
        <f>DATE(2021,8,1)</f>
        <v>44409</v>
      </c>
      <c r="E11" s="274">
        <v>37691</v>
      </c>
      <c r="F11" s="274" t="s">
        <v>47</v>
      </c>
      <c r="G11" s="274">
        <v>37691</v>
      </c>
      <c r="H11" s="272">
        <v>47908</v>
      </c>
      <c r="I11" s="182">
        <v>2880.1200000000003</v>
      </c>
      <c r="J11" s="183">
        <v>12</v>
      </c>
      <c r="K11" s="182">
        <f t="shared" si="1"/>
        <v>34561.44</v>
      </c>
      <c r="M11" s="182"/>
    </row>
    <row r="12" spans="1:13" ht="15" customHeight="1">
      <c r="A12" s="172">
        <f t="shared" si="0"/>
        <v>8</v>
      </c>
      <c r="B12" s="273" t="s">
        <v>22</v>
      </c>
      <c r="C12" s="271">
        <v>33664</v>
      </c>
      <c r="D12" s="271">
        <f>DATE(2022,3,1)</f>
        <v>44621</v>
      </c>
      <c r="E12" s="274">
        <v>37691</v>
      </c>
      <c r="F12" s="274" t="s">
        <v>47</v>
      </c>
      <c r="G12" s="274">
        <v>37691</v>
      </c>
      <c r="H12" s="272">
        <v>47908</v>
      </c>
      <c r="I12" s="182">
        <v>8818.789999999999</v>
      </c>
      <c r="J12" s="183">
        <v>12</v>
      </c>
      <c r="K12" s="182">
        <f t="shared" si="1"/>
        <v>105825.48</v>
      </c>
      <c r="M12" s="182"/>
    </row>
    <row r="13" spans="1:13" ht="15" customHeight="1">
      <c r="A13" s="172">
        <f t="shared" si="0"/>
        <v>9</v>
      </c>
      <c r="B13" s="273" t="s">
        <v>23</v>
      </c>
      <c r="C13" s="271">
        <v>33664</v>
      </c>
      <c r="D13" s="271">
        <f>DATE(2022,3,1)</f>
        <v>44621</v>
      </c>
      <c r="E13" s="274">
        <v>37691</v>
      </c>
      <c r="F13" s="274" t="s">
        <v>47</v>
      </c>
      <c r="G13" s="274">
        <v>37691</v>
      </c>
      <c r="H13" s="272">
        <v>47908</v>
      </c>
      <c r="I13" s="182">
        <v>2691.48</v>
      </c>
      <c r="J13" s="183">
        <v>12</v>
      </c>
      <c r="K13" s="182">
        <f t="shared" si="1"/>
        <v>32297.76</v>
      </c>
      <c r="M13" s="182"/>
    </row>
    <row r="14" spans="1:13" ht="15" customHeight="1">
      <c r="A14" s="172">
        <f t="shared" si="0"/>
        <v>10</v>
      </c>
      <c r="B14" s="273" t="s">
        <v>56</v>
      </c>
      <c r="C14" s="271">
        <v>37691</v>
      </c>
      <c r="D14" s="271">
        <v>47908</v>
      </c>
      <c r="E14" s="274">
        <v>41449</v>
      </c>
      <c r="F14" s="274" t="s">
        <v>57</v>
      </c>
      <c r="G14" s="274">
        <v>41417</v>
      </c>
      <c r="H14" s="272">
        <v>47908</v>
      </c>
      <c r="I14" s="182">
        <v>24927.39</v>
      </c>
      <c r="J14" s="183">
        <v>12</v>
      </c>
      <c r="K14" s="182">
        <f t="shared" si="1"/>
        <v>299128.68</v>
      </c>
      <c r="M14" s="182"/>
    </row>
    <row r="15" spans="1:13" ht="15" customHeight="1">
      <c r="A15" s="172">
        <f t="shared" si="0"/>
        <v>11</v>
      </c>
      <c r="B15" s="273" t="s">
        <v>56</v>
      </c>
      <c r="C15" s="271">
        <v>37691</v>
      </c>
      <c r="D15" s="271">
        <v>47908</v>
      </c>
      <c r="E15" s="274">
        <v>41449</v>
      </c>
      <c r="F15" s="274" t="s">
        <v>57</v>
      </c>
      <c r="G15" s="274">
        <v>41417</v>
      </c>
      <c r="H15" s="272">
        <v>47908</v>
      </c>
      <c r="I15" s="182">
        <v>4212.7699999999995</v>
      </c>
      <c r="J15" s="183">
        <v>12</v>
      </c>
      <c r="K15" s="182">
        <f t="shared" si="1"/>
        <v>50553.24</v>
      </c>
      <c r="M15" s="182"/>
    </row>
    <row r="16" spans="1:11" ht="15" customHeight="1">
      <c r="A16" s="172">
        <f t="shared" si="0"/>
        <v>12</v>
      </c>
      <c r="B16" s="270" t="s">
        <v>42</v>
      </c>
      <c r="C16" s="271">
        <v>38183</v>
      </c>
      <c r="D16" s="271">
        <v>38913</v>
      </c>
      <c r="E16" s="271">
        <v>38499</v>
      </c>
      <c r="F16" s="271" t="s">
        <v>43</v>
      </c>
      <c r="G16" s="271">
        <v>38499</v>
      </c>
      <c r="H16" s="272">
        <v>49456</v>
      </c>
      <c r="I16" s="182">
        <v>1423.88</v>
      </c>
      <c r="J16" s="183">
        <v>12</v>
      </c>
      <c r="K16" s="182">
        <f t="shared" si="1"/>
        <v>17086.56</v>
      </c>
    </row>
    <row r="17" spans="1:11" ht="15" customHeight="1">
      <c r="A17" s="172">
        <f t="shared" si="0"/>
        <v>13</v>
      </c>
      <c r="B17" s="270" t="s">
        <v>18</v>
      </c>
      <c r="C17" s="271">
        <v>37035</v>
      </c>
      <c r="D17" s="271">
        <v>51682</v>
      </c>
      <c r="E17" s="271">
        <v>38898</v>
      </c>
      <c r="F17" s="271" t="s">
        <v>48</v>
      </c>
      <c r="G17" s="271">
        <v>38898</v>
      </c>
      <c r="H17" s="272">
        <v>49841</v>
      </c>
      <c r="I17" s="182">
        <v>16418.45</v>
      </c>
      <c r="J17" s="183">
        <v>12</v>
      </c>
      <c r="K17" s="182">
        <f t="shared" si="1"/>
        <v>197021.4</v>
      </c>
    </row>
    <row r="18" spans="1:11" ht="15" customHeight="1">
      <c r="A18" s="172">
        <f t="shared" si="0"/>
        <v>14</v>
      </c>
      <c r="B18" s="270" t="s">
        <v>54</v>
      </c>
      <c r="C18" s="271">
        <v>33117</v>
      </c>
      <c r="D18" s="271">
        <v>44075</v>
      </c>
      <c r="E18" s="271">
        <v>40900</v>
      </c>
      <c r="F18" s="271" t="s">
        <v>55</v>
      </c>
      <c r="G18" s="271">
        <v>40869</v>
      </c>
      <c r="H18" s="272">
        <v>55472</v>
      </c>
      <c r="I18" s="182">
        <v>33376.57</v>
      </c>
      <c r="J18" s="183">
        <v>12</v>
      </c>
      <c r="K18" s="182">
        <f t="shared" si="1"/>
        <v>400518.84</v>
      </c>
    </row>
    <row r="19" spans="1:11" ht="15" customHeight="1">
      <c r="A19" s="172">
        <f t="shared" si="0"/>
        <v>15</v>
      </c>
      <c r="B19" s="270" t="s">
        <v>58</v>
      </c>
      <c r="C19" s="271">
        <v>38637</v>
      </c>
      <c r="D19" s="271">
        <v>42278</v>
      </c>
      <c r="E19" s="271">
        <v>42160</v>
      </c>
      <c r="F19" s="271" t="s">
        <v>60</v>
      </c>
      <c r="G19" s="271">
        <v>42150</v>
      </c>
      <c r="H19" s="272">
        <v>53102</v>
      </c>
      <c r="I19" s="182">
        <v>6858.54</v>
      </c>
      <c r="J19" s="183">
        <v>12</v>
      </c>
      <c r="K19" s="182">
        <f t="shared" si="1"/>
        <v>82302.48</v>
      </c>
    </row>
    <row r="20" spans="1:11" ht="15" customHeight="1">
      <c r="A20" s="172">
        <f t="shared" si="0"/>
        <v>16</v>
      </c>
      <c r="B20" s="270" t="s">
        <v>59</v>
      </c>
      <c r="C20" s="271">
        <v>39836</v>
      </c>
      <c r="D20" s="271">
        <v>42384</v>
      </c>
      <c r="E20" s="271">
        <v>42160</v>
      </c>
      <c r="F20" s="271" t="s">
        <v>60</v>
      </c>
      <c r="G20" s="271">
        <v>42150</v>
      </c>
      <c r="H20" s="272">
        <v>53102</v>
      </c>
      <c r="I20" s="182">
        <v>26387.48</v>
      </c>
      <c r="J20" s="183">
        <v>12</v>
      </c>
      <c r="K20" s="182">
        <f t="shared" si="1"/>
        <v>316649.76</v>
      </c>
    </row>
    <row r="21" spans="1:11" ht="15" customHeight="1">
      <c r="A21" s="172">
        <f t="shared" si="0"/>
        <v>17</v>
      </c>
      <c r="B21" s="270" t="s">
        <v>129</v>
      </c>
      <c r="C21" s="271">
        <v>39237</v>
      </c>
      <c r="D21" s="271">
        <v>24624</v>
      </c>
      <c r="E21" s="271">
        <v>43217</v>
      </c>
      <c r="F21" s="271"/>
      <c r="G21" s="271"/>
      <c r="H21" s="272">
        <v>61149</v>
      </c>
      <c r="I21" s="182">
        <v>8387.72</v>
      </c>
      <c r="J21" s="183">
        <v>12</v>
      </c>
      <c r="K21" s="182">
        <f>ROUND(I21*J21,2)</f>
        <v>100652.64</v>
      </c>
    </row>
    <row r="22" spans="1:11" ht="15" customHeight="1" thickBot="1">
      <c r="A22" s="172">
        <f t="shared" si="0"/>
        <v>18</v>
      </c>
      <c r="B22" s="184"/>
      <c r="C22" s="31"/>
      <c r="D22" s="31"/>
      <c r="E22" s="31"/>
      <c r="F22" s="31"/>
      <c r="G22" s="31"/>
      <c r="H22" s="31"/>
      <c r="J22" s="31"/>
      <c r="K22" s="185">
        <f>SUM(K9:K21)</f>
        <v>1911882.96</v>
      </c>
    </row>
    <row r="23" spans="1:11" ht="15" customHeight="1" thickTop="1">
      <c r="A23" s="172">
        <f t="shared" si="0"/>
        <v>19</v>
      </c>
      <c r="B23" s="184" t="s">
        <v>105</v>
      </c>
      <c r="C23" s="31"/>
      <c r="D23" s="31"/>
      <c r="E23" s="31"/>
      <c r="F23" s="31"/>
      <c r="G23" s="31"/>
      <c r="H23" s="31"/>
      <c r="I23" s="243"/>
      <c r="J23" s="31"/>
      <c r="K23" s="186">
        <f>'(R) Cost of Total Debt'!H43</f>
        <v>12682063258</v>
      </c>
    </row>
    <row r="24" spans="1:11" ht="12.75" customHeight="1">
      <c r="A24" s="172">
        <f t="shared" si="0"/>
        <v>20</v>
      </c>
      <c r="B24" s="184"/>
      <c r="C24" s="32"/>
      <c r="D24" s="32"/>
      <c r="E24" s="32"/>
      <c r="F24" s="32"/>
      <c r="G24" s="32"/>
      <c r="H24" s="32"/>
      <c r="I24" s="32"/>
      <c r="J24" s="32"/>
      <c r="K24" s="181"/>
    </row>
    <row r="25" spans="1:11" ht="12.75" customHeight="1">
      <c r="A25" s="172">
        <f t="shared" si="0"/>
        <v>21</v>
      </c>
      <c r="B25" s="184" t="s">
        <v>65</v>
      </c>
      <c r="C25" s="169"/>
      <c r="D25" s="169"/>
      <c r="E25" s="169"/>
      <c r="F25" s="169"/>
      <c r="G25" s="169"/>
      <c r="H25" s="187"/>
      <c r="I25" s="187"/>
      <c r="J25" s="187"/>
      <c r="K25" s="188">
        <f>ROUND(K22/K23,4)</f>
        <v>0.0002</v>
      </c>
    </row>
    <row r="26" spans="1:11" ht="12.75" customHeight="1">
      <c r="A26" s="172">
        <f t="shared" si="0"/>
        <v>22</v>
      </c>
      <c r="B26" s="189"/>
      <c r="C26" s="35"/>
      <c r="D26" s="35"/>
      <c r="E26" s="35"/>
      <c r="F26" s="35"/>
      <c r="H26" s="17"/>
      <c r="I26" s="17"/>
      <c r="J26" s="17"/>
      <c r="K26" s="181"/>
    </row>
    <row r="27" spans="1:11" ht="12.75" customHeight="1">
      <c r="A27" s="172">
        <f t="shared" si="0"/>
        <v>23</v>
      </c>
      <c r="B27" s="169" t="s">
        <v>66</v>
      </c>
      <c r="H27" s="17"/>
      <c r="I27" s="17"/>
      <c r="J27" s="17"/>
      <c r="K27" s="181"/>
    </row>
    <row r="28" spans="1:11" ht="12.75" customHeight="1">
      <c r="A28" s="172"/>
      <c r="B28" s="190"/>
      <c r="H28" s="17"/>
      <c r="I28" s="17"/>
      <c r="J28" s="17"/>
      <c r="K28" s="17"/>
    </row>
    <row r="29" spans="1:11" ht="12.75" customHeight="1">
      <c r="A29" s="36"/>
      <c r="H29" s="17"/>
      <c r="I29" s="17"/>
      <c r="J29" s="17"/>
      <c r="K29" s="17"/>
    </row>
    <row r="30" spans="8:11" ht="12.75" customHeight="1">
      <c r="H30" s="17"/>
      <c r="I30" s="17"/>
      <c r="J30" s="17"/>
      <c r="K30" s="17"/>
    </row>
    <row r="31" spans="8:11" ht="12.75" customHeight="1">
      <c r="H31" s="17"/>
      <c r="I31" s="17"/>
      <c r="J31" s="17"/>
      <c r="K31" s="34"/>
    </row>
    <row r="32" spans="8:11" ht="12.75" customHeight="1">
      <c r="H32" s="17"/>
      <c r="I32" s="17"/>
      <c r="J32" s="17"/>
      <c r="K32" s="17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
Page 4 of 4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Stanton, Amy (SEA)</cp:lastModifiedBy>
  <cp:lastPrinted>2024-01-18T20:29:16Z</cp:lastPrinted>
  <dcterms:created xsi:type="dcterms:W3CDTF">2016-12-21T02:43:36Z</dcterms:created>
  <dcterms:modified xsi:type="dcterms:W3CDTF">2024-02-08T01:23:22Z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False</vt:lpwstr>
  </property>
  <property fmtid="{D5CDD505-2E9C-101B-9397-08002B2CF9AE}" pid="5" name="IsHighlyConfidential">
    <vt:lpwstr>False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False</vt:lpwstr>
  </property>
  <property fmtid="{D5CDD505-2E9C-101B-9397-08002B2CF9AE}" pid="8" name="DocketNumber">
    <vt:lpwstr>240005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UG</vt:lpwstr>
  </property>
  <property fmtid="{D5CDD505-2E9C-101B-9397-08002B2CF9AE}" pid="14" name="IndustryCode">
    <vt:lpwstr>150</vt:lpwstr>
  </property>
  <property fmtid="{D5CDD505-2E9C-101B-9397-08002B2CF9AE}" pid="15" name="CaseStatus">
    <vt:lpwstr>Formal</vt:lpwstr>
  </property>
</Properties>
</file>