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2850" windowWidth="16350" windowHeight="4170" tabRatio="780" activeTab="2"/>
  </bookViews>
  <sheets>
    <sheet name="CONFIDENTIAL" sheetId="1" r:id="rId1"/>
    <sheet name="CofCap" sheetId="2" r:id="rId2"/>
    <sheet name="Cost of Total Debt (R)" sheetId="3" r:id="rId3"/>
    <sheet name="STD Int&amp;Fees-Details AMA" sheetId="4" r:id="rId4"/>
    <sheet name="Reacquired Deb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1">'CofCap'!$A$1:$F$42</definedName>
    <definedName name="_xlnm.Print_Area" localSheetId="2">'Cost of Total Debt (R)'!$A$1:$J$48</definedName>
    <definedName name="_xlnm.Print_Area" localSheetId="4">'Reacquired Debt'!$A$1:$K$30</definedName>
    <definedName name="_xlnm.Print_Area" localSheetId="3">'STD Int&amp;Fees-Details AMA'!$A$1:$P$70</definedName>
    <definedName name="_xlnm.Print_Titles" localSheetId="4">'Reacquired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<sst xmlns="http://schemas.openxmlformats.org/spreadsheetml/2006/main" count="249" uniqueCount="154">
  <si>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</si>
  <si>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</si>
  <si>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</si>
  <si>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</si>
  <si>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</si>
  <si>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</si>
  <si>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</si>
  <si>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</si>
  <si>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</si>
  <si>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</si>
  <si>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</si>
  <si>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</si>
  <si>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</si>
  <si>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</si>
  <si>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</si>
  <si>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</si>
  <si>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</si>
  <si>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</si>
  <si>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</si>
  <si>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</si>
  <si>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</si>
  <si>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</si>
  <si>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</si>
  <si>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</si>
  <si>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</si>
  <si>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</si>
  <si>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</si>
  <si>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</si>
  <si>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</si>
  <si>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</si>
  <si>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</si>
  <si>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</si>
  <si>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</si>
  <si>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</si>
  <si>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</si>
  <si>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</si>
  <si>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</si>
  <si>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</si>
  <si>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</si>
  <si>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</si>
  <si>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</si>
  <si>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</si>
  <si>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</si>
  <si>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</si>
  <si>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</si>
  <si>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</si>
  <si>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</si>
  <si>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</si>
  <si>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</si>
  <si>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</si>
  <si>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</si>
  <si>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</si>
  <si>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</si>
  <si>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</si>
  <si>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</si>
  <si>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</si>
  <si>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</si>
  <si>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</si>
  <si>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</si>
  <si>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</si>
  <si>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</si>
  <si>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</si>
  <si>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</si>
  <si>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</si>
  <si>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</si>
  <si>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</si>
  <si>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</si>
  <si>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</si>
  <si>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</si>
  <si>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</si>
  <si>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</si>
  <si>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</si>
  <si>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</si>
  <si>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</si>
  <si>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</si>
  <si>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</si>
  <si>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</si>
  <si>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</si>
  <si>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</si>
  <si>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</si>
  <si>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</si>
  <si>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</si>
  <si>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</si>
  <si>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</si>
  <si>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</si>
  <si>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</si>
  <si>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</si>
  <si>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</si>
  <si>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</si>
  <si>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</si>
  <si>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</si>
  <si>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</si>
  <si>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</si>
  <si>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</si>
  <si>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</si>
  <si>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</si>
  <si>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</si>
  <si>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</si>
  <si>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</si>
  <si>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</si>
  <si>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</si>
  <si>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</si>
  <si>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</si>
  <si>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</si>
  <si>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</si>
  <si>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</si>
  <si>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</si>
  <si>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</si>
  <si>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</si>
  <si>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</si>
  <si>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</si>
  <si>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</si>
  <si>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</si>
  <si>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</si>
  <si>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</si>
  <si>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</si>
  <si>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</si>
  <si>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</si>
  <si>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</si>
  <si>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</si>
  <si>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</si>
  <si>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</si>
  <si>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</si>
  <si>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</si>
  <si>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</si>
  <si>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</si>
  <si>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</si>
  <si>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</si>
  <si>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</si>
  <si>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(iii)</t>
  </si>
  <si>
    <t>LTD Average Balance (in 000's)</t>
  </si>
  <si>
    <t>Total STD and LTD</t>
  </si>
  <si>
    <t>Total Long-term Debt Cost of Interest on AMA basis</t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</si>
  <si>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</si>
  <si>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</si>
  <si>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</si>
  <si>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</si>
  <si>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</si>
  <si>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</si>
  <si>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For The 12 Months Ended December 31, 2024</t>
  </si>
  <si>
    <t>$800mm Liquidity Fac (18101223)</t>
  </si>
  <si>
    <r>
      <t>Projected SOFR</t>
    </r>
    <r>
      <rPr>
        <sz val="8"/>
        <color indexed="8"/>
        <rFont val="Times New Roman"/>
        <family val="1"/>
      </rPr>
      <t xml:space="preserve"> Rates (1 mo)</t>
    </r>
  </si>
  <si>
    <t>Requested For Rate Year January 2024 through December 2024</t>
  </si>
  <si>
    <t>LC Outstanding  with TD_1 (000'0)</t>
  </si>
  <si>
    <t>LC Outstanding  with TD_2 (000'0)</t>
  </si>
  <si>
    <t>Credit Facilities SOFR adj.</t>
  </si>
  <si>
    <r>
      <t xml:space="preserve">(i) </t>
    </r>
    <r>
      <rPr>
        <sz val="10"/>
        <rFont val="Times New Roman"/>
        <family val="1"/>
      </rPr>
      <t>Net proceeds are face amount less underwriter's fees and issuance expenses.</t>
    </r>
  </si>
  <si>
    <r>
      <t>(ii)</t>
    </r>
    <r>
      <rPr>
        <sz val="10"/>
        <rFont val="Times New Roman"/>
        <family val="1"/>
      </rPr>
      <t xml:space="preserve"> Cost Rate for each bond is the yield to maturity based on net proceeds.</t>
    </r>
  </si>
  <si>
    <r>
      <t>(iii)</t>
    </r>
    <r>
      <rPr>
        <sz val="10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</si>
  <si>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Shaded information is designated as Confidential per WAC 480-07-160</t>
  </si>
  <si>
    <t>This file contains confidential information</t>
  </si>
  <si>
    <t>Shaded information is designated as confidential per WAC 480-07-160</t>
  </si>
  <si>
    <t>XXXXX</t>
  </si>
  <si>
    <t>REDACTED VERSION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</si>
</sst>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9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 Bold"/>
      <family val="0"/>
    </font>
    <font>
      <b/>
      <sz val="10"/>
      <name val="Times New Roman Bold"/>
      <family val="0"/>
    </font>
    <font>
      <sz val="20"/>
      <color indexed="8"/>
      <name val="Calibri"/>
      <family val="2"/>
    </font>
    <font>
      <sz val="18"/>
      <name val="Arial"/>
      <family val="2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20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FFFF00"/>
      </left>
      <right/>
      <top style="thick">
        <color rgb="FFFFFF00"/>
      </top>
      <bottom style="thick">
        <color rgb="FFFFFF00"/>
      </bottom>
    </border>
    <border>
      <left/>
      <right/>
      <top style="thick">
        <color rgb="FFFFFF00"/>
      </top>
      <bottom style="thick">
        <color rgb="FFFFFF00"/>
      </bottom>
    </border>
    <border>
      <left/>
      <right style="thick">
        <color rgb="FFFFFF00"/>
      </right>
      <top style="thick">
        <color rgb="FFFFFF00"/>
      </top>
      <bottom style="thick">
        <color rgb="FFFFFF00"/>
      </bottom>
    </border>
    <border>
      <left style="medium">
        <color rgb="FFFFFF00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15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7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1" fillId="0" borderId="0" xfId="111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0" fontId="15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32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3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2" fillId="0" borderId="0" xfId="110" applyNumberFormat="1" applyFont="1" applyAlignment="1" applyProtection="1">
      <alignment horizontal="center"/>
      <protection/>
    </xf>
    <xf numFmtId="37" fontId="34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5" fillId="0" borderId="0" xfId="110" applyFont="1" applyAlignment="1" applyProtection="1">
      <alignment horizontal="left"/>
      <protection/>
    </xf>
    <xf numFmtId="10" fontId="35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4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4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0" fontId="35" fillId="0" borderId="0" xfId="110" applyNumberFormat="1" applyFont="1" applyAlignment="1" applyProtection="1">
      <alignment/>
      <protection/>
    </xf>
    <xf numFmtId="5" fontId="36" fillId="0" borderId="0" xfId="110" applyNumberFormat="1" applyFont="1" applyBorder="1" applyAlignment="1" applyProtection="1">
      <alignment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0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1" fillId="0" borderId="0" xfId="111" applyFont="1" applyFill="1" applyBorder="1" applyAlignment="1" applyProtection="1" quotePrefix="1">
      <alignment horizontal="centerContinuous" vertical="center" wrapText="1"/>
      <protection/>
    </xf>
    <xf numFmtId="3" fontId="3" fillId="0" borderId="0" xfId="109" applyFont="1" applyAlignment="1">
      <alignment horizontal="center"/>
      <protection/>
    </xf>
    <xf numFmtId="37" fontId="12" fillId="0" borderId="0" xfId="105" applyFont="1" applyFill="1">
      <alignment/>
      <protection/>
    </xf>
    <xf numFmtId="37" fontId="10" fillId="0" borderId="0" xfId="105" applyFont="1" applyFill="1">
      <alignment/>
      <protection/>
    </xf>
    <xf numFmtId="37" fontId="7" fillId="0" borderId="0" xfId="105" applyFont="1" applyFill="1">
      <alignment/>
      <protection/>
    </xf>
    <xf numFmtId="37" fontId="12" fillId="0" borderId="0" xfId="107" applyFont="1" applyFill="1" applyAlignment="1" applyProtection="1">
      <alignment horizontal="center"/>
      <protection/>
    </xf>
    <xf numFmtId="37" fontId="34" fillId="0" borderId="0" xfId="107" applyFont="1" applyFill="1" applyAlignment="1" applyProtection="1">
      <alignment horizontal="center"/>
      <protection/>
    </xf>
    <xf numFmtId="17" fontId="39" fillId="0" borderId="0" xfId="105" applyNumberFormat="1" applyFont="1" applyFill="1" applyBorder="1" applyAlignment="1">
      <alignment horizontal="center"/>
      <protection/>
    </xf>
    <xf numFmtId="37" fontId="39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>
      <alignment/>
      <protection/>
    </xf>
    <xf numFmtId="5" fontId="12" fillId="0" borderId="0" xfId="106" applyNumberFormat="1" applyFont="1" applyFill="1" applyBorder="1" applyProtection="1">
      <alignment/>
      <protection/>
    </xf>
    <xf numFmtId="5" fontId="41" fillId="0" borderId="0" xfId="106" applyNumberFormat="1" applyFont="1" applyFill="1" applyBorder="1" applyProtection="1">
      <alignment/>
      <protection/>
    </xf>
    <xf numFmtId="5" fontId="40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1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1"/>
      <protection/>
    </xf>
    <xf numFmtId="5" fontId="41" fillId="0" borderId="12" xfId="106" applyNumberFormat="1" applyFont="1" applyFill="1" applyBorder="1" applyProtection="1">
      <alignment/>
      <protection/>
    </xf>
    <xf numFmtId="5" fontId="40" fillId="0" borderId="12" xfId="106" applyNumberFormat="1" applyFont="1" applyFill="1" applyBorder="1" applyProtection="1">
      <alignment/>
      <protection/>
    </xf>
    <xf numFmtId="37" fontId="10" fillId="0" borderId="0" xfId="105" applyFont="1" applyFill="1" applyBorder="1">
      <alignment/>
      <protection/>
    </xf>
    <xf numFmtId="37" fontId="34" fillId="0" borderId="0" xfId="105" applyFont="1" applyFill="1" applyBorder="1" applyAlignment="1">
      <alignment horizontal="centerContinuous" vertical="center" wrapText="1"/>
      <protection/>
    </xf>
    <xf numFmtId="37" fontId="11" fillId="0" borderId="0" xfId="105" applyFont="1" applyFill="1" applyBorder="1" applyAlignment="1">
      <alignment horizontal="centerContinuous" vertical="center" wrapText="1"/>
      <protection/>
    </xf>
    <xf numFmtId="165" fontId="41" fillId="0" borderId="0" xfId="117" applyNumberFormat="1" applyFont="1" applyFill="1" applyBorder="1" applyAlignment="1" applyProtection="1">
      <alignment/>
      <protection/>
    </xf>
    <xf numFmtId="168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/>
      <protection/>
    </xf>
    <xf numFmtId="10" fontId="41" fillId="0" borderId="11" xfId="106" applyNumberFormat="1" applyFont="1" applyFill="1" applyBorder="1" applyProtection="1">
      <alignment/>
      <protection/>
    </xf>
    <xf numFmtId="37" fontId="42" fillId="0" borderId="0" xfId="105" applyFont="1" applyFill="1" applyBorder="1" applyAlignment="1">
      <alignment horizontal="center"/>
      <protection/>
    </xf>
    <xf numFmtId="37" fontId="43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 applyAlignment="1">
      <alignment horizontal="left" indent="1"/>
      <protection/>
    </xf>
    <xf numFmtId="37" fontId="12" fillId="0" borderId="13" xfId="105" applyFont="1" applyFill="1" applyBorder="1">
      <alignment/>
      <protection/>
    </xf>
    <xf numFmtId="5" fontId="40" fillId="0" borderId="13" xfId="106" applyNumberFormat="1" applyFont="1" applyFill="1" applyBorder="1" applyProtection="1">
      <alignment/>
      <protection/>
    </xf>
    <xf numFmtId="10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 indent="2"/>
      <protection/>
    </xf>
    <xf numFmtId="5" fontId="41" fillId="0" borderId="11" xfId="106" applyNumberFormat="1" applyFont="1" applyFill="1" applyBorder="1" applyProtection="1">
      <alignment/>
      <protection/>
    </xf>
    <xf numFmtId="37" fontId="39" fillId="0" borderId="0" xfId="105" applyFont="1" applyFill="1" applyBorder="1" applyAlignment="1">
      <alignment horizontal="center"/>
      <protection/>
    </xf>
    <xf numFmtId="168" fontId="12" fillId="0" borderId="0" xfId="117" applyNumberFormat="1" applyFont="1" applyFill="1" applyAlignment="1">
      <alignment/>
    </xf>
    <xf numFmtId="5" fontId="41" fillId="0" borderId="13" xfId="106" applyNumberFormat="1" applyFont="1" applyFill="1" applyBorder="1" applyProtection="1">
      <alignment/>
      <protection/>
    </xf>
    <xf numFmtId="10" fontId="12" fillId="0" borderId="0" xfId="117" applyNumberFormat="1" applyFont="1" applyFill="1" applyAlignment="1">
      <alignment/>
    </xf>
    <xf numFmtId="195" fontId="12" fillId="0" borderId="0" xfId="105" applyNumberFormat="1" applyFont="1" applyFill="1" applyBorder="1" applyAlignment="1">
      <alignment horizontal="left"/>
      <protection/>
    </xf>
    <xf numFmtId="10" fontId="12" fillId="0" borderId="0" xfId="105" applyNumberFormat="1" applyFont="1" applyFill="1" applyBorder="1">
      <alignment/>
      <protection/>
    </xf>
    <xf numFmtId="168" fontId="44" fillId="0" borderId="0" xfId="117" applyNumberFormat="1" applyFont="1" applyFill="1" applyAlignment="1">
      <alignment horizontal="center"/>
    </xf>
    <xf numFmtId="10" fontId="44" fillId="0" borderId="0" xfId="117" applyNumberFormat="1" applyFont="1" applyFill="1" applyAlignment="1">
      <alignment horizontal="center"/>
    </xf>
    <xf numFmtId="199" fontId="41" fillId="0" borderId="0" xfId="106" applyNumberFormat="1" applyFont="1" applyFill="1" applyBorder="1" applyProtection="1">
      <alignment/>
      <protection/>
    </xf>
    <xf numFmtId="37" fontId="10" fillId="0" borderId="0" xfId="105" applyFont="1" applyFill="1" applyAlignment="1">
      <alignment horizontal="right"/>
      <protection/>
    </xf>
    <xf numFmtId="10" fontId="40" fillId="0" borderId="0" xfId="117" applyNumberFormat="1" applyFont="1" applyFill="1" applyBorder="1" applyAlignment="1" applyProtection="1">
      <alignment/>
      <protection/>
    </xf>
    <xf numFmtId="5" fontId="12" fillId="0" borderId="13" xfId="105" applyNumberFormat="1" applyFont="1" applyFill="1" applyBorder="1">
      <alignment/>
      <protection/>
    </xf>
    <xf numFmtId="5" fontId="12" fillId="0" borderId="0" xfId="105" applyNumberFormat="1" applyFont="1" applyFill="1" applyBorder="1">
      <alignment/>
      <protection/>
    </xf>
    <xf numFmtId="37" fontId="45" fillId="0" borderId="0" xfId="105" applyFont="1" applyFill="1">
      <alignment/>
      <protection/>
    </xf>
    <xf numFmtId="171" fontId="10" fillId="0" borderId="0" xfId="105" applyNumberFormat="1" applyFont="1" applyFill="1">
      <alignment/>
      <protection/>
    </xf>
    <xf numFmtId="0" fontId="10" fillId="0" borderId="0" xfId="111" applyFont="1">
      <alignment/>
      <protection/>
    </xf>
    <xf numFmtId="172" fontId="11" fillId="0" borderId="0" xfId="111" applyNumberFormat="1" applyFont="1" applyFill="1" applyAlignment="1">
      <alignment horizontal="left"/>
      <protection/>
    </xf>
    <xf numFmtId="0" fontId="46" fillId="0" borderId="0" xfId="111" applyFont="1" applyFill="1" applyAlignment="1" applyProtection="1" quotePrefix="1">
      <alignment horizontal="center"/>
      <protection/>
    </xf>
    <xf numFmtId="1" fontId="10" fillId="0" borderId="0" xfId="111" applyNumberFormat="1" applyFont="1" applyFill="1" applyAlignment="1" applyProtection="1">
      <alignment horizontal="center"/>
      <protection/>
    </xf>
    <xf numFmtId="37" fontId="34" fillId="0" borderId="0" xfId="107" applyFont="1" applyAlignment="1" applyProtection="1" quotePrefix="1">
      <alignment horizontal="center"/>
      <protection/>
    </xf>
    <xf numFmtId="0" fontId="11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>
      <alignment horizontal="center"/>
      <protection/>
    </xf>
    <xf numFmtId="0" fontId="34" fillId="0" borderId="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left"/>
      <protection/>
    </xf>
    <xf numFmtId="0" fontId="34" fillId="0" borderId="1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center"/>
      <protection/>
    </xf>
    <xf numFmtId="7" fontId="10" fillId="0" borderId="0" xfId="111" applyNumberFormat="1" applyFont="1" applyFill="1">
      <alignment/>
      <protection/>
    </xf>
    <xf numFmtId="5" fontId="10" fillId="0" borderId="0" xfId="111" applyNumberFormat="1" applyFont="1" applyFill="1">
      <alignment/>
      <protection/>
    </xf>
    <xf numFmtId="0" fontId="10" fillId="0" borderId="0" xfId="111" applyNumberFormat="1" applyFont="1" applyFill="1" applyAlignment="1">
      <alignment horizontal="center"/>
      <protection/>
    </xf>
    <xf numFmtId="0" fontId="11" fillId="0" borderId="0" xfId="111" applyFont="1" applyFill="1" applyBorder="1" applyAlignment="1" applyProtection="1" quotePrefix="1">
      <alignment horizontal="left"/>
      <protection/>
    </xf>
    <xf numFmtId="5" fontId="11" fillId="0" borderId="13" xfId="111" applyNumberFormat="1" applyFont="1" applyFill="1" applyBorder="1" applyAlignment="1" applyProtection="1">
      <alignment horizontal="right"/>
      <protection/>
    </xf>
    <xf numFmtId="5" fontId="11" fillId="0" borderId="0" xfId="110" applyNumberFormat="1" applyFont="1" applyBorder="1" applyAlignment="1" applyProtection="1">
      <alignment/>
      <protection/>
    </xf>
    <xf numFmtId="5" fontId="10" fillId="0" borderId="0" xfId="111" applyNumberFormat="1" applyFont="1" applyProtection="1">
      <alignment/>
      <protection/>
    </xf>
    <xf numFmtId="10" fontId="10" fillId="0" borderId="0" xfId="116" applyNumberFormat="1" applyFont="1" applyFill="1" applyAlignment="1">
      <alignment/>
    </xf>
    <xf numFmtId="0" fontId="11" fillId="0" borderId="0" xfId="111" applyFont="1" applyFill="1" applyAlignment="1" applyProtection="1">
      <alignment horizontal="left"/>
      <protection/>
    </xf>
    <xf numFmtId="0" fontId="11" fillId="0" borderId="0" xfId="111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8" applyFont="1" applyAlignment="1">
      <alignment horizontal="center"/>
      <protection/>
    </xf>
    <xf numFmtId="10" fontId="3" fillId="0" borderId="0" xfId="110" applyFont="1" applyFill="1">
      <alignment/>
      <protection/>
    </xf>
    <xf numFmtId="10" fontId="5" fillId="0" borderId="0" xfId="110" applyFont="1" applyFill="1" applyAlignment="1">
      <alignment horizontal="center"/>
      <protection/>
    </xf>
    <xf numFmtId="10" fontId="37" fillId="0" borderId="0" xfId="110" applyFont="1" applyFill="1" applyAlignment="1" applyProtection="1">
      <alignment horizontal="right"/>
      <protection/>
    </xf>
    <xf numFmtId="10" fontId="5" fillId="0" borderId="0" xfId="110" applyFont="1" applyFill="1" applyAlignment="1" applyProtection="1">
      <alignment horizontal="center"/>
      <protection/>
    </xf>
    <xf numFmtId="10" fontId="35" fillId="0" borderId="0" xfId="110" applyFont="1" applyFill="1" applyAlignment="1" applyProtection="1">
      <alignment horizontal="left"/>
      <protection/>
    </xf>
    <xf numFmtId="10" fontId="35" fillId="0" borderId="0" xfId="110" applyFont="1" applyFill="1" applyAlignment="1" applyProtection="1">
      <alignment horizontal="right"/>
      <protection/>
    </xf>
    <xf numFmtId="10" fontId="35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5" fillId="0" borderId="0" xfId="110" applyFont="1" applyFill="1" applyAlignment="1" applyProtection="1">
      <alignment horizontal="left" indent="1"/>
      <protection/>
    </xf>
    <xf numFmtId="10" fontId="5" fillId="0" borderId="0" xfId="110" applyNumberFormat="1" applyFont="1" applyFill="1" applyAlignment="1">
      <alignment horizontal="right"/>
      <protection/>
    </xf>
    <xf numFmtId="10" fontId="5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5" fillId="0" borderId="11" xfId="110" applyNumberFormat="1" applyFont="1" applyFill="1" applyBorder="1" applyAlignment="1" applyProtection="1">
      <alignment horizontal="right"/>
      <protection/>
    </xf>
    <xf numFmtId="10" fontId="5" fillId="0" borderId="0" xfId="110" applyFont="1" applyFill="1" applyAlignment="1" applyProtection="1">
      <alignment horizontal="lef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0" fontId="5" fillId="0" borderId="0" xfId="110" applyNumberFormat="1" applyFont="1" applyFill="1" applyBorder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0" fontId="35" fillId="0" borderId="0" xfId="110" applyNumberFormat="1" applyFont="1" applyFill="1" applyAlignment="1" applyProtection="1">
      <alignment horizontal="right"/>
      <protection/>
    </xf>
    <xf numFmtId="5" fontId="36" fillId="0" borderId="0" xfId="110" applyNumberFormat="1" applyFont="1" applyFill="1" applyBorder="1" applyAlignment="1" applyProtection="1">
      <alignment horizontal="right"/>
      <protection/>
    </xf>
    <xf numFmtId="10" fontId="38" fillId="0" borderId="0" xfId="110" applyFont="1" applyFill="1" applyBorder="1" applyAlignment="1">
      <alignment horizontal="right"/>
      <protection/>
    </xf>
    <xf numFmtId="10" fontId="36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43" fontId="11" fillId="0" borderId="0" xfId="69" applyFont="1" applyBorder="1" applyAlignment="1">
      <alignment horizontal="left"/>
    </xf>
    <xf numFmtId="37" fontId="56" fillId="0" borderId="0" xfId="105" applyFont="1" applyFill="1">
      <alignment/>
      <protection/>
    </xf>
    <xf numFmtId="168" fontId="3" fillId="0" borderId="0" xfId="116" applyNumberFormat="1" applyFont="1" applyAlignment="1">
      <alignment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170" fontId="12" fillId="0" borderId="0" xfId="69" applyNumberFormat="1" applyFont="1" applyFill="1" applyBorder="1" applyAlignment="1">
      <alignment/>
    </xf>
    <xf numFmtId="170" fontId="12" fillId="0" borderId="0" xfId="105" applyNumberFormat="1" applyFont="1" applyFill="1" applyBorder="1">
      <alignment/>
      <protection/>
    </xf>
    <xf numFmtId="170" fontId="40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" fillId="0" borderId="0" xfId="110" applyNumberFormat="1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>
      <alignment horizontal="right"/>
      <protection/>
    </xf>
    <xf numFmtId="10" fontId="5" fillId="0" borderId="0" xfId="110" applyNumberFormat="1" applyFont="1" applyFill="1" applyAlignment="1" applyProtection="1">
      <alignment horizontal="right"/>
      <protection/>
    </xf>
    <xf numFmtId="7" fontId="41" fillId="0" borderId="0" xfId="106" applyNumberFormat="1" applyFont="1" applyFill="1" applyBorder="1" applyProtection="1">
      <alignment/>
      <protection/>
    </xf>
    <xf numFmtId="10" fontId="41" fillId="0" borderId="0" xfId="116" applyNumberFormat="1" applyFont="1" applyFill="1" applyBorder="1" applyAlignment="1" applyProtection="1">
      <alignment/>
      <protection/>
    </xf>
    <xf numFmtId="170" fontId="12" fillId="0" borderId="0" xfId="69" applyNumberFormat="1" applyFont="1" applyFill="1" applyAlignment="1">
      <alignment/>
    </xf>
    <xf numFmtId="170" fontId="12" fillId="0" borderId="0" xfId="71" applyNumberFormat="1" applyFont="1" applyFill="1" applyBorder="1" applyAlignment="1">
      <alignment/>
    </xf>
    <xf numFmtId="10" fontId="35" fillId="0" borderId="0" xfId="110" applyNumberFormat="1" applyFont="1" applyFill="1" applyAlignment="1" applyProtection="1">
      <alignment/>
      <protection/>
    </xf>
    <xf numFmtId="10" fontId="36" fillId="0" borderId="0" xfId="110" applyNumberFormat="1" applyFont="1" applyBorder="1" applyAlignment="1" applyProtection="1">
      <alignment horizontal="right"/>
      <protection/>
    </xf>
    <xf numFmtId="37" fontId="5" fillId="0" borderId="0" xfId="108" applyNumberFormat="1" applyFont="1" applyAlignment="1" applyProtection="1">
      <alignment horizontal="centerContinuous"/>
      <protection/>
    </xf>
    <xf numFmtId="181" fontId="5" fillId="0" borderId="0" xfId="108" applyNumberFormat="1" applyFont="1" applyFill="1" applyAlignment="1" applyProtection="1" quotePrefix="1">
      <alignment horizontal="centerContinuous"/>
      <protection/>
    </xf>
    <xf numFmtId="181" fontId="5" fillId="0" borderId="0" xfId="108" applyNumberFormat="1" applyFont="1" applyFill="1" applyAlignment="1" applyProtection="1">
      <alignment horizontal="centerContinuous"/>
      <protection/>
    </xf>
    <xf numFmtId="37" fontId="5" fillId="0" borderId="0" xfId="107" applyFont="1" applyAlignment="1" applyProtection="1">
      <alignment horizontal="center"/>
      <protection/>
    </xf>
    <xf numFmtId="168" fontId="5" fillId="0" borderId="0" xfId="109" applyNumberFormat="1" applyFont="1" applyAlignment="1" applyProtection="1">
      <alignment horizontal="center"/>
      <protection/>
    </xf>
    <xf numFmtId="3" fontId="5" fillId="0" borderId="0" xfId="109" applyFont="1" applyAlignment="1">
      <alignment horizontal="center"/>
      <protection/>
    </xf>
    <xf numFmtId="3" fontId="5" fillId="0" borderId="10" xfId="109" applyFont="1" applyBorder="1" applyAlignment="1" applyProtection="1">
      <alignment horizontal="center"/>
      <protection/>
    </xf>
    <xf numFmtId="3" fontId="5" fillId="0" borderId="10" xfId="109" applyFont="1" applyBorder="1" applyAlignment="1" applyProtection="1" quotePrefix="1">
      <alignment horizontal="center"/>
      <protection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39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175" fontId="3" fillId="0" borderId="0" xfId="106" applyNumberFormat="1" applyFont="1" applyFill="1" applyProtection="1">
      <alignment/>
      <protection/>
    </xf>
    <xf numFmtId="175" fontId="47" fillId="0" borderId="0" xfId="106" applyNumberFormat="1" applyFont="1" applyFill="1" applyProtection="1">
      <alignment/>
      <protection/>
    </xf>
    <xf numFmtId="10" fontId="3" fillId="0" borderId="0" xfId="0" applyNumberFormat="1" applyFont="1" applyAlignment="1">
      <alignment horizontal="right"/>
    </xf>
    <xf numFmtId="37" fontId="3" fillId="0" borderId="0" xfId="108" applyNumberFormat="1" applyFont="1" applyAlignment="1" applyProtection="1">
      <alignment/>
      <protection/>
    </xf>
    <xf numFmtId="17" fontId="3" fillId="0" borderId="0" xfId="108" applyNumberFormat="1" applyFont="1" applyAlignment="1" applyProtection="1">
      <alignment horizontal="center"/>
      <protection/>
    </xf>
    <xf numFmtId="37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37" fontId="5" fillId="0" borderId="0" xfId="0" applyNumberFormat="1" applyFont="1" applyAlignment="1">
      <alignment/>
    </xf>
    <xf numFmtId="39" fontId="3" fillId="0" borderId="0" xfId="0" applyNumberFormat="1" applyFont="1" applyFill="1" applyAlignment="1">
      <alignment horizontal="right"/>
    </xf>
    <xf numFmtId="175" fontId="5" fillId="0" borderId="0" xfId="106" applyNumberFormat="1" applyFont="1" applyFill="1" applyBorder="1" applyProtection="1">
      <alignment/>
      <protection/>
    </xf>
    <xf numFmtId="10" fontId="3" fillId="0" borderId="0" xfId="0" applyNumberFormat="1" applyFont="1" applyAlignment="1">
      <alignment/>
    </xf>
    <xf numFmtId="175" fontId="3" fillId="0" borderId="0" xfId="106" applyNumberFormat="1" applyFont="1" applyFill="1" applyBorder="1" applyProtection="1">
      <alignment/>
      <protection/>
    </xf>
    <xf numFmtId="17" fontId="3" fillId="0" borderId="0" xfId="108" applyNumberFormat="1" applyFont="1" applyAlignment="1" applyProtection="1">
      <alignment horizontal="left"/>
      <protection/>
    </xf>
    <xf numFmtId="37" fontId="5" fillId="0" borderId="0" xfId="108" applyNumberFormat="1" applyFont="1" applyAlignment="1" applyProtection="1">
      <alignment horizontal="left"/>
      <protection/>
    </xf>
    <xf numFmtId="10" fontId="5" fillId="0" borderId="0" xfId="116" applyNumberFormat="1" applyFont="1" applyFill="1" applyAlignment="1">
      <alignment/>
    </xf>
    <xf numFmtId="175" fontId="5" fillId="0" borderId="13" xfId="106" applyNumberFormat="1" applyFont="1" applyFill="1" applyBorder="1" applyProtection="1">
      <alignment/>
      <protection/>
    </xf>
    <xf numFmtId="192" fontId="48" fillId="0" borderId="13" xfId="106" applyNumberFormat="1" applyFont="1" applyBorder="1" applyProtection="1">
      <alignment/>
      <protection/>
    </xf>
    <xf numFmtId="171" fontId="3" fillId="0" borderId="0" xfId="0" applyNumberFormat="1" applyFont="1" applyFill="1" applyAlignment="1">
      <alignment/>
    </xf>
    <xf numFmtId="3" fontId="3" fillId="0" borderId="0" xfId="109" applyFont="1">
      <alignment/>
      <protection/>
    </xf>
    <xf numFmtId="10" fontId="3" fillId="0" borderId="0" xfId="116" applyNumberFormat="1" applyFont="1" applyFill="1" applyAlignment="1">
      <alignment/>
    </xf>
    <xf numFmtId="192" fontId="49" fillId="0" borderId="0" xfId="106" applyNumberFormat="1" applyFont="1" applyFill="1" applyBorder="1" applyProtection="1">
      <alignment/>
      <protection/>
    </xf>
    <xf numFmtId="37" fontId="5" fillId="0" borderId="0" xfId="105" applyNumberFormat="1" applyFont="1" applyFill="1" applyBorder="1">
      <alignment/>
      <protection/>
    </xf>
    <xf numFmtId="10" fontId="5" fillId="0" borderId="13" xfId="0" applyNumberFormat="1" applyFont="1" applyFill="1" applyBorder="1" applyAlignment="1">
      <alignment/>
    </xf>
    <xf numFmtId="171" fontId="3" fillId="0" borderId="0" xfId="0" applyNumberFormat="1" applyFont="1" applyFill="1" applyAlignment="1">
      <alignment horizontal="center"/>
    </xf>
    <xf numFmtId="10" fontId="5" fillId="0" borderId="0" xfId="108" applyNumberFormat="1" applyFont="1" applyFill="1" applyBorder="1" applyProtection="1">
      <alignment/>
      <protection/>
    </xf>
    <xf numFmtId="187" fontId="50" fillId="0" borderId="0" xfId="106" applyNumberFormat="1" applyFont="1" applyFill="1" applyBorder="1" applyProtection="1">
      <alignment/>
      <protection/>
    </xf>
    <xf numFmtId="192" fontId="48" fillId="0" borderId="0" xfId="106" applyNumberFormat="1" applyFont="1" applyBorder="1" applyProtection="1">
      <alignment/>
      <protection/>
    </xf>
    <xf numFmtId="192" fontId="48" fillId="0" borderId="0" xfId="106" applyNumberFormat="1" applyFont="1" applyFill="1" applyBorder="1" applyProtection="1">
      <alignment/>
      <protection/>
    </xf>
    <xf numFmtId="3" fontId="5" fillId="0" borderId="0" xfId="109" applyFont="1" quotePrefix="1">
      <alignment/>
      <protection/>
    </xf>
    <xf numFmtId="37" fontId="5" fillId="0" borderId="0" xfId="108" applyNumberFormat="1" applyFont="1">
      <alignment/>
      <protection/>
    </xf>
    <xf numFmtId="37" fontId="3" fillId="0" borderId="0" xfId="108" applyNumberFormat="1" applyFont="1">
      <alignment/>
      <protection/>
    </xf>
    <xf numFmtId="171" fontId="3" fillId="0" borderId="0" xfId="0" applyNumberFormat="1" applyFont="1" applyAlignment="1">
      <alignment/>
    </xf>
    <xf numFmtId="3" fontId="3" fillId="0" borderId="0" xfId="109" applyFont="1" applyFill="1" applyAlignment="1">
      <alignment horizontal="center"/>
      <protection/>
    </xf>
    <xf numFmtId="37" fontId="3" fillId="0" borderId="0" xfId="108" applyNumberFormat="1" applyFont="1" applyFill="1">
      <alignment/>
      <protection/>
    </xf>
    <xf numFmtId="175" fontId="5" fillId="0" borderId="0" xfId="106" applyNumberFormat="1" applyFont="1" applyFill="1" applyProtection="1">
      <alignment/>
      <protection/>
    </xf>
    <xf numFmtId="179" fontId="49" fillId="0" borderId="0" xfId="106" applyNumberFormat="1" applyFont="1" applyFill="1" applyProtection="1">
      <alignment/>
      <protection/>
    </xf>
    <xf numFmtId="168" fontId="10" fillId="0" borderId="0" xfId="111" applyNumberFormat="1" applyFont="1" applyFill="1" applyAlignment="1">
      <alignment horizontal="left"/>
      <protection/>
    </xf>
    <xf numFmtId="15" fontId="10" fillId="0" borderId="0" xfId="111" applyNumberFormat="1" applyFont="1" applyFill="1" applyAlignment="1">
      <alignment horizontal="center"/>
      <protection/>
    </xf>
    <xf numFmtId="15" fontId="10" fillId="0" borderId="0" xfId="111" applyNumberFormat="1" applyFont="1" applyFill="1" applyAlignment="1">
      <alignment horizontal="right"/>
      <protection/>
    </xf>
    <xf numFmtId="168" fontId="10" fillId="0" borderId="0" xfId="111" applyNumberFormat="1" applyFont="1" applyFill="1" applyAlignment="1" applyProtection="1">
      <alignment horizontal="left"/>
      <protection/>
    </xf>
    <xf numFmtId="15" fontId="10" fillId="0" borderId="0" xfId="111" applyNumberFormat="1" applyFont="1" applyFill="1" applyAlignment="1" applyProtection="1">
      <alignment horizontal="center"/>
      <protection/>
    </xf>
    <xf numFmtId="10" fontId="40" fillId="0" borderId="0" xfId="116" applyNumberFormat="1" applyFont="1" applyFill="1" applyBorder="1" applyAlignment="1" applyProtection="1">
      <alignment horizontal="right"/>
      <protection/>
    </xf>
    <xf numFmtId="37" fontId="12" fillId="0" borderId="0" xfId="105" applyFont="1" applyFill="1" applyAlignment="1">
      <alignment horizontal="right"/>
      <protection/>
    </xf>
    <xf numFmtId="10" fontId="12" fillId="0" borderId="0" xfId="116" applyNumberFormat="1" applyFont="1" applyFill="1" applyBorder="1" applyAlignment="1" applyProtection="1">
      <alignment/>
      <protection/>
    </xf>
    <xf numFmtId="168" fontId="12" fillId="0" borderId="0" xfId="117" applyNumberFormat="1" applyFont="1" applyFill="1" applyAlignment="1">
      <alignment horizontal="center"/>
    </xf>
    <xf numFmtId="5" fontId="34" fillId="0" borderId="0" xfId="106" applyNumberFormat="1" applyFont="1" applyFill="1" applyBorder="1" applyProtection="1">
      <alignment/>
      <protection/>
    </xf>
    <xf numFmtId="168" fontId="57" fillId="18" borderId="14" xfId="0" applyNumberFormat="1" applyFont="1" applyFill="1" applyBorder="1" applyAlignment="1">
      <alignment/>
    </xf>
    <xf numFmtId="17" fontId="57" fillId="18" borderId="15" xfId="0" applyNumberFormat="1" applyFont="1" applyFill="1" applyBorder="1" applyAlignment="1">
      <alignment horizontal="center"/>
    </xf>
    <xf numFmtId="10" fontId="57" fillId="18" borderId="15" xfId="0" applyNumberFormat="1" applyFont="1" applyFill="1" applyBorder="1" applyAlignment="1">
      <alignment horizontal="right"/>
    </xf>
    <xf numFmtId="175" fontId="57" fillId="18" borderId="15" xfId="106" applyNumberFormat="1" applyFont="1" applyFill="1" applyBorder="1" applyProtection="1">
      <alignment/>
      <protection/>
    </xf>
    <xf numFmtId="175" fontId="57" fillId="18" borderId="16" xfId="106" applyNumberFormat="1" applyFont="1" applyFill="1" applyBorder="1" applyProtection="1">
      <alignment/>
      <protection/>
    </xf>
    <xf numFmtId="168" fontId="57" fillId="18" borderId="17" xfId="0" applyNumberFormat="1" applyFont="1" applyFill="1" applyBorder="1" applyAlignment="1">
      <alignment/>
    </xf>
    <xf numFmtId="17" fontId="57" fillId="18" borderId="18" xfId="0" applyNumberFormat="1" applyFont="1" applyFill="1" applyBorder="1" applyAlignment="1">
      <alignment horizontal="center"/>
    </xf>
    <xf numFmtId="10" fontId="57" fillId="18" borderId="18" xfId="0" applyNumberFormat="1" applyFont="1" applyFill="1" applyBorder="1" applyAlignment="1">
      <alignment horizontal="right"/>
    </xf>
    <xf numFmtId="175" fontId="57" fillId="18" borderId="18" xfId="106" applyNumberFormat="1" applyFont="1" applyFill="1" applyBorder="1" applyProtection="1">
      <alignment/>
      <protection/>
    </xf>
    <xf numFmtId="175" fontId="57" fillId="18" borderId="19" xfId="106" applyNumberFormat="1" applyFont="1" applyFill="1" applyBorder="1" applyProtection="1">
      <alignment/>
      <protection/>
    </xf>
    <xf numFmtId="5" fontId="40" fillId="0" borderId="13" xfId="117" applyNumberFormat="1" applyFont="1" applyFill="1" applyBorder="1" applyAlignment="1" applyProtection="1">
      <alignment/>
      <protection/>
    </xf>
    <xf numFmtId="37" fontId="52" fillId="0" borderId="0" xfId="0" applyFont="1" applyAlignment="1">
      <alignment horizontal="center" vertical="center"/>
    </xf>
    <xf numFmtId="10" fontId="5" fillId="0" borderId="20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21" xfId="110" applyFont="1" applyFill="1" applyBorder="1" applyAlignment="1" applyProtection="1">
      <alignment horizontal="center" wrapText="1"/>
      <protection/>
    </xf>
    <xf numFmtId="10" fontId="33" fillId="0" borderId="0" xfId="110" applyFont="1" applyAlignment="1" applyProtection="1">
      <alignment horizontal="center"/>
      <protection/>
    </xf>
    <xf numFmtId="172" fontId="33" fillId="0" borderId="0" xfId="110" applyNumberFormat="1" applyFont="1" applyAlignment="1" applyProtection="1">
      <alignment horizontal="center"/>
      <protection/>
    </xf>
    <xf numFmtId="37" fontId="5" fillId="0" borderId="0" xfId="108" applyNumberFormat="1" applyFont="1" applyBorder="1" applyAlignment="1" applyProtection="1">
      <alignment horizontal="center" wrapText="1"/>
      <protection/>
    </xf>
    <xf numFmtId="37" fontId="5" fillId="0" borderId="10" xfId="108" applyNumberFormat="1" applyFont="1" applyBorder="1" applyAlignment="1" applyProtection="1">
      <alignment horizontal="center" wrapText="1"/>
      <protection/>
    </xf>
    <xf numFmtId="3" fontId="5" fillId="0" borderId="0" xfId="109" applyFont="1" applyAlignment="1">
      <alignment horizontal="left" wrapText="1"/>
      <protection/>
    </xf>
    <xf numFmtId="37" fontId="58" fillId="0" borderId="22" xfId="0" applyFont="1" applyBorder="1" applyAlignment="1">
      <alignment horizontal="center" vertical="center"/>
    </xf>
    <xf numFmtId="37" fontId="58" fillId="0" borderId="23" xfId="0" applyFont="1" applyBorder="1" applyAlignment="1">
      <alignment horizontal="center" vertical="center"/>
    </xf>
    <xf numFmtId="37" fontId="58" fillId="0" borderId="24" xfId="0" applyFont="1" applyBorder="1" applyAlignment="1">
      <alignment horizontal="center" vertical="center"/>
    </xf>
    <xf numFmtId="37" fontId="58" fillId="18" borderId="25" xfId="0" applyFont="1" applyFill="1" applyBorder="1" applyAlignment="1">
      <alignment horizontal="center" vertical="center"/>
    </xf>
    <xf numFmtId="37" fontId="58" fillId="18" borderId="26" xfId="0" applyFont="1" applyFill="1" applyBorder="1" applyAlignment="1">
      <alignment horizontal="center" vertical="center"/>
    </xf>
    <xf numFmtId="37" fontId="58" fillId="18" borderId="27" xfId="0" applyFont="1" applyFill="1" applyBorder="1" applyAlignment="1">
      <alignment horizontal="center" vertical="center"/>
    </xf>
    <xf numFmtId="37" fontId="53" fillId="18" borderId="28" xfId="0" applyFont="1" applyFill="1" applyBorder="1" applyAlignment="1">
      <alignment horizontal="left" vertical="center"/>
    </xf>
    <xf numFmtId="37" fontId="3" fillId="18" borderId="29" xfId="108" applyFont="1" applyFill="1" applyBorder="1">
      <alignment/>
      <protection/>
    </xf>
    <xf numFmtId="5" fontId="3" fillId="18" borderId="29" xfId="108" applyNumberFormat="1" applyFont="1" applyFill="1" applyBorder="1">
      <alignment/>
      <protection/>
    </xf>
    <xf numFmtId="37" fontId="3" fillId="18" borderId="30" xfId="108" applyFont="1" applyFill="1" applyBorder="1">
      <alignment/>
      <protection/>
    </xf>
    <xf numFmtId="37" fontId="5" fillId="0" borderId="0" xfId="108" applyFont="1" applyAlignment="1" applyProtection="1">
      <alignment horizontal="left"/>
      <protection/>
    </xf>
    <xf numFmtId="37" fontId="5" fillId="0" borderId="0" xfId="105" applyFont="1" applyFill="1" applyBorder="1">
      <alignment/>
      <protection/>
    </xf>
    <xf numFmtId="10" fontId="51" fillId="0" borderId="0" xfId="110" applyFont="1" applyFill="1" applyAlignment="1" applyProtection="1">
      <alignment/>
      <protection/>
    </xf>
    <xf numFmtId="39" fontId="57" fillId="18" borderId="15" xfId="0" applyNumberFormat="1" applyFont="1" applyFill="1" applyBorder="1" applyAlignment="1">
      <alignment horizontal="center"/>
    </xf>
    <xf numFmtId="39" fontId="57" fillId="18" borderId="18" xfId="0" applyNumberFormat="1" applyFont="1" applyFill="1" applyBorder="1" applyAlignment="1">
      <alignment horizontal="center"/>
    </xf>
    <xf numFmtId="37" fontId="5" fillId="0" borderId="0" xfId="108" applyFont="1" applyFill="1">
      <alignment/>
      <protection/>
    </xf>
    <xf numFmtId="37" fontId="55" fillId="0" borderId="0" xfId="0" applyFont="1" applyAlignment="1">
      <alignment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Test%20Year\WACC%20Yr%20Ending%206-30-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bt%20and%20Shelf%20Filings\Debt%20and%20Shelf%20Filings%20Expenses%20_A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Basket_2023-11-30_11h_29m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NGX%20SBLC%20History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119791667</v>
          </cell>
          <cell r="D14">
            <v>0.0123</v>
          </cell>
          <cell r="E14">
            <v>0.0458</v>
          </cell>
        </row>
        <row r="16">
          <cell r="C16">
            <v>4836189614</v>
          </cell>
          <cell r="D16">
            <v>0.497</v>
          </cell>
          <cell r="E16">
            <v>0.0507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6">
          <cell r="D26">
            <v>0.5093</v>
          </cell>
        </row>
        <row r="28">
          <cell r="C28">
            <v>4774948958</v>
          </cell>
          <cell r="D28">
            <v>0.4907</v>
          </cell>
          <cell r="E28">
            <v>0.094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 &amp; Review"/>
      <sheetName val="2023 PSE $400M Bond"/>
      <sheetName val="2023-2025 Mrtge Ind Renewal Fee"/>
      <sheetName val="2022 PSE Shelf Registration"/>
      <sheetName val="2022 PE Credit Facility"/>
      <sheetName val="2022 PSE Credit Facility"/>
      <sheetName val="PE $450M Bond 2022"/>
      <sheetName val="2022 PE Shelf Registration"/>
      <sheetName val="2021 PSE $450M Bond"/>
      <sheetName val="2021 PIH Term Loan"/>
      <sheetName val="2021 PE $500M Bond"/>
      <sheetName val="2020 PE $650M Bond"/>
      <sheetName val="2019 PE Term Loan"/>
      <sheetName val="2019 PSE $450M Sr Notes"/>
      <sheetName val="2019 Shelf Registration"/>
      <sheetName val="2018 PE Term Loan"/>
      <sheetName val="2018 PSE $600M  4.223% Sr Notes"/>
      <sheetName val="Hybrid Retirement"/>
      <sheetName val="2017 PSE Credit Facility"/>
      <sheetName val="2017 PE Credit Facility"/>
      <sheetName val="2016 PSE Shelf Registration"/>
      <sheetName val="2015 PSE $425M 4.30% Sr Note"/>
      <sheetName val="2015-PE $400M 3.65% Sr Note"/>
      <sheetName val="2014 PE Term Loans"/>
      <sheetName val="2014 Shelf Registration"/>
      <sheetName val="2013-PE Bond Deal "/>
      <sheetName val="2013 PCB REFINANCE (GA)"/>
      <sheetName val="2013 PCB REFINANCE Est-BR004"/>
      <sheetName val="2013 PCB REFINANCE Est-BR002"/>
      <sheetName val="2013 PSE Credit Facility"/>
      <sheetName val="2013 PSE Hedging Line of Cr"/>
      <sheetName val="2012 PE Credit Agreement"/>
      <sheetName val="2012-PE $450M 5.625% Sr Notes"/>
      <sheetName val="2011-9.57% FMB Retirement"/>
      <sheetName val="2011-Nov. $45M 4.70% Sr Notes"/>
      <sheetName val="2011-Nov. $250M 4.434% Sr Notes"/>
      <sheetName val="2011-PE $500M 6.0% Sr Notes"/>
      <sheetName val="2011-PSE 5.638% $300M Sr Notes"/>
      <sheetName val="2010-Jun 5.764% $250M Sr Notes"/>
      <sheetName val="2010-PE $450M 6.5% Sr Notes"/>
      <sheetName val="2010-Mar 5.795% $325M SrNotes"/>
      <sheetName val="2009 $350M 5.757% Sr Notes"/>
      <sheetName val="2009 $250M 6.75% Sr Notes"/>
      <sheetName val="2008 PSE Bridge Loan"/>
      <sheetName val="2008 PE Credit Agreements"/>
      <sheetName val="2008 PSE Hedging Line of Credit"/>
      <sheetName val="2008 PSE Capital Line of Credit"/>
      <sheetName val="2008 PSE Operating LOC"/>
      <sheetName val="Redemption of 8.2% Cap Trust I"/>
      <sheetName val="2007 Hedging Line of Credit"/>
      <sheetName val="2007 Hybrid Securities"/>
      <sheetName val="2006 PSE Sept. 30 Yr Notes"/>
      <sheetName val="Redemption of 8.4% Cap Trust II"/>
      <sheetName val="2006 PSE $250M 30 Yr Notes"/>
      <sheetName val="2005 AR Securitization"/>
      <sheetName val="2005 $312M Equity Offering"/>
      <sheetName val="Trust Preferred Tender Expenses"/>
      <sheetName val="2005 $250M 30 Yr Notes"/>
      <sheetName val="$500mm Credit Facility"/>
      <sheetName val="AR Securitization"/>
      <sheetName val="2003 $150M 5 Yr Notes (2)"/>
      <sheetName val="2003 $150M 5 Yr Notes"/>
      <sheetName val="2003 PCBs"/>
      <sheetName val="2002 Credit Facility"/>
      <sheetName val="WAC 480-146-230"/>
    </sheetNames>
    <sheetDataSet>
      <sheetData sheetId="1">
        <row r="61">
          <cell r="C61">
            <v>98.82010309500001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3">
          <cell r="P123">
            <v>0.05281704920991967</v>
          </cell>
        </row>
        <row r="127">
          <cell r="E127">
            <v>0.05283591597174241</v>
          </cell>
          <cell r="F127">
            <v>0.05289376900835186</v>
          </cell>
          <cell r="G127">
            <v>0.05298045918860871</v>
          </cell>
          <cell r="H127">
            <v>0.052980845781135336</v>
          </cell>
          <cell r="I127">
            <v>0.05273734924107679</v>
          </cell>
          <cell r="J127">
            <v>0.052156455569764754</v>
          </cell>
          <cell r="K127">
            <v>0.051315819413176804</v>
          </cell>
          <cell r="L127">
            <v>0.05034051596247552</v>
          </cell>
          <cell r="M127">
            <v>0.04937720559755689</v>
          </cell>
          <cell r="N127">
            <v>0.0484511393122862</v>
          </cell>
          <cell r="O127">
            <v>0.047578058660681564</v>
          </cell>
          <cell r="P127">
            <v>0.046764755546309676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GX 2023 "/>
      <sheetName val="NGX 2022"/>
    </sheetNames>
    <sheetDataSet>
      <sheetData sheetId="0">
        <row r="36">
          <cell r="J36">
            <v>28000000</v>
          </cell>
        </row>
        <row r="39">
          <cell r="J39">
            <v>28000000</v>
          </cell>
        </row>
        <row r="43">
          <cell r="J43">
            <v>22393939.393939395</v>
          </cell>
        </row>
        <row r="49">
          <cell r="J49">
            <v>9892857.142857144</v>
          </cell>
        </row>
        <row r="54">
          <cell r="J54">
            <v>17612903.225806452</v>
          </cell>
        </row>
        <row r="61">
          <cell r="J61">
            <v>9676470.588235294</v>
          </cell>
        </row>
        <row r="65">
          <cell r="J65">
            <v>7857142.857142857</v>
          </cell>
        </row>
        <row r="68">
          <cell r="J68">
            <v>11000000</v>
          </cell>
        </row>
        <row r="72">
          <cell r="J72">
            <v>8290322.580645162</v>
          </cell>
        </row>
        <row r="76">
          <cell r="J76">
            <v>4290322.580645162</v>
          </cell>
        </row>
        <row r="80">
          <cell r="J80">
            <v>4000000</v>
          </cell>
        </row>
        <row r="84">
          <cell r="J84">
            <v>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V10"/>
  <sheetViews>
    <sheetView zoomScalePageLayoutView="0" workbookViewId="0" topLeftCell="A1">
      <selection activeCell="H13" sqref="H13"/>
    </sheetView>
  </sheetViews>
  <sheetFormatPr defaultColWidth="9.33203125" defaultRowHeight="11.25"/>
  <sheetData>
    <row r="2" ht="12" thickBot="1"/>
    <row r="3" spans="2:22" ht="27" thickBot="1">
      <c r="B3" s="298" t="s">
        <v>150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300"/>
    </row>
    <row r="5" ht="12" thickBot="1"/>
    <row r="6" spans="2:22" ht="27.75" thickBot="1" thickTop="1">
      <c r="B6" s="301" t="s">
        <v>151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3"/>
    </row>
    <row r="7" ht="12" thickTop="1"/>
    <row r="10" ht="23.25">
      <c r="G10" s="314" t="s">
        <v>153</v>
      </c>
    </row>
  </sheetData>
  <sheetProtection/>
  <mergeCells count="2">
    <mergeCell ref="B3:V3"/>
    <mergeCell ref="B6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Layout" zoomScaleSheetLayoutView="100" workbookViewId="0" topLeftCell="A1">
      <selection activeCell="I37" sqref="I37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3" t="s">
        <v>125</v>
      </c>
      <c r="C1" s="43"/>
      <c r="D1" s="43"/>
      <c r="E1" s="43"/>
      <c r="F1" s="43"/>
    </row>
    <row r="2" spans="1:6" ht="12.75">
      <c r="A2" s="44"/>
      <c r="B2" s="2"/>
      <c r="C2" s="2"/>
      <c r="D2" s="2"/>
      <c r="E2" s="2"/>
      <c r="F2" s="2"/>
    </row>
    <row r="3" spans="2:6" ht="15.75">
      <c r="B3" s="293" t="s">
        <v>2</v>
      </c>
      <c r="C3" s="293"/>
      <c r="D3" s="293"/>
      <c r="E3" s="293"/>
      <c r="F3" s="293"/>
    </row>
    <row r="4" spans="2:8" ht="15" customHeight="1">
      <c r="B4" s="294" t="s">
        <v>109</v>
      </c>
      <c r="C4" s="294"/>
      <c r="D4" s="294"/>
      <c r="E4" s="294"/>
      <c r="F4" s="294"/>
      <c r="H4" s="36"/>
    </row>
    <row r="5" spans="1:8" ht="12.75">
      <c r="A5" s="45" t="s">
        <v>142</v>
      </c>
      <c r="B5" s="206"/>
      <c r="C5" s="45"/>
      <c r="D5" s="45"/>
      <c r="E5" s="45"/>
      <c r="F5" s="45"/>
      <c r="H5" s="36"/>
    </row>
    <row r="6" spans="1:8" ht="12.75">
      <c r="A6" s="3"/>
      <c r="C6" s="4"/>
      <c r="H6" s="36"/>
    </row>
    <row r="7" spans="1:8" ht="12.75">
      <c r="A7" s="3"/>
      <c r="H7" s="36"/>
    </row>
    <row r="8" spans="1:8" ht="12.75">
      <c r="A8" s="46">
        <v>1</v>
      </c>
      <c r="B8" s="47" t="s">
        <v>1</v>
      </c>
      <c r="C8" s="47" t="s">
        <v>17</v>
      </c>
      <c r="D8" s="47" t="s">
        <v>24</v>
      </c>
      <c r="E8" s="47" t="s">
        <v>26</v>
      </c>
      <c r="F8" s="47" t="s">
        <v>27</v>
      </c>
      <c r="H8" s="36"/>
    </row>
    <row r="9" spans="1:8" ht="12.75">
      <c r="A9" s="46">
        <f>A8+1</f>
        <v>2</v>
      </c>
      <c r="B9" s="290" t="s">
        <v>111</v>
      </c>
      <c r="C9" s="291"/>
      <c r="D9" s="291"/>
      <c r="E9" s="291"/>
      <c r="F9" s="292"/>
      <c r="H9" s="36"/>
    </row>
    <row r="10" spans="1:8" ht="12.75">
      <c r="A10" s="46">
        <f>A9+1</f>
        <v>3</v>
      </c>
      <c r="B10" s="48"/>
      <c r="C10" s="48"/>
      <c r="D10" s="48"/>
      <c r="E10" s="48"/>
      <c r="F10" s="48"/>
      <c r="H10" s="36"/>
    </row>
    <row r="11" spans="1:6" ht="12.75">
      <c r="A11" s="46">
        <f>A10+1</f>
        <v>4</v>
      </c>
      <c r="B11" s="47"/>
      <c r="C11" s="47"/>
      <c r="D11" s="49"/>
      <c r="E11" s="50" t="s">
        <v>6</v>
      </c>
      <c r="F11" s="50" t="s">
        <v>3</v>
      </c>
    </row>
    <row r="12" spans="1:8" ht="12.75">
      <c r="A12" s="46">
        <f aca="true" t="shared" si="0" ref="A12:A40">A11+1</f>
        <v>5</v>
      </c>
      <c r="B12" s="51" t="s">
        <v>4</v>
      </c>
      <c r="C12" s="52"/>
      <c r="D12" s="52" t="s">
        <v>5</v>
      </c>
      <c r="E12" s="52" t="s">
        <v>103</v>
      </c>
      <c r="F12" s="52" t="s">
        <v>7</v>
      </c>
      <c r="H12" s="36"/>
    </row>
    <row r="13" spans="1:8" ht="12.75">
      <c r="A13" s="46">
        <f t="shared" si="0"/>
        <v>6</v>
      </c>
      <c r="B13" s="53"/>
      <c r="C13" s="47"/>
      <c r="D13" s="47"/>
      <c r="E13" s="47"/>
      <c r="F13" s="47"/>
      <c r="H13" s="36"/>
    </row>
    <row r="14" spans="1:8" ht="12.75">
      <c r="A14" s="46">
        <f t="shared" si="0"/>
        <v>7</v>
      </c>
      <c r="B14" s="54" t="s">
        <v>121</v>
      </c>
      <c r="C14" s="47"/>
      <c r="D14" s="193">
        <f>'STD Int&amp;Fees-Details AMA'!P66</f>
        <v>0.012632323058658893</v>
      </c>
      <c r="E14" s="193">
        <f>'Cost of Total Debt (R)'!G37</f>
        <v>0.0604</v>
      </c>
      <c r="F14" s="55">
        <f>ROUND(D14*E14,4)</f>
        <v>0.0008</v>
      </c>
      <c r="H14" s="195"/>
    </row>
    <row r="15" spans="1:8" ht="12.75">
      <c r="A15" s="46">
        <f t="shared" si="0"/>
        <v>8</v>
      </c>
      <c r="B15" s="56" t="s">
        <v>25</v>
      </c>
      <c r="C15" s="47"/>
      <c r="D15" s="207"/>
      <c r="E15" s="55"/>
      <c r="F15" s="193">
        <f>'STD Int&amp;Fees-Details AMA'!P56</f>
        <v>0.0002</v>
      </c>
      <c r="H15" s="36"/>
    </row>
    <row r="16" spans="1:8" ht="12.75">
      <c r="A16" s="46">
        <f t="shared" si="0"/>
        <v>9</v>
      </c>
      <c r="B16" s="57" t="s">
        <v>98</v>
      </c>
      <c r="C16" s="58"/>
      <c r="D16" s="208"/>
      <c r="E16" s="60"/>
      <c r="F16" s="194">
        <f>'STD Int&amp;Fees-Details AMA'!P61</f>
        <v>0.0001</v>
      </c>
      <c r="H16" s="36"/>
    </row>
    <row r="17" spans="1:8" ht="12.75">
      <c r="A17" s="46">
        <f t="shared" si="0"/>
        <v>10</v>
      </c>
      <c r="B17" s="61" t="s">
        <v>120</v>
      </c>
      <c r="C17" s="47"/>
      <c r="D17" s="207"/>
      <c r="E17" s="55"/>
      <c r="F17" s="62">
        <f>SUM(F14:F16)</f>
        <v>0.0011</v>
      </c>
      <c r="H17" s="36"/>
    </row>
    <row r="18" spans="1:9" ht="12.75">
      <c r="A18" s="46">
        <f t="shared" si="0"/>
        <v>11</v>
      </c>
      <c r="B18" s="54" t="s">
        <v>122</v>
      </c>
      <c r="C18" s="63"/>
      <c r="D18" s="193">
        <f>'STD Int&amp;Fees-Details AMA'!P67</f>
        <v>0.4973676769413411</v>
      </c>
      <c r="E18" s="193">
        <f>'Cost of Total Debt (R)'!G35</f>
        <v>0.05204484481782969</v>
      </c>
      <c r="F18" s="193">
        <f>ROUND(D18*E18,4)</f>
        <v>0.0259</v>
      </c>
      <c r="H18" s="199"/>
      <c r="I18" s="36"/>
    </row>
    <row r="19" spans="1:8" ht="12.75">
      <c r="A19" s="46">
        <f t="shared" si="0"/>
        <v>12</v>
      </c>
      <c r="B19" s="57" t="s">
        <v>99</v>
      </c>
      <c r="C19" s="58"/>
      <c r="D19" s="59"/>
      <c r="E19" s="60"/>
      <c r="F19" s="194">
        <f>'Reacquired Debt'!K26</f>
        <v>0.0002</v>
      </c>
      <c r="H19" s="36"/>
    </row>
    <row r="20" spans="1:8" ht="12.75">
      <c r="A20" s="46">
        <f t="shared" si="0"/>
        <v>13</v>
      </c>
      <c r="B20" s="64" t="s">
        <v>123</v>
      </c>
      <c r="C20" s="65"/>
      <c r="D20" s="66"/>
      <c r="E20" s="67"/>
      <c r="F20" s="68">
        <f>F18+F19</f>
        <v>0.026099999999999998</v>
      </c>
      <c r="H20" s="36"/>
    </row>
    <row r="21" spans="1:8" ht="12.75">
      <c r="A21" s="46">
        <f t="shared" si="0"/>
        <v>14</v>
      </c>
      <c r="B21" s="69" t="s">
        <v>100</v>
      </c>
      <c r="C21" s="47"/>
      <c r="D21" s="62">
        <f>D14+D18</f>
        <v>0.51</v>
      </c>
      <c r="E21" s="55"/>
      <c r="F21" s="62">
        <f>F17+F20</f>
        <v>0.0272</v>
      </c>
      <c r="H21" s="36"/>
    </row>
    <row r="22" spans="1:8" ht="12.75">
      <c r="A22" s="46">
        <f t="shared" si="0"/>
        <v>15</v>
      </c>
      <c r="B22" s="69" t="s">
        <v>101</v>
      </c>
      <c r="C22" s="47"/>
      <c r="D22" s="216">
        <v>0.49</v>
      </c>
      <c r="E22" s="187">
        <v>0.094</v>
      </c>
      <c r="F22" s="70">
        <f>ROUND(D22*E22,4)</f>
        <v>0.0461</v>
      </c>
      <c r="H22" s="36"/>
    </row>
    <row r="23" spans="1:8" ht="12.75">
      <c r="A23" s="46">
        <f t="shared" si="0"/>
        <v>16</v>
      </c>
      <c r="B23" s="69" t="s">
        <v>102</v>
      </c>
      <c r="C23" s="71"/>
      <c r="D23" s="217">
        <v>1</v>
      </c>
      <c r="E23" s="55"/>
      <c r="F23" s="192">
        <f>F21+F22</f>
        <v>0.0733</v>
      </c>
      <c r="H23" s="36"/>
    </row>
    <row r="24" spans="1:8" ht="12.75">
      <c r="A24" s="46">
        <f t="shared" si="0"/>
        <v>17</v>
      </c>
      <c r="B24" s="47"/>
      <c r="C24" s="47"/>
      <c r="D24" s="47"/>
      <c r="E24" s="47"/>
      <c r="F24" s="47"/>
      <c r="H24" s="36"/>
    </row>
    <row r="25" spans="1:8" ht="12.75">
      <c r="A25" s="46">
        <f t="shared" si="0"/>
        <v>18</v>
      </c>
      <c r="B25" s="47"/>
      <c r="C25" s="47"/>
      <c r="D25" s="47"/>
      <c r="E25" s="47"/>
      <c r="F25" s="47"/>
      <c r="H25" s="36"/>
    </row>
    <row r="26" spans="1:8" ht="12.75">
      <c r="A26" s="46">
        <f t="shared" si="0"/>
        <v>19</v>
      </c>
      <c r="B26" s="290" t="s">
        <v>112</v>
      </c>
      <c r="C26" s="291"/>
      <c r="D26" s="291"/>
      <c r="E26" s="291"/>
      <c r="F26" s="292"/>
      <c r="H26" s="36"/>
    </row>
    <row r="27" spans="1:7" ht="12.75">
      <c r="A27" s="46">
        <f t="shared" si="0"/>
        <v>20</v>
      </c>
      <c r="B27" s="155"/>
      <c r="C27" s="155"/>
      <c r="D27" s="155"/>
      <c r="E27" s="155"/>
      <c r="F27" s="155"/>
      <c r="G27" s="72"/>
    </row>
    <row r="28" spans="1:7" ht="12.75">
      <c r="A28" s="46">
        <f t="shared" si="0"/>
        <v>21</v>
      </c>
      <c r="B28" s="156"/>
      <c r="C28" s="157" t="s">
        <v>110</v>
      </c>
      <c r="D28" s="156"/>
      <c r="E28" s="158" t="s">
        <v>6</v>
      </c>
      <c r="F28" s="158" t="s">
        <v>3</v>
      </c>
      <c r="G28" s="72"/>
    </row>
    <row r="29" spans="1:8" ht="12.75">
      <c r="A29" s="46">
        <f t="shared" si="0"/>
        <v>22</v>
      </c>
      <c r="B29" s="159" t="s">
        <v>4</v>
      </c>
      <c r="C29" s="160" t="s">
        <v>113</v>
      </c>
      <c r="D29" s="161" t="s">
        <v>5</v>
      </c>
      <c r="E29" s="161" t="s">
        <v>103</v>
      </c>
      <c r="F29" s="161" t="s">
        <v>7</v>
      </c>
      <c r="G29" s="72"/>
      <c r="H29" s="200"/>
    </row>
    <row r="30" spans="1:8" ht="12.75">
      <c r="A30" s="46">
        <f t="shared" si="0"/>
        <v>23</v>
      </c>
      <c r="B30" s="162"/>
      <c r="C30" s="162"/>
      <c r="D30" s="163"/>
      <c r="E30" s="162"/>
      <c r="F30" s="164"/>
      <c r="G30" s="72"/>
      <c r="H30" s="200"/>
    </row>
    <row r="31" spans="1:8" ht="12.75">
      <c r="A31" s="46">
        <f t="shared" si="0"/>
        <v>24</v>
      </c>
      <c r="B31" s="165" t="s">
        <v>121</v>
      </c>
      <c r="C31" s="166">
        <f>'[4]New Format'!$C$14</f>
        <v>119791667</v>
      </c>
      <c r="D31" s="209">
        <f>'[4]New Format'!$D$14</f>
        <v>0.0123</v>
      </c>
      <c r="E31" s="167">
        <f>'[4]New Format'!$E$14</f>
        <v>0.0458</v>
      </c>
      <c r="F31" s="172">
        <f>ROUND(D31*E31,4)</f>
        <v>0.0006</v>
      </c>
      <c r="H31" s="201"/>
    </row>
    <row r="32" spans="1:8" ht="12.75">
      <c r="A32" s="46">
        <f t="shared" si="0"/>
        <v>25</v>
      </c>
      <c r="B32" s="169" t="s">
        <v>25</v>
      </c>
      <c r="C32" s="170"/>
      <c r="D32" s="210"/>
      <c r="E32" s="171"/>
      <c r="F32" s="172">
        <f>'[4]New Format'!$F$20</f>
        <v>0.0002</v>
      </c>
      <c r="H32" s="201"/>
    </row>
    <row r="33" spans="1:8" ht="12.75">
      <c r="A33" s="46">
        <f t="shared" si="0"/>
        <v>26</v>
      </c>
      <c r="B33" s="173" t="s">
        <v>98</v>
      </c>
      <c r="C33" s="174"/>
      <c r="D33" s="177"/>
      <c r="E33" s="176"/>
      <c r="F33" s="177">
        <f>'[4]New Format'!$F$22</f>
        <v>0.0001</v>
      </c>
      <c r="H33" s="201"/>
    </row>
    <row r="34" spans="1:8" ht="12.75">
      <c r="A34" s="46">
        <f t="shared" si="0"/>
        <v>27</v>
      </c>
      <c r="B34" s="178" t="s">
        <v>120</v>
      </c>
      <c r="C34" s="170"/>
      <c r="D34" s="210"/>
      <c r="E34" s="171"/>
      <c r="F34" s="179">
        <f>SUM(F31:F33)</f>
        <v>0.0009</v>
      </c>
      <c r="H34" s="201"/>
    </row>
    <row r="35" spans="1:8" ht="12.75">
      <c r="A35" s="46">
        <f t="shared" si="0"/>
        <v>28</v>
      </c>
      <c r="B35" s="165" t="s">
        <v>8</v>
      </c>
      <c r="C35" s="170">
        <f>'[4]New Format'!$C$16</f>
        <v>4836189614</v>
      </c>
      <c r="D35" s="209">
        <f>'[4]New Format'!$D$16</f>
        <v>0.497</v>
      </c>
      <c r="E35" s="167">
        <f>'[4]New Format'!$E$16</f>
        <v>0.0507</v>
      </c>
      <c r="F35" s="168">
        <f>ROUND(D35*E35,4)</f>
        <v>0.0252</v>
      </c>
      <c r="H35" s="201"/>
    </row>
    <row r="36" spans="1:10" ht="12.75">
      <c r="A36" s="46">
        <f t="shared" si="0"/>
        <v>29</v>
      </c>
      <c r="B36" s="173" t="s">
        <v>99</v>
      </c>
      <c r="C36" s="174"/>
      <c r="D36" s="175"/>
      <c r="E36" s="176"/>
      <c r="F36" s="177">
        <f>'[4]New Format'!$F$24</f>
        <v>0.0002</v>
      </c>
      <c r="G36" s="72"/>
      <c r="H36" s="202"/>
      <c r="I36" s="195"/>
      <c r="J36" s="196"/>
    </row>
    <row r="37" spans="1:8" ht="12.75">
      <c r="A37" s="46">
        <f t="shared" si="0"/>
        <v>30</v>
      </c>
      <c r="B37" s="180" t="s">
        <v>123</v>
      </c>
      <c r="C37" s="181"/>
      <c r="D37" s="182"/>
      <c r="E37" s="183"/>
      <c r="F37" s="184">
        <f>F35+F36</f>
        <v>0.0254</v>
      </c>
      <c r="G37" s="72"/>
      <c r="H37" s="200"/>
    </row>
    <row r="38" spans="1:9" ht="12.75">
      <c r="A38" s="46">
        <f t="shared" si="0"/>
        <v>31</v>
      </c>
      <c r="B38" s="185" t="s">
        <v>100</v>
      </c>
      <c r="C38" s="186">
        <f>+C31+C35</f>
        <v>4955981281</v>
      </c>
      <c r="D38" s="211">
        <f>'[4]New Format'!$D$26</f>
        <v>0.5093</v>
      </c>
      <c r="E38" s="167"/>
      <c r="F38" s="187">
        <f>F34+F37</f>
        <v>0.0263</v>
      </c>
      <c r="G38" s="72"/>
      <c r="H38" s="42"/>
      <c r="I38" s="41"/>
    </row>
    <row r="39" spans="1:9" ht="12.75">
      <c r="A39" s="46">
        <f t="shared" si="0"/>
        <v>32</v>
      </c>
      <c r="B39" s="185" t="s">
        <v>101</v>
      </c>
      <c r="C39" s="188">
        <f>'[4]New Format'!$C$28</f>
        <v>4774948958</v>
      </c>
      <c r="D39" s="189">
        <f>'[4]New Format'!$D$28</f>
        <v>0.4907</v>
      </c>
      <c r="E39" s="187">
        <f>'[4]New Format'!$E$28</f>
        <v>0.094</v>
      </c>
      <c r="F39" s="189">
        <f>ROUND(+D39*E39,4)</f>
        <v>0.0461</v>
      </c>
      <c r="G39" s="72"/>
      <c r="H39" s="42"/>
      <c r="I39" s="41"/>
    </row>
    <row r="40" spans="1:8" ht="12.75">
      <c r="A40" s="46">
        <f t="shared" si="0"/>
        <v>33</v>
      </c>
      <c r="B40" s="185" t="s">
        <v>102</v>
      </c>
      <c r="C40" s="190">
        <f>SUM(C38:C39)</f>
        <v>9730930239</v>
      </c>
      <c r="D40" s="192">
        <f>SUM(D38:D39)</f>
        <v>1</v>
      </c>
      <c r="E40" s="191"/>
      <c r="F40" s="192">
        <f>SUM(F38:F39)</f>
        <v>0.0724</v>
      </c>
      <c r="G40" s="72"/>
      <c r="H40" s="40"/>
    </row>
    <row r="41" spans="1:7" ht="12.75">
      <c r="A41" s="46"/>
      <c r="C41" s="74"/>
      <c r="D41" s="75"/>
      <c r="E41" s="73"/>
      <c r="F41" s="75"/>
      <c r="G41" s="72"/>
    </row>
    <row r="42" spans="1:6" ht="12.75">
      <c r="A42" s="46"/>
      <c r="B42" s="76"/>
      <c r="C42" s="77"/>
      <c r="E42" s="78"/>
      <c r="F42" s="78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&amp;C&amp;A&amp;R
Page 1 of 4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1"/>
  <sheetViews>
    <sheetView tabSelected="1" view="pageLayout" zoomScaleNormal="110" zoomScaleSheetLayoutView="110" workbookViewId="0" topLeftCell="A1">
      <selection activeCell="J50" sqref="J50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1" width="11.5" style="8" bestFit="1" customWidth="1"/>
    <col min="12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218"/>
      <c r="B1" s="79" t="s">
        <v>68</v>
      </c>
      <c r="C1" s="79"/>
      <c r="D1" s="79"/>
      <c r="E1" s="79"/>
      <c r="F1" s="79"/>
      <c r="G1" s="79"/>
      <c r="H1" s="79"/>
      <c r="I1" s="79"/>
      <c r="J1" s="79"/>
    </row>
    <row r="2" spans="1:10" s="30" customFormat="1" ht="12.75">
      <c r="A2" s="219"/>
      <c r="B2" s="79" t="s">
        <v>118</v>
      </c>
      <c r="C2" s="79"/>
      <c r="D2" s="79"/>
      <c r="E2" s="79"/>
      <c r="F2" s="79"/>
      <c r="G2" s="79"/>
      <c r="H2" s="79"/>
      <c r="I2" s="79"/>
      <c r="J2" s="79"/>
    </row>
    <row r="3" spans="1:10" s="30" customFormat="1" ht="12.75">
      <c r="A3" s="220"/>
      <c r="B3" s="79" t="s">
        <v>139</v>
      </c>
      <c r="C3" s="79"/>
      <c r="D3" s="79"/>
      <c r="E3" s="79"/>
      <c r="F3" s="79"/>
      <c r="G3" s="79"/>
      <c r="H3" s="79"/>
      <c r="I3" s="79"/>
      <c r="J3" s="79"/>
    </row>
    <row r="4" spans="1:7" ht="10.5" customHeight="1">
      <c r="A4" s="8"/>
      <c r="G4" s="8"/>
    </row>
    <row r="5" spans="1:9" ht="10.5" customHeight="1">
      <c r="A5" s="81">
        <v>1</v>
      </c>
      <c r="B5" s="289"/>
      <c r="C5" s="221" t="s">
        <v>17</v>
      </c>
      <c r="D5" s="221" t="s">
        <v>24</v>
      </c>
      <c r="E5" s="221" t="s">
        <v>26</v>
      </c>
      <c r="F5" s="221" t="s">
        <v>27</v>
      </c>
      <c r="G5" s="221" t="s">
        <v>28</v>
      </c>
      <c r="H5" s="221" t="s">
        <v>29</v>
      </c>
      <c r="I5" s="221" t="s">
        <v>30</v>
      </c>
    </row>
    <row r="6" spans="1:9" ht="10.5" customHeight="1">
      <c r="A6" s="81">
        <f>A5+1</f>
        <v>2</v>
      </c>
      <c r="B6" s="221"/>
      <c r="C6" s="221"/>
      <c r="D6" s="221"/>
      <c r="E6" s="221"/>
      <c r="F6" s="295" t="s">
        <v>108</v>
      </c>
      <c r="G6" s="81"/>
      <c r="H6" s="81"/>
      <c r="I6" s="295" t="s">
        <v>119</v>
      </c>
    </row>
    <row r="7" spans="1:9" ht="10.5" customHeight="1">
      <c r="A7" s="81">
        <f aca="true" t="shared" si="0" ref="A7:A46">A6+1</f>
        <v>3</v>
      </c>
      <c r="B7" s="221"/>
      <c r="C7" s="221"/>
      <c r="D7" s="221"/>
      <c r="E7" s="221"/>
      <c r="F7" s="295"/>
      <c r="G7" s="295" t="s">
        <v>39</v>
      </c>
      <c r="H7" s="295" t="s">
        <v>117</v>
      </c>
      <c r="I7" s="295"/>
    </row>
    <row r="8" spans="1:10" ht="10.5" customHeight="1">
      <c r="A8" s="81">
        <f t="shared" si="0"/>
        <v>4</v>
      </c>
      <c r="B8" s="221"/>
      <c r="C8" s="222" t="s">
        <v>19</v>
      </c>
      <c r="D8" s="222" t="s">
        <v>9</v>
      </c>
      <c r="E8" s="223" t="s">
        <v>43</v>
      </c>
      <c r="F8" s="295"/>
      <c r="G8" s="295"/>
      <c r="H8" s="295"/>
      <c r="I8" s="295"/>
      <c r="J8" s="154"/>
    </row>
    <row r="9" spans="1:9" ht="9.75" customHeight="1">
      <c r="A9" s="81">
        <f t="shared" si="0"/>
        <v>5</v>
      </c>
      <c r="B9" s="224" t="s">
        <v>107</v>
      </c>
      <c r="C9" s="225" t="s">
        <v>11</v>
      </c>
      <c r="D9" s="224" t="s">
        <v>44</v>
      </c>
      <c r="E9" s="224" t="s">
        <v>44</v>
      </c>
      <c r="F9" s="296"/>
      <c r="G9" s="296"/>
      <c r="H9" s="296"/>
      <c r="I9" s="296"/>
    </row>
    <row r="10" spans="1:11" s="12" customFormat="1" ht="12.75">
      <c r="A10" s="81">
        <f t="shared" si="0"/>
        <v>6</v>
      </c>
      <c r="B10" s="226" t="s">
        <v>14</v>
      </c>
      <c r="C10" s="227">
        <v>0.0715</v>
      </c>
      <c r="D10" s="228">
        <v>35053</v>
      </c>
      <c r="E10" s="228">
        <v>46010</v>
      </c>
      <c r="F10" s="229">
        <v>99.211912</v>
      </c>
      <c r="G10" s="230">
        <f>ROUND(YIELD(D10,E10,C10,F10,100,2,2),4)</f>
        <v>0.0721</v>
      </c>
      <c r="H10" s="231">
        <f>G10*I10</f>
        <v>1081500</v>
      </c>
      <c r="I10" s="231">
        <v>15000000</v>
      </c>
      <c r="J10" s="232"/>
      <c r="K10" s="151"/>
    </row>
    <row r="11" spans="1:11" s="13" customFormat="1" ht="12.75">
      <c r="A11" s="81">
        <f t="shared" si="0"/>
        <v>7</v>
      </c>
      <c r="B11" s="226" t="s">
        <v>14</v>
      </c>
      <c r="C11" s="227">
        <v>0.072</v>
      </c>
      <c r="D11" s="228">
        <v>35054</v>
      </c>
      <c r="E11" s="228">
        <v>46013</v>
      </c>
      <c r="F11" s="229">
        <v>99.2116</v>
      </c>
      <c r="G11" s="233">
        <f>ROUND(YIELD(D11,E11,C11,F11,100,2,2),4)</f>
        <v>0.0726</v>
      </c>
      <c r="H11" s="231">
        <f aca="true" t="shared" si="1" ref="H11:H27">G11*I11</f>
        <v>145200</v>
      </c>
      <c r="I11" s="231">
        <v>2000000</v>
      </c>
      <c r="J11" s="231"/>
      <c r="K11" s="152"/>
    </row>
    <row r="12" spans="1:11" s="13" customFormat="1" ht="12.75">
      <c r="A12" s="81">
        <f t="shared" si="0"/>
        <v>8</v>
      </c>
      <c r="B12" s="226" t="s">
        <v>12</v>
      </c>
      <c r="C12" s="227">
        <v>0.0702</v>
      </c>
      <c r="D12" s="228">
        <v>35786</v>
      </c>
      <c r="E12" s="228">
        <v>46722</v>
      </c>
      <c r="F12" s="229">
        <v>98.98573577666666</v>
      </c>
      <c r="G12" s="233">
        <f>ROUND(YIELD(D12,E12,C12,F12,100,2,2),4)</f>
        <v>0.071</v>
      </c>
      <c r="H12" s="231">
        <f t="shared" si="1"/>
        <v>21299999.999999996</v>
      </c>
      <c r="I12" s="231">
        <v>300000000</v>
      </c>
      <c r="J12" s="231"/>
      <c r="K12" s="152"/>
    </row>
    <row r="13" spans="1:11" s="13" customFormat="1" ht="12.75">
      <c r="A13" s="81">
        <f t="shared" si="0"/>
        <v>9</v>
      </c>
      <c r="B13" s="226" t="s">
        <v>13</v>
      </c>
      <c r="C13" s="227">
        <v>0.07</v>
      </c>
      <c r="D13" s="228">
        <v>36228</v>
      </c>
      <c r="E13" s="228">
        <v>47186</v>
      </c>
      <c r="F13" s="229">
        <v>99.04287054999999</v>
      </c>
      <c r="G13" s="233">
        <f aca="true" t="shared" si="2" ref="G13:G26">ROUND(YIELD(D13,E13,C13,F13,100,2,2),4)</f>
        <v>0.0708</v>
      </c>
      <c r="H13" s="231">
        <f t="shared" si="1"/>
        <v>7080000</v>
      </c>
      <c r="I13" s="231">
        <v>100000000</v>
      </c>
      <c r="J13" s="231"/>
      <c r="K13" s="152"/>
    </row>
    <row r="14" spans="1:11" ht="12.75">
      <c r="A14" s="81">
        <f t="shared" si="0"/>
        <v>10</v>
      </c>
      <c r="B14" s="226" t="s">
        <v>40</v>
      </c>
      <c r="C14" s="227">
        <v>0.05483</v>
      </c>
      <c r="D14" s="228">
        <v>38499</v>
      </c>
      <c r="E14" s="228">
        <v>49461</v>
      </c>
      <c r="F14" s="229">
        <v>84.886606836</v>
      </c>
      <c r="G14" s="233">
        <f t="shared" si="2"/>
        <v>0.0665</v>
      </c>
      <c r="H14" s="231">
        <f t="shared" si="1"/>
        <v>16625000</v>
      </c>
      <c r="I14" s="231">
        <v>250000000</v>
      </c>
      <c r="J14" s="231"/>
      <c r="K14" s="153"/>
    </row>
    <row r="15" spans="1:11" ht="12.75">
      <c r="A15" s="81">
        <f t="shared" si="0"/>
        <v>11</v>
      </c>
      <c r="B15" s="226" t="s">
        <v>40</v>
      </c>
      <c r="C15" s="227">
        <v>0.06724</v>
      </c>
      <c r="D15" s="228">
        <v>38898</v>
      </c>
      <c r="E15" s="228">
        <v>49841</v>
      </c>
      <c r="F15" s="229">
        <v>107.515271756</v>
      </c>
      <c r="G15" s="233">
        <f t="shared" si="2"/>
        <v>0.0617</v>
      </c>
      <c r="H15" s="231">
        <f t="shared" si="1"/>
        <v>15425000</v>
      </c>
      <c r="I15" s="231">
        <v>250000000</v>
      </c>
      <c r="J15" s="231"/>
      <c r="K15" s="153"/>
    </row>
    <row r="16" spans="1:11" ht="12.75">
      <c r="A16" s="81">
        <f t="shared" si="0"/>
        <v>12</v>
      </c>
      <c r="B16" s="226" t="s">
        <v>40</v>
      </c>
      <c r="C16" s="227">
        <v>0.06274</v>
      </c>
      <c r="D16" s="228">
        <v>38978</v>
      </c>
      <c r="E16" s="228">
        <v>50114</v>
      </c>
      <c r="F16" s="229">
        <v>98.8127</v>
      </c>
      <c r="G16" s="233">
        <f t="shared" si="2"/>
        <v>0.0636</v>
      </c>
      <c r="H16" s="231">
        <f t="shared" si="1"/>
        <v>19080000</v>
      </c>
      <c r="I16" s="231">
        <v>300000000</v>
      </c>
      <c r="J16" s="231"/>
      <c r="K16" s="153"/>
    </row>
    <row r="17" spans="1:11" ht="12.75">
      <c r="A17" s="81">
        <f t="shared" si="0"/>
        <v>13</v>
      </c>
      <c r="B17" s="226" t="s">
        <v>40</v>
      </c>
      <c r="C17" s="227">
        <v>0.05757</v>
      </c>
      <c r="D17" s="228">
        <v>40067</v>
      </c>
      <c r="E17" s="228">
        <v>51058</v>
      </c>
      <c r="F17" s="229">
        <v>98.9836</v>
      </c>
      <c r="G17" s="233">
        <f t="shared" si="2"/>
        <v>0.0583</v>
      </c>
      <c r="H17" s="231">
        <f t="shared" si="1"/>
        <v>20405000</v>
      </c>
      <c r="I17" s="231">
        <v>350000000</v>
      </c>
      <c r="J17" s="231"/>
      <c r="K17" s="153"/>
    </row>
    <row r="18" spans="1:11" ht="12.75">
      <c r="A18" s="81">
        <f t="shared" si="0"/>
        <v>14</v>
      </c>
      <c r="B18" s="226" t="s">
        <v>40</v>
      </c>
      <c r="C18" s="227">
        <v>0.05795</v>
      </c>
      <c r="D18" s="228">
        <v>40245</v>
      </c>
      <c r="E18" s="228">
        <v>51210</v>
      </c>
      <c r="F18" s="229">
        <v>98.9588</v>
      </c>
      <c r="G18" s="233">
        <f t="shared" si="2"/>
        <v>0.0587</v>
      </c>
      <c r="H18" s="231">
        <f t="shared" si="1"/>
        <v>19077500</v>
      </c>
      <c r="I18" s="231">
        <v>325000000</v>
      </c>
      <c r="J18" s="231"/>
      <c r="K18" s="153"/>
    </row>
    <row r="19" spans="1:11" ht="12.75">
      <c r="A19" s="81">
        <f t="shared" si="0"/>
        <v>15</v>
      </c>
      <c r="B19" s="226" t="s">
        <v>40</v>
      </c>
      <c r="C19" s="227">
        <v>0.05764</v>
      </c>
      <c r="D19" s="228">
        <v>40358</v>
      </c>
      <c r="E19" s="228">
        <v>51332</v>
      </c>
      <c r="F19" s="229">
        <v>98.9652</v>
      </c>
      <c r="G19" s="233">
        <f t="shared" si="2"/>
        <v>0.0584</v>
      </c>
      <c r="H19" s="231">
        <f t="shared" si="1"/>
        <v>14600000</v>
      </c>
      <c r="I19" s="231">
        <v>250000000</v>
      </c>
      <c r="J19" s="231"/>
      <c r="K19" s="153"/>
    </row>
    <row r="20" spans="1:11" ht="12.75">
      <c r="A20" s="81">
        <f t="shared" si="0"/>
        <v>16</v>
      </c>
      <c r="B20" s="226" t="s">
        <v>40</v>
      </c>
      <c r="C20" s="227">
        <v>0.05638</v>
      </c>
      <c r="D20" s="228">
        <v>40627</v>
      </c>
      <c r="E20" s="228">
        <v>51606</v>
      </c>
      <c r="F20" s="229">
        <v>98.971</v>
      </c>
      <c r="G20" s="233">
        <f t="shared" si="2"/>
        <v>0.0571</v>
      </c>
      <c r="H20" s="231">
        <f t="shared" si="1"/>
        <v>17130000</v>
      </c>
      <c r="I20" s="231">
        <v>300000000</v>
      </c>
      <c r="J20" s="231"/>
      <c r="K20" s="153"/>
    </row>
    <row r="21" spans="1:11" ht="12.75">
      <c r="A21" s="81">
        <f t="shared" si="0"/>
        <v>17</v>
      </c>
      <c r="B21" s="226" t="s">
        <v>40</v>
      </c>
      <c r="C21" s="227">
        <v>0.04434</v>
      </c>
      <c r="D21" s="228">
        <v>40863</v>
      </c>
      <c r="E21" s="228">
        <v>51820</v>
      </c>
      <c r="F21" s="229">
        <v>98.963</v>
      </c>
      <c r="G21" s="233">
        <f t="shared" si="2"/>
        <v>0.045</v>
      </c>
      <c r="H21" s="231">
        <f t="shared" si="1"/>
        <v>11250000</v>
      </c>
      <c r="I21" s="231">
        <v>250000000</v>
      </c>
      <c r="J21" s="231"/>
      <c r="K21" s="153"/>
    </row>
    <row r="22" spans="1:11" ht="12.75">
      <c r="A22" s="81">
        <f t="shared" si="0"/>
        <v>18</v>
      </c>
      <c r="B22" s="226" t="s">
        <v>40</v>
      </c>
      <c r="C22" s="227">
        <v>0.047</v>
      </c>
      <c r="D22" s="228">
        <v>40869</v>
      </c>
      <c r="E22" s="228">
        <v>55472</v>
      </c>
      <c r="F22" s="229">
        <v>98.8639</v>
      </c>
      <c r="G22" s="233">
        <f t="shared" si="2"/>
        <v>0.0476</v>
      </c>
      <c r="H22" s="231">
        <f t="shared" si="1"/>
        <v>2142000</v>
      </c>
      <c r="I22" s="231">
        <v>45000000</v>
      </c>
      <c r="J22" s="231"/>
      <c r="K22" s="153"/>
    </row>
    <row r="23" spans="1:11" ht="12.75">
      <c r="A23" s="81">
        <f t="shared" si="0"/>
        <v>19</v>
      </c>
      <c r="B23" s="234" t="s">
        <v>15</v>
      </c>
      <c r="C23" s="227">
        <v>0.039</v>
      </c>
      <c r="D23" s="228">
        <v>41417</v>
      </c>
      <c r="E23" s="235">
        <v>47908</v>
      </c>
      <c r="F23" s="229">
        <v>98.9391</v>
      </c>
      <c r="G23" s="233">
        <f t="shared" si="2"/>
        <v>0.0398</v>
      </c>
      <c r="H23" s="231">
        <f t="shared" si="1"/>
        <v>5510708</v>
      </c>
      <c r="I23" s="231">
        <v>138460000</v>
      </c>
      <c r="J23" s="231"/>
      <c r="K23" s="153"/>
    </row>
    <row r="24" spans="1:11" ht="12.75">
      <c r="A24" s="81">
        <f t="shared" si="0"/>
        <v>20</v>
      </c>
      <c r="B24" s="234" t="s">
        <v>15</v>
      </c>
      <c r="C24" s="227">
        <v>0.04</v>
      </c>
      <c r="D24" s="228">
        <v>41417</v>
      </c>
      <c r="E24" s="235">
        <v>47908</v>
      </c>
      <c r="F24" s="229">
        <v>98.9391</v>
      </c>
      <c r="G24" s="233">
        <f t="shared" si="2"/>
        <v>0.0408</v>
      </c>
      <c r="H24" s="231">
        <f t="shared" si="1"/>
        <v>954720.0000000001</v>
      </c>
      <c r="I24" s="231">
        <v>23400000</v>
      </c>
      <c r="J24" s="231"/>
      <c r="K24" s="153"/>
    </row>
    <row r="25" spans="1:11" ht="12.75">
      <c r="A25" s="81">
        <f t="shared" si="0"/>
        <v>21</v>
      </c>
      <c r="B25" s="226" t="s">
        <v>40</v>
      </c>
      <c r="C25" s="227">
        <v>0.043</v>
      </c>
      <c r="D25" s="228">
        <v>42150</v>
      </c>
      <c r="E25" s="228">
        <v>53102</v>
      </c>
      <c r="F25" s="229">
        <v>98.46</v>
      </c>
      <c r="G25" s="233">
        <f t="shared" si="2"/>
        <v>0.0439</v>
      </c>
      <c r="H25" s="231">
        <f t="shared" si="1"/>
        <v>18657500</v>
      </c>
      <c r="I25" s="231">
        <v>425000000</v>
      </c>
      <c r="J25" s="231"/>
      <c r="K25" s="153"/>
    </row>
    <row r="26" spans="1:11" ht="12.75">
      <c r="A26" s="81">
        <f>A25+1</f>
        <v>22</v>
      </c>
      <c r="B26" s="226" t="s">
        <v>40</v>
      </c>
      <c r="C26" s="227">
        <v>0.04223</v>
      </c>
      <c r="D26" s="228">
        <v>43265</v>
      </c>
      <c r="E26" s="228">
        <v>54224</v>
      </c>
      <c r="F26" s="229">
        <v>98.8868</v>
      </c>
      <c r="G26" s="233">
        <f t="shared" si="2"/>
        <v>0.0429</v>
      </c>
      <c r="H26" s="231">
        <f t="shared" si="1"/>
        <v>25740000</v>
      </c>
      <c r="I26" s="231">
        <v>600000000</v>
      </c>
      <c r="J26" s="231"/>
      <c r="K26" s="153"/>
    </row>
    <row r="27" spans="1:11" ht="12.75">
      <c r="A27" s="81">
        <f t="shared" si="0"/>
        <v>23</v>
      </c>
      <c r="B27" s="226" t="s">
        <v>40</v>
      </c>
      <c r="C27" s="227">
        <v>0.0325</v>
      </c>
      <c r="D27" s="228">
        <v>43707</v>
      </c>
      <c r="E27" s="228">
        <v>54681</v>
      </c>
      <c r="F27" s="229">
        <v>98.83</v>
      </c>
      <c r="G27" s="230">
        <f>ROUND(YIELD(D27,E27,C27,F27,100,2,2),4)</f>
        <v>0.0331</v>
      </c>
      <c r="H27" s="231">
        <f t="shared" si="1"/>
        <v>14894999.999999998</v>
      </c>
      <c r="I27" s="231">
        <v>450000000</v>
      </c>
      <c r="J27" s="232"/>
      <c r="K27" s="153"/>
    </row>
    <row r="28" spans="1:11" ht="12.75">
      <c r="A28" s="81">
        <f t="shared" si="0"/>
        <v>24</v>
      </c>
      <c r="B28" s="236" t="s">
        <v>40</v>
      </c>
      <c r="C28" s="237">
        <v>0.02893</v>
      </c>
      <c r="D28" s="238">
        <v>44454</v>
      </c>
      <c r="E28" s="238">
        <v>55411</v>
      </c>
      <c r="F28" s="229">
        <v>98.85</v>
      </c>
      <c r="G28" s="230">
        <f>ROUND(YIELD(D28,E28,C28,F28,100,2,2),4)</f>
        <v>0.0295</v>
      </c>
      <c r="H28" s="231">
        <f>G28*I28</f>
        <v>13275000</v>
      </c>
      <c r="I28" s="231">
        <v>450000000</v>
      </c>
      <c r="J28" s="232"/>
      <c r="K28" s="153"/>
    </row>
    <row r="29" spans="1:11" ht="12.75">
      <c r="A29" s="81">
        <f t="shared" si="0"/>
        <v>25</v>
      </c>
      <c r="B29" s="236" t="s">
        <v>40</v>
      </c>
      <c r="C29" s="237">
        <v>0.05448</v>
      </c>
      <c r="D29" s="238">
        <v>45064</v>
      </c>
      <c r="E29" s="238">
        <v>56036</v>
      </c>
      <c r="F29" s="229">
        <f>'[5]2023 PSE $400M Bond'!$C$61</f>
        <v>98.82010309500001</v>
      </c>
      <c r="G29" s="230">
        <f>ROUND(YIELD(D29,E29,C29,F29,100,2,2),4)</f>
        <v>0.0553</v>
      </c>
      <c r="H29" s="231">
        <f>G29*I29</f>
        <v>22120000</v>
      </c>
      <c r="I29" s="231">
        <v>400000000</v>
      </c>
      <c r="J29" s="232"/>
      <c r="K29" s="153"/>
    </row>
    <row r="30" spans="1:11" ht="12.75">
      <c r="A30" s="81">
        <f t="shared" si="0"/>
        <v>26</v>
      </c>
      <c r="B30" s="236" t="s">
        <v>40</v>
      </c>
      <c r="C30" s="278" t="s">
        <v>152</v>
      </c>
      <c r="D30" s="279" t="s">
        <v>152</v>
      </c>
      <c r="E30" s="279" t="s">
        <v>152</v>
      </c>
      <c r="F30" s="311" t="s">
        <v>152</v>
      </c>
      <c r="G30" s="280" t="s">
        <v>152</v>
      </c>
      <c r="H30" s="281" t="s">
        <v>152</v>
      </c>
      <c r="I30" s="282" t="s">
        <v>152</v>
      </c>
      <c r="J30" s="232"/>
      <c r="K30" s="153"/>
    </row>
    <row r="31" spans="1:11" ht="12.75">
      <c r="A31" s="81">
        <f t="shared" si="0"/>
        <v>27</v>
      </c>
      <c r="B31" s="236" t="s">
        <v>40</v>
      </c>
      <c r="C31" s="283" t="s">
        <v>152</v>
      </c>
      <c r="D31" s="284" t="s">
        <v>152</v>
      </c>
      <c r="E31" s="284" t="s">
        <v>152</v>
      </c>
      <c r="F31" s="312" t="s">
        <v>152</v>
      </c>
      <c r="G31" s="285" t="s">
        <v>152</v>
      </c>
      <c r="H31" s="286" t="s">
        <v>152</v>
      </c>
      <c r="I31" s="287" t="s">
        <v>152</v>
      </c>
      <c r="J31" s="232"/>
      <c r="K31" s="153"/>
    </row>
    <row r="32" spans="1:11" ht="12.75">
      <c r="A32" s="81">
        <f t="shared" si="0"/>
        <v>28</v>
      </c>
      <c r="B32" s="236"/>
      <c r="H32" s="231">
        <v>0</v>
      </c>
      <c r="K32" s="153"/>
    </row>
    <row r="33" spans="1:10" ht="12.75">
      <c r="A33" s="81">
        <f t="shared" si="0"/>
        <v>29</v>
      </c>
      <c r="B33" s="239" t="s">
        <v>137</v>
      </c>
      <c r="C33" s="231"/>
      <c r="D33" s="227"/>
      <c r="E33" s="228"/>
      <c r="F33" s="228"/>
      <c r="G33" s="240"/>
      <c r="H33" s="241"/>
      <c r="I33" s="241">
        <v>6023860000</v>
      </c>
      <c r="J33" s="231"/>
    </row>
    <row r="34" spans="1:10" ht="12.75">
      <c r="A34" s="81">
        <f t="shared" si="0"/>
        <v>30</v>
      </c>
      <c r="B34" s="226"/>
      <c r="C34" s="231"/>
      <c r="D34" s="227"/>
      <c r="E34" s="228"/>
      <c r="F34" s="228"/>
      <c r="G34" s="240"/>
      <c r="H34" s="242"/>
      <c r="I34" s="243"/>
      <c r="J34" s="231"/>
    </row>
    <row r="35" spans="1:9" ht="13.5" thickBot="1">
      <c r="A35" s="81">
        <f t="shared" si="0"/>
        <v>31</v>
      </c>
      <c r="B35" s="244" t="s">
        <v>132</v>
      </c>
      <c r="C35" s="308"/>
      <c r="D35" s="227"/>
      <c r="E35" s="228"/>
      <c r="F35" s="241"/>
      <c r="G35" s="246">
        <v>0.05204484481782969</v>
      </c>
      <c r="H35" s="247">
        <v>293126628</v>
      </c>
      <c r="I35" s="248">
        <v>5632193333</v>
      </c>
    </row>
    <row r="36" spans="1:9" ht="13.5" thickTop="1">
      <c r="A36" s="81">
        <f t="shared" si="0"/>
        <v>32</v>
      </c>
      <c r="B36" s="245"/>
      <c r="C36" s="308"/>
      <c r="D36" s="227"/>
      <c r="E36" s="228"/>
      <c r="F36" s="241"/>
      <c r="G36" s="249"/>
      <c r="H36" s="249"/>
      <c r="I36" s="241"/>
    </row>
    <row r="37" spans="1:9" ht="12.75">
      <c r="A37" s="81">
        <f t="shared" si="0"/>
        <v>33</v>
      </c>
      <c r="B37" s="250" t="s">
        <v>104</v>
      </c>
      <c r="C37" s="250"/>
      <c r="D37" s="227"/>
      <c r="E37" s="228"/>
      <c r="F37" s="241"/>
      <c r="G37" s="251">
        <v>0.0604</v>
      </c>
      <c r="H37" s="243">
        <v>8635866.29930642</v>
      </c>
      <c r="I37" s="252">
        <v>143048470.99999997</v>
      </c>
    </row>
    <row r="38" spans="1:9" ht="13.5" thickBot="1">
      <c r="A38" s="81">
        <f t="shared" si="0"/>
        <v>34</v>
      </c>
      <c r="B38" s="253" t="s">
        <v>105</v>
      </c>
      <c r="C38" s="309"/>
      <c r="D38" s="227"/>
      <c r="E38" s="228"/>
      <c r="F38" s="223" t="s">
        <v>129</v>
      </c>
      <c r="G38" s="254">
        <v>0.0523</v>
      </c>
      <c r="H38" s="247">
        <v>301762494.2993064</v>
      </c>
      <c r="I38" s="248">
        <v>5775241804</v>
      </c>
    </row>
    <row r="39" spans="1:10" ht="13.5" thickTop="1">
      <c r="A39" s="81">
        <f t="shared" si="0"/>
        <v>35</v>
      </c>
      <c r="B39" s="253"/>
      <c r="C39" s="309"/>
      <c r="D39" s="227"/>
      <c r="E39" s="228"/>
      <c r="F39" s="228"/>
      <c r="G39" s="241"/>
      <c r="H39" s="255"/>
      <c r="I39" s="256"/>
      <c r="J39" s="257"/>
    </row>
    <row r="40" spans="1:10" ht="12.75">
      <c r="A40" s="81">
        <f t="shared" si="0"/>
        <v>36</v>
      </c>
      <c r="B40" s="253" t="s">
        <v>115</v>
      </c>
      <c r="C40" s="309"/>
      <c r="D40" s="227"/>
      <c r="E40" s="228"/>
      <c r="F40" s="228"/>
      <c r="H40" s="258">
        <v>5632193333</v>
      </c>
      <c r="I40" s="256"/>
      <c r="J40" s="257"/>
    </row>
    <row r="41" spans="1:10" ht="12.75">
      <c r="A41" s="81">
        <f t="shared" si="0"/>
        <v>37</v>
      </c>
      <c r="B41" s="253" t="s">
        <v>114</v>
      </c>
      <c r="C41" s="309"/>
      <c r="D41" s="227"/>
      <c r="E41" s="228"/>
      <c r="F41" s="228"/>
      <c r="H41" s="310">
        <v>0.4973676769413411</v>
      </c>
      <c r="I41" s="256"/>
      <c r="J41" s="257"/>
    </row>
    <row r="42" spans="1:10" ht="12.75">
      <c r="A42" s="81">
        <f t="shared" si="0"/>
        <v>38</v>
      </c>
      <c r="B42" s="253" t="s">
        <v>116</v>
      </c>
      <c r="C42" s="309"/>
      <c r="D42" s="227"/>
      <c r="E42" s="228"/>
      <c r="F42" s="228"/>
      <c r="H42" s="259">
        <v>11324003537.254902</v>
      </c>
      <c r="I42" s="256"/>
      <c r="J42" s="257"/>
    </row>
    <row r="43" spans="1:10" ht="12.75">
      <c r="A43" s="81">
        <f t="shared" si="0"/>
        <v>39</v>
      </c>
      <c r="B43" s="253"/>
      <c r="C43" s="253"/>
      <c r="D43" s="227"/>
      <c r="E43" s="228"/>
      <c r="F43" s="228"/>
      <c r="G43" s="241"/>
      <c r="H43" s="255"/>
      <c r="I43" s="256"/>
      <c r="J43" s="257"/>
    </row>
    <row r="44" spans="1:9" ht="12.75">
      <c r="A44" s="81">
        <f t="shared" si="0"/>
        <v>40</v>
      </c>
      <c r="B44" s="260" t="s">
        <v>146</v>
      </c>
      <c r="C44" s="261"/>
      <c r="D44" s="262"/>
      <c r="E44" s="262"/>
      <c r="F44" s="262"/>
      <c r="G44" s="262"/>
      <c r="H44" s="262"/>
      <c r="I44" s="262"/>
    </row>
    <row r="45" spans="1:9" ht="12.75">
      <c r="A45" s="81">
        <f t="shared" si="0"/>
        <v>41</v>
      </c>
      <c r="B45" s="260" t="s">
        <v>147</v>
      </c>
      <c r="C45" s="261"/>
      <c r="D45" s="262"/>
      <c r="E45" s="262"/>
      <c r="F45" s="262"/>
      <c r="G45" s="262"/>
      <c r="H45" s="263"/>
      <c r="I45" s="262"/>
    </row>
    <row r="46" spans="1:9" ht="27.75" customHeight="1">
      <c r="A46" s="81">
        <f t="shared" si="0"/>
        <v>42</v>
      </c>
      <c r="B46" s="297" t="s">
        <v>148</v>
      </c>
      <c r="C46" s="297"/>
      <c r="D46" s="297"/>
      <c r="E46" s="297"/>
      <c r="F46" s="297"/>
      <c r="G46" s="297"/>
      <c r="H46" s="297"/>
      <c r="I46" s="297"/>
    </row>
    <row r="47" spans="1:39" ht="13.5" thickBot="1">
      <c r="A47" s="264"/>
      <c r="B47" s="38"/>
      <c r="C47" s="38"/>
      <c r="D47" s="38"/>
      <c r="E47" s="38"/>
      <c r="F47" s="265"/>
      <c r="G47" s="37"/>
      <c r="H47" s="38"/>
      <c r="I47" s="265"/>
      <c r="J47" s="231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</row>
    <row r="48" spans="1:10" ht="13.5" thickBot="1">
      <c r="A48" s="18"/>
      <c r="B48" s="304" t="s">
        <v>149</v>
      </c>
      <c r="C48" s="305"/>
      <c r="D48" s="305"/>
      <c r="E48" s="305"/>
      <c r="F48" s="305"/>
      <c r="G48" s="306"/>
      <c r="H48" s="307"/>
      <c r="I48" s="262"/>
      <c r="J48" s="226"/>
    </row>
    <row r="49" spans="1:10" ht="12.75">
      <c r="A49" s="18"/>
      <c r="B49" s="38"/>
      <c r="C49" s="38"/>
      <c r="D49" s="38"/>
      <c r="E49" s="38"/>
      <c r="F49" s="38"/>
      <c r="G49" s="37"/>
      <c r="H49" s="38"/>
      <c r="J49" s="266"/>
    </row>
    <row r="50" spans="1:10" ht="12.75">
      <c r="A50" s="18"/>
      <c r="B50" s="13"/>
      <c r="C50" s="13"/>
      <c r="D50" s="313" t="s">
        <v>153</v>
      </c>
      <c r="E50" s="13"/>
      <c r="F50" s="13"/>
      <c r="G50" s="37"/>
      <c r="H50" s="13"/>
      <c r="I50" s="13"/>
      <c r="J50" s="18">
        <f>IF(J49&lt;&gt;0,"ERROR","")</f>
      </c>
    </row>
    <row r="51" spans="1:9" ht="12.75">
      <c r="A51" s="18"/>
      <c r="B51" s="13"/>
      <c r="C51" s="13"/>
      <c r="D51" s="13"/>
      <c r="E51" s="13"/>
      <c r="F51" s="13"/>
      <c r="G51" s="19"/>
      <c r="H51" s="13"/>
      <c r="I51" s="242"/>
    </row>
    <row r="52" spans="1:9" ht="12.75">
      <c r="A52" s="20"/>
      <c r="B52" s="21"/>
      <c r="C52" s="21"/>
      <c r="D52" s="22"/>
      <c r="E52" s="23"/>
      <c r="F52" s="23"/>
      <c r="G52" s="267"/>
      <c r="H52" s="25"/>
      <c r="I52" s="242"/>
    </row>
    <row r="53" spans="1:9" ht="12.75">
      <c r="A53" s="20"/>
      <c r="B53" s="21"/>
      <c r="C53" s="21"/>
      <c r="D53" s="22"/>
      <c r="E53" s="23"/>
      <c r="F53" s="23"/>
      <c r="G53" s="24"/>
      <c r="H53" s="25"/>
      <c r="I53" s="26"/>
    </row>
    <row r="54" spans="1:9" ht="12.75">
      <c r="A54" s="20"/>
      <c r="B54" s="21"/>
      <c r="C54" s="21"/>
      <c r="D54" s="22"/>
      <c r="E54" s="23"/>
      <c r="F54" s="23"/>
      <c r="G54" s="24"/>
      <c r="H54" s="25"/>
      <c r="I54" s="26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28"/>
    </row>
    <row r="56" spans="1:9" ht="12.75" hidden="1">
      <c r="A56" s="27"/>
      <c r="B56" s="13"/>
      <c r="C56" s="13"/>
      <c r="D56" s="13"/>
      <c r="E56" s="13"/>
      <c r="F56" s="13"/>
      <c r="G56" s="19"/>
      <c r="H56" s="13"/>
      <c r="I56" s="29"/>
    </row>
    <row r="57" spans="1:9" ht="12.75" hidden="1">
      <c r="A57" s="27"/>
      <c r="B57" s="13"/>
      <c r="C57" s="13"/>
      <c r="D57" s="13"/>
      <c r="E57" s="13"/>
      <c r="F57" s="13"/>
      <c r="G57" s="19"/>
      <c r="H57" s="13"/>
      <c r="I57" s="13"/>
    </row>
    <row r="58" spans="1:9" ht="12.75">
      <c r="A58" s="20"/>
      <c r="B58" s="21"/>
      <c r="C58" s="21"/>
      <c r="D58" s="22"/>
      <c r="E58" s="23"/>
      <c r="F58" s="23"/>
      <c r="G58" s="24"/>
      <c r="H58" s="25"/>
      <c r="I58" s="26"/>
    </row>
    <row r="59" spans="1:9" ht="12.75">
      <c r="A59" s="20"/>
      <c r="B59" s="21"/>
      <c r="C59" s="21"/>
      <c r="D59" s="22"/>
      <c r="E59" s="23"/>
      <c r="F59" s="23"/>
      <c r="G59" s="24"/>
      <c r="H59" s="25"/>
      <c r="I59" s="26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27"/>
      <c r="B67" s="13"/>
      <c r="C67" s="13"/>
      <c r="D67" s="13"/>
      <c r="E67" s="13"/>
      <c r="F67" s="13"/>
      <c r="G67" s="19"/>
      <c r="H67" s="13"/>
      <c r="I67" s="13"/>
    </row>
    <row r="68" spans="1:9" ht="12.75">
      <c r="A68" s="27"/>
      <c r="B68" s="13"/>
      <c r="C68" s="13"/>
      <c r="D68" s="13"/>
      <c r="E68" s="13"/>
      <c r="F68" s="13"/>
      <c r="G68" s="19"/>
      <c r="H68" s="13"/>
      <c r="I68" s="13"/>
    </row>
    <row r="69" spans="1:9" ht="12.75">
      <c r="A69" s="18"/>
      <c r="B69" s="13"/>
      <c r="C69" s="13"/>
      <c r="D69" s="21"/>
      <c r="E69" s="13"/>
      <c r="F69" s="13"/>
      <c r="G69" s="19"/>
      <c r="H69" s="13"/>
      <c r="I69" s="13"/>
    </row>
    <row r="70" spans="4:6" ht="12.75">
      <c r="D70" s="9"/>
      <c r="F70" s="15"/>
    </row>
    <row r="71" ht="12.75">
      <c r="D71" s="14"/>
    </row>
  </sheetData>
  <sheetProtection/>
  <mergeCells count="5">
    <mergeCell ref="F6:F9"/>
    <mergeCell ref="I6:I9"/>
    <mergeCell ref="B46:I46"/>
    <mergeCell ref="G7:G9"/>
    <mergeCell ref="H7:H9"/>
  </mergeCells>
  <printOptions horizontalCentered="1"/>
  <pageMargins left="0.25" right="0.25" top="0.75" bottom="0.75" header="0.3" footer="0.3"/>
  <pageSetup fitToHeight="1" fitToWidth="1" horizontalDpi="600" verticalDpi="600" orientation="portrait" r:id="rId1"/>
  <headerFooter alignWithMargins="0">
    <oddFooter>&amp;C&amp;A&amp;R
Page 2 of 4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view="pageLayout" zoomScaleNormal="110" zoomScaleSheetLayoutView="145" workbookViewId="0" topLeftCell="A43">
      <selection activeCell="O74" sqref="O74"/>
    </sheetView>
  </sheetViews>
  <sheetFormatPr defaultColWidth="10.5" defaultRowHeight="11.25"/>
  <cols>
    <col min="1" max="1" width="3.5" style="83" customWidth="1"/>
    <col min="2" max="2" width="37" style="83" customWidth="1"/>
    <col min="3" max="3" width="14.5" style="83" bestFit="1" customWidth="1"/>
    <col min="4" max="11" width="13.66015625" style="83" customWidth="1"/>
    <col min="12" max="12" width="12.5" style="83" customWidth="1"/>
    <col min="13" max="15" width="13.66015625" style="83" customWidth="1"/>
    <col min="16" max="16" width="17.16015625" style="83" customWidth="1"/>
    <col min="17" max="17" width="2" style="83" customWidth="1"/>
    <col min="18" max="18" width="8" style="83" bestFit="1" customWidth="1"/>
    <col min="19" max="21" width="10.5" style="83" customWidth="1"/>
    <col min="22" max="16384" width="10.5" style="83" customWidth="1"/>
  </cols>
  <sheetData>
    <row r="1" spans="1:16" ht="12.75">
      <c r="A1" s="82"/>
      <c r="B1" s="79" t="s">
        <v>68</v>
      </c>
      <c r="C1" s="80"/>
      <c r="D1" s="80"/>
      <c r="E1" s="80"/>
      <c r="F1" s="80"/>
      <c r="G1" s="79"/>
      <c r="H1" s="80"/>
      <c r="I1" s="80"/>
      <c r="J1" s="79"/>
      <c r="K1" s="79"/>
      <c r="L1" s="80"/>
      <c r="M1" s="80"/>
      <c r="N1" s="80"/>
      <c r="O1" s="80"/>
      <c r="P1" s="79"/>
    </row>
    <row r="2" spans="1:16" ht="12.75">
      <c r="A2" s="82"/>
      <c r="B2" s="79" t="s">
        <v>69</v>
      </c>
      <c r="C2" s="80"/>
      <c r="D2" s="80"/>
      <c r="E2" s="80"/>
      <c r="F2" s="80"/>
      <c r="G2" s="79"/>
      <c r="H2" s="80"/>
      <c r="I2" s="80"/>
      <c r="J2" s="79"/>
      <c r="K2" s="79"/>
      <c r="L2" s="80"/>
      <c r="M2" s="80"/>
      <c r="N2" s="80"/>
      <c r="O2" s="80"/>
      <c r="P2" s="79"/>
    </row>
    <row r="3" spans="1:16" ht="13.5" customHeight="1">
      <c r="A3" s="82"/>
      <c r="B3" s="79" t="str">
        <f>'Cost of Total Debt (R)'!$B$3</f>
        <v>For The 12 Months Ended December 31, 2024</v>
      </c>
      <c r="C3" s="80"/>
      <c r="D3" s="80"/>
      <c r="E3" s="80"/>
      <c r="F3" s="80"/>
      <c r="G3" s="79"/>
      <c r="H3" s="80"/>
      <c r="I3" s="80"/>
      <c r="J3" s="79"/>
      <c r="K3" s="79"/>
      <c r="L3" s="80"/>
      <c r="M3" s="80"/>
      <c r="N3" s="80"/>
      <c r="O3" s="80"/>
      <c r="P3" s="79"/>
    </row>
    <row r="4" spans="1:16" ht="12.75">
      <c r="A4" s="82"/>
      <c r="B4" s="84"/>
      <c r="C4" s="8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2">
      <c r="A5" s="85">
        <v>1</v>
      </c>
      <c r="B5" s="86" t="s">
        <v>1</v>
      </c>
      <c r="C5" s="86" t="s">
        <v>17</v>
      </c>
      <c r="D5" s="86" t="s">
        <v>24</v>
      </c>
      <c r="E5" s="86" t="s">
        <v>26</v>
      </c>
      <c r="F5" s="86" t="s">
        <v>27</v>
      </c>
      <c r="G5" s="86" t="s">
        <v>28</v>
      </c>
      <c r="H5" s="86" t="s">
        <v>29</v>
      </c>
      <c r="I5" s="86" t="s">
        <v>30</v>
      </c>
      <c r="J5" s="86" t="s">
        <v>31</v>
      </c>
      <c r="K5" s="86" t="s">
        <v>33</v>
      </c>
      <c r="L5" s="86" t="s">
        <v>34</v>
      </c>
      <c r="M5" s="86" t="s">
        <v>35</v>
      </c>
      <c r="N5" s="86" t="s">
        <v>36</v>
      </c>
      <c r="O5" s="86" t="s">
        <v>37</v>
      </c>
      <c r="P5" s="86" t="s">
        <v>38</v>
      </c>
    </row>
    <row r="6" spans="1:16" ht="12">
      <c r="A6" s="85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6"/>
    </row>
    <row r="7" spans="1:16" ht="12" customHeight="1">
      <c r="A7" s="85">
        <f>A5+1</f>
        <v>2</v>
      </c>
      <c r="B7" s="82"/>
      <c r="C7" s="87">
        <v>45282</v>
      </c>
      <c r="D7" s="87">
        <v>45322</v>
      </c>
      <c r="E7" s="87">
        <v>45351</v>
      </c>
      <c r="F7" s="87">
        <v>45382</v>
      </c>
      <c r="G7" s="87">
        <v>45412</v>
      </c>
      <c r="H7" s="87">
        <v>45443</v>
      </c>
      <c r="I7" s="87">
        <v>45473</v>
      </c>
      <c r="J7" s="87">
        <v>45504</v>
      </c>
      <c r="K7" s="87">
        <v>45535</v>
      </c>
      <c r="L7" s="87">
        <v>45565</v>
      </c>
      <c r="M7" s="87">
        <v>45596</v>
      </c>
      <c r="N7" s="87">
        <v>45626</v>
      </c>
      <c r="O7" s="87">
        <v>45657</v>
      </c>
      <c r="P7" s="88" t="s">
        <v>138</v>
      </c>
    </row>
    <row r="8" spans="1:16" ht="12">
      <c r="A8" s="85">
        <f>A7+1</f>
        <v>3</v>
      </c>
      <c r="B8" s="89" t="s">
        <v>136</v>
      </c>
      <c r="C8" s="90">
        <v>143048.471</v>
      </c>
      <c r="D8" s="90">
        <v>143048.471</v>
      </c>
      <c r="E8" s="90">
        <v>143048.471</v>
      </c>
      <c r="F8" s="90">
        <v>143048.471</v>
      </c>
      <c r="G8" s="90">
        <v>143048.471</v>
      </c>
      <c r="H8" s="90">
        <v>143048.471</v>
      </c>
      <c r="I8" s="90">
        <v>143048.471</v>
      </c>
      <c r="J8" s="90">
        <v>143048.471</v>
      </c>
      <c r="K8" s="90">
        <v>143048.471</v>
      </c>
      <c r="L8" s="90">
        <v>143048.471</v>
      </c>
      <c r="M8" s="90">
        <v>143048.471</v>
      </c>
      <c r="N8" s="90">
        <v>143048.471</v>
      </c>
      <c r="O8" s="90">
        <v>143048.471</v>
      </c>
      <c r="P8" s="92">
        <f>AVERAGE(D8:O8)</f>
        <v>143048.47099999996</v>
      </c>
    </row>
    <row r="9" spans="1:16" ht="5.25" customHeight="1">
      <c r="A9" s="85"/>
      <c r="B9" s="93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">
      <c r="A10" s="85">
        <f>A8+1</f>
        <v>4</v>
      </c>
      <c r="B10" s="89" t="s">
        <v>70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1"/>
    </row>
    <row r="11" spans="1:16" ht="12">
      <c r="A11" s="85">
        <f>A10+1</f>
        <v>5</v>
      </c>
      <c r="B11" s="93" t="s">
        <v>71</v>
      </c>
      <c r="C11" s="90">
        <f>MIN(0.5*C8,125000)</f>
        <v>71524.2355</v>
      </c>
      <c r="D11" s="90">
        <f>+C11</f>
        <v>71524.2355</v>
      </c>
      <c r="E11" s="90">
        <f aca="true" t="shared" si="0" ref="E11:O11">+D11</f>
        <v>71524.2355</v>
      </c>
      <c r="F11" s="90">
        <f t="shared" si="0"/>
        <v>71524.2355</v>
      </c>
      <c r="G11" s="90">
        <f t="shared" si="0"/>
        <v>71524.2355</v>
      </c>
      <c r="H11" s="90">
        <f t="shared" si="0"/>
        <v>71524.2355</v>
      </c>
      <c r="I11" s="90">
        <f t="shared" si="0"/>
        <v>71524.2355</v>
      </c>
      <c r="J11" s="90">
        <f t="shared" si="0"/>
        <v>71524.2355</v>
      </c>
      <c r="K11" s="90">
        <f t="shared" si="0"/>
        <v>71524.2355</v>
      </c>
      <c r="L11" s="90">
        <f t="shared" si="0"/>
        <v>71524.2355</v>
      </c>
      <c r="M11" s="90">
        <f t="shared" si="0"/>
        <v>71524.2355</v>
      </c>
      <c r="N11" s="90">
        <f t="shared" si="0"/>
        <v>71524.2355</v>
      </c>
      <c r="O11" s="90">
        <f t="shared" si="0"/>
        <v>71524.2355</v>
      </c>
      <c r="P11" s="92">
        <f>AVERAGE(D11:O11)</f>
        <v>71524.23549999998</v>
      </c>
    </row>
    <row r="12" spans="1:16" ht="12">
      <c r="A12" s="85">
        <f>A11+1</f>
        <v>6</v>
      </c>
      <c r="B12" s="93" t="s">
        <v>72</v>
      </c>
      <c r="C12" s="95">
        <f>+C8-C11</f>
        <v>71524.2355</v>
      </c>
      <c r="D12" s="95">
        <f aca="true" t="shared" si="1" ref="D12:O12">D8-D11</f>
        <v>71524.2355</v>
      </c>
      <c r="E12" s="95">
        <f t="shared" si="1"/>
        <v>71524.2355</v>
      </c>
      <c r="F12" s="95">
        <f t="shared" si="1"/>
        <v>71524.2355</v>
      </c>
      <c r="G12" s="95">
        <f t="shared" si="1"/>
        <v>71524.2355</v>
      </c>
      <c r="H12" s="95">
        <f t="shared" si="1"/>
        <v>71524.2355</v>
      </c>
      <c r="I12" s="95">
        <f t="shared" si="1"/>
        <v>71524.2355</v>
      </c>
      <c r="J12" s="95">
        <f t="shared" si="1"/>
        <v>71524.2355</v>
      </c>
      <c r="K12" s="95">
        <f t="shared" si="1"/>
        <v>71524.2355</v>
      </c>
      <c r="L12" s="95">
        <f t="shared" si="1"/>
        <v>71524.2355</v>
      </c>
      <c r="M12" s="95">
        <f t="shared" si="1"/>
        <v>71524.2355</v>
      </c>
      <c r="N12" s="95">
        <f t="shared" si="1"/>
        <v>71524.2355</v>
      </c>
      <c r="O12" s="95">
        <f t="shared" si="1"/>
        <v>71524.2355</v>
      </c>
      <c r="P12" s="92">
        <f>ROUND(((C12+O12)+(SUM(D12:N12)*2))/24,3)</f>
        <v>71524.236</v>
      </c>
    </row>
    <row r="13" spans="1:16" ht="12">
      <c r="A13" s="85">
        <f>A12+1</f>
        <v>7</v>
      </c>
      <c r="B13" s="96" t="s">
        <v>73</v>
      </c>
      <c r="C13" s="97">
        <f aca="true" t="shared" si="2" ref="C13:O13">SUM(C11:C12)</f>
        <v>143048.471</v>
      </c>
      <c r="D13" s="97">
        <f t="shared" si="2"/>
        <v>143048.471</v>
      </c>
      <c r="E13" s="97">
        <f t="shared" si="2"/>
        <v>143048.471</v>
      </c>
      <c r="F13" s="97">
        <f t="shared" si="2"/>
        <v>143048.471</v>
      </c>
      <c r="G13" s="97">
        <f t="shared" si="2"/>
        <v>143048.471</v>
      </c>
      <c r="H13" s="97">
        <f t="shared" si="2"/>
        <v>143048.471</v>
      </c>
      <c r="I13" s="97">
        <f t="shared" si="2"/>
        <v>143048.471</v>
      </c>
      <c r="J13" s="97">
        <f t="shared" si="2"/>
        <v>143048.471</v>
      </c>
      <c r="K13" s="97">
        <f t="shared" si="2"/>
        <v>143048.471</v>
      </c>
      <c r="L13" s="97">
        <f t="shared" si="2"/>
        <v>143048.471</v>
      </c>
      <c r="M13" s="97">
        <f t="shared" si="2"/>
        <v>143048.471</v>
      </c>
      <c r="N13" s="97">
        <f t="shared" si="2"/>
        <v>143048.471</v>
      </c>
      <c r="O13" s="97">
        <f t="shared" si="2"/>
        <v>143048.471</v>
      </c>
      <c r="P13" s="98">
        <f>AVERAGE(D13:O13)</f>
        <v>143048.47099999996</v>
      </c>
    </row>
    <row r="14" spans="1:16" ht="5.25" customHeight="1">
      <c r="A14" s="85"/>
      <c r="B14" s="93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13.5" customHeight="1">
      <c r="A15" s="85">
        <f>A13+1</f>
        <v>8</v>
      </c>
      <c r="B15" s="89" t="s">
        <v>62</v>
      </c>
      <c r="M15" s="99"/>
      <c r="N15" s="100"/>
      <c r="O15" s="101"/>
      <c r="P15" s="102"/>
    </row>
    <row r="16" spans="1:19" ht="12">
      <c r="A16" s="85">
        <f>A15+1</f>
        <v>9</v>
      </c>
      <c r="B16" s="93" t="s">
        <v>141</v>
      </c>
      <c r="C16" s="117">
        <f>'[6]Sheet1'!$P$123</f>
        <v>0.05281704920991967</v>
      </c>
      <c r="D16" s="117">
        <f>'[6]Sheet1'!E127</f>
        <v>0.05283591597174241</v>
      </c>
      <c r="E16" s="117">
        <f>'[6]Sheet1'!F127</f>
        <v>0.05289376900835186</v>
      </c>
      <c r="F16" s="117">
        <f>'[6]Sheet1'!G127</f>
        <v>0.05298045918860871</v>
      </c>
      <c r="G16" s="117">
        <f>'[6]Sheet1'!H127</f>
        <v>0.052980845781135336</v>
      </c>
      <c r="H16" s="117">
        <f>'[6]Sheet1'!I127</f>
        <v>0.05273734924107679</v>
      </c>
      <c r="I16" s="117">
        <f>'[6]Sheet1'!J127</f>
        <v>0.052156455569764754</v>
      </c>
      <c r="J16" s="117">
        <f>'[6]Sheet1'!K127</f>
        <v>0.051315819413176804</v>
      </c>
      <c r="K16" s="117">
        <f>'[6]Sheet1'!L127</f>
        <v>0.05034051596247552</v>
      </c>
      <c r="L16" s="117">
        <f>'[6]Sheet1'!M127</f>
        <v>0.04937720559755689</v>
      </c>
      <c r="M16" s="117">
        <f>'[6]Sheet1'!N127</f>
        <v>0.0484511393122862</v>
      </c>
      <c r="N16" s="117">
        <f>'[6]Sheet1'!O127</f>
        <v>0.047578058660681564</v>
      </c>
      <c r="O16" s="117">
        <f>'[6]Sheet1'!P127</f>
        <v>0.046764755546309676</v>
      </c>
      <c r="S16" s="212"/>
    </row>
    <row r="17" spans="1:19" ht="12">
      <c r="A17" s="85">
        <f>A16+1</f>
        <v>10</v>
      </c>
      <c r="B17" s="93" t="s">
        <v>74</v>
      </c>
      <c r="C17" s="275">
        <f>(5.67%+5.72%)/2-(5.34097%)</f>
        <v>0.0035402999999999962</v>
      </c>
      <c r="D17" s="275">
        <f>(5.67%+5.72%)/2-(5.34097%)</f>
        <v>0.0035402999999999962</v>
      </c>
      <c r="E17" s="275">
        <f aca="true" t="shared" si="3" ref="E17:O17">(5.67%+5.72%)/2-(5.34097%)</f>
        <v>0.0035402999999999962</v>
      </c>
      <c r="F17" s="275">
        <f t="shared" si="3"/>
        <v>0.0035402999999999962</v>
      </c>
      <c r="G17" s="275">
        <f t="shared" si="3"/>
        <v>0.0035402999999999962</v>
      </c>
      <c r="H17" s="275">
        <f t="shared" si="3"/>
        <v>0.0035402999999999962</v>
      </c>
      <c r="I17" s="275">
        <f t="shared" si="3"/>
        <v>0.0035402999999999962</v>
      </c>
      <c r="J17" s="275">
        <f t="shared" si="3"/>
        <v>0.0035402999999999962</v>
      </c>
      <c r="K17" s="275">
        <f t="shared" si="3"/>
        <v>0.0035402999999999962</v>
      </c>
      <c r="L17" s="275">
        <f t="shared" si="3"/>
        <v>0.0035402999999999962</v>
      </c>
      <c r="M17" s="275">
        <f t="shared" si="3"/>
        <v>0.0035402999999999962</v>
      </c>
      <c r="N17" s="275">
        <f t="shared" si="3"/>
        <v>0.0035402999999999962</v>
      </c>
      <c r="O17" s="275">
        <f t="shared" si="3"/>
        <v>0.0035402999999999962</v>
      </c>
      <c r="R17" s="198"/>
      <c r="S17" s="212"/>
    </row>
    <row r="18" spans="1:19" ht="12">
      <c r="A18" s="85">
        <f>A17+1</f>
        <v>11</v>
      </c>
      <c r="B18" s="93" t="s">
        <v>75</v>
      </c>
      <c r="C18" s="111">
        <v>0.0125</v>
      </c>
      <c r="D18" s="111">
        <f>C18</f>
        <v>0.0125</v>
      </c>
      <c r="E18" s="111">
        <f aca="true" t="shared" si="4" ref="E18:O18">D18</f>
        <v>0.0125</v>
      </c>
      <c r="F18" s="111">
        <f t="shared" si="4"/>
        <v>0.0125</v>
      </c>
      <c r="G18" s="111">
        <f t="shared" si="4"/>
        <v>0.0125</v>
      </c>
      <c r="H18" s="111">
        <f t="shared" si="4"/>
        <v>0.0125</v>
      </c>
      <c r="I18" s="111">
        <f t="shared" si="4"/>
        <v>0.0125</v>
      </c>
      <c r="J18" s="111">
        <f t="shared" si="4"/>
        <v>0.0125</v>
      </c>
      <c r="K18" s="111">
        <f t="shared" si="4"/>
        <v>0.0125</v>
      </c>
      <c r="L18" s="111">
        <f t="shared" si="4"/>
        <v>0.0125</v>
      </c>
      <c r="M18" s="111">
        <f t="shared" si="4"/>
        <v>0.0125</v>
      </c>
      <c r="N18" s="111">
        <f t="shared" si="4"/>
        <v>0.0125</v>
      </c>
      <c r="O18" s="111">
        <f t="shared" si="4"/>
        <v>0.0125</v>
      </c>
      <c r="S18" s="213"/>
    </row>
    <row r="19" spans="1:19" ht="12">
      <c r="A19" s="85">
        <f>A18+1</f>
        <v>12</v>
      </c>
      <c r="B19" s="93" t="s">
        <v>145</v>
      </c>
      <c r="C19" s="111">
        <v>0.001</v>
      </c>
      <c r="D19" s="111">
        <v>0.001</v>
      </c>
      <c r="E19" s="111">
        <v>0.001</v>
      </c>
      <c r="F19" s="111">
        <v>0.001</v>
      </c>
      <c r="G19" s="111">
        <v>0.001</v>
      </c>
      <c r="H19" s="111">
        <v>0.001</v>
      </c>
      <c r="I19" s="111">
        <v>0.001</v>
      </c>
      <c r="J19" s="111">
        <v>0.001</v>
      </c>
      <c r="K19" s="111">
        <v>0.001</v>
      </c>
      <c r="L19" s="111">
        <v>0.001</v>
      </c>
      <c r="M19" s="111">
        <v>0.001</v>
      </c>
      <c r="N19" s="111">
        <v>0.001</v>
      </c>
      <c r="O19" s="111">
        <v>0.001</v>
      </c>
      <c r="S19" s="213"/>
    </row>
    <row r="20" spans="1:16" ht="6" customHeight="1">
      <c r="A20" s="85"/>
      <c r="B20" s="9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91"/>
    </row>
    <row r="21" spans="1:16" ht="12" customHeight="1">
      <c r="A21" s="85">
        <f>A18+1</f>
        <v>12</v>
      </c>
      <c r="B21" s="89" t="s">
        <v>76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91"/>
    </row>
    <row r="22" spans="1:16" ht="12">
      <c r="A22" s="85">
        <f>A21+1</f>
        <v>13</v>
      </c>
      <c r="B22" s="104" t="s">
        <v>77</v>
      </c>
      <c r="C22" s="105">
        <f>C16+C17</f>
        <v>0.056357349209919666</v>
      </c>
      <c r="D22" s="105">
        <f aca="true" t="shared" si="5" ref="D22:O22">D16+D17</f>
        <v>0.05637621597174241</v>
      </c>
      <c r="E22" s="105">
        <f t="shared" si="5"/>
        <v>0.05643406900835186</v>
      </c>
      <c r="F22" s="105">
        <f t="shared" si="5"/>
        <v>0.05652075918860871</v>
      </c>
      <c r="G22" s="105">
        <f t="shared" si="5"/>
        <v>0.05652114578113533</v>
      </c>
      <c r="H22" s="105">
        <f t="shared" si="5"/>
        <v>0.05627764924107679</v>
      </c>
      <c r="I22" s="105">
        <f t="shared" si="5"/>
        <v>0.05569675556976475</v>
      </c>
      <c r="J22" s="105">
        <f t="shared" si="5"/>
        <v>0.0548561194131768</v>
      </c>
      <c r="K22" s="105">
        <f t="shared" si="5"/>
        <v>0.053880815962475515</v>
      </c>
      <c r="L22" s="105">
        <f t="shared" si="5"/>
        <v>0.05291750559755689</v>
      </c>
      <c r="M22" s="105">
        <f t="shared" si="5"/>
        <v>0.0519914393122862</v>
      </c>
      <c r="N22" s="105">
        <f t="shared" si="5"/>
        <v>0.05111835866068156</v>
      </c>
      <c r="O22" s="105">
        <f t="shared" si="5"/>
        <v>0.05030505554630967</v>
      </c>
      <c r="P22" s="91"/>
    </row>
    <row r="23" spans="1:16" ht="12">
      <c r="A23" s="85">
        <f>A22+1</f>
        <v>14</v>
      </c>
      <c r="B23" s="104" t="s">
        <v>72</v>
      </c>
      <c r="C23" s="105">
        <f>C16+C18+C19</f>
        <v>0.06631704920991967</v>
      </c>
      <c r="D23" s="105">
        <f aca="true" t="shared" si="6" ref="D23:O23">D16+D18+D19</f>
        <v>0.06633591597174242</v>
      </c>
      <c r="E23" s="105">
        <f t="shared" si="6"/>
        <v>0.06639376900835187</v>
      </c>
      <c r="F23" s="105">
        <f t="shared" si="6"/>
        <v>0.06648045918860872</v>
      </c>
      <c r="G23" s="105">
        <f t="shared" si="6"/>
        <v>0.06648084578113533</v>
      </c>
      <c r="H23" s="105">
        <f t="shared" si="6"/>
        <v>0.0662373492410768</v>
      </c>
      <c r="I23" s="105">
        <f t="shared" si="6"/>
        <v>0.06565645556976475</v>
      </c>
      <c r="J23" s="105">
        <f t="shared" si="6"/>
        <v>0.06481581941317681</v>
      </c>
      <c r="K23" s="105">
        <f t="shared" si="6"/>
        <v>0.06384051596247552</v>
      </c>
      <c r="L23" s="105">
        <f t="shared" si="6"/>
        <v>0.0628772055975569</v>
      </c>
      <c r="M23" s="105">
        <f t="shared" si="6"/>
        <v>0.0619511393122862</v>
      </c>
      <c r="N23" s="105">
        <f t="shared" si="6"/>
        <v>0.06107805866068157</v>
      </c>
      <c r="O23" s="105">
        <f t="shared" si="6"/>
        <v>0.06026475554630968</v>
      </c>
      <c r="P23" s="91"/>
    </row>
    <row r="24" spans="1:16" ht="5.25" customHeight="1">
      <c r="A24" s="85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2">
      <c r="A25" s="85">
        <f>A23+1</f>
        <v>15</v>
      </c>
      <c r="B25" s="93" t="s">
        <v>78</v>
      </c>
      <c r="C25" s="93"/>
      <c r="D25" s="93">
        <v>31</v>
      </c>
      <c r="E25" s="93">
        <f aca="true" t="shared" si="7" ref="E25:O25">E7-D7</f>
        <v>29</v>
      </c>
      <c r="F25" s="93">
        <f t="shared" si="7"/>
        <v>31</v>
      </c>
      <c r="G25" s="93">
        <f t="shared" si="7"/>
        <v>30</v>
      </c>
      <c r="H25" s="93">
        <f t="shared" si="7"/>
        <v>31</v>
      </c>
      <c r="I25" s="93">
        <f t="shared" si="7"/>
        <v>30</v>
      </c>
      <c r="J25" s="93">
        <f t="shared" si="7"/>
        <v>31</v>
      </c>
      <c r="K25" s="93">
        <f t="shared" si="7"/>
        <v>31</v>
      </c>
      <c r="L25" s="93">
        <f t="shared" si="7"/>
        <v>30</v>
      </c>
      <c r="M25" s="93">
        <f t="shared" si="7"/>
        <v>31</v>
      </c>
      <c r="N25" s="93">
        <f t="shared" si="7"/>
        <v>30</v>
      </c>
      <c r="O25" s="93">
        <f t="shared" si="7"/>
        <v>31</v>
      </c>
      <c r="P25" s="106"/>
    </row>
    <row r="26" spans="1:16" ht="3.75" customHeight="1">
      <c r="A26" s="85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106"/>
    </row>
    <row r="27" spans="1:16" ht="12">
      <c r="A27" s="85">
        <f>A25+1</f>
        <v>16</v>
      </c>
      <c r="B27" s="89" t="s">
        <v>79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07" t="s">
        <v>54</v>
      </c>
    </row>
    <row r="28" spans="1:16" ht="12">
      <c r="A28" s="85">
        <f>A27+1</f>
        <v>17</v>
      </c>
      <c r="B28" s="93" t="s">
        <v>80</v>
      </c>
      <c r="C28" s="91"/>
      <c r="D28" s="91">
        <f aca="true" t="shared" si="8" ref="D28:O28">AVERAGE(C11:D11)*(D22*D25/360)*1000</f>
        <v>347222.8838350409</v>
      </c>
      <c r="E28" s="91">
        <f t="shared" si="8"/>
        <v>325154.73782589356</v>
      </c>
      <c r="F28" s="91">
        <f t="shared" si="8"/>
        <v>348113.1300449721</v>
      </c>
      <c r="G28" s="91">
        <f t="shared" si="8"/>
        <v>336885.9784649795</v>
      </c>
      <c r="H28" s="91">
        <f t="shared" si="8"/>
        <v>346615.80824683426</v>
      </c>
      <c r="I28" s="91">
        <f t="shared" si="8"/>
        <v>331972.32182981586</v>
      </c>
      <c r="J28" s="91">
        <f t="shared" si="8"/>
        <v>337860.5614145821</v>
      </c>
      <c r="K28" s="91">
        <f t="shared" si="8"/>
        <v>331853.63684666663</v>
      </c>
      <c r="L28" s="91">
        <f t="shared" si="8"/>
        <v>315407.0110360189</v>
      </c>
      <c r="M28" s="91">
        <f t="shared" si="8"/>
        <v>320216.90675009275</v>
      </c>
      <c r="N28" s="91">
        <f t="shared" si="8"/>
        <v>304683.4602683377</v>
      </c>
      <c r="O28" s="91">
        <f t="shared" si="8"/>
        <v>309830.4161993885</v>
      </c>
      <c r="P28" s="92">
        <f>SUM(D28:O28)</f>
        <v>3955816.8527626228</v>
      </c>
    </row>
    <row r="29" spans="1:16" ht="12">
      <c r="A29" s="85">
        <f>A28+1</f>
        <v>18</v>
      </c>
      <c r="B29" s="93" t="s">
        <v>81</v>
      </c>
      <c r="C29" s="93"/>
      <c r="D29" s="91">
        <f>AVERAGE(C12:D12)*(D23*D25/360)*1000</f>
        <v>408564.98877279053</v>
      </c>
      <c r="E29" s="91">
        <f aca="true" t="shared" si="9" ref="E29:O29">AVERAGE(D12:E12)*(E23*E25/360)*1000</f>
        <v>382539.287606369</v>
      </c>
      <c r="F29" s="91">
        <f t="shared" si="9"/>
        <v>409455.2349827218</v>
      </c>
      <c r="G29" s="91">
        <f t="shared" si="9"/>
        <v>396249.30582409207</v>
      </c>
      <c r="H29" s="91">
        <f t="shared" si="9"/>
        <v>407957.9131845839</v>
      </c>
      <c r="I29" s="91">
        <f t="shared" si="9"/>
        <v>391335.6491889284</v>
      </c>
      <c r="J29" s="91">
        <f t="shared" si="9"/>
        <v>399202.66635233175</v>
      </c>
      <c r="K29" s="91">
        <f t="shared" si="9"/>
        <v>393195.7417844162</v>
      </c>
      <c r="L29" s="91">
        <f t="shared" si="9"/>
        <v>374770.33839513146</v>
      </c>
      <c r="M29" s="91">
        <f t="shared" si="9"/>
        <v>381559.0116878423</v>
      </c>
      <c r="N29" s="91">
        <f t="shared" si="9"/>
        <v>364046.7876274502</v>
      </c>
      <c r="O29" s="91">
        <f t="shared" si="9"/>
        <v>371172.52113713813</v>
      </c>
      <c r="P29" s="92">
        <f>SUM(D29:O29)</f>
        <v>4680049.446543795</v>
      </c>
    </row>
    <row r="30" spans="1:16" ht="12.75" thickBot="1">
      <c r="A30" s="85">
        <f>A29+1</f>
        <v>19</v>
      </c>
      <c r="B30" s="108" t="s">
        <v>82</v>
      </c>
      <c r="C30" s="93"/>
      <c r="D30" s="109">
        <f aca="true" t="shared" si="10" ref="D30:O30">SUM(D28:D29)</f>
        <v>755787.8726078314</v>
      </c>
      <c r="E30" s="109">
        <f t="shared" si="10"/>
        <v>707694.0254322626</v>
      </c>
      <c r="F30" s="109">
        <f t="shared" si="10"/>
        <v>757568.3650276939</v>
      </c>
      <c r="G30" s="109">
        <f t="shared" si="10"/>
        <v>733135.2842890716</v>
      </c>
      <c r="H30" s="109">
        <f t="shared" si="10"/>
        <v>754573.7214314181</v>
      </c>
      <c r="I30" s="109">
        <f t="shared" si="10"/>
        <v>723307.9710187443</v>
      </c>
      <c r="J30" s="109">
        <f t="shared" si="10"/>
        <v>737063.2277669138</v>
      </c>
      <c r="K30" s="109">
        <f t="shared" si="10"/>
        <v>725049.3786310828</v>
      </c>
      <c r="L30" s="109">
        <f t="shared" si="10"/>
        <v>690177.3494311504</v>
      </c>
      <c r="M30" s="109">
        <f t="shared" si="10"/>
        <v>701775.9184379351</v>
      </c>
      <c r="N30" s="109">
        <f t="shared" si="10"/>
        <v>668730.2478957879</v>
      </c>
      <c r="O30" s="109">
        <f t="shared" si="10"/>
        <v>681002.9373365266</v>
      </c>
      <c r="P30" s="110">
        <f>SUM(D30:O30)</f>
        <v>8635866.29930642</v>
      </c>
    </row>
    <row r="31" spans="1:16" ht="5.25" customHeight="1" thickTop="1">
      <c r="A31" s="85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6"/>
    </row>
    <row r="32" spans="1:18" ht="12">
      <c r="A32" s="85">
        <f>A30+1</f>
        <v>20</v>
      </c>
      <c r="B32" s="82" t="s">
        <v>83</v>
      </c>
      <c r="C32" s="99"/>
      <c r="D32" s="111">
        <f aca="true" t="shared" si="11" ref="D32:O32">(+D30/1000)/((D13+C13)/2)*(360/D25)</f>
        <v>0.06135606597174241</v>
      </c>
      <c r="E32" s="111">
        <f t="shared" si="11"/>
        <v>0.061413919008351865</v>
      </c>
      <c r="F32" s="111">
        <f t="shared" si="11"/>
        <v>0.06150060918860872</v>
      </c>
      <c r="G32" s="111">
        <f t="shared" si="11"/>
        <v>0.06150099578113533</v>
      </c>
      <c r="H32" s="111">
        <f t="shared" si="11"/>
        <v>0.061257499241076784</v>
      </c>
      <c r="I32" s="111">
        <f t="shared" si="11"/>
        <v>0.06067660556976476</v>
      </c>
      <c r="J32" s="111">
        <f t="shared" si="11"/>
        <v>0.059835969413176815</v>
      </c>
      <c r="K32" s="111">
        <f t="shared" si="11"/>
        <v>0.05886066596247552</v>
      </c>
      <c r="L32" s="111">
        <f t="shared" si="11"/>
        <v>0.05789735559755689</v>
      </c>
      <c r="M32" s="111">
        <f t="shared" si="11"/>
        <v>0.0569712893122862</v>
      </c>
      <c r="N32" s="111">
        <f t="shared" si="11"/>
        <v>0.05609820866068156</v>
      </c>
      <c r="O32" s="111">
        <f t="shared" si="11"/>
        <v>0.05528490554630968</v>
      </c>
      <c r="P32" s="111">
        <f>ROUND(P30/(P8*1000),4)</f>
        <v>0.0604</v>
      </c>
      <c r="R32" s="111"/>
    </row>
    <row r="33" spans="1:16" ht="4.5" customHeight="1">
      <c r="A33" s="85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6"/>
    </row>
    <row r="34" spans="1:16" ht="12">
      <c r="A34" s="85">
        <f>A32+1</f>
        <v>21</v>
      </c>
      <c r="B34" s="89" t="s">
        <v>84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6"/>
    </row>
    <row r="35" spans="1:16" ht="12">
      <c r="A35" s="85">
        <f>A34+1</f>
        <v>22</v>
      </c>
      <c r="B35" s="93" t="s">
        <v>85</v>
      </c>
      <c r="C35" s="90">
        <v>800000</v>
      </c>
      <c r="D35" s="90">
        <f>C35</f>
        <v>800000</v>
      </c>
      <c r="E35" s="90">
        <f aca="true" t="shared" si="12" ref="E35:O35">D35</f>
        <v>800000</v>
      </c>
      <c r="F35" s="90">
        <f t="shared" si="12"/>
        <v>800000</v>
      </c>
      <c r="G35" s="90">
        <f t="shared" si="12"/>
        <v>800000</v>
      </c>
      <c r="H35" s="90">
        <f t="shared" si="12"/>
        <v>800000</v>
      </c>
      <c r="I35" s="90">
        <f t="shared" si="12"/>
        <v>800000</v>
      </c>
      <c r="J35" s="90">
        <f t="shared" si="12"/>
        <v>800000</v>
      </c>
      <c r="K35" s="90">
        <f t="shared" si="12"/>
        <v>800000</v>
      </c>
      <c r="L35" s="90">
        <f t="shared" si="12"/>
        <v>800000</v>
      </c>
      <c r="M35" s="90">
        <f t="shared" si="12"/>
        <v>800000</v>
      </c>
      <c r="N35" s="90">
        <f t="shared" si="12"/>
        <v>800000</v>
      </c>
      <c r="O35" s="90">
        <f t="shared" si="12"/>
        <v>800000</v>
      </c>
      <c r="P35" s="106"/>
    </row>
    <row r="36" spans="1:16" ht="12">
      <c r="A36" s="85">
        <f>A35+1</f>
        <v>23</v>
      </c>
      <c r="B36" s="93" t="s">
        <v>86</v>
      </c>
      <c r="C36" s="91">
        <f aca="true" t="shared" si="13" ref="C36:O36">C12+C44</f>
        <v>71524.2355</v>
      </c>
      <c r="D36" s="91">
        <f t="shared" si="13"/>
        <v>71524.2355</v>
      </c>
      <c r="E36" s="91">
        <f t="shared" si="13"/>
        <v>71524.2355</v>
      </c>
      <c r="F36" s="91">
        <f t="shared" si="13"/>
        <v>71524.2355</v>
      </c>
      <c r="G36" s="91">
        <f t="shared" si="13"/>
        <v>71524.2355</v>
      </c>
      <c r="H36" s="91">
        <f t="shared" si="13"/>
        <v>71524.2355</v>
      </c>
      <c r="I36" s="91">
        <f t="shared" si="13"/>
        <v>71524.2355</v>
      </c>
      <c r="J36" s="91">
        <f t="shared" si="13"/>
        <v>71524.2355</v>
      </c>
      <c r="K36" s="91">
        <f t="shared" si="13"/>
        <v>71524.2355</v>
      </c>
      <c r="L36" s="91">
        <f t="shared" si="13"/>
        <v>71524.2355</v>
      </c>
      <c r="M36" s="91">
        <f t="shared" si="13"/>
        <v>71524.2355</v>
      </c>
      <c r="N36" s="91">
        <f t="shared" si="13"/>
        <v>71524.2355</v>
      </c>
      <c r="O36" s="91">
        <f t="shared" si="13"/>
        <v>71524.2355</v>
      </c>
      <c r="P36" s="106"/>
    </row>
    <row r="37" spans="1:16" ht="12">
      <c r="A37" s="85">
        <f>A36+1</f>
        <v>24</v>
      </c>
      <c r="B37" s="112" t="s">
        <v>87</v>
      </c>
      <c r="C37" s="113">
        <f>C35-C36</f>
        <v>728475.7645</v>
      </c>
      <c r="D37" s="113">
        <f aca="true" t="shared" si="14" ref="D37:O37">D35-D36</f>
        <v>728475.7645</v>
      </c>
      <c r="E37" s="113">
        <f t="shared" si="14"/>
        <v>728475.7645</v>
      </c>
      <c r="F37" s="113">
        <f t="shared" si="14"/>
        <v>728475.7645</v>
      </c>
      <c r="G37" s="113">
        <f t="shared" si="14"/>
        <v>728475.7645</v>
      </c>
      <c r="H37" s="113">
        <f t="shared" si="14"/>
        <v>728475.7645</v>
      </c>
      <c r="I37" s="113">
        <f t="shared" si="14"/>
        <v>728475.7645</v>
      </c>
      <c r="J37" s="113">
        <f t="shared" si="14"/>
        <v>728475.7645</v>
      </c>
      <c r="K37" s="113">
        <f t="shared" si="14"/>
        <v>728475.7645</v>
      </c>
      <c r="L37" s="113">
        <f t="shared" si="14"/>
        <v>728475.7645</v>
      </c>
      <c r="M37" s="113">
        <f t="shared" si="14"/>
        <v>728475.7645</v>
      </c>
      <c r="N37" s="113">
        <f t="shared" si="14"/>
        <v>728475.7645</v>
      </c>
      <c r="O37" s="113">
        <f t="shared" si="14"/>
        <v>728475.7645</v>
      </c>
      <c r="P37" s="106"/>
    </row>
    <row r="38" spans="1:16" ht="4.5" customHeight="1">
      <c r="A38" s="85"/>
      <c r="B38" s="96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106"/>
    </row>
    <row r="39" spans="1:16" ht="12">
      <c r="A39" s="85">
        <f>A37+1</f>
        <v>25</v>
      </c>
      <c r="B39" s="89" t="s">
        <v>88</v>
      </c>
      <c r="C39" s="114" t="s">
        <v>11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6"/>
    </row>
    <row r="40" spans="1:16" ht="12">
      <c r="A40" s="85">
        <f>A39+1</f>
        <v>26</v>
      </c>
      <c r="B40" s="104" t="s">
        <v>89</v>
      </c>
      <c r="C40" s="276">
        <v>0.00175</v>
      </c>
      <c r="D40" s="91">
        <f>AVERAGE(C37:D37)*($C40*D$25/360)*1000</f>
        <v>109777.25062256945</v>
      </c>
      <c r="E40" s="91">
        <f aca="true" t="shared" si="15" ref="E40:O40">AVERAGE(D37:E37)*($C40*E$25/360)*1000</f>
        <v>102694.84735659724</v>
      </c>
      <c r="F40" s="91">
        <f t="shared" si="15"/>
        <v>109777.25062256945</v>
      </c>
      <c r="G40" s="91">
        <f t="shared" si="15"/>
        <v>106236.04898958333</v>
      </c>
      <c r="H40" s="91">
        <f t="shared" si="15"/>
        <v>109777.25062256945</v>
      </c>
      <c r="I40" s="91">
        <f t="shared" si="15"/>
        <v>106236.04898958333</v>
      </c>
      <c r="J40" s="91">
        <f t="shared" si="15"/>
        <v>109777.25062256945</v>
      </c>
      <c r="K40" s="91">
        <f t="shared" si="15"/>
        <v>109777.25062256945</v>
      </c>
      <c r="L40" s="91">
        <f t="shared" si="15"/>
        <v>106236.04898958333</v>
      </c>
      <c r="M40" s="91">
        <f t="shared" si="15"/>
        <v>109777.25062256945</v>
      </c>
      <c r="N40" s="91">
        <f t="shared" si="15"/>
        <v>106236.04898958333</v>
      </c>
      <c r="O40" s="91">
        <f t="shared" si="15"/>
        <v>109777.25062256945</v>
      </c>
      <c r="P40" s="92">
        <f>SUM(D40:O40)</f>
        <v>1296079.7976729164</v>
      </c>
    </row>
    <row r="41" spans="1:18" ht="12.75" thickBot="1">
      <c r="A41" s="85">
        <f>A40+1</f>
        <v>27</v>
      </c>
      <c r="B41" s="108" t="s">
        <v>90</v>
      </c>
      <c r="C41" s="115"/>
      <c r="D41" s="116">
        <f aca="true" t="shared" si="16" ref="D41:O41">SUM(D40:D40)</f>
        <v>109777.25062256945</v>
      </c>
      <c r="E41" s="116">
        <f t="shared" si="16"/>
        <v>102694.84735659724</v>
      </c>
      <c r="F41" s="116">
        <f t="shared" si="16"/>
        <v>109777.25062256945</v>
      </c>
      <c r="G41" s="116">
        <f t="shared" si="16"/>
        <v>106236.04898958333</v>
      </c>
      <c r="H41" s="116">
        <f t="shared" si="16"/>
        <v>109777.25062256945</v>
      </c>
      <c r="I41" s="116">
        <f t="shared" si="16"/>
        <v>106236.04898958333</v>
      </c>
      <c r="J41" s="116">
        <f t="shared" si="16"/>
        <v>109777.25062256945</v>
      </c>
      <c r="K41" s="116">
        <f t="shared" si="16"/>
        <v>109777.25062256945</v>
      </c>
      <c r="L41" s="116">
        <f t="shared" si="16"/>
        <v>106236.04898958333</v>
      </c>
      <c r="M41" s="116">
        <f t="shared" si="16"/>
        <v>109777.25062256945</v>
      </c>
      <c r="N41" s="116">
        <f t="shared" si="16"/>
        <v>106236.04898958333</v>
      </c>
      <c r="O41" s="116">
        <f t="shared" si="16"/>
        <v>109777.25062256945</v>
      </c>
      <c r="P41" s="110">
        <f>SUM(D41:O41)</f>
        <v>1296079.7976729164</v>
      </c>
      <c r="R41" s="117"/>
    </row>
    <row r="42" spans="1:16" ht="6" customHeight="1" thickTop="1">
      <c r="A42" s="85"/>
      <c r="B42" s="118"/>
      <c r="C42" s="119"/>
      <c r="D42" s="119"/>
      <c r="E42" s="119"/>
      <c r="F42" s="119"/>
      <c r="G42" s="119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12" customHeight="1">
      <c r="A43" s="85">
        <f>A41+1</f>
        <v>28</v>
      </c>
      <c r="B43" s="89" t="s">
        <v>91</v>
      </c>
      <c r="C43" s="120"/>
      <c r="D43" s="119"/>
      <c r="E43" s="119"/>
      <c r="F43" s="119"/>
      <c r="G43" s="119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12" customHeight="1">
      <c r="A44" s="85">
        <f>A43+1</f>
        <v>29</v>
      </c>
      <c r="B44" s="93" t="s">
        <v>92</v>
      </c>
      <c r="C44" s="120"/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82"/>
    </row>
    <row r="45" spans="1:16" ht="12" customHeight="1">
      <c r="A45" s="85">
        <f aca="true" t="shared" si="17" ref="A45:A67">A44+1</f>
        <v>30</v>
      </c>
      <c r="B45" s="93" t="s">
        <v>143</v>
      </c>
      <c r="C45" s="120"/>
      <c r="D45" s="203">
        <f>'[7]NGX 2023 '!$J$36/1000</f>
        <v>28000</v>
      </c>
      <c r="E45" s="203">
        <f>'[7]NGX 2023 '!$J$39/1000</f>
        <v>28000</v>
      </c>
      <c r="F45" s="203">
        <f>'[7]NGX 2023 '!$J$43/1000</f>
        <v>22393.939393939396</v>
      </c>
      <c r="G45" s="203">
        <f>'[7]NGX 2023 '!$J$49/1000</f>
        <v>9892.857142857143</v>
      </c>
      <c r="H45" s="214">
        <f>'[7]NGX 2023 '!$J$54/1000</f>
        <v>17612.90322580645</v>
      </c>
      <c r="I45" s="214">
        <f>'[7]NGX 2023 '!$J$61/1000</f>
        <v>9676.470588235294</v>
      </c>
      <c r="J45" s="214">
        <f>'[7]NGX 2023 '!$J$65/1000</f>
        <v>7857.142857142857</v>
      </c>
      <c r="K45" s="214">
        <f>'[7]NGX 2023 '!$J$68/1000</f>
        <v>11000</v>
      </c>
      <c r="L45" s="214">
        <f>'[7]NGX 2023 '!$J$72/1000</f>
        <v>8290.322580645161</v>
      </c>
      <c r="M45" s="214">
        <f>'[7]NGX 2023 '!$J$76/1000</f>
        <v>4290.322580645162</v>
      </c>
      <c r="N45" s="214">
        <f>'[7]NGX 2023 '!$J$80/1000</f>
        <v>4000</v>
      </c>
      <c r="O45" s="214">
        <f>'[7]NGX 2023 '!$J$84/1000</f>
        <v>4000</v>
      </c>
      <c r="P45" s="82"/>
    </row>
    <row r="46" spans="1:16" ht="12" customHeight="1">
      <c r="A46" s="85">
        <f t="shared" si="17"/>
        <v>31</v>
      </c>
      <c r="B46" s="93" t="s">
        <v>144</v>
      </c>
      <c r="C46" s="120"/>
      <c r="D46" s="215">
        <f>40000000/1000</f>
        <v>40000</v>
      </c>
      <c r="E46" s="215">
        <f aca="true" t="shared" si="18" ref="E46:O46">40000000/1000</f>
        <v>40000</v>
      </c>
      <c r="F46" s="215">
        <f t="shared" si="18"/>
        <v>40000</v>
      </c>
      <c r="G46" s="215">
        <f t="shared" si="18"/>
        <v>40000</v>
      </c>
      <c r="H46" s="215">
        <f t="shared" si="18"/>
        <v>40000</v>
      </c>
      <c r="I46" s="215">
        <f t="shared" si="18"/>
        <v>40000</v>
      </c>
      <c r="J46" s="215">
        <f t="shared" si="18"/>
        <v>40000</v>
      </c>
      <c r="K46" s="215">
        <f t="shared" si="18"/>
        <v>40000</v>
      </c>
      <c r="L46" s="215">
        <f t="shared" si="18"/>
        <v>40000</v>
      </c>
      <c r="M46" s="215">
        <f t="shared" si="18"/>
        <v>40000</v>
      </c>
      <c r="N46" s="215">
        <f t="shared" si="18"/>
        <v>40000</v>
      </c>
      <c r="O46" s="215">
        <f t="shared" si="18"/>
        <v>40000</v>
      </c>
      <c r="P46" s="82"/>
    </row>
    <row r="47" spans="1:16" ht="12" customHeight="1">
      <c r="A47" s="85">
        <f t="shared" si="17"/>
        <v>32</v>
      </c>
      <c r="B47" s="93" t="s">
        <v>93</v>
      </c>
      <c r="C47" s="120"/>
      <c r="D47" s="90">
        <f aca="true" t="shared" si="19" ref="D47:I47">2132000/1000</f>
        <v>2132</v>
      </c>
      <c r="E47" s="90">
        <f t="shared" si="19"/>
        <v>2132</v>
      </c>
      <c r="F47" s="90">
        <f t="shared" si="19"/>
        <v>2132</v>
      </c>
      <c r="G47" s="90">
        <f t="shared" si="19"/>
        <v>2132</v>
      </c>
      <c r="H47" s="90">
        <f t="shared" si="19"/>
        <v>2132</v>
      </c>
      <c r="I47" s="90">
        <f t="shared" si="19"/>
        <v>2132</v>
      </c>
      <c r="J47" s="90">
        <f aca="true" t="shared" si="20" ref="J47:O47">1937250/1000</f>
        <v>1937.25</v>
      </c>
      <c r="K47" s="90">
        <f t="shared" si="20"/>
        <v>1937.25</v>
      </c>
      <c r="L47" s="90">
        <f t="shared" si="20"/>
        <v>1937.25</v>
      </c>
      <c r="M47" s="90">
        <f t="shared" si="20"/>
        <v>1937.25</v>
      </c>
      <c r="N47" s="90">
        <f t="shared" si="20"/>
        <v>1937.25</v>
      </c>
      <c r="O47" s="90">
        <f t="shared" si="20"/>
        <v>1937.25</v>
      </c>
      <c r="P47" s="82"/>
    </row>
    <row r="48" spans="1:16" ht="5.25" customHeight="1">
      <c r="A48" s="85"/>
      <c r="B48" s="89"/>
      <c r="C48" s="120"/>
      <c r="D48" s="119"/>
      <c r="E48" s="119"/>
      <c r="F48" s="119"/>
      <c r="G48" s="119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12" customHeight="1">
      <c r="A49" s="85">
        <f>A47+1</f>
        <v>33</v>
      </c>
      <c r="B49" s="93" t="s">
        <v>92</v>
      </c>
      <c r="C49" s="276">
        <v>0.01</v>
      </c>
      <c r="D49" s="90">
        <f>D44*($C49*D$25/360)*1000</f>
        <v>0</v>
      </c>
      <c r="E49" s="90">
        <f aca="true" t="shared" si="21" ref="E49:O52">E44*($C49*E$25/360)*1000</f>
        <v>0</v>
      </c>
      <c r="F49" s="90">
        <f t="shared" si="21"/>
        <v>0</v>
      </c>
      <c r="G49" s="90">
        <f t="shared" si="21"/>
        <v>0</v>
      </c>
      <c r="H49" s="90">
        <f t="shared" si="21"/>
        <v>0</v>
      </c>
      <c r="I49" s="90">
        <f t="shared" si="21"/>
        <v>0</v>
      </c>
      <c r="J49" s="90">
        <f t="shared" si="21"/>
        <v>0</v>
      </c>
      <c r="K49" s="90">
        <f t="shared" si="21"/>
        <v>0</v>
      </c>
      <c r="L49" s="90">
        <f t="shared" si="21"/>
        <v>0</v>
      </c>
      <c r="M49" s="90">
        <f t="shared" si="21"/>
        <v>0</v>
      </c>
      <c r="N49" s="90">
        <f t="shared" si="21"/>
        <v>0</v>
      </c>
      <c r="O49" s="90">
        <f t="shared" si="21"/>
        <v>0</v>
      </c>
      <c r="P49" s="92"/>
    </row>
    <row r="50" spans="1:18" ht="12" customHeight="1">
      <c r="A50" s="85">
        <f t="shared" si="17"/>
        <v>34</v>
      </c>
      <c r="B50" s="93" t="s">
        <v>143</v>
      </c>
      <c r="C50" s="276">
        <v>0.00625</v>
      </c>
      <c r="D50" s="82">
        <f>D45*($C50*D$25/360)*1000</f>
        <v>15069.444444444445</v>
      </c>
      <c r="E50" s="82">
        <f t="shared" si="21"/>
        <v>14097.222222222224</v>
      </c>
      <c r="F50" s="82">
        <f t="shared" si="21"/>
        <v>12052.29377104377</v>
      </c>
      <c r="G50" s="82">
        <f t="shared" si="21"/>
        <v>5152.5297619047615</v>
      </c>
      <c r="H50" s="82">
        <f t="shared" si="21"/>
        <v>9479.166666666666</v>
      </c>
      <c r="I50" s="82">
        <f t="shared" si="21"/>
        <v>5039.828431372548</v>
      </c>
      <c r="J50" s="82">
        <f t="shared" si="21"/>
        <v>4228.670634920634</v>
      </c>
      <c r="K50" s="82">
        <f t="shared" si="21"/>
        <v>5920.13888888889</v>
      </c>
      <c r="L50" s="82">
        <f t="shared" si="21"/>
        <v>4317.876344086021</v>
      </c>
      <c r="M50" s="82">
        <f t="shared" si="21"/>
        <v>2309.0277777777783</v>
      </c>
      <c r="N50" s="82">
        <f t="shared" si="21"/>
        <v>2083.3333333333335</v>
      </c>
      <c r="O50" s="82">
        <f t="shared" si="21"/>
        <v>2152.777777777778</v>
      </c>
      <c r="R50" s="117"/>
    </row>
    <row r="51" spans="1:18" ht="12" customHeight="1">
      <c r="A51" s="85">
        <f t="shared" si="17"/>
        <v>35</v>
      </c>
      <c r="B51" s="93" t="s">
        <v>144</v>
      </c>
      <c r="C51" s="276">
        <v>0.0075</v>
      </c>
      <c r="D51" s="82">
        <f>D46*($C51*D$25/360)*1000</f>
        <v>25833.333333333332</v>
      </c>
      <c r="E51" s="82">
        <f t="shared" si="21"/>
        <v>24166.666666666668</v>
      </c>
      <c r="F51" s="82">
        <f t="shared" si="21"/>
        <v>25833.333333333332</v>
      </c>
      <c r="G51" s="82">
        <f t="shared" si="21"/>
        <v>24999.999999999996</v>
      </c>
      <c r="H51" s="82">
        <f t="shared" si="21"/>
        <v>25833.333333333332</v>
      </c>
      <c r="I51" s="82">
        <f t="shared" si="21"/>
        <v>24999.999999999996</v>
      </c>
      <c r="J51" s="82">
        <f t="shared" si="21"/>
        <v>25833.333333333332</v>
      </c>
      <c r="K51" s="82">
        <f t="shared" si="21"/>
        <v>25833.333333333332</v>
      </c>
      <c r="L51" s="82">
        <f t="shared" si="21"/>
        <v>24999.999999999996</v>
      </c>
      <c r="M51" s="82">
        <f t="shared" si="21"/>
        <v>25833.333333333332</v>
      </c>
      <c r="N51" s="82">
        <f t="shared" si="21"/>
        <v>24999.999999999996</v>
      </c>
      <c r="O51" s="82">
        <f t="shared" si="21"/>
        <v>25833.333333333332</v>
      </c>
      <c r="R51" s="117"/>
    </row>
    <row r="52" spans="1:18" ht="12" customHeight="1">
      <c r="A52" s="85">
        <f t="shared" si="17"/>
        <v>36</v>
      </c>
      <c r="B52" s="93" t="s">
        <v>93</v>
      </c>
      <c r="C52" s="276">
        <v>0.01</v>
      </c>
      <c r="D52" s="90">
        <f>D47*($C52*D$25/360)*1000</f>
        <v>1835.888888888889</v>
      </c>
      <c r="E52" s="90">
        <f t="shared" si="21"/>
        <v>1717.4444444444443</v>
      </c>
      <c r="F52" s="90">
        <f t="shared" si="21"/>
        <v>1835.888888888889</v>
      </c>
      <c r="G52" s="90">
        <f t="shared" si="21"/>
        <v>1776.6666666666665</v>
      </c>
      <c r="H52" s="90">
        <f t="shared" si="21"/>
        <v>1835.888888888889</v>
      </c>
      <c r="I52" s="90">
        <f t="shared" si="21"/>
        <v>1776.6666666666665</v>
      </c>
      <c r="J52" s="90">
        <f t="shared" si="21"/>
        <v>1668.1875</v>
      </c>
      <c r="K52" s="90">
        <f t="shared" si="21"/>
        <v>1668.1875</v>
      </c>
      <c r="L52" s="90">
        <f t="shared" si="21"/>
        <v>1614.375</v>
      </c>
      <c r="M52" s="90">
        <f t="shared" si="21"/>
        <v>1668.1875</v>
      </c>
      <c r="N52" s="90">
        <f t="shared" si="21"/>
        <v>1614.375</v>
      </c>
      <c r="O52" s="90">
        <f t="shared" si="21"/>
        <v>1668.1875</v>
      </c>
      <c r="P52" s="92"/>
      <c r="R52" s="117"/>
    </row>
    <row r="53" spans="1:16" ht="12.75" customHeight="1" thickBot="1">
      <c r="A53" s="85">
        <f t="shared" si="17"/>
        <v>37</v>
      </c>
      <c r="B53" s="108" t="s">
        <v>126</v>
      </c>
      <c r="C53" s="120"/>
      <c r="D53" s="116">
        <f>SUM(D49:D52)</f>
        <v>42738.66666666667</v>
      </c>
      <c r="E53" s="116">
        <f>SUM(E49:E52)</f>
        <v>39981.333333333336</v>
      </c>
      <c r="F53" s="116">
        <f aca="true" t="shared" si="22" ref="F53:O53">SUM(F49:F52)</f>
        <v>39721.515993265995</v>
      </c>
      <c r="G53" s="116">
        <f t="shared" si="22"/>
        <v>31929.196428571424</v>
      </c>
      <c r="H53" s="116">
        <f t="shared" si="22"/>
        <v>37148.38888888889</v>
      </c>
      <c r="I53" s="116">
        <f t="shared" si="22"/>
        <v>31816.495098039213</v>
      </c>
      <c r="J53" s="116">
        <f t="shared" si="22"/>
        <v>31730.191468253965</v>
      </c>
      <c r="K53" s="116">
        <f t="shared" si="22"/>
        <v>33421.65972222222</v>
      </c>
      <c r="L53" s="116">
        <f t="shared" si="22"/>
        <v>30932.251344086017</v>
      </c>
      <c r="M53" s="116">
        <f t="shared" si="22"/>
        <v>29810.54861111111</v>
      </c>
      <c r="N53" s="116">
        <f t="shared" si="22"/>
        <v>28697.70833333333</v>
      </c>
      <c r="O53" s="116">
        <f t="shared" si="22"/>
        <v>29654.29861111111</v>
      </c>
      <c r="P53" s="110">
        <f>SUM(D53:O53)</f>
        <v>407582.2544988833</v>
      </c>
    </row>
    <row r="54" spans="1:18" ht="12.75" customHeight="1" thickTop="1">
      <c r="A54" s="85">
        <f t="shared" si="17"/>
        <v>38</v>
      </c>
      <c r="B54" s="108"/>
      <c r="C54" s="121"/>
      <c r="D54" s="91"/>
      <c r="E54" s="91"/>
      <c r="F54" s="122"/>
      <c r="G54" s="91"/>
      <c r="H54" s="91"/>
      <c r="I54" s="91"/>
      <c r="J54" s="91"/>
      <c r="K54" s="91"/>
      <c r="L54" s="91"/>
      <c r="M54" s="91"/>
      <c r="N54" s="91"/>
      <c r="O54" s="274" t="s">
        <v>94</v>
      </c>
      <c r="P54" s="92">
        <f>P41+P53</f>
        <v>1703662.0521717998</v>
      </c>
      <c r="R54" s="117"/>
    </row>
    <row r="55" spans="1:18" ht="12.75" customHeight="1">
      <c r="A55" s="85">
        <f t="shared" si="17"/>
        <v>39</v>
      </c>
      <c r="B55" s="108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274" t="s">
        <v>106</v>
      </c>
      <c r="P55" s="92">
        <f>'Cost of Total Debt (R)'!H42</f>
        <v>11324003537.254902</v>
      </c>
      <c r="R55" s="117"/>
    </row>
    <row r="56" spans="1:16" ht="11.25" customHeight="1">
      <c r="A56" s="85">
        <f t="shared" si="17"/>
        <v>40</v>
      </c>
      <c r="B56" s="108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274" t="s">
        <v>95</v>
      </c>
      <c r="P56" s="124">
        <f>ROUND(P54/P55,4)</f>
        <v>0.0002</v>
      </c>
    </row>
    <row r="57" spans="1:16" ht="12">
      <c r="A57" s="85">
        <f t="shared" si="17"/>
        <v>41</v>
      </c>
      <c r="B57" s="89" t="s">
        <v>124</v>
      </c>
      <c r="C57" s="119"/>
      <c r="D57" s="119"/>
      <c r="E57" s="119"/>
      <c r="F57" s="119"/>
      <c r="G57" s="119"/>
      <c r="H57" s="82"/>
      <c r="I57" s="82"/>
      <c r="J57" s="82"/>
      <c r="K57" s="82"/>
      <c r="L57" s="82"/>
      <c r="M57" s="82"/>
      <c r="N57" s="82"/>
      <c r="O57" s="82"/>
      <c r="P57" s="82"/>
    </row>
    <row r="58" spans="1:20" ht="12">
      <c r="A58" s="85">
        <f t="shared" si="17"/>
        <v>42</v>
      </c>
      <c r="B58" s="104" t="s">
        <v>140</v>
      </c>
      <c r="C58" s="119"/>
      <c r="D58" s="90">
        <v>54030.38</v>
      </c>
      <c r="E58" s="90">
        <f>+D58</f>
        <v>54030.38</v>
      </c>
      <c r="F58" s="90">
        <f aca="true" t="shared" si="23" ref="F58:O58">+E58</f>
        <v>54030.38</v>
      </c>
      <c r="G58" s="90">
        <f t="shared" si="23"/>
        <v>54030.38</v>
      </c>
      <c r="H58" s="90">
        <f t="shared" si="23"/>
        <v>54030.38</v>
      </c>
      <c r="I58" s="90">
        <f t="shared" si="23"/>
        <v>54030.38</v>
      </c>
      <c r="J58" s="90">
        <f t="shared" si="23"/>
        <v>54030.38</v>
      </c>
      <c r="K58" s="90">
        <f t="shared" si="23"/>
        <v>54030.38</v>
      </c>
      <c r="L58" s="90">
        <f t="shared" si="23"/>
        <v>54030.38</v>
      </c>
      <c r="M58" s="90">
        <f t="shared" si="23"/>
        <v>54030.38</v>
      </c>
      <c r="N58" s="90">
        <f t="shared" si="23"/>
        <v>54030.38</v>
      </c>
      <c r="O58" s="90">
        <f t="shared" si="23"/>
        <v>54030.38</v>
      </c>
      <c r="P58" s="277">
        <f>SUM(D58:O58)</f>
        <v>648364.5599999999</v>
      </c>
      <c r="T58" s="198"/>
    </row>
    <row r="59" spans="1:18" ht="12" customHeight="1" thickBot="1">
      <c r="A59" s="85">
        <f t="shared" si="17"/>
        <v>43</v>
      </c>
      <c r="B59" s="108" t="s">
        <v>96</v>
      </c>
      <c r="C59" s="119"/>
      <c r="D59" s="125">
        <f aca="true" t="shared" si="24" ref="D59:O59">SUM(D58:D58)</f>
        <v>54030.38</v>
      </c>
      <c r="E59" s="125">
        <f t="shared" si="24"/>
        <v>54030.38</v>
      </c>
      <c r="F59" s="125">
        <f t="shared" si="24"/>
        <v>54030.38</v>
      </c>
      <c r="G59" s="125">
        <f t="shared" si="24"/>
        <v>54030.38</v>
      </c>
      <c r="H59" s="125">
        <f t="shared" si="24"/>
        <v>54030.38</v>
      </c>
      <c r="I59" s="125">
        <f t="shared" si="24"/>
        <v>54030.38</v>
      </c>
      <c r="J59" s="125">
        <f t="shared" si="24"/>
        <v>54030.38</v>
      </c>
      <c r="K59" s="125">
        <f t="shared" si="24"/>
        <v>54030.38</v>
      </c>
      <c r="L59" s="125">
        <f t="shared" si="24"/>
        <v>54030.38</v>
      </c>
      <c r="M59" s="125">
        <f t="shared" si="24"/>
        <v>54030.38</v>
      </c>
      <c r="N59" s="125">
        <f t="shared" si="24"/>
        <v>54030.38</v>
      </c>
      <c r="O59" s="125">
        <f t="shared" si="24"/>
        <v>54030.38</v>
      </c>
      <c r="P59" s="110">
        <f>SUM(D59:O59)</f>
        <v>648364.5599999999</v>
      </c>
      <c r="R59" s="117"/>
    </row>
    <row r="60" spans="1:18" ht="12" customHeight="1" thickTop="1">
      <c r="A60" s="85">
        <f t="shared" si="17"/>
        <v>44</v>
      </c>
      <c r="B60" s="108"/>
      <c r="C60" s="119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274" t="s">
        <v>106</v>
      </c>
      <c r="P60" s="92">
        <f>'Cost of Total Debt (R)'!$H$42</f>
        <v>11324003537.254902</v>
      </c>
      <c r="R60" s="117"/>
    </row>
    <row r="61" spans="1:18" ht="12" customHeight="1">
      <c r="A61" s="85">
        <f t="shared" si="17"/>
        <v>45</v>
      </c>
      <c r="B61" s="108"/>
      <c r="C61" s="119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274" t="s">
        <v>97</v>
      </c>
      <c r="P61" s="124">
        <f>ROUND(P59/P60,4)</f>
        <v>0.0001</v>
      </c>
      <c r="R61" s="117"/>
    </row>
    <row r="62" spans="1:18" ht="12" customHeight="1">
      <c r="A62" s="85">
        <f t="shared" si="17"/>
        <v>46</v>
      </c>
      <c r="B62" s="108"/>
      <c r="C62" s="119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3"/>
      <c r="P62" s="124"/>
      <c r="R62" s="117"/>
    </row>
    <row r="63" spans="1:18" ht="12" customHeight="1">
      <c r="A63" s="85">
        <f t="shared" si="17"/>
        <v>47</v>
      </c>
      <c r="B63" s="89" t="s">
        <v>130</v>
      </c>
      <c r="C63" s="203">
        <v>5632193.333</v>
      </c>
      <c r="D63" s="204">
        <v>5632193.333</v>
      </c>
      <c r="E63" s="204">
        <v>5632193.333</v>
      </c>
      <c r="F63" s="204">
        <v>5632193.333</v>
      </c>
      <c r="G63" s="204">
        <v>5632193.333</v>
      </c>
      <c r="H63" s="204">
        <v>5632193.333</v>
      </c>
      <c r="I63" s="204">
        <v>5632193.333</v>
      </c>
      <c r="J63" s="204">
        <v>5632193.333</v>
      </c>
      <c r="K63" s="204">
        <v>5632193.333</v>
      </c>
      <c r="L63" s="204">
        <v>5632193.333</v>
      </c>
      <c r="M63" s="126">
        <v>5632193.333</v>
      </c>
      <c r="N63" s="126">
        <v>5632193.333</v>
      </c>
      <c r="O63" s="126">
        <v>5632193.333</v>
      </c>
      <c r="P63" s="205">
        <f>ROUND(((C63+O63)+(SUM(D63:N63)*2))/24,3)</f>
        <v>5632193.333</v>
      </c>
      <c r="R63" s="117"/>
    </row>
    <row r="64" spans="1:18" ht="12" customHeight="1" thickBot="1">
      <c r="A64" s="85">
        <f t="shared" si="17"/>
        <v>48</v>
      </c>
      <c r="B64" s="108" t="s">
        <v>131</v>
      </c>
      <c r="C64" s="116">
        <f aca="true" t="shared" si="25" ref="C64:P64">C13+C63</f>
        <v>5775241.804</v>
      </c>
      <c r="D64" s="116">
        <f t="shared" si="25"/>
        <v>5775241.804</v>
      </c>
      <c r="E64" s="116">
        <f t="shared" si="25"/>
        <v>5775241.804</v>
      </c>
      <c r="F64" s="116">
        <f t="shared" si="25"/>
        <v>5775241.804</v>
      </c>
      <c r="G64" s="116">
        <f t="shared" si="25"/>
        <v>5775241.804</v>
      </c>
      <c r="H64" s="116">
        <f t="shared" si="25"/>
        <v>5775241.804</v>
      </c>
      <c r="I64" s="116">
        <f t="shared" si="25"/>
        <v>5775241.804</v>
      </c>
      <c r="J64" s="116">
        <f t="shared" si="25"/>
        <v>5775241.804</v>
      </c>
      <c r="K64" s="116">
        <f t="shared" si="25"/>
        <v>5775241.804</v>
      </c>
      <c r="L64" s="116">
        <f t="shared" si="25"/>
        <v>5775241.804</v>
      </c>
      <c r="M64" s="116">
        <f t="shared" si="25"/>
        <v>5775241.804</v>
      </c>
      <c r="N64" s="116">
        <f t="shared" si="25"/>
        <v>5775241.804</v>
      </c>
      <c r="O64" s="116">
        <f t="shared" si="25"/>
        <v>5775241.804</v>
      </c>
      <c r="P64" s="288">
        <f t="shared" si="25"/>
        <v>5775241.804</v>
      </c>
      <c r="R64" s="117"/>
    </row>
    <row r="65" spans="1:18" ht="12" customHeight="1" thickTop="1">
      <c r="A65" s="85">
        <f t="shared" si="17"/>
        <v>49</v>
      </c>
      <c r="B65" s="108"/>
      <c r="C65" s="119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3"/>
      <c r="P65" s="124"/>
      <c r="R65" s="117"/>
    </row>
    <row r="66" spans="1:18" ht="12" customHeight="1">
      <c r="A66" s="85">
        <f t="shared" si="17"/>
        <v>50</v>
      </c>
      <c r="B66" s="104" t="s">
        <v>134</v>
      </c>
      <c r="C66" s="119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3"/>
      <c r="P66" s="273">
        <f>+P13/P64*(1-CofCap!D22)</f>
        <v>0.012632323058658893</v>
      </c>
      <c r="R66" s="117"/>
    </row>
    <row r="67" spans="1:16" ht="12" customHeight="1">
      <c r="A67" s="85">
        <f t="shared" si="17"/>
        <v>51</v>
      </c>
      <c r="B67" s="104" t="s">
        <v>135</v>
      </c>
      <c r="P67" s="273">
        <f>+P63/P64*(1-CofCap!D22)</f>
        <v>0.4973676769413411</v>
      </c>
    </row>
    <row r="68" spans="1:16" ht="12" customHeight="1">
      <c r="A68" s="85">
        <f>A67+1</f>
        <v>52</v>
      </c>
      <c r="B68" s="108" t="s">
        <v>133</v>
      </c>
      <c r="P68" s="273">
        <f>SUM(P66:P67)</f>
        <v>0.51</v>
      </c>
    </row>
    <row r="69" spans="1:16" ht="12" customHeight="1">
      <c r="A69" s="85">
        <f>A68+1</f>
        <v>53</v>
      </c>
      <c r="B69" s="104"/>
      <c r="P69" s="39"/>
    </row>
    <row r="70" spans="1:2" ht="12" customHeight="1">
      <c r="A70" s="85">
        <f>A69+1</f>
        <v>54</v>
      </c>
      <c r="B70" s="89" t="s">
        <v>127</v>
      </c>
    </row>
    <row r="71" spans="2:15" ht="12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</sheetData>
  <sheetProtection/>
  <printOptions horizontalCentered="1"/>
  <pageMargins left="0.27" right="0.23" top="0.61" bottom="0" header="0.27" footer="0.27"/>
  <pageSetup horizontalDpi="600" verticalDpi="600" orientation="landscape" scale="70" r:id="rId1"/>
  <headerFooter alignWithMargins="0">
    <oddHeader>&amp;C
</oddHeader>
    <oddFooter>&amp;C&amp;A&amp;R&amp;"Times New Roman,Regular"
Page 3 of 4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SheetLayoutView="90" workbookViewId="0" topLeftCell="A16">
      <selection activeCell="A1" sqref="A1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79" t="s">
        <v>68</v>
      </c>
      <c r="C1" s="80"/>
      <c r="D1" s="80"/>
      <c r="E1" s="80"/>
      <c r="F1" s="80"/>
      <c r="G1" s="79"/>
      <c r="H1" s="80"/>
      <c r="I1" s="80"/>
      <c r="J1" s="79"/>
      <c r="K1" s="80"/>
      <c r="L1" s="129"/>
    </row>
    <row r="2" spans="2:12" ht="12.75" customHeight="1">
      <c r="B2" s="79" t="s">
        <v>16</v>
      </c>
      <c r="C2" s="80"/>
      <c r="D2" s="80"/>
      <c r="E2" s="80"/>
      <c r="F2" s="80"/>
      <c r="G2" s="79"/>
      <c r="H2" s="80"/>
      <c r="I2" s="80"/>
      <c r="J2" s="79"/>
      <c r="K2" s="80"/>
      <c r="L2" s="129"/>
    </row>
    <row r="3" spans="2:12" ht="12.75" customHeight="1">
      <c r="B3" s="79" t="str">
        <f>'Cost of Total Debt (R)'!$B$3</f>
        <v>For The 12 Months Ended December 31, 2024</v>
      </c>
      <c r="C3" s="80"/>
      <c r="D3" s="80"/>
      <c r="E3" s="80"/>
      <c r="F3" s="80"/>
      <c r="G3" s="79"/>
      <c r="H3" s="80"/>
      <c r="I3" s="80"/>
      <c r="J3" s="79"/>
      <c r="K3" s="80"/>
      <c r="L3" s="129"/>
    </row>
    <row r="4" spans="2:12" ht="12.75" customHeight="1"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29"/>
    </row>
    <row r="5" spans="1:12" ht="12.75" customHeight="1">
      <c r="A5" s="132">
        <v>1</v>
      </c>
      <c r="B5" s="47" t="s">
        <v>1</v>
      </c>
      <c r="C5" s="47" t="s">
        <v>17</v>
      </c>
      <c r="D5" s="47" t="s">
        <v>24</v>
      </c>
      <c r="E5" s="47" t="s">
        <v>26</v>
      </c>
      <c r="F5" s="47" t="s">
        <v>27</v>
      </c>
      <c r="G5" s="133" t="s">
        <v>28</v>
      </c>
      <c r="H5" s="47" t="s">
        <v>29</v>
      </c>
      <c r="I5" s="47" t="s">
        <v>30</v>
      </c>
      <c r="J5" s="47" t="s">
        <v>31</v>
      </c>
      <c r="K5" s="47" t="s">
        <v>33</v>
      </c>
      <c r="L5" s="129"/>
    </row>
    <row r="6" spans="1:12" ht="23.25" customHeight="1">
      <c r="A6" s="132">
        <f aca="true" t="shared" si="0" ref="A6:A28">A5+1</f>
        <v>2</v>
      </c>
      <c r="B6" s="134" t="s">
        <v>0</v>
      </c>
      <c r="C6" s="135" t="s">
        <v>9</v>
      </c>
      <c r="D6" s="136" t="s">
        <v>43</v>
      </c>
      <c r="E6" s="137" t="s">
        <v>51</v>
      </c>
      <c r="F6" s="137" t="s">
        <v>52</v>
      </c>
      <c r="G6" s="137" t="s">
        <v>52</v>
      </c>
      <c r="H6" s="137" t="s">
        <v>32</v>
      </c>
      <c r="I6" s="136" t="s">
        <v>63</v>
      </c>
      <c r="J6" s="137" t="s">
        <v>64</v>
      </c>
      <c r="K6" s="136" t="s">
        <v>10</v>
      </c>
      <c r="L6" s="129"/>
    </row>
    <row r="7" spans="1:12" ht="12.75" customHeight="1">
      <c r="A7" s="132">
        <f t="shared" si="0"/>
        <v>3</v>
      </c>
      <c r="B7" s="138" t="s">
        <v>9</v>
      </c>
      <c r="C7" s="139" t="s">
        <v>44</v>
      </c>
      <c r="D7" s="139" t="s">
        <v>44</v>
      </c>
      <c r="E7" s="139" t="s">
        <v>44</v>
      </c>
      <c r="F7" s="139" t="s">
        <v>9</v>
      </c>
      <c r="G7" s="139" t="s">
        <v>44</v>
      </c>
      <c r="H7" s="139" t="s">
        <v>53</v>
      </c>
      <c r="I7" s="140" t="s">
        <v>50</v>
      </c>
      <c r="J7" s="139" t="s">
        <v>65</v>
      </c>
      <c r="K7" s="139" t="s">
        <v>50</v>
      </c>
      <c r="L7" s="129"/>
    </row>
    <row r="8" ht="12.75" customHeight="1">
      <c r="A8" s="132">
        <f t="shared" si="0"/>
        <v>4</v>
      </c>
    </row>
    <row r="9" spans="1:13" ht="15.75">
      <c r="A9" s="132">
        <f>A8+1</f>
        <v>5</v>
      </c>
      <c r="B9" s="268" t="s">
        <v>49</v>
      </c>
      <c r="C9" s="269">
        <v>33161</v>
      </c>
      <c r="D9" s="269">
        <v>35718</v>
      </c>
      <c r="E9" s="269">
        <v>34372</v>
      </c>
      <c r="F9" s="269" t="s">
        <v>46</v>
      </c>
      <c r="G9" s="269">
        <v>34366</v>
      </c>
      <c r="H9" s="270">
        <v>45323</v>
      </c>
      <c r="I9" s="142">
        <v>14073.339999999998</v>
      </c>
      <c r="J9" s="143">
        <v>2</v>
      </c>
      <c r="K9" s="142">
        <f>ROUND(I9*J9,2)</f>
        <v>28146.68</v>
      </c>
      <c r="M9" s="142"/>
    </row>
    <row r="10" spans="1:13" ht="15.75">
      <c r="A10" s="132">
        <f t="shared" si="0"/>
        <v>6</v>
      </c>
      <c r="B10" s="268" t="s">
        <v>45</v>
      </c>
      <c r="C10" s="269">
        <v>35587</v>
      </c>
      <c r="D10" s="269">
        <v>46539</v>
      </c>
      <c r="E10" s="269">
        <v>38504</v>
      </c>
      <c r="F10" s="269"/>
      <c r="G10" s="269"/>
      <c r="H10" s="270">
        <v>46539</v>
      </c>
      <c r="I10" s="142">
        <v>19150.350000000002</v>
      </c>
      <c r="J10" s="143">
        <v>12</v>
      </c>
      <c r="K10" s="142">
        <f aca="true" t="shared" si="1" ref="K10:K22">ROUND(I10*J10,2)</f>
        <v>229804.2</v>
      </c>
      <c r="M10" s="142"/>
    </row>
    <row r="11" spans="1:13" ht="15.75">
      <c r="A11" s="132">
        <f t="shared" si="0"/>
        <v>7</v>
      </c>
      <c r="B11" s="271" t="s">
        <v>20</v>
      </c>
      <c r="C11" s="269">
        <v>33457</v>
      </c>
      <c r="D11" s="269">
        <f>DATE(2021,8,1)</f>
        <v>44409</v>
      </c>
      <c r="E11" s="272">
        <v>37691</v>
      </c>
      <c r="F11" s="272" t="s">
        <v>47</v>
      </c>
      <c r="G11" s="272">
        <v>37691</v>
      </c>
      <c r="H11" s="270">
        <v>47908</v>
      </c>
      <c r="I11" s="142">
        <v>3790.0400000000004</v>
      </c>
      <c r="J11" s="143">
        <v>12</v>
      </c>
      <c r="K11" s="142">
        <f t="shared" si="1"/>
        <v>45480.48</v>
      </c>
      <c r="M11" s="142"/>
    </row>
    <row r="12" spans="1:13" ht="15.75">
      <c r="A12" s="132">
        <f t="shared" si="0"/>
        <v>8</v>
      </c>
      <c r="B12" s="271" t="s">
        <v>21</v>
      </c>
      <c r="C12" s="269">
        <v>33457</v>
      </c>
      <c r="D12" s="269">
        <f>DATE(2021,8,1)</f>
        <v>44409</v>
      </c>
      <c r="E12" s="272">
        <v>37691</v>
      </c>
      <c r="F12" s="272" t="s">
        <v>47</v>
      </c>
      <c r="G12" s="272">
        <v>37691</v>
      </c>
      <c r="H12" s="270">
        <v>47908</v>
      </c>
      <c r="I12" s="142">
        <v>2880.1200000000003</v>
      </c>
      <c r="J12" s="143">
        <v>12</v>
      </c>
      <c r="K12" s="142">
        <f t="shared" si="1"/>
        <v>34561.44</v>
      </c>
      <c r="M12" s="142"/>
    </row>
    <row r="13" spans="1:13" ht="15.75">
      <c r="A13" s="132">
        <f t="shared" si="0"/>
        <v>9</v>
      </c>
      <c r="B13" s="271" t="s">
        <v>22</v>
      </c>
      <c r="C13" s="269">
        <v>33664</v>
      </c>
      <c r="D13" s="269">
        <f>DATE(2022,3,1)</f>
        <v>44621</v>
      </c>
      <c r="E13" s="272">
        <v>37691</v>
      </c>
      <c r="F13" s="272" t="s">
        <v>47</v>
      </c>
      <c r="G13" s="272">
        <v>37691</v>
      </c>
      <c r="H13" s="270">
        <v>47908</v>
      </c>
      <c r="I13" s="142">
        <v>8818.789999999999</v>
      </c>
      <c r="J13" s="143">
        <v>12</v>
      </c>
      <c r="K13" s="142">
        <f t="shared" si="1"/>
        <v>105825.48</v>
      </c>
      <c r="M13" s="142"/>
    </row>
    <row r="14" spans="1:13" ht="15.75">
      <c r="A14" s="132">
        <f t="shared" si="0"/>
        <v>10</v>
      </c>
      <c r="B14" s="271" t="s">
        <v>23</v>
      </c>
      <c r="C14" s="269">
        <v>33664</v>
      </c>
      <c r="D14" s="269">
        <f>DATE(2022,3,1)</f>
        <v>44621</v>
      </c>
      <c r="E14" s="272">
        <v>37691</v>
      </c>
      <c r="F14" s="272" t="s">
        <v>47</v>
      </c>
      <c r="G14" s="272">
        <v>37691</v>
      </c>
      <c r="H14" s="270">
        <v>47908</v>
      </c>
      <c r="I14" s="142">
        <v>2691.48</v>
      </c>
      <c r="J14" s="143">
        <v>12</v>
      </c>
      <c r="K14" s="142">
        <f t="shared" si="1"/>
        <v>32297.76</v>
      </c>
      <c r="M14" s="142"/>
    </row>
    <row r="15" spans="1:13" ht="15.75">
      <c r="A15" s="132">
        <f t="shared" si="0"/>
        <v>11</v>
      </c>
      <c r="B15" s="271" t="s">
        <v>57</v>
      </c>
      <c r="C15" s="269">
        <v>37691</v>
      </c>
      <c r="D15" s="269">
        <v>47908</v>
      </c>
      <c r="E15" s="272">
        <v>41449</v>
      </c>
      <c r="F15" s="272" t="s">
        <v>58</v>
      </c>
      <c r="G15" s="272">
        <v>41417</v>
      </c>
      <c r="H15" s="270">
        <v>47908</v>
      </c>
      <c r="I15" s="142">
        <v>24927.39</v>
      </c>
      <c r="J15" s="143">
        <v>12</v>
      </c>
      <c r="K15" s="142">
        <f t="shared" si="1"/>
        <v>299128.68</v>
      </c>
      <c r="M15" s="142"/>
    </row>
    <row r="16" spans="1:13" ht="15.75">
      <c r="A16" s="132">
        <f t="shared" si="0"/>
        <v>12</v>
      </c>
      <c r="B16" s="271" t="s">
        <v>57</v>
      </c>
      <c r="C16" s="269">
        <v>37691</v>
      </c>
      <c r="D16" s="269">
        <v>47908</v>
      </c>
      <c r="E16" s="272">
        <v>41449</v>
      </c>
      <c r="F16" s="272" t="s">
        <v>58</v>
      </c>
      <c r="G16" s="272">
        <v>41417</v>
      </c>
      <c r="H16" s="270">
        <v>47908</v>
      </c>
      <c r="I16" s="142">
        <v>4212.7699999999995</v>
      </c>
      <c r="J16" s="143">
        <v>12</v>
      </c>
      <c r="K16" s="142">
        <f t="shared" si="1"/>
        <v>50553.24</v>
      </c>
      <c r="M16" s="142"/>
    </row>
    <row r="17" spans="1:11" ht="15.75">
      <c r="A17" s="132">
        <f t="shared" si="0"/>
        <v>13</v>
      </c>
      <c r="B17" s="268" t="s">
        <v>41</v>
      </c>
      <c r="C17" s="269">
        <v>38183</v>
      </c>
      <c r="D17" s="269">
        <v>38913</v>
      </c>
      <c r="E17" s="269">
        <v>38499</v>
      </c>
      <c r="F17" s="269" t="s">
        <v>42</v>
      </c>
      <c r="G17" s="269">
        <v>38499</v>
      </c>
      <c r="H17" s="270">
        <v>49456</v>
      </c>
      <c r="I17" s="142">
        <v>1423.88</v>
      </c>
      <c r="J17" s="143">
        <v>12</v>
      </c>
      <c r="K17" s="142">
        <f t="shared" si="1"/>
        <v>17086.56</v>
      </c>
    </row>
    <row r="18" spans="1:11" ht="15.75">
      <c r="A18" s="132">
        <f t="shared" si="0"/>
        <v>14</v>
      </c>
      <c r="B18" s="268" t="s">
        <v>18</v>
      </c>
      <c r="C18" s="269">
        <v>37035</v>
      </c>
      <c r="D18" s="269">
        <v>51682</v>
      </c>
      <c r="E18" s="269">
        <v>38898</v>
      </c>
      <c r="F18" s="269" t="s">
        <v>48</v>
      </c>
      <c r="G18" s="269">
        <v>38898</v>
      </c>
      <c r="H18" s="270">
        <v>49841</v>
      </c>
      <c r="I18" s="142">
        <v>16418.45</v>
      </c>
      <c r="J18" s="143">
        <v>12</v>
      </c>
      <c r="K18" s="142">
        <f t="shared" si="1"/>
        <v>197021.4</v>
      </c>
    </row>
    <row r="19" spans="1:11" ht="15.75">
      <c r="A19" s="132">
        <f t="shared" si="0"/>
        <v>15</v>
      </c>
      <c r="B19" s="268" t="s">
        <v>55</v>
      </c>
      <c r="C19" s="269">
        <v>33117</v>
      </c>
      <c r="D19" s="269">
        <v>44075</v>
      </c>
      <c r="E19" s="269">
        <v>40900</v>
      </c>
      <c r="F19" s="269" t="s">
        <v>56</v>
      </c>
      <c r="G19" s="269">
        <v>40869</v>
      </c>
      <c r="H19" s="270">
        <v>55472</v>
      </c>
      <c r="I19" s="142">
        <v>33376.57</v>
      </c>
      <c r="J19" s="143">
        <v>12</v>
      </c>
      <c r="K19" s="142">
        <f t="shared" si="1"/>
        <v>400518.84</v>
      </c>
    </row>
    <row r="20" spans="1:11" ht="15.75">
      <c r="A20" s="132">
        <f t="shared" si="0"/>
        <v>16</v>
      </c>
      <c r="B20" s="268" t="s">
        <v>59</v>
      </c>
      <c r="C20" s="269">
        <v>38637</v>
      </c>
      <c r="D20" s="269">
        <v>42278</v>
      </c>
      <c r="E20" s="269">
        <v>42160</v>
      </c>
      <c r="F20" s="269" t="s">
        <v>61</v>
      </c>
      <c r="G20" s="269">
        <v>42150</v>
      </c>
      <c r="H20" s="270">
        <v>53102</v>
      </c>
      <c r="I20" s="142">
        <v>6858.54</v>
      </c>
      <c r="J20" s="143">
        <v>12</v>
      </c>
      <c r="K20" s="142">
        <f t="shared" si="1"/>
        <v>82302.48</v>
      </c>
    </row>
    <row r="21" spans="1:11" ht="15.75">
      <c r="A21" s="132">
        <f t="shared" si="0"/>
        <v>17</v>
      </c>
      <c r="B21" s="268" t="s">
        <v>60</v>
      </c>
      <c r="C21" s="269">
        <v>39836</v>
      </c>
      <c r="D21" s="269">
        <v>42384</v>
      </c>
      <c r="E21" s="269">
        <v>42160</v>
      </c>
      <c r="F21" s="269" t="s">
        <v>61</v>
      </c>
      <c r="G21" s="269">
        <v>42150</v>
      </c>
      <c r="H21" s="270">
        <v>53102</v>
      </c>
      <c r="I21" s="142">
        <v>26387.48</v>
      </c>
      <c r="J21" s="143">
        <v>12</v>
      </c>
      <c r="K21" s="142">
        <f t="shared" si="1"/>
        <v>316649.76</v>
      </c>
    </row>
    <row r="22" spans="1:11" ht="15.75">
      <c r="A22" s="132">
        <f t="shared" si="0"/>
        <v>18</v>
      </c>
      <c r="B22" s="268" t="s">
        <v>128</v>
      </c>
      <c r="C22" s="269">
        <v>39237</v>
      </c>
      <c r="D22" s="269">
        <v>24624</v>
      </c>
      <c r="E22" s="269">
        <v>43217</v>
      </c>
      <c r="F22" s="269"/>
      <c r="G22" s="269"/>
      <c r="H22" s="270">
        <v>61149</v>
      </c>
      <c r="I22" s="142">
        <v>8387.72</v>
      </c>
      <c r="J22" s="143">
        <v>12</v>
      </c>
      <c r="K22" s="142">
        <f t="shared" si="1"/>
        <v>100652.64</v>
      </c>
    </row>
    <row r="23" spans="1:11" ht="15" customHeight="1" thickBot="1">
      <c r="A23" s="132">
        <f t="shared" si="0"/>
        <v>19</v>
      </c>
      <c r="B23" s="144"/>
      <c r="C23" s="31"/>
      <c r="D23" s="31"/>
      <c r="E23" s="31"/>
      <c r="F23" s="31"/>
      <c r="G23" s="31"/>
      <c r="H23" s="31"/>
      <c r="J23" s="31"/>
      <c r="K23" s="145">
        <f>SUM(K9:K22)</f>
        <v>1940029.64</v>
      </c>
    </row>
    <row r="24" spans="1:11" ht="15" customHeight="1" thickTop="1">
      <c r="A24" s="132">
        <f t="shared" si="0"/>
        <v>20</v>
      </c>
      <c r="B24" s="144" t="s">
        <v>106</v>
      </c>
      <c r="C24" s="31"/>
      <c r="D24" s="31"/>
      <c r="E24" s="31"/>
      <c r="F24" s="31"/>
      <c r="G24" s="31"/>
      <c r="H24" s="31"/>
      <c r="I24" s="197"/>
      <c r="J24" s="31"/>
      <c r="K24" s="146">
        <f>'Cost of Total Debt (R)'!H42</f>
        <v>11324003537.254902</v>
      </c>
    </row>
    <row r="25" spans="1:11" ht="12.75" customHeight="1">
      <c r="A25" s="132">
        <f t="shared" si="0"/>
        <v>21</v>
      </c>
      <c r="B25" s="144"/>
      <c r="C25" s="32"/>
      <c r="D25" s="32"/>
      <c r="E25" s="32"/>
      <c r="F25" s="32"/>
      <c r="G25" s="32"/>
      <c r="H25" s="32"/>
      <c r="I25" s="32"/>
      <c r="J25" s="32"/>
      <c r="K25" s="141"/>
    </row>
    <row r="26" spans="1:11" ht="12.75" customHeight="1">
      <c r="A26" s="132">
        <f t="shared" si="0"/>
        <v>22</v>
      </c>
      <c r="B26" s="144" t="s">
        <v>66</v>
      </c>
      <c r="C26" s="129"/>
      <c r="D26" s="129"/>
      <c r="E26" s="129"/>
      <c r="F26" s="129"/>
      <c r="G26" s="129"/>
      <c r="H26" s="147"/>
      <c r="I26" s="147"/>
      <c r="J26" s="147"/>
      <c r="K26" s="148">
        <f>ROUND(K23/K24,4)</f>
        <v>0.0002</v>
      </c>
    </row>
    <row r="27" spans="1:11" ht="12.75" customHeight="1">
      <c r="A27" s="132">
        <f t="shared" si="0"/>
        <v>23</v>
      </c>
      <c r="B27" s="149"/>
      <c r="C27" s="34"/>
      <c r="D27" s="34"/>
      <c r="E27" s="34"/>
      <c r="F27" s="34"/>
      <c r="H27" s="17"/>
      <c r="I27" s="17"/>
      <c r="J27" s="17"/>
      <c r="K27" s="141"/>
    </row>
    <row r="28" spans="1:11" ht="12.75" customHeight="1">
      <c r="A28" s="132">
        <f t="shared" si="0"/>
        <v>24</v>
      </c>
      <c r="B28" s="129" t="s">
        <v>67</v>
      </c>
      <c r="H28" s="17"/>
      <c r="I28" s="17"/>
      <c r="J28" s="17"/>
      <c r="K28" s="141"/>
    </row>
    <row r="29" spans="1:11" ht="12.75" customHeight="1">
      <c r="A29" s="132"/>
      <c r="B29" s="150"/>
      <c r="H29" s="17"/>
      <c r="I29" s="17"/>
      <c r="J29" s="17"/>
      <c r="K29" s="17"/>
    </row>
    <row r="30" spans="1:11" ht="12.75" customHeight="1">
      <c r="A30" s="35"/>
      <c r="H30" s="17"/>
      <c r="I30" s="17"/>
      <c r="J30" s="17"/>
      <c r="K30" s="17"/>
    </row>
    <row r="31" spans="8:11" ht="12.75" customHeight="1">
      <c r="H31" s="17"/>
      <c r="I31" s="17"/>
      <c r="J31" s="17"/>
      <c r="K31" s="17"/>
    </row>
    <row r="32" spans="8:11" ht="12.75" customHeight="1">
      <c r="H32" s="17"/>
      <c r="I32" s="17"/>
      <c r="J32" s="17"/>
      <c r="K32" s="33"/>
    </row>
    <row r="33" spans="8:11" ht="12.75" customHeight="1">
      <c r="H33" s="17"/>
      <c r="I33" s="17"/>
      <c r="J33" s="17"/>
      <c r="K33" s="17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17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&amp;C&amp;A&amp;RExhibit No. CGP-4
Page 4 of 4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Stanton, Amy (SEA)</cp:lastModifiedBy>
  <cp:lastPrinted>2024-01-18T20:22:00Z</cp:lastPrinted>
  <dcterms:created xsi:type="dcterms:W3CDTF">2016-12-21T02:43:36Z</dcterms:created>
  <dcterms:modified xsi:type="dcterms:W3CDTF">2024-02-08T01:13:02Z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DocketNumber">
    <vt:lpwstr>240004</vt:lpwstr>
  </property>
  <property fmtid="{D5CDD505-2E9C-101B-9397-08002B2CF9AE}" pid="9" name="Date1">
    <vt:lpwstr>2024-02-15T00:00:00Z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2024-01-03T00:00:00Z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