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608" windowHeight="10656" activeTab="3"/>
  </bookViews>
  <sheets>
    <sheet name="Pg 1 CofCap" sheetId="1" r:id="rId1"/>
    <sheet name="Pg 2 Cost of Total Debt" sheetId="2" r:id="rId2"/>
    <sheet name="Pg 3 STD Int&amp;Fees-Details AMA" sheetId="3" r:id="rId3"/>
    <sheet name="Pg 4 Reacquired Debt" sheetId="4" r:id="rId4"/>
    <sheet name="Pg 5 Loan Balance AMA Calc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'Pg 1 CofCap'!$A$1:$F$42</definedName>
    <definedName name="_xlnm.Print_Area" localSheetId="1">'Pg 2 Cost of Total Debt'!$A$1:$J$45</definedName>
    <definedName name="_xlnm.Print_Area" localSheetId="2">'Pg 3 STD Int&amp;Fees-Details AMA'!$A$1:$P$70</definedName>
    <definedName name="_xlnm.Print_Area" localSheetId="3">'Pg 4 Reacquired Debt'!$A$1:$K$31</definedName>
    <definedName name="_xlnm.Print_Area" localSheetId="4">'Pg 5 Loan Balance AMA Calc'!$A$1:$P$21</definedName>
    <definedName name="_xlnm.Print_Titles" localSheetId="3">'Pg 4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comments3.xml><?xml version="1.0" encoding="utf-8"?>
<comments xmlns="http://schemas.openxmlformats.org/spreadsheetml/2006/main">
  <authors>
    <author>Cindy Song</author>
    <author>jsant</author>
    <author>Freh Dessalegn</author>
    <author>Dessalegn, Freh</author>
  </authors>
  <commentList>
    <comment ref="B16" authorId="0">
      <text>
        <r>
          <rPr>
            <sz val="9"/>
            <rFont val="Tahoma"/>
            <family val="2"/>
          </rPr>
          <t xml:space="preserve">Moody's forecast as of 
SOFR 2023-11-30
</t>
        </r>
      </text>
    </comment>
    <comment ref="B17" authorId="0">
      <text>
        <r>
          <rPr>
            <sz val="9"/>
            <rFont val="Tahoma"/>
            <family val="2"/>
          </rPr>
          <t>Backed out from 1-month indicative CP quote received from MIZ 11.30.2023</t>
        </r>
      </text>
    </comment>
    <comment ref="C52" authorId="1">
      <text>
        <r>
          <rPr>
            <sz val="8"/>
            <rFont val="Tahoma"/>
            <family val="2"/>
          </rPr>
          <t>LC fee with Wells Fargo outside of credit agrmt commitments.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9"/>
            <rFont val="Tahoma"/>
            <family val="2"/>
          </rPr>
          <t>FP&amp;A 
2024 MYP Draft 6.01 - Tech Deck Stack v4.xlsx</t>
        </r>
      </text>
    </comment>
    <comment ref="B11" authorId="2">
      <text>
        <r>
          <rPr>
            <sz val="9"/>
            <rFont val="Tahoma"/>
            <family val="2"/>
          </rPr>
          <t>Assumes half of borrowings are under CP, up to a max of $125 million outstanding to allow for managing maturities within the $75 million swingline, etc.</t>
        </r>
      </text>
    </comment>
    <comment ref="B58" authorId="3">
      <text>
        <r>
          <rPr>
            <b/>
            <sz val="9"/>
            <rFont val="Tahoma"/>
            <family val="2"/>
          </rPr>
          <t>Dessalegn, Freh:</t>
        </r>
        <r>
          <rPr>
            <sz val="9"/>
            <rFont val="Tahoma"/>
            <family val="2"/>
          </rPr>
          <t xml:space="preserve">
old 18100683 
new as of 8/2022 renewal of PSE CF
18101223</t>
        </r>
      </text>
    </comment>
    <comment ref="C49" authorId="1">
      <text>
        <r>
          <rPr>
            <sz val="8"/>
            <rFont val="Tahoma"/>
            <family val="2"/>
          </rPr>
          <t xml:space="preserve">Represents LC Fees under credit agreements.  </t>
        </r>
      </text>
    </comment>
    <comment ref="C51" authorId="3">
      <text>
        <r>
          <rPr>
            <b/>
            <sz val="9"/>
            <rFont val="Tahoma"/>
            <family val="2"/>
          </rPr>
          <t>Dessalegn, Freh:</t>
        </r>
        <r>
          <rPr>
            <sz val="9"/>
            <rFont val="Tahoma"/>
            <family val="2"/>
          </rPr>
          <t xml:space="preserve">
LC fee with TD CCA outside of credit agrmt commitments.</t>
        </r>
      </text>
    </comment>
    <comment ref="C50" authorId="3">
      <text>
        <r>
          <rPr>
            <b/>
            <sz val="9"/>
            <rFont val="Tahoma"/>
            <family val="2"/>
          </rPr>
          <t>Dessalegn, Freh:</t>
        </r>
        <r>
          <rPr>
            <sz val="9"/>
            <rFont val="Tahoma"/>
            <family val="2"/>
          </rPr>
          <t xml:space="preserve">
LC fee with TD NXG outside of credit agrmt commitments.</t>
        </r>
      </text>
    </comment>
  </commentList>
</comments>
</file>

<file path=xl/sharedStrings.xml><?xml version="1.0" encoding="utf-8"?>
<sst xmlns="http://schemas.openxmlformats.org/spreadsheetml/2006/main" count="259" uniqueCount="157">
  <si>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</si>
  <si>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</si>
  <si>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</si>
  <si>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</si>
  <si>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</si>
  <si>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</si>
  <si>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</si>
  <si>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</si>
  <si>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</si>
  <si>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</si>
  <si>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</si>
  <si>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</si>
  <si>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</si>
  <si>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</si>
  <si>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</si>
  <si>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</si>
  <si>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</si>
  <si>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</si>
  <si>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</si>
  <si>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</si>
  <si>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</si>
  <si>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</si>
  <si>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</si>
  <si>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</si>
  <si>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</si>
  <si>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</si>
  <si>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</si>
  <si>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</si>
  <si>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</si>
  <si>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</si>
  <si>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</si>
  <si>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</si>
  <si>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</si>
  <si>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</si>
  <si>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</si>
  <si>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</si>
  <si>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</si>
  <si>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</si>
  <si>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</si>
  <si>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</si>
  <si>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</si>
  <si>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</si>
  <si>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</si>
  <si>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</si>
  <si>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</si>
  <si>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</si>
  <si>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</si>
  <si>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</si>
  <si>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</si>
  <si>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</si>
  <si>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</si>
  <si>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</si>
  <si>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</si>
  <si>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</si>
  <si>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</si>
  <si>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</si>
  <si>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</si>
  <si>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</si>
  <si>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</si>
  <si>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</si>
  <si>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</si>
  <si>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</si>
  <si>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</si>
  <si>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</si>
  <si>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</si>
  <si>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</si>
  <si>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</si>
  <si>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</si>
  <si>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</si>
  <si>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</si>
  <si>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</si>
  <si>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</si>
  <si>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</si>
  <si>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</si>
  <si>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</si>
  <si>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</si>
  <si>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</si>
  <si>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</si>
  <si>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</si>
  <si>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</si>
  <si>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</si>
  <si>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</si>
  <si>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</si>
  <si>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</si>
  <si>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</si>
  <si>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</si>
  <si>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</si>
  <si>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</si>
  <si>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</si>
  <si>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</si>
  <si>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</si>
  <si>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</si>
  <si>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</si>
  <si>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</si>
  <si>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</si>
  <si>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</si>
  <si>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</si>
  <si>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</si>
  <si>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</si>
  <si>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</si>
  <si>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</si>
  <si>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</si>
  <si>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</si>
  <si>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</si>
  <si>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</si>
  <si>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</si>
  <si>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</si>
  <si>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</si>
  <si>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</si>
  <si>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</si>
  <si>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</si>
  <si>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</si>
  <si>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</si>
  <si>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</si>
  <si>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</si>
  <si>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</si>
  <si>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</si>
  <si>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</si>
  <si>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</si>
  <si>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</si>
  <si>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</si>
  <si>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</si>
  <si>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</si>
  <si>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</si>
  <si>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</si>
  <si>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</si>
  <si>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</si>
  <si>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</si>
  <si>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</si>
  <si>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</si>
  <si>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</si>
  <si>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</si>
  <si>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</si>
  <si>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(iii)</t>
  </si>
  <si>
    <t>LTD Average Balance (in 000's)</t>
  </si>
  <si>
    <t>Total STD and LTD</t>
  </si>
  <si>
    <t>Long-term debt</t>
  </si>
  <si>
    <t>Short-term debt</t>
  </si>
  <si>
    <t>Total Long-term Debt Cost of Interest on AMA basis</t>
  </si>
  <si>
    <t xml:space="preserve">     Totsl Debt Allocation</t>
  </si>
  <si>
    <t>Short Term Debt and Long Term Debt AMA Calculation</t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</si>
  <si>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</si>
  <si>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</si>
  <si>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</si>
  <si>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</si>
  <si>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</si>
  <si>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</si>
  <si>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$800mm Liquidity Fac (18101223)</t>
  </si>
  <si>
    <r>
      <t>Projected SOFR</t>
    </r>
    <r>
      <rPr>
        <sz val="8"/>
        <color indexed="8"/>
        <rFont val="Times New Roman"/>
        <family val="1"/>
      </rPr>
      <t xml:space="preserve"> Rates (1 mo)</t>
    </r>
  </si>
  <si>
    <t>For The 12 Months Ended December 31, 2023</t>
  </si>
  <si>
    <t>Requested For Rate Year January 2023 through December 2023</t>
  </si>
  <si>
    <t>LC Outstanding  with TD_1 (000'0)</t>
  </si>
  <si>
    <t>LC Outstanding  with TD_2 (000'0)</t>
  </si>
  <si>
    <t>Credit Facilities SOFR adj.</t>
  </si>
  <si>
    <r>
      <t xml:space="preserve">(i) </t>
    </r>
    <r>
      <rPr>
        <sz val="9"/>
        <rFont val="Times New Roman"/>
        <family val="1"/>
      </rPr>
      <t>Net proceeds are face amount less underwriter's fees and issuance expenses.</t>
    </r>
  </si>
  <si>
    <r>
      <t>(ii)</t>
    </r>
    <r>
      <rPr>
        <sz val="9"/>
        <rFont val="Times New Roman"/>
        <family val="1"/>
      </rPr>
      <t xml:space="preserve"> Cost Rate for each bond is the yield to maturity based on net proceeds.</t>
    </r>
  </si>
  <si>
    <r>
      <t>(iii)</t>
    </r>
    <r>
      <rPr>
        <sz val="9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</si>
</sst>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5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u val="single"/>
      <sz val="9"/>
      <name val="Times New Roman"/>
      <family val="1"/>
    </font>
    <font>
      <i/>
      <sz val="9"/>
      <color indexed="10"/>
      <name val="Times New Roman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177" fontId="0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8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8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8" fillId="4" borderId="7" applyNumberFormat="0" applyFont="0" applyAlignment="0" applyProtection="0"/>
    <xf numFmtId="0" fontId="8" fillId="4" borderId="7" applyNumberFormat="0" applyFon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08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10" applyNumberFormat="1" applyFont="1">
      <alignment/>
      <protection/>
    </xf>
    <xf numFmtId="5" fontId="31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2" fillId="0" borderId="0" xfId="106" applyFont="1" applyBorder="1" applyAlignment="1" applyProtection="1">
      <alignment horizontal="centerContinuous" vertical="center" wrapText="1"/>
      <protection/>
    </xf>
    <xf numFmtId="10" fontId="4" fillId="0" borderId="0" xfId="110" applyFont="1" applyAlignment="1">
      <alignment horizontal="centerContinuous"/>
      <protection/>
    </xf>
    <xf numFmtId="172" fontId="4" fillId="0" borderId="0" xfId="110" applyNumberFormat="1" applyFont="1" applyBorder="1" applyAlignment="1" applyProtection="1">
      <alignment horizontal="centerContinuous" vertical="center" wrapText="1"/>
      <protection/>
    </xf>
    <xf numFmtId="1" fontId="11" fillId="0" borderId="0" xfId="110" applyNumberFormat="1" applyFont="1" applyAlignment="1" applyProtection="1">
      <alignment horizontal="center"/>
      <protection/>
    </xf>
    <xf numFmtId="37" fontId="33" fillId="0" borderId="0" xfId="107" applyFont="1" applyAlignment="1" applyProtection="1">
      <alignment horizontal="center"/>
      <protection/>
    </xf>
    <xf numFmtId="10" fontId="4" fillId="0" borderId="0" xfId="110" applyFont="1" applyFill="1" applyBorder="1" applyAlignment="1" applyProtection="1">
      <alignment horizontal="center" wrapText="1"/>
      <protection/>
    </xf>
    <xf numFmtId="10" fontId="4" fillId="0" borderId="0" xfId="110" applyFont="1" applyAlignment="1">
      <alignment horizontal="center"/>
      <protection/>
    </xf>
    <xf numFmtId="10" fontId="4" fillId="0" borderId="0" xfId="110" applyFont="1" applyAlignment="1" applyProtection="1">
      <alignment horizontal="center"/>
      <protection/>
    </xf>
    <xf numFmtId="10" fontId="34" fillId="0" borderId="0" xfId="110" applyFont="1" applyAlignment="1" applyProtection="1">
      <alignment horizontal="left"/>
      <protection/>
    </xf>
    <xf numFmtId="10" fontId="34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3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4" fillId="0" borderId="0" xfId="110" applyFont="1" applyAlignment="1" applyProtection="1">
      <alignment horizontal="left" indent="1"/>
      <protection/>
    </xf>
    <xf numFmtId="10" fontId="4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4" fillId="0" borderId="11" xfId="110" applyFont="1" applyBorder="1" applyAlignment="1" applyProtection="1">
      <alignment horizontal="left" indent="1"/>
      <protection/>
    </xf>
    <xf numFmtId="37" fontId="33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4" fillId="0" borderId="11" xfId="110" applyNumberFormat="1" applyFont="1" applyBorder="1" applyAlignment="1" applyProtection="1">
      <alignment/>
      <protection/>
    </xf>
    <xf numFmtId="10" fontId="4" fillId="0" borderId="0" xfId="110" applyFont="1" applyAlignment="1" applyProtection="1">
      <alignment horizontal="left"/>
      <protection/>
    </xf>
    <xf numFmtId="10" fontId="34" fillId="0" borderId="0" xfId="110" applyNumberFormat="1" applyFont="1" applyAlignment="1" applyProtection="1">
      <alignment/>
      <protection/>
    </xf>
    <xf numFmtId="5" fontId="35" fillId="0" borderId="0" xfId="110" applyNumberFormat="1" applyFont="1" applyBorder="1" applyAlignment="1" applyProtection="1">
      <alignment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9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0" fillId="0" borderId="0" xfId="108" applyNumberFormat="1" applyFont="1" applyAlignment="1" applyProtection="1">
      <alignment horizontal="centerContinuous"/>
      <protection/>
    </xf>
    <xf numFmtId="0" fontId="4" fillId="0" borderId="0" xfId="111" applyFont="1" applyFill="1" applyBorder="1" applyAlignment="1" applyProtection="1" quotePrefix="1">
      <alignment horizontal="centerContinuous" vertical="center" wrapText="1"/>
      <protection/>
    </xf>
    <xf numFmtId="0" fontId="10" fillId="0" borderId="0" xfId="111" applyFont="1" applyFill="1" applyBorder="1" applyAlignment="1" applyProtection="1" quotePrefix="1">
      <alignment horizontal="centerContinuous" vertical="center" wrapText="1"/>
      <protection/>
    </xf>
    <xf numFmtId="181" fontId="10" fillId="0" borderId="0" xfId="108" applyNumberFormat="1" applyFont="1" applyFill="1" applyAlignment="1" applyProtection="1" quotePrefix="1">
      <alignment horizontal="centerContinuous"/>
      <protection/>
    </xf>
    <xf numFmtId="181" fontId="10" fillId="0" borderId="0" xfId="108" applyNumberFormat="1" applyFont="1" applyFill="1" applyAlignment="1" applyProtection="1">
      <alignment horizontal="centerContinuous"/>
      <protection/>
    </xf>
    <xf numFmtId="37" fontId="11" fillId="0" borderId="0" xfId="105" applyFont="1" applyFill="1">
      <alignment/>
      <protection/>
    </xf>
    <xf numFmtId="37" fontId="9" fillId="0" borderId="0" xfId="105" applyFont="1" applyFill="1">
      <alignment/>
      <protection/>
    </xf>
    <xf numFmtId="37" fontId="6" fillId="0" borderId="0" xfId="105" applyFont="1" applyFill="1">
      <alignment/>
      <protection/>
    </xf>
    <xf numFmtId="37" fontId="11" fillId="0" borderId="0" xfId="107" applyFont="1" applyFill="1" applyAlignment="1" applyProtection="1">
      <alignment horizontal="center"/>
      <protection/>
    </xf>
    <xf numFmtId="37" fontId="33" fillId="0" borderId="0" xfId="107" applyFont="1" applyFill="1" applyAlignment="1" applyProtection="1">
      <alignment horizontal="center"/>
      <protection/>
    </xf>
    <xf numFmtId="17" fontId="38" fillId="0" borderId="0" xfId="105" applyNumberFormat="1" applyFont="1" applyFill="1" applyBorder="1" applyAlignment="1">
      <alignment horizontal="center"/>
      <protection/>
    </xf>
    <xf numFmtId="37" fontId="38" fillId="0" borderId="0" xfId="105" applyFont="1" applyFill="1" applyBorder="1" applyAlignment="1">
      <alignment horizontal="center" wrapText="1"/>
      <protection/>
    </xf>
    <xf numFmtId="37" fontId="33" fillId="0" borderId="0" xfId="105" applyFont="1" applyFill="1" applyBorder="1">
      <alignment/>
      <protection/>
    </xf>
    <xf numFmtId="5" fontId="11" fillId="0" borderId="0" xfId="106" applyNumberFormat="1" applyFont="1" applyFill="1" applyBorder="1" applyProtection="1">
      <alignment/>
      <protection/>
    </xf>
    <xf numFmtId="5" fontId="40" fillId="0" borderId="0" xfId="106" applyNumberFormat="1" applyFont="1" applyFill="1" applyBorder="1" applyProtection="1">
      <alignment/>
      <protection/>
    </xf>
    <xf numFmtId="5" fontId="39" fillId="0" borderId="0" xfId="106" applyNumberFormat="1" applyFont="1" applyFill="1" applyBorder="1" applyProtection="1">
      <alignment/>
      <protection/>
    </xf>
    <xf numFmtId="37" fontId="11" fillId="0" borderId="0" xfId="105" applyFont="1" applyFill="1" applyBorder="1">
      <alignment/>
      <protection/>
    </xf>
    <xf numFmtId="170" fontId="11" fillId="0" borderId="0" xfId="71" applyNumberFormat="1" applyFont="1" applyFill="1" applyBorder="1" applyAlignment="1" applyProtection="1">
      <alignment/>
      <protection/>
    </xf>
    <xf numFmtId="37" fontId="40" fillId="0" borderId="0" xfId="106" applyNumberFormat="1" applyFont="1" applyFill="1" applyBorder="1" applyProtection="1">
      <alignment/>
      <protection/>
    </xf>
    <xf numFmtId="37" fontId="11" fillId="0" borderId="0" xfId="105" applyFont="1" applyFill="1" applyBorder="1" applyAlignment="1">
      <alignment horizontal="left" indent="1"/>
      <protection/>
    </xf>
    <xf numFmtId="5" fontId="40" fillId="0" borderId="12" xfId="106" applyNumberFormat="1" applyFont="1" applyFill="1" applyBorder="1" applyProtection="1">
      <alignment/>
      <protection/>
    </xf>
    <xf numFmtId="5" fontId="39" fillId="0" borderId="12" xfId="106" applyNumberFormat="1" applyFont="1" applyFill="1" applyBorder="1" applyProtection="1">
      <alignment/>
      <protection/>
    </xf>
    <xf numFmtId="37" fontId="9" fillId="0" borderId="0" xfId="105" applyFont="1" applyFill="1" applyBorder="1">
      <alignment/>
      <protection/>
    </xf>
    <xf numFmtId="37" fontId="33" fillId="0" borderId="0" xfId="105" applyFont="1" applyFill="1" applyBorder="1" applyAlignment="1">
      <alignment horizontal="centerContinuous" vertical="center" wrapText="1"/>
      <protection/>
    </xf>
    <xf numFmtId="37" fontId="10" fillId="0" borderId="0" xfId="105" applyFont="1" applyFill="1" applyBorder="1" applyAlignment="1">
      <alignment horizontal="centerContinuous" vertical="center" wrapText="1"/>
      <protection/>
    </xf>
    <xf numFmtId="165" fontId="40" fillId="0" borderId="0" xfId="117" applyNumberFormat="1" applyFont="1" applyFill="1" applyBorder="1" applyAlignment="1" applyProtection="1">
      <alignment/>
      <protection/>
    </xf>
    <xf numFmtId="168" fontId="11" fillId="0" borderId="0" xfId="105" applyNumberFormat="1" applyFont="1" applyFill="1">
      <alignment/>
      <protection/>
    </xf>
    <xf numFmtId="37" fontId="11" fillId="0" borderId="0" xfId="105" applyFont="1" applyFill="1" applyBorder="1" applyAlignment="1">
      <alignment horizontal="left"/>
      <protection/>
    </xf>
    <xf numFmtId="10" fontId="40" fillId="0" borderId="11" xfId="106" applyNumberFormat="1" applyFont="1" applyFill="1" applyBorder="1" applyProtection="1">
      <alignment/>
      <protection/>
    </xf>
    <xf numFmtId="37" fontId="41" fillId="0" borderId="0" xfId="105" applyFont="1" applyFill="1" applyBorder="1" applyAlignment="1">
      <alignment horizontal="center"/>
      <protection/>
    </xf>
    <xf numFmtId="37" fontId="42" fillId="0" borderId="0" xfId="105" applyFont="1" applyFill="1" applyBorder="1" applyAlignment="1">
      <alignment horizontal="center" wrapText="1"/>
      <protection/>
    </xf>
    <xf numFmtId="37" fontId="33" fillId="0" borderId="0" xfId="105" applyFont="1" applyFill="1" applyBorder="1" applyAlignment="1">
      <alignment horizontal="left" indent="1"/>
      <protection/>
    </xf>
    <xf numFmtId="37" fontId="11" fillId="0" borderId="13" xfId="105" applyFont="1" applyFill="1" applyBorder="1">
      <alignment/>
      <protection/>
    </xf>
    <xf numFmtId="5" fontId="39" fillId="0" borderId="13" xfId="106" applyNumberFormat="1" applyFont="1" applyFill="1" applyBorder="1" applyProtection="1">
      <alignment/>
      <protection/>
    </xf>
    <xf numFmtId="10" fontId="11" fillId="0" borderId="0" xfId="105" applyNumberFormat="1" applyFont="1" applyFill="1">
      <alignment/>
      <protection/>
    </xf>
    <xf numFmtId="37" fontId="11" fillId="0" borderId="0" xfId="105" applyFont="1" applyFill="1" applyBorder="1" applyAlignment="1">
      <alignment horizontal="left" indent="2"/>
      <protection/>
    </xf>
    <xf numFmtId="5" fontId="40" fillId="0" borderId="11" xfId="106" applyNumberFormat="1" applyFont="1" applyFill="1" applyBorder="1" applyProtection="1">
      <alignment/>
      <protection/>
    </xf>
    <xf numFmtId="37" fontId="38" fillId="0" borderId="0" xfId="105" applyFont="1" applyFill="1" applyBorder="1" applyAlignment="1">
      <alignment horizontal="center"/>
      <protection/>
    </xf>
    <xf numFmtId="168" fontId="11" fillId="0" borderId="0" xfId="117" applyNumberFormat="1" applyFont="1" applyFill="1" applyAlignment="1">
      <alignment/>
    </xf>
    <xf numFmtId="5" fontId="40" fillId="0" borderId="13" xfId="106" applyNumberFormat="1" applyFont="1" applyFill="1" applyBorder="1" applyProtection="1">
      <alignment/>
      <protection/>
    </xf>
    <xf numFmtId="10" fontId="11" fillId="0" borderId="0" xfId="117" applyNumberFormat="1" applyFont="1" applyFill="1" applyAlignment="1">
      <alignment/>
    </xf>
    <xf numFmtId="195" fontId="11" fillId="0" borderId="0" xfId="105" applyNumberFormat="1" applyFont="1" applyFill="1" applyBorder="1" applyAlignment="1">
      <alignment horizontal="left"/>
      <protection/>
    </xf>
    <xf numFmtId="10" fontId="11" fillId="0" borderId="0" xfId="105" applyNumberFormat="1" applyFont="1" applyFill="1" applyBorder="1">
      <alignment/>
      <protection/>
    </xf>
    <xf numFmtId="168" fontId="43" fillId="0" borderId="0" xfId="117" applyNumberFormat="1" applyFont="1" applyFill="1" applyAlignment="1">
      <alignment horizontal="center"/>
    </xf>
    <xf numFmtId="10" fontId="43" fillId="0" borderId="0" xfId="117" applyNumberFormat="1" applyFont="1" applyFill="1" applyAlignment="1">
      <alignment horizontal="center"/>
    </xf>
    <xf numFmtId="199" fontId="40" fillId="0" borderId="0" xfId="106" applyNumberFormat="1" applyFont="1" applyFill="1" applyBorder="1" applyProtection="1">
      <alignment/>
      <protection/>
    </xf>
    <xf numFmtId="37" fontId="9" fillId="0" borderId="0" xfId="105" applyFont="1" applyFill="1" applyAlignment="1">
      <alignment horizontal="right"/>
      <protection/>
    </xf>
    <xf numFmtId="10" fontId="39" fillId="0" borderId="0" xfId="117" applyNumberFormat="1" applyFont="1" applyFill="1" applyBorder="1" applyAlignment="1" applyProtection="1">
      <alignment/>
      <protection/>
    </xf>
    <xf numFmtId="5" fontId="11" fillId="0" borderId="13" xfId="105" applyNumberFormat="1" applyFont="1" applyFill="1" applyBorder="1">
      <alignment/>
      <protection/>
    </xf>
    <xf numFmtId="5" fontId="11" fillId="0" borderId="0" xfId="105" applyNumberFormat="1" applyFont="1" applyFill="1" applyBorder="1">
      <alignment/>
      <protection/>
    </xf>
    <xf numFmtId="37" fontId="44" fillId="0" borderId="0" xfId="105" applyFont="1" applyFill="1">
      <alignment/>
      <protection/>
    </xf>
    <xf numFmtId="171" fontId="9" fillId="0" borderId="0" xfId="105" applyNumberFormat="1" applyFont="1" applyFill="1">
      <alignment/>
      <protection/>
    </xf>
    <xf numFmtId="0" fontId="9" fillId="0" borderId="0" xfId="111" applyFont="1">
      <alignment/>
      <protection/>
    </xf>
    <xf numFmtId="172" fontId="10" fillId="0" borderId="0" xfId="111" applyNumberFormat="1" applyFont="1" applyFill="1" applyAlignment="1">
      <alignment horizontal="left"/>
      <protection/>
    </xf>
    <xf numFmtId="0" fontId="45" fillId="0" borderId="0" xfId="111" applyFont="1" applyFill="1" applyAlignment="1" applyProtection="1" quotePrefix="1">
      <alignment horizontal="center"/>
      <protection/>
    </xf>
    <xf numFmtId="1" fontId="9" fillId="0" borderId="0" xfId="111" applyNumberFormat="1" applyFont="1" applyFill="1" applyAlignment="1" applyProtection="1">
      <alignment horizontal="center"/>
      <protection/>
    </xf>
    <xf numFmtId="5" fontId="9" fillId="0" borderId="0" xfId="111" applyNumberFormat="1" applyFont="1" applyFill="1">
      <alignment/>
      <protection/>
    </xf>
    <xf numFmtId="0" fontId="10" fillId="0" borderId="0" xfId="111" applyFont="1" applyAlignment="1" applyProtection="1">
      <alignment horizontal="left"/>
      <protection/>
    </xf>
    <xf numFmtId="10" fontId="3" fillId="0" borderId="0" xfId="110" applyFont="1" applyFill="1">
      <alignment/>
      <protection/>
    </xf>
    <xf numFmtId="10" fontId="4" fillId="0" borderId="0" xfId="110" applyFont="1" applyFill="1" applyAlignment="1">
      <alignment horizontal="center"/>
      <protection/>
    </xf>
    <xf numFmtId="10" fontId="36" fillId="0" borderId="0" xfId="110" applyFont="1" applyFill="1" applyAlignment="1" applyProtection="1">
      <alignment horizontal="right"/>
      <protection/>
    </xf>
    <xf numFmtId="10" fontId="4" fillId="0" borderId="0" xfId="110" applyFont="1" applyFill="1" applyAlignment="1" applyProtection="1">
      <alignment horizontal="center"/>
      <protection/>
    </xf>
    <xf numFmtId="10" fontId="34" fillId="0" borderId="0" xfId="110" applyFont="1" applyFill="1" applyAlignment="1" applyProtection="1">
      <alignment horizontal="left"/>
      <protection/>
    </xf>
    <xf numFmtId="10" fontId="34" fillId="0" borderId="0" xfId="110" applyFont="1" applyFill="1" applyAlignment="1" applyProtection="1">
      <alignment horizontal="right"/>
      <protection/>
    </xf>
    <xf numFmtId="10" fontId="34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4" fillId="0" borderId="0" xfId="110" applyFont="1" applyFill="1" applyAlignment="1" applyProtection="1">
      <alignment horizontal="left" indent="1"/>
      <protection/>
    </xf>
    <xf numFmtId="10" fontId="4" fillId="0" borderId="0" xfId="110" applyNumberFormat="1" applyFont="1" applyFill="1" applyAlignment="1">
      <alignment horizontal="right"/>
      <protection/>
    </xf>
    <xf numFmtId="10" fontId="4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4" fillId="0" borderId="11" xfId="110" applyNumberFormat="1" applyFont="1" applyFill="1" applyBorder="1" applyAlignment="1" applyProtection="1">
      <alignment horizontal="right"/>
      <protection/>
    </xf>
    <xf numFmtId="10" fontId="4" fillId="0" borderId="0" xfId="110" applyFont="1" applyFill="1" applyAlignment="1" applyProtection="1">
      <alignment horizontal="left"/>
      <protection/>
    </xf>
    <xf numFmtId="5" fontId="4" fillId="0" borderId="0" xfId="110" applyNumberFormat="1" applyFont="1" applyFill="1" applyBorder="1" applyAlignment="1" applyProtection="1">
      <alignment horizontal="right"/>
      <protection/>
    </xf>
    <xf numFmtId="10" fontId="4" fillId="0" borderId="0" xfId="110" applyNumberFormat="1" applyFont="1" applyFill="1" applyBorder="1" applyAlignment="1" applyProtection="1">
      <alignment horizontal="right"/>
      <protection/>
    </xf>
    <xf numFmtId="5" fontId="34" fillId="0" borderId="0" xfId="110" applyNumberFormat="1" applyFont="1" applyFill="1" applyBorder="1" applyAlignment="1" applyProtection="1">
      <alignment horizontal="right"/>
      <protection/>
    </xf>
    <xf numFmtId="10" fontId="34" fillId="0" borderId="0" xfId="110" applyNumberFormat="1" applyFont="1" applyFill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0" fontId="37" fillId="0" borderId="0" xfId="110" applyFont="1" applyFill="1" applyBorder="1" applyAlignment="1">
      <alignment horizontal="right"/>
      <protection/>
    </xf>
    <xf numFmtId="10" fontId="35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7" fontId="53" fillId="0" borderId="0" xfId="105" applyFont="1" applyFill="1">
      <alignment/>
      <protection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170" fontId="11" fillId="0" borderId="0" xfId="69" applyNumberFormat="1" applyFont="1" applyFill="1" applyBorder="1" applyAlignment="1">
      <alignment/>
    </xf>
    <xf numFmtId="170" fontId="11" fillId="0" borderId="0" xfId="105" applyNumberFormat="1" applyFont="1" applyFill="1" applyBorder="1">
      <alignment/>
      <protection/>
    </xf>
    <xf numFmtId="170" fontId="39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" fillId="0" borderId="0" xfId="110" applyNumberFormat="1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>
      <alignment horizontal="right"/>
      <protection/>
    </xf>
    <xf numFmtId="10" fontId="4" fillId="0" borderId="0" xfId="110" applyNumberFormat="1" applyFont="1" applyFill="1" applyAlignment="1" applyProtection="1">
      <alignment horizontal="right"/>
      <protection/>
    </xf>
    <xf numFmtId="10" fontId="34" fillId="0" borderId="0" xfId="110" applyNumberFormat="1" applyFont="1" applyFill="1" applyAlignment="1" applyProtection="1">
      <alignment/>
      <protection/>
    </xf>
    <xf numFmtId="37" fontId="9" fillId="0" borderId="0" xfId="108" applyFont="1">
      <alignment/>
      <protection/>
    </xf>
    <xf numFmtId="166" fontId="9" fillId="0" borderId="0" xfId="108" applyNumberFormat="1" applyFont="1" applyFill="1">
      <alignment/>
      <protection/>
    </xf>
    <xf numFmtId="3" fontId="9" fillId="0" borderId="0" xfId="109" applyFont="1" applyAlignment="1">
      <alignment horizontal="center"/>
      <protection/>
    </xf>
    <xf numFmtId="37" fontId="10" fillId="0" borderId="0" xfId="107" applyFont="1" applyAlignment="1" applyProtection="1">
      <alignment horizontal="center"/>
      <protection/>
    </xf>
    <xf numFmtId="168" fontId="10" fillId="0" borderId="0" xfId="109" applyNumberFormat="1" applyFont="1" applyAlignment="1" applyProtection="1">
      <alignment horizontal="center"/>
      <protection/>
    </xf>
    <xf numFmtId="3" fontId="10" fillId="0" borderId="0" xfId="109" applyFont="1" applyAlignment="1">
      <alignment horizontal="center"/>
      <protection/>
    </xf>
    <xf numFmtId="37" fontId="47" fillId="0" borderId="0" xfId="108" applyFont="1" applyAlignment="1">
      <alignment horizontal="center"/>
      <protection/>
    </xf>
    <xf numFmtId="3" fontId="10" fillId="0" borderId="10" xfId="109" applyFont="1" applyBorder="1" applyAlignment="1" applyProtection="1">
      <alignment horizontal="center"/>
      <protection/>
    </xf>
    <xf numFmtId="3" fontId="10" fillId="0" borderId="10" xfId="109" applyFont="1" applyBorder="1" applyAlignment="1" applyProtection="1" quotePrefix="1">
      <alignment horizontal="center"/>
      <protection/>
    </xf>
    <xf numFmtId="3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7" fontId="9" fillId="0" borderId="0" xfId="0" applyNumberFormat="1" applyFont="1" applyAlignment="1">
      <alignment horizontal="center"/>
    </xf>
    <xf numFmtId="39" fontId="9" fillId="0" borderId="0" xfId="0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right"/>
    </xf>
    <xf numFmtId="175" fontId="9" fillId="0" borderId="0" xfId="106" applyNumberFormat="1" applyFont="1" applyFill="1" applyProtection="1">
      <alignment/>
      <protection/>
    </xf>
    <xf numFmtId="175" fontId="36" fillId="0" borderId="0" xfId="106" applyNumberFormat="1" applyFont="1" applyFill="1" applyProtection="1">
      <alignment/>
      <protection/>
    </xf>
    <xf numFmtId="170" fontId="44" fillId="0" borderId="0" xfId="69" applyNumberFormat="1" applyFont="1" applyAlignment="1">
      <alignment/>
    </xf>
    <xf numFmtId="37" fontId="44" fillId="0" borderId="0" xfId="108" applyFont="1">
      <alignment/>
      <protection/>
    </xf>
    <xf numFmtId="10" fontId="9" fillId="0" borderId="0" xfId="0" applyNumberFormat="1" applyFont="1" applyAlignment="1">
      <alignment horizontal="right"/>
    </xf>
    <xf numFmtId="170" fontId="44" fillId="0" borderId="0" xfId="69" applyNumberFormat="1" applyFont="1" applyFill="1" applyAlignment="1">
      <alignment/>
    </xf>
    <xf numFmtId="37" fontId="44" fillId="0" borderId="0" xfId="108" applyFont="1" applyFill="1">
      <alignment/>
      <protection/>
    </xf>
    <xf numFmtId="170" fontId="9" fillId="0" borderId="0" xfId="69" applyNumberFormat="1" applyFont="1" applyAlignment="1">
      <alignment/>
    </xf>
    <xf numFmtId="37" fontId="9" fillId="0" borderId="0" xfId="108" applyNumberFormat="1" applyFont="1" applyAlignment="1" applyProtection="1">
      <alignment/>
      <protection/>
    </xf>
    <xf numFmtId="17" fontId="9" fillId="0" borderId="0" xfId="108" applyNumberFormat="1" applyFont="1" applyAlignment="1" applyProtection="1">
      <alignment horizontal="center"/>
      <protection/>
    </xf>
    <xf numFmtId="37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17" fontId="9" fillId="0" borderId="0" xfId="0" applyNumberFormat="1" applyFont="1" applyFill="1" applyAlignment="1">
      <alignment horizontal="center"/>
    </xf>
    <xf numFmtId="5" fontId="9" fillId="0" borderId="0" xfId="108" applyNumberFormat="1" applyFont="1">
      <alignment/>
      <protection/>
    </xf>
    <xf numFmtId="37" fontId="10" fillId="0" borderId="0" xfId="0" applyNumberFormat="1" applyFont="1" applyAlignment="1">
      <alignment/>
    </xf>
    <xf numFmtId="39" fontId="9" fillId="0" borderId="0" xfId="0" applyNumberFormat="1" applyFont="1" applyFill="1" applyAlignment="1">
      <alignment horizontal="right"/>
    </xf>
    <xf numFmtId="175" fontId="10" fillId="0" borderId="0" xfId="106" applyNumberFormat="1" applyFont="1" applyFill="1" applyBorder="1" applyProtection="1">
      <alignment/>
      <protection/>
    </xf>
    <xf numFmtId="10" fontId="9" fillId="0" borderId="0" xfId="0" applyNumberFormat="1" applyFont="1" applyAlignment="1">
      <alignment/>
    </xf>
    <xf numFmtId="175" fontId="9" fillId="0" borderId="0" xfId="106" applyNumberFormat="1" applyFont="1" applyFill="1" applyBorder="1" applyProtection="1">
      <alignment/>
      <protection/>
    </xf>
    <xf numFmtId="17" fontId="9" fillId="0" borderId="0" xfId="108" applyNumberFormat="1" applyFont="1" applyAlignment="1" applyProtection="1">
      <alignment horizontal="left"/>
      <protection/>
    </xf>
    <xf numFmtId="37" fontId="10" fillId="0" borderId="0" xfId="108" applyNumberFormat="1" applyFont="1" applyAlignment="1" applyProtection="1">
      <alignment horizontal="left"/>
      <protection/>
    </xf>
    <xf numFmtId="10" fontId="10" fillId="0" borderId="0" xfId="116" applyNumberFormat="1" applyFont="1" applyFill="1" applyAlignment="1">
      <alignment/>
    </xf>
    <xf numFmtId="175" fontId="10" fillId="0" borderId="13" xfId="106" applyNumberFormat="1" applyFont="1" applyFill="1" applyBorder="1" applyProtection="1">
      <alignment/>
      <protection/>
    </xf>
    <xf numFmtId="192" fontId="48" fillId="0" borderId="13" xfId="106" applyNumberFormat="1" applyFont="1" applyBorder="1" applyProtection="1">
      <alignment/>
      <protection/>
    </xf>
    <xf numFmtId="171" fontId="9" fillId="0" borderId="0" xfId="0" applyNumberFormat="1" applyFont="1" applyFill="1" applyAlignment="1">
      <alignment/>
    </xf>
    <xf numFmtId="3" fontId="9" fillId="0" borderId="0" xfId="109" applyFont="1">
      <alignment/>
      <protection/>
    </xf>
    <xf numFmtId="10" fontId="9" fillId="0" borderId="0" xfId="116" applyNumberFormat="1" applyFont="1" applyFill="1" applyAlignment="1">
      <alignment/>
    </xf>
    <xf numFmtId="192" fontId="49" fillId="0" borderId="0" xfId="106" applyNumberFormat="1" applyFont="1" applyFill="1" applyBorder="1" applyProtection="1">
      <alignment/>
      <protection/>
    </xf>
    <xf numFmtId="37" fontId="10" fillId="0" borderId="0" xfId="105" applyNumberFormat="1" applyFont="1" applyFill="1" applyBorder="1">
      <alignment/>
      <protection/>
    </xf>
    <xf numFmtId="10" fontId="10" fillId="0" borderId="13" xfId="0" applyNumberFormat="1" applyFont="1" applyFill="1" applyBorder="1" applyAlignment="1">
      <alignment/>
    </xf>
    <xf numFmtId="171" fontId="9" fillId="0" borderId="0" xfId="0" applyNumberFormat="1" applyFont="1" applyFill="1" applyAlignment="1">
      <alignment horizontal="center"/>
    </xf>
    <xf numFmtId="10" fontId="10" fillId="0" borderId="0" xfId="108" applyNumberFormat="1" applyFont="1" applyFill="1" applyBorder="1" applyProtection="1">
      <alignment/>
      <protection/>
    </xf>
    <xf numFmtId="187" fontId="50" fillId="0" borderId="0" xfId="106" applyNumberFormat="1" applyFont="1" applyFill="1" applyBorder="1" applyProtection="1">
      <alignment/>
      <protection/>
    </xf>
    <xf numFmtId="192" fontId="48" fillId="0" borderId="0" xfId="106" applyNumberFormat="1" applyFont="1" applyBorder="1" applyProtection="1">
      <alignment/>
      <protection/>
    </xf>
    <xf numFmtId="192" fontId="48" fillId="0" borderId="0" xfId="106" applyNumberFormat="1" applyFont="1" applyFill="1" applyBorder="1" applyProtection="1">
      <alignment/>
      <protection/>
    </xf>
    <xf numFmtId="3" fontId="10" fillId="0" borderId="0" xfId="109" applyFont="1" quotePrefix="1">
      <alignment/>
      <protection/>
    </xf>
    <xf numFmtId="37" fontId="10" fillId="0" borderId="0" xfId="108" applyNumberFormat="1" applyFont="1">
      <alignment/>
      <protection/>
    </xf>
    <xf numFmtId="37" fontId="9" fillId="0" borderId="0" xfId="108" applyNumberFormat="1" applyFont="1">
      <alignment/>
      <protection/>
    </xf>
    <xf numFmtId="171" fontId="9" fillId="0" borderId="0" xfId="0" applyNumberFormat="1" applyFont="1" applyAlignment="1">
      <alignment/>
    </xf>
    <xf numFmtId="3" fontId="9" fillId="0" borderId="0" xfId="109" applyFont="1" applyFill="1" applyAlignment="1">
      <alignment horizontal="center"/>
      <protection/>
    </xf>
    <xf numFmtId="37" fontId="9" fillId="0" borderId="0" xfId="108" applyFont="1" applyFill="1">
      <alignment/>
      <protection/>
    </xf>
    <xf numFmtId="37" fontId="9" fillId="0" borderId="0" xfId="108" applyNumberFormat="1" applyFont="1" applyFill="1">
      <alignment/>
      <protection/>
    </xf>
    <xf numFmtId="5" fontId="9" fillId="0" borderId="0" xfId="108" applyNumberFormat="1" applyFont="1" applyFill="1">
      <alignment/>
      <protection/>
    </xf>
    <xf numFmtId="37" fontId="41" fillId="0" borderId="0" xfId="108" applyFont="1" applyFill="1" applyAlignment="1">
      <alignment horizontal="center"/>
      <protection/>
    </xf>
    <xf numFmtId="175" fontId="10" fillId="0" borderId="0" xfId="106" applyNumberFormat="1" applyFont="1" applyFill="1" applyProtection="1">
      <alignment/>
      <protection/>
    </xf>
    <xf numFmtId="5" fontId="44" fillId="0" borderId="0" xfId="108" applyNumberFormat="1" applyFont="1" applyFill="1">
      <alignment/>
      <protection/>
    </xf>
    <xf numFmtId="37" fontId="44" fillId="0" borderId="0" xfId="108" applyFont="1" applyFill="1" applyAlignment="1">
      <alignment horizontal="center"/>
      <protection/>
    </xf>
    <xf numFmtId="37" fontId="44" fillId="0" borderId="0" xfId="0" applyFont="1" applyFill="1" applyAlignment="1">
      <alignment/>
    </xf>
    <xf numFmtId="10" fontId="44" fillId="0" borderId="0" xfId="0" applyNumberFormat="1" applyFont="1" applyFill="1" applyAlignment="1">
      <alignment horizontal="left"/>
    </xf>
    <xf numFmtId="15" fontId="44" fillId="0" borderId="0" xfId="0" applyNumberFormat="1" applyFont="1" applyFill="1" applyAlignment="1">
      <alignment horizontal="center"/>
    </xf>
    <xf numFmtId="179" fontId="49" fillId="0" borderId="0" xfId="106" applyNumberFormat="1" applyFont="1" applyFill="1" applyProtection="1">
      <alignment/>
      <protection/>
    </xf>
    <xf numFmtId="2" fontId="44" fillId="0" borderId="0" xfId="0" applyNumberFormat="1" applyFont="1" applyFill="1" applyAlignment="1">
      <alignment/>
    </xf>
    <xf numFmtId="169" fontId="44" fillId="0" borderId="0" xfId="0" applyNumberFormat="1" applyFont="1" applyFill="1" applyAlignment="1">
      <alignment/>
    </xf>
    <xf numFmtId="10" fontId="44" fillId="0" borderId="0" xfId="0" applyNumberFormat="1" applyFont="1" applyFill="1" applyAlignment="1">
      <alignment/>
    </xf>
    <xf numFmtId="37" fontId="41" fillId="0" borderId="0" xfId="108" applyFont="1" applyFill="1" applyAlignment="1" applyProtection="1">
      <alignment horizontal="center"/>
      <protection/>
    </xf>
    <xf numFmtId="10" fontId="44" fillId="0" borderId="0" xfId="108" applyNumberFormat="1" applyFont="1" applyFill="1" applyProtection="1">
      <alignment/>
      <protection/>
    </xf>
    <xf numFmtId="168" fontId="44" fillId="0" borderId="0" xfId="108" applyNumberFormat="1" applyFont="1" applyFill="1" applyAlignment="1" applyProtection="1">
      <alignment horizontal="fill"/>
      <protection/>
    </xf>
    <xf numFmtId="37" fontId="10" fillId="0" borderId="0" xfId="108" applyFont="1" applyAlignment="1">
      <alignment horizontal="center"/>
      <protection/>
    </xf>
    <xf numFmtId="37" fontId="9" fillId="0" borderId="0" xfId="108" applyFont="1" applyAlignment="1" applyProtection="1">
      <alignment horizontal="center"/>
      <protection/>
    </xf>
    <xf numFmtId="0" fontId="9" fillId="0" borderId="0" xfId="111" applyFont="1" applyAlignment="1" applyProtection="1">
      <alignment horizontal="left"/>
      <protection/>
    </xf>
    <xf numFmtId="15" fontId="9" fillId="0" borderId="0" xfId="108" applyNumberFormat="1" applyFont="1" applyProtection="1">
      <alignment/>
      <protection/>
    </xf>
    <xf numFmtId="10" fontId="51" fillId="0" borderId="0" xfId="110" applyNumberFormat="1" applyFont="1" applyFill="1" applyAlignment="1" applyProtection="1">
      <alignment/>
      <protection/>
    </xf>
    <xf numFmtId="0" fontId="10" fillId="0" borderId="0" xfId="111" applyFont="1" applyFill="1" applyAlignment="1" applyProtection="1">
      <alignment horizontal="center"/>
      <protection/>
    </xf>
    <xf numFmtId="168" fontId="9" fillId="0" borderId="0" xfId="111" applyNumberFormat="1" applyFont="1" applyFill="1" applyAlignment="1" applyProtection="1">
      <alignment horizontal="left"/>
      <protection/>
    </xf>
    <xf numFmtId="15" fontId="9" fillId="0" borderId="0" xfId="111" applyNumberFormat="1" applyFont="1" applyFill="1" applyAlignment="1">
      <alignment horizontal="center"/>
      <protection/>
    </xf>
    <xf numFmtId="15" fontId="9" fillId="0" borderId="0" xfId="111" applyNumberFormat="1" applyFont="1" applyFill="1" applyAlignment="1" applyProtection="1">
      <alignment horizontal="center"/>
      <protection/>
    </xf>
    <xf numFmtId="15" fontId="9" fillId="0" borderId="0" xfId="111" applyNumberFormat="1" applyFont="1" applyFill="1" applyAlignment="1">
      <alignment horizontal="right"/>
      <protection/>
    </xf>
    <xf numFmtId="0" fontId="9" fillId="0" borderId="0" xfId="111" applyNumberFormat="1" applyFont="1" applyFill="1" applyAlignment="1">
      <alignment horizontal="center"/>
      <protection/>
    </xf>
    <xf numFmtId="168" fontId="9" fillId="0" borderId="0" xfId="111" applyNumberFormat="1" applyFont="1" applyFill="1" applyAlignment="1">
      <alignment horizontal="left"/>
      <protection/>
    </xf>
    <xf numFmtId="0" fontId="10" fillId="0" borderId="0" xfId="111" applyFont="1" applyFill="1" applyBorder="1" applyAlignment="1" applyProtection="1" quotePrefix="1">
      <alignment horizontal="left"/>
      <protection/>
    </xf>
    <xf numFmtId="15" fontId="10" fillId="0" borderId="0" xfId="111" applyNumberFormat="1" applyFont="1" applyBorder="1" applyAlignment="1">
      <alignment horizontal="left"/>
      <protection/>
    </xf>
    <xf numFmtId="5" fontId="10" fillId="0" borderId="13" xfId="111" applyNumberFormat="1" applyFont="1" applyFill="1" applyBorder="1" applyAlignment="1" applyProtection="1">
      <alignment horizontal="right"/>
      <protection/>
    </xf>
    <xf numFmtId="43" fontId="10" fillId="0" borderId="0" xfId="69" applyFont="1" applyBorder="1" applyAlignment="1">
      <alignment horizontal="left"/>
    </xf>
    <xf numFmtId="5" fontId="10" fillId="0" borderId="0" xfId="11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7" fontId="9" fillId="0" borderId="0" xfId="111" applyNumberFormat="1" applyFont="1" applyFill="1">
      <alignment/>
      <protection/>
    </xf>
    <xf numFmtId="5" fontId="9" fillId="0" borderId="0" xfId="111" applyNumberFormat="1" applyFont="1" applyProtection="1">
      <alignment/>
      <protection/>
    </xf>
    <xf numFmtId="0" fontId="10" fillId="0" borderId="0" xfId="111" applyFont="1" applyFill="1" applyAlignment="1" applyProtection="1">
      <alignment horizontal="left"/>
      <protection/>
    </xf>
    <xf numFmtId="37" fontId="10" fillId="0" borderId="0" xfId="107" applyFont="1" applyAlignment="1" applyProtection="1" quotePrefix="1">
      <alignment horizontal="center"/>
      <protection/>
    </xf>
    <xf numFmtId="0" fontId="10" fillId="0" borderId="0" xfId="111" applyFont="1" applyFill="1" applyAlignment="1">
      <alignment horizontal="center"/>
      <protection/>
    </xf>
    <xf numFmtId="0" fontId="10" fillId="0" borderId="0" xfId="111" applyFont="1" applyFill="1" applyBorder="1" applyAlignment="1" applyProtection="1">
      <alignment horizontal="center" wrapText="1"/>
      <protection/>
    </xf>
    <xf numFmtId="0" fontId="10" fillId="0" borderId="10" xfId="111" applyFont="1" applyFill="1" applyBorder="1" applyAlignment="1" applyProtection="1">
      <alignment horizontal="left"/>
      <protection/>
    </xf>
    <xf numFmtId="0" fontId="10" fillId="0" borderId="10" xfId="111" applyFont="1" applyFill="1" applyBorder="1" applyAlignment="1" applyProtection="1">
      <alignment horizontal="center" wrapText="1"/>
      <protection/>
    </xf>
    <xf numFmtId="0" fontId="10" fillId="0" borderId="10" xfId="111" applyFont="1" applyFill="1" applyBorder="1" applyAlignment="1" applyProtection="1">
      <alignment horizontal="center"/>
      <protection/>
    </xf>
    <xf numFmtId="0" fontId="9" fillId="0" borderId="0" xfId="111" applyFont="1" applyFill="1">
      <alignment/>
      <protection/>
    </xf>
    <xf numFmtId="0" fontId="9" fillId="0" borderId="0" xfId="111" applyFont="1" applyAlignment="1">
      <alignment horizontal="center"/>
      <protection/>
    </xf>
    <xf numFmtId="0" fontId="52" fillId="0" borderId="0" xfId="111" applyFont="1">
      <alignment/>
      <protection/>
    </xf>
    <xf numFmtId="37" fontId="41" fillId="0" borderId="0" xfId="105" applyFont="1" applyFill="1">
      <alignment/>
      <protection/>
    </xf>
    <xf numFmtId="37" fontId="9" fillId="0" borderId="0" xfId="107" applyFont="1" applyFill="1" applyAlignment="1" applyProtection="1">
      <alignment horizontal="center"/>
      <protection/>
    </xf>
    <xf numFmtId="37" fontId="10" fillId="0" borderId="0" xfId="107" applyFont="1" applyFill="1" applyAlignment="1" applyProtection="1">
      <alignment horizontal="center"/>
      <protection/>
    </xf>
    <xf numFmtId="17" fontId="51" fillId="0" borderId="0" xfId="105" applyNumberFormat="1" applyFont="1" applyFill="1" applyBorder="1" applyAlignment="1">
      <alignment horizontal="center"/>
      <protection/>
    </xf>
    <xf numFmtId="37" fontId="51" fillId="0" borderId="0" xfId="105" applyFont="1" applyFill="1" applyBorder="1" applyAlignment="1">
      <alignment horizontal="center" wrapText="1"/>
      <protection/>
    </xf>
    <xf numFmtId="37" fontId="10" fillId="0" borderId="0" xfId="105" applyFont="1" applyFill="1" applyBorder="1">
      <alignment/>
      <protection/>
    </xf>
    <xf numFmtId="5" fontId="9" fillId="0" borderId="0" xfId="106" applyNumberFormat="1" applyFont="1" applyFill="1" applyBorder="1" applyProtection="1">
      <alignment/>
      <protection/>
    </xf>
    <xf numFmtId="5" fontId="48" fillId="0" borderId="0" xfId="106" applyNumberFormat="1" applyFont="1" applyFill="1" applyBorder="1" applyProtection="1">
      <alignment/>
      <protection/>
    </xf>
    <xf numFmtId="5" fontId="49" fillId="0" borderId="0" xfId="106" applyNumberFormat="1" applyFont="1" applyFill="1" applyBorder="1" applyProtection="1">
      <alignment/>
      <protection/>
    </xf>
    <xf numFmtId="170" fontId="9" fillId="0" borderId="0" xfId="71" applyNumberFormat="1" applyFont="1" applyFill="1" applyBorder="1" applyAlignment="1" applyProtection="1">
      <alignment/>
      <protection/>
    </xf>
    <xf numFmtId="37" fontId="49" fillId="0" borderId="0" xfId="106" applyNumberFormat="1" applyFont="1" applyFill="1" applyBorder="1" applyProtection="1">
      <alignment/>
      <protection/>
    </xf>
    <xf numFmtId="37" fontId="9" fillId="0" borderId="0" xfId="105" applyFont="1" applyFill="1" applyBorder="1" applyAlignment="1">
      <alignment horizontal="left" indent="1"/>
      <protection/>
    </xf>
    <xf numFmtId="5" fontId="49" fillId="0" borderId="12" xfId="106" applyNumberFormat="1" applyFont="1" applyFill="1" applyBorder="1" applyProtection="1">
      <alignment/>
      <protection/>
    </xf>
    <xf numFmtId="5" fontId="48" fillId="0" borderId="12" xfId="106" applyNumberFormat="1" applyFont="1" applyFill="1" applyBorder="1" applyProtection="1">
      <alignment/>
      <protection/>
    </xf>
    <xf numFmtId="10" fontId="9" fillId="0" borderId="0" xfId="117" applyNumberFormat="1" applyFont="1" applyFill="1" applyAlignment="1">
      <alignment/>
    </xf>
    <xf numFmtId="170" fontId="9" fillId="0" borderId="0" xfId="69" applyNumberFormat="1" applyFont="1" applyFill="1" applyBorder="1" applyAlignment="1">
      <alignment horizontal="center"/>
    </xf>
    <xf numFmtId="170" fontId="9" fillId="0" borderId="0" xfId="105" applyNumberFormat="1" applyFont="1" applyFill="1" applyBorder="1" applyAlignment="1">
      <alignment horizontal="center"/>
      <protection/>
    </xf>
    <xf numFmtId="37" fontId="9" fillId="0" borderId="0" xfId="105" applyFont="1" applyFill="1" applyBorder="1" applyAlignment="1">
      <alignment horizontal="right" wrapText="1"/>
      <protection/>
    </xf>
    <xf numFmtId="37" fontId="10" fillId="0" borderId="0" xfId="105" applyFont="1" applyFill="1" applyBorder="1" applyAlignment="1">
      <alignment horizontal="left" indent="1"/>
      <protection/>
    </xf>
    <xf numFmtId="5" fontId="9" fillId="0" borderId="13" xfId="105" applyNumberFormat="1" applyFont="1" applyFill="1" applyBorder="1">
      <alignment/>
      <protection/>
    </xf>
    <xf numFmtId="5" fontId="48" fillId="0" borderId="13" xfId="106" applyNumberFormat="1" applyFont="1" applyFill="1" applyBorder="1" applyProtection="1">
      <alignment/>
      <protection/>
    </xf>
    <xf numFmtId="5" fontId="9" fillId="0" borderId="0" xfId="105" applyNumberFormat="1" applyFont="1" applyFill="1" applyBorder="1">
      <alignment/>
      <protection/>
    </xf>
    <xf numFmtId="37" fontId="9" fillId="0" borderId="0" xfId="105" applyFont="1" applyFill="1" applyBorder="1" applyAlignment="1">
      <alignment horizontal="center" wrapText="1"/>
      <protection/>
    </xf>
    <xf numFmtId="37" fontId="9" fillId="0" borderId="0" xfId="105" applyFont="1" applyFill="1" applyBorder="1" applyAlignment="1">
      <alignment horizontal="left"/>
      <protection/>
    </xf>
    <xf numFmtId="10" fontId="9" fillId="0" borderId="0" xfId="116" applyNumberFormat="1" applyFont="1" applyFill="1" applyBorder="1" applyAlignment="1">
      <alignment/>
    </xf>
    <xf numFmtId="10" fontId="9" fillId="0" borderId="0" xfId="105" applyNumberFormat="1" applyFont="1" applyFill="1" applyBorder="1">
      <alignment/>
      <protection/>
    </xf>
    <xf numFmtId="10" fontId="9" fillId="0" borderId="0" xfId="116" applyNumberFormat="1" applyFont="1" applyFill="1" applyBorder="1" applyAlignment="1">
      <alignment horizontal="right" wrapText="1"/>
    </xf>
    <xf numFmtId="10" fontId="48" fillId="0" borderId="0" xfId="117" applyNumberFormat="1" applyFont="1" applyFill="1" applyBorder="1" applyAlignment="1" applyProtection="1">
      <alignment horizontal="right"/>
      <protection/>
    </xf>
    <xf numFmtId="37" fontId="11" fillId="0" borderId="0" xfId="105" applyFont="1" applyFill="1" applyAlignment="1">
      <alignment horizontal="right"/>
      <protection/>
    </xf>
    <xf numFmtId="10" fontId="39" fillId="0" borderId="0" xfId="116" applyNumberFormat="1" applyFont="1" applyFill="1" applyBorder="1" applyAlignment="1" applyProtection="1">
      <alignment horizontal="right"/>
      <protection/>
    </xf>
    <xf numFmtId="10" fontId="11" fillId="0" borderId="0" xfId="116" applyNumberFormat="1" applyFont="1" applyFill="1" applyBorder="1" applyAlignment="1" applyProtection="1">
      <alignment/>
      <protection/>
    </xf>
    <xf numFmtId="168" fontId="11" fillId="0" borderId="0" xfId="117" applyNumberFormat="1" applyFont="1" applyFill="1" applyAlignment="1">
      <alignment horizontal="center"/>
    </xf>
    <xf numFmtId="10" fontId="35" fillId="0" borderId="0" xfId="110" applyNumberFormat="1" applyFont="1" applyBorder="1" applyAlignment="1" applyProtection="1">
      <alignment horizontal="right"/>
      <protection/>
    </xf>
    <xf numFmtId="5" fontId="39" fillId="0" borderId="13" xfId="117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10" fontId="4" fillId="0" borderId="14" xfId="110" applyFont="1" applyFill="1" applyBorder="1" applyAlignment="1" applyProtection="1">
      <alignment horizontal="center" wrapText="1"/>
      <protection/>
    </xf>
    <xf numFmtId="10" fontId="4" fillId="0" borderId="11" xfId="110" applyFont="1" applyFill="1" applyBorder="1" applyAlignment="1" applyProtection="1">
      <alignment horizontal="center" wrapText="1"/>
      <protection/>
    </xf>
    <xf numFmtId="10" fontId="4" fillId="0" borderId="15" xfId="110" applyFont="1" applyFill="1" applyBorder="1" applyAlignment="1" applyProtection="1">
      <alignment horizontal="center" wrapText="1"/>
      <protection/>
    </xf>
    <xf numFmtId="10" fontId="32" fillId="0" borderId="0" xfId="110" applyFont="1" applyAlignment="1" applyProtection="1">
      <alignment horizontal="center"/>
      <protection/>
    </xf>
    <xf numFmtId="172" fontId="32" fillId="0" borderId="0" xfId="110" applyNumberFormat="1" applyFont="1" applyAlignment="1" applyProtection="1">
      <alignment horizontal="center"/>
      <protection/>
    </xf>
    <xf numFmtId="37" fontId="10" fillId="0" borderId="0" xfId="108" applyNumberFormat="1" applyFont="1" applyBorder="1" applyAlignment="1" applyProtection="1">
      <alignment horizontal="center" wrapText="1"/>
      <protection/>
    </xf>
    <xf numFmtId="37" fontId="10" fillId="0" borderId="10" xfId="108" applyNumberFormat="1" applyFont="1" applyBorder="1" applyAlignment="1" applyProtection="1">
      <alignment horizontal="center" wrapText="1"/>
      <protection/>
    </xf>
    <xf numFmtId="3" fontId="10" fillId="0" borderId="0" xfId="109" applyFont="1" applyAlignment="1">
      <alignment horizontal="left" wrapText="1"/>
      <protection/>
    </xf>
    <xf numFmtId="0" fontId="10" fillId="0" borderId="0" xfId="111" applyFont="1" applyFill="1" applyBorder="1" applyAlignment="1" applyProtection="1" quotePrefix="1">
      <alignment horizontal="center" vertical="center" wrapText="1"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FINAL_11&amp;01%20Outlook%20Stack_2023Outlook11_01%2012-19-2023%2009-23-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Test%20Year\WACC%20Yr%20Ending%206-30-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bt%20and%20Shelf%20Filings\Debt%20and%20Shelf%20Filings%20Expenses%20_A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Basket_2023-11-30_11h_29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NGX%20SBLC%20History%2020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CCA%20SBLC%20History%20202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Copy%20of%20FINAL_11&amp;01%20Outlook%20Stack_2023Outlook11_01%2012-19-2023%2009-23-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PSE LOB Balance Sheet Detail"/>
      <sheetName val="PSE LOB Recpt &amp; Disbmt GL Frcst"/>
      <sheetName val="PSE LOB Income Statement Detail"/>
      <sheetName val="PSE Consol &amp; PLNG IS FlatRoll"/>
      <sheetName val="PSE Consol &amp; PLNG IS Rolls"/>
      <sheetName val="PSE LOB Income St ATL&amp;BTL GL"/>
      <sheetName val="PSE LOB Income St Summary"/>
      <sheetName val="Error Log - with Priority"/>
      <sheetName val="FMD - Errors - Check Totals"/>
      <sheetName val="Cost of Capital PSE MYP Annual"/>
      <sheetName val="PSE &amp; PE Consol Covenant Ratios"/>
      <sheetName val="LTD Results"/>
      <sheetName val="PIH Shareholder Loans"/>
      <sheetName val="PH Consol NOL CarryFwd Summary"/>
      <sheetName val="PSE Tax Summary with Actuals"/>
      <sheetName val="PSE Schedule Ms by Frcst Group"/>
      <sheetName val="Tax Sharing Adjustment"/>
      <sheetName val="NonCapital CY Ledger IS Detail"/>
      <sheetName val="Property Tax Results"/>
      <sheetName val="Acquisition Adjustments Detail"/>
      <sheetName val="Acquisition Adjustments Summary"/>
      <sheetName val="Construction &amp; Plant from PB -"/>
      <sheetName val="G Billed &amp; Unbilled Sales Vols"/>
      <sheetName val="Input Gas Unbilled Revenues"/>
      <sheetName val="Tax Sharing Adj Outlook Curren"/>
      <sheetName val="PSE Tax Summary - Common Alloc"/>
      <sheetName val="PSE Schedule Ms"/>
      <sheetName val="Upper Tier Tax Summary"/>
      <sheetName val="Key Financials Annual Summary"/>
      <sheetName val="Key Financials"/>
      <sheetName val="CNSLG Balance Sheet Detail"/>
      <sheetName val="CNSLG Balance Sheet Summary"/>
      <sheetName val="CNSLG Income Statement Detail"/>
      <sheetName val="CNSLG Income Statement Summary"/>
      <sheetName val="CNSLG GAAP Income Statement"/>
      <sheetName val="CNSLG Statement of Cash Flow"/>
      <sheetName val="PSE LOB Income Statement GL"/>
      <sheetName val="PSE &amp; PEConsol &amp; PLNG EBITDA"/>
      <sheetName val="PSE through PH CAD #"/>
      <sheetName val="PSE LOB Ratio &amp; Statistics"/>
      <sheetName val="PSE Net Power Costs Annually"/>
      <sheetName val="PSE Net Power Costs Monthly"/>
      <sheetName val="PSE Conservation Frcst Annually"/>
      <sheetName val="PSE Conservation Frcst Monthly"/>
      <sheetName val="PSE Production Rate Base Items"/>
      <sheetName val="PSE Rate Base EOP &amp; AMA by Mo"/>
      <sheetName val="PSE Rate Relief Revenue Detail"/>
      <sheetName val="PSE Electric Revenue &amp; Margin"/>
      <sheetName val="PSE Electric Revenue KWh &amp; MWh"/>
      <sheetName val="PSE Electric Revenue Schedule"/>
      <sheetName val="PSE Electric Revenue Summary#"/>
      <sheetName val="PSE Gas Revenue &amp; Margin"/>
      <sheetName val="PSE Gas Revenue per Therm"/>
      <sheetName val="PSE Gas Revenue Schedule#"/>
      <sheetName val="PSE G Rev Sched &amp; Cost Summary"/>
      <sheetName val="PSE Schedule A-1#"/>
      <sheetName val="PSE Consol Ratios &amp; Statistics"/>
      <sheetName val="PSE Consol Ratio &amp; Stats Annual"/>
      <sheetName val="PSE Consol &amp; PLNG Ratio &amp; Stats"/>
      <sheetName val="CNSLG Income Statement GL"/>
      <sheetName val="CNSLG Indirect Cash Flow GL"/>
      <sheetName val="CNSLG Direct Cash Rec &amp; Disb GL"/>
      <sheetName val="Scenario Data"/>
    </sheetNames>
    <sheetDataSet>
      <sheetData sheetId="57">
        <row r="75">
          <cell r="C75">
            <v>0.49318019602900665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119791667</v>
          </cell>
          <cell r="D14">
            <v>0.0123</v>
          </cell>
          <cell r="E14">
            <v>0.0458</v>
          </cell>
        </row>
        <row r="16">
          <cell r="C16">
            <v>4836189614</v>
          </cell>
          <cell r="D16">
            <v>0.497</v>
          </cell>
          <cell r="E16">
            <v>0.0507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6">
          <cell r="D26">
            <v>0.5093</v>
          </cell>
        </row>
        <row r="28">
          <cell r="C28">
            <v>4774948958</v>
          </cell>
          <cell r="D28">
            <v>0.4907</v>
          </cell>
          <cell r="E28">
            <v>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&amp; Review"/>
      <sheetName val="2023 PSE $400M Bond"/>
      <sheetName val="2023-2025 Mrtge Ind Renewal Fee"/>
      <sheetName val="2022 PSE Shelf Registration"/>
      <sheetName val="2022 PE Credit Facility"/>
      <sheetName val="2022 PSE Credit Facility"/>
      <sheetName val="PE $450M Bond 2022"/>
      <sheetName val="2022 PE Shelf Registration"/>
      <sheetName val="2021 PSE $450M Bond"/>
      <sheetName val="2021 PIH Term Loan"/>
      <sheetName val="2021 PE $500M Bond"/>
      <sheetName val="2020 PE $650M Bond"/>
      <sheetName val="2019 PE Term Loan"/>
      <sheetName val="2019 PSE $450M Sr Notes"/>
      <sheetName val="2019 Shelf Registration"/>
      <sheetName val="2018 PE Term Loan"/>
      <sheetName val="2018 PSE $600M  4.223% Sr Notes"/>
      <sheetName val="Hybrid Retirement"/>
      <sheetName val="2017 PSE Credit Facility"/>
      <sheetName val="2017 PE Credit Facility"/>
      <sheetName val="2016 PSE Shelf Registration"/>
      <sheetName val="2015 PSE $425M 4.30% Sr Note"/>
      <sheetName val="2015-PE $400M 3.65% Sr Note"/>
      <sheetName val="2014 PE Term Loans"/>
      <sheetName val="2014 Shelf Registration"/>
      <sheetName val="2013-PE Bond Deal "/>
      <sheetName val="2013 PCB REFINANCE (GA)"/>
      <sheetName val="2013 PCB REFINANCE Est-BR004"/>
      <sheetName val="2013 PCB REFINANCE Est-BR002"/>
      <sheetName val="2013 PSE Credit Facility"/>
      <sheetName val="2013 PSE Hedging Line of Cr"/>
      <sheetName val="2012 PE Credit Agreement"/>
      <sheetName val="2012-PE $450M 5.625% Sr Notes"/>
      <sheetName val="2011-9.57% FMB Retirement"/>
      <sheetName val="2011-Nov. $45M 4.70% Sr Notes"/>
      <sheetName val="2011-Nov. $250M 4.434% Sr Notes"/>
      <sheetName val="2011-PE $500M 6.0% Sr Notes"/>
      <sheetName val="2011-PSE 5.638% $300M Sr Notes"/>
      <sheetName val="2010-Jun 5.764% $250M Sr Notes"/>
      <sheetName val="2010-PE $450M 6.5% Sr Notes"/>
      <sheetName val="2010-Mar 5.795% $325M SrNotes"/>
      <sheetName val="2009 $350M 5.757% Sr Notes"/>
      <sheetName val="2009 $250M 6.75% Sr Notes"/>
      <sheetName val="2008 PSE Bridge Loan"/>
      <sheetName val="2008 PE Credit Agreements"/>
      <sheetName val="2008 PSE Hedging Line of Credit"/>
      <sheetName val="2008 PSE Capital Line of Credit"/>
      <sheetName val="2008 PSE Operating LOC"/>
      <sheetName val="Redemption of 8.2% Cap Trust I"/>
      <sheetName val="2007 Hedging Line of Credit"/>
      <sheetName val="2007 Hybrid Securities"/>
      <sheetName val="2006 PSE Sept. 30 Yr Notes"/>
      <sheetName val="Redemption of 8.4% Cap Trust II"/>
      <sheetName val="2006 PSE $250M 30 Yr Notes"/>
      <sheetName val="2005 AR Securitization"/>
      <sheetName val="2005 $312M Equity Offering"/>
      <sheetName val="Trust Preferred Tender Expenses"/>
      <sheetName val="2005 $250M 30 Yr Notes"/>
      <sheetName val="$500mm Credit Facility"/>
      <sheetName val="AR Securitization"/>
      <sheetName val="2003 $150M 5 Yr Notes (2)"/>
      <sheetName val="2003 $150M 5 Yr Notes"/>
      <sheetName val="2003 PCBs"/>
      <sheetName val="2002 Credit Facility"/>
      <sheetName val="WAC 480-146-230"/>
    </sheetNames>
    <sheetDataSet>
      <sheetData sheetId="1">
        <row r="61">
          <cell r="C61">
            <v>98.82010309500001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8">
          <cell r="P118">
            <v>0.03792591886731961</v>
          </cell>
        </row>
        <row r="123">
          <cell r="E123">
            <v>0.041658516312581335</v>
          </cell>
          <cell r="F123">
            <v>0.04450878935726256</v>
          </cell>
          <cell r="G123">
            <v>0.04653569631789241</v>
          </cell>
          <cell r="H123">
            <v>0.04801150645065354</v>
          </cell>
          <cell r="I123">
            <v>0.0491913036874288</v>
          </cell>
          <cell r="J123">
            <v>0.05032727764219938</v>
          </cell>
          <cell r="K123">
            <v>0.05136609075966032</v>
          </cell>
          <cell r="L123">
            <v>0.052167358411510746</v>
          </cell>
          <cell r="M123">
            <v>0.05260962717926304</v>
          </cell>
          <cell r="N123">
            <v>0.0527814567322287</v>
          </cell>
          <cell r="O123">
            <v>0.05281451999212489</v>
          </cell>
          <cell r="P123">
            <v>0.05281704920991967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GX 2023 "/>
      <sheetName val="NGX 2022"/>
    </sheetNames>
    <sheetDataSet>
      <sheetData sheetId="0">
        <row r="36">
          <cell r="J36">
            <v>28000000</v>
          </cell>
        </row>
        <row r="39">
          <cell r="J39">
            <v>28000000</v>
          </cell>
        </row>
        <row r="43">
          <cell r="J43">
            <v>22393939.393939395</v>
          </cell>
        </row>
        <row r="49">
          <cell r="J49">
            <v>9892857.142857144</v>
          </cell>
        </row>
        <row r="54">
          <cell r="J54">
            <v>17612903.225806452</v>
          </cell>
        </row>
        <row r="61">
          <cell r="J61">
            <v>9676470.588235294</v>
          </cell>
        </row>
        <row r="65">
          <cell r="J65">
            <v>7857142.857142857</v>
          </cell>
        </row>
        <row r="68">
          <cell r="J68">
            <v>11000000</v>
          </cell>
        </row>
        <row r="72">
          <cell r="J72">
            <v>8290322.580645162</v>
          </cell>
        </row>
        <row r="76">
          <cell r="J76">
            <v>4290322.580645162</v>
          </cell>
        </row>
        <row r="80">
          <cell r="J80">
            <v>4000000</v>
          </cell>
        </row>
        <row r="84">
          <cell r="J84">
            <v>4000000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CA 2023 "/>
      <sheetName val="CCA 2024 GRC draft"/>
    </sheetNames>
    <sheetDataSet>
      <sheetData sheetId="0">
        <row r="76">
          <cell r="J76">
            <v>8370967.741935484</v>
          </cell>
        </row>
        <row r="80">
          <cell r="J80">
            <v>62861911.333333336</v>
          </cell>
        </row>
        <row r="84">
          <cell r="J84">
            <v>53676394.19354839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PSE LOB Balance Sheet Detail"/>
      <sheetName val="PSE LOB Recpt &amp; Disbmt GL Frcst"/>
      <sheetName val="PSE LOB Income Statement Detail"/>
      <sheetName val="PSE Consol &amp; PLNG IS FlatRoll"/>
      <sheetName val="PSE Consol &amp; PLNG IS Rolls"/>
      <sheetName val="PSE LOB Income St ATL&amp;BTL GL"/>
      <sheetName val="PSE LOB Income St Summary"/>
      <sheetName val="Error Log - with Priority"/>
      <sheetName val="FMD - Errors - Check Totals"/>
      <sheetName val="Cost of Capital PSE MYP Annual"/>
      <sheetName val="PSE &amp; PE Consol Covenant Ratios"/>
      <sheetName val="LTD Results"/>
      <sheetName val="PIH Shareholder Loans"/>
      <sheetName val="PH Consol NOL CarryFwd Summary"/>
      <sheetName val="PSE Tax Summary with Actuals"/>
      <sheetName val="PSE Schedule Ms by Frcst Group"/>
      <sheetName val="Tax Sharing Adjustment"/>
      <sheetName val="NonCapital CY Ledger IS Detail"/>
      <sheetName val="Property Tax Results"/>
      <sheetName val="Acquisition Adjustments Detail"/>
      <sheetName val="Acquisition Adjustments Summary"/>
      <sheetName val="Construction &amp; Plant from PB -"/>
      <sheetName val="G Billed &amp; Unbilled Sales Vols"/>
      <sheetName val="Input Gas Unbilled Revenues"/>
      <sheetName val="Tax Sharing Adj Outlook Curren"/>
      <sheetName val="PSE Tax Summary - Common Alloc"/>
      <sheetName val="PSE Schedule Ms"/>
      <sheetName val="Upper Tier Tax Summary"/>
      <sheetName val="Key Financials Annual Summary"/>
      <sheetName val="Key Financials"/>
      <sheetName val="CNSLG Balance Sheet Detail"/>
      <sheetName val="CNSLG Balance Sheet Summary"/>
      <sheetName val="CNSLG Income Statement Detail"/>
      <sheetName val="CNSLG Income Statement Summary"/>
      <sheetName val="CNSLG GAAP Income Statement"/>
      <sheetName val="CNSLG Statement of Cash Flow"/>
      <sheetName val="PSE LOB Income Statement GL"/>
      <sheetName val="PSE &amp; PEConsol &amp; PLNG EBITDA"/>
      <sheetName val="PSE through PH CAD #"/>
      <sheetName val="PSE LOB Ratio &amp; Statistics"/>
      <sheetName val="PSE Net Power Costs Annually"/>
      <sheetName val="PSE Net Power Costs Monthly"/>
      <sheetName val="PSE Conservation Frcst Annually"/>
      <sheetName val="PSE Conservation Frcst Monthly"/>
      <sheetName val="PSE Production Rate Base Items"/>
      <sheetName val="PSE Rate Base EOP &amp; AMA by Mo"/>
      <sheetName val="PSE Rate Relief Revenue Detail"/>
      <sheetName val="PSE Electric Revenue &amp; Margin"/>
      <sheetName val="PSE Electric Revenue KWh &amp; MWh"/>
      <sheetName val="PSE Electric Revenue Schedule"/>
      <sheetName val="PSE Electric Revenue Summary#"/>
      <sheetName val="PSE Gas Revenue &amp; Margin"/>
      <sheetName val="PSE Gas Revenue per Therm"/>
      <sheetName val="PSE Gas Revenue Schedule#"/>
      <sheetName val="PSE G Rev Sched &amp; Cost Summary"/>
      <sheetName val="PSE Schedule A-1#"/>
      <sheetName val="PSE Consol Ratios &amp; Statistics"/>
      <sheetName val="PSE Consol Ratio &amp; Stats Annual"/>
      <sheetName val="PSE Consol &amp; PLNG Ratio &amp; Stats"/>
      <sheetName val="CNSLG Income Statement GL"/>
      <sheetName val="CNSLG Indirect Cash Flow GL"/>
      <sheetName val="CNSLG Direct Cash Rec &amp; Disb GL"/>
      <sheetName val="Scenario Data"/>
    </sheetNames>
    <sheetDataSet>
      <sheetData sheetId="32">
        <row r="53">
          <cell r="AV53">
            <v>357000000</v>
          </cell>
          <cell r="AW53">
            <v>53000000</v>
          </cell>
          <cell r="AX53">
            <v>162000000</v>
          </cell>
          <cell r="AY53">
            <v>137000000</v>
          </cell>
          <cell r="AZ53">
            <v>50000000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326020838.956398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14" sqref="H14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">
      <c r="B1" s="13" t="s">
        <v>129</v>
      </c>
      <c r="C1" s="13"/>
      <c r="D1" s="13"/>
      <c r="E1" s="13"/>
      <c r="F1" s="13"/>
    </row>
    <row r="2" spans="1:6" ht="12.75">
      <c r="A2" s="14"/>
      <c r="B2" s="2"/>
      <c r="C2" s="2"/>
      <c r="D2" s="2"/>
      <c r="E2" s="2"/>
      <c r="F2" s="2"/>
    </row>
    <row r="3" spans="2:6" ht="15">
      <c r="B3" s="302" t="s">
        <v>2</v>
      </c>
      <c r="C3" s="302"/>
      <c r="D3" s="302"/>
      <c r="E3" s="302"/>
      <c r="F3" s="302"/>
    </row>
    <row r="4" spans="2:8" ht="15" customHeight="1">
      <c r="B4" s="303" t="s">
        <v>113</v>
      </c>
      <c r="C4" s="303"/>
      <c r="D4" s="303"/>
      <c r="E4" s="303"/>
      <c r="F4" s="303"/>
      <c r="H4" s="8"/>
    </row>
    <row r="5" spans="1:8" ht="12.75">
      <c r="A5" s="15" t="s">
        <v>150</v>
      </c>
      <c r="B5" s="156"/>
      <c r="C5" s="15"/>
      <c r="D5" s="15"/>
      <c r="E5" s="15"/>
      <c r="F5" s="15"/>
      <c r="H5" s="8"/>
    </row>
    <row r="6" spans="1:8" ht="12.75">
      <c r="A6" s="3"/>
      <c r="C6" s="4"/>
      <c r="H6" s="8"/>
    </row>
    <row r="7" spans="1:8" ht="12.75">
      <c r="A7" s="3"/>
      <c r="H7" s="8"/>
    </row>
    <row r="8" spans="1:8" ht="12.75">
      <c r="A8" s="16">
        <v>1</v>
      </c>
      <c r="B8" s="17" t="s">
        <v>1</v>
      </c>
      <c r="C8" s="17" t="s">
        <v>17</v>
      </c>
      <c r="D8" s="17" t="s">
        <v>24</v>
      </c>
      <c r="E8" s="17" t="s">
        <v>26</v>
      </c>
      <c r="F8" s="17" t="s">
        <v>27</v>
      </c>
      <c r="H8" s="8"/>
    </row>
    <row r="9" spans="1:8" ht="12.75">
      <c r="A9" s="16">
        <f>A8+1</f>
        <v>2</v>
      </c>
      <c r="B9" s="299" t="s">
        <v>115</v>
      </c>
      <c r="C9" s="300"/>
      <c r="D9" s="300"/>
      <c r="E9" s="300"/>
      <c r="F9" s="301"/>
      <c r="H9" s="8"/>
    </row>
    <row r="10" spans="1:8" ht="12.75">
      <c r="A10" s="16">
        <f>A9+1</f>
        <v>3</v>
      </c>
      <c r="B10" s="18"/>
      <c r="C10" s="18"/>
      <c r="D10" s="18"/>
      <c r="E10" s="18"/>
      <c r="F10" s="18"/>
      <c r="H10" s="8"/>
    </row>
    <row r="11" spans="1:6" ht="12.75">
      <c r="A11" s="16">
        <f>A10+1</f>
        <v>4</v>
      </c>
      <c r="B11" s="17"/>
      <c r="C11" s="17"/>
      <c r="D11" s="19"/>
      <c r="E11" s="20" t="s">
        <v>6</v>
      </c>
      <c r="F11" s="20" t="s">
        <v>3</v>
      </c>
    </row>
    <row r="12" spans="1:8" ht="12.75">
      <c r="A12" s="16">
        <f aca="true" t="shared" si="0" ref="A12:A40">A11+1</f>
        <v>5</v>
      </c>
      <c r="B12" s="21" t="s">
        <v>4</v>
      </c>
      <c r="C12" s="22"/>
      <c r="D12" s="22" t="s">
        <v>5</v>
      </c>
      <c r="E12" s="22" t="s">
        <v>107</v>
      </c>
      <c r="F12" s="22" t="s">
        <v>7</v>
      </c>
      <c r="H12" s="8"/>
    </row>
    <row r="13" spans="1:8" ht="12.75">
      <c r="A13" s="16">
        <f t="shared" si="0"/>
        <v>6</v>
      </c>
      <c r="B13" s="23"/>
      <c r="C13" s="17"/>
      <c r="D13" s="17"/>
      <c r="E13" s="17"/>
      <c r="F13" s="17"/>
      <c r="H13" s="8"/>
    </row>
    <row r="14" spans="1:8" ht="12.75">
      <c r="A14" s="16">
        <f t="shared" si="0"/>
        <v>7</v>
      </c>
      <c r="B14" s="24" t="s">
        <v>125</v>
      </c>
      <c r="C14" s="17"/>
      <c r="D14" s="145">
        <f>'Pg 3 STD Int&amp;Fees-Details AMA'!P66</f>
        <v>0.006114341135609</v>
      </c>
      <c r="E14" s="145">
        <f>'Pg 2 Cost of Total Debt'!G35</f>
        <v>0.0589</v>
      </c>
      <c r="F14" s="25">
        <f>ROUND(D14*E14,4)</f>
        <v>0.0004</v>
      </c>
      <c r="H14" s="147"/>
    </row>
    <row r="15" spans="1:8" ht="12.75">
      <c r="A15" s="16">
        <f t="shared" si="0"/>
        <v>8</v>
      </c>
      <c r="B15" s="26" t="s">
        <v>25</v>
      </c>
      <c r="C15" s="17"/>
      <c r="D15" s="157"/>
      <c r="E15" s="25"/>
      <c r="F15" s="145">
        <f>'Pg 3 STD Int&amp;Fees-Details AMA'!P56</f>
        <v>0.0002</v>
      </c>
      <c r="H15" s="8"/>
    </row>
    <row r="16" spans="1:8" ht="12.75">
      <c r="A16" s="16">
        <f t="shared" si="0"/>
        <v>9</v>
      </c>
      <c r="B16" s="27" t="s">
        <v>102</v>
      </c>
      <c r="C16" s="28"/>
      <c r="D16" s="158"/>
      <c r="E16" s="30"/>
      <c r="F16" s="146">
        <f>'Pg 3 STD Int&amp;Fees-Details AMA'!P61</f>
        <v>0.0001</v>
      </c>
      <c r="H16" s="8"/>
    </row>
    <row r="17" spans="1:8" ht="12.75">
      <c r="A17" s="16">
        <f t="shared" si="0"/>
        <v>10</v>
      </c>
      <c r="B17" s="31" t="s">
        <v>124</v>
      </c>
      <c r="C17" s="17"/>
      <c r="D17" s="157"/>
      <c r="E17" s="25"/>
      <c r="F17" s="32">
        <f>SUM(F14:F16)</f>
        <v>0.0007000000000000001</v>
      </c>
      <c r="H17" s="8"/>
    </row>
    <row r="18" spans="1:9" ht="12.75">
      <c r="A18" s="16">
        <f t="shared" si="0"/>
        <v>11</v>
      </c>
      <c r="B18" s="24" t="s">
        <v>126</v>
      </c>
      <c r="C18" s="33"/>
      <c r="D18" s="145">
        <f>'Pg 3 STD Int&amp;Fees-Details AMA'!P67</f>
        <v>0.5007054628353844</v>
      </c>
      <c r="E18" s="145">
        <f>'Pg 2 Cost of Total Debt'!G33</f>
        <v>0.05070645649137606</v>
      </c>
      <c r="F18" s="145">
        <f>ROUND(D18*E18,4)</f>
        <v>0.0254</v>
      </c>
      <c r="H18" s="8"/>
      <c r="I18" s="8"/>
    </row>
    <row r="19" spans="1:8" ht="12.75">
      <c r="A19" s="16">
        <f t="shared" si="0"/>
        <v>12</v>
      </c>
      <c r="B19" s="27" t="s">
        <v>103</v>
      </c>
      <c r="C19" s="28"/>
      <c r="D19" s="29"/>
      <c r="E19" s="30"/>
      <c r="F19" s="146">
        <f>'Pg 4 Reacquired Debt'!K27</f>
        <v>0.0002</v>
      </c>
      <c r="H19" s="8"/>
    </row>
    <row r="20" spans="1:8" ht="12.75">
      <c r="A20" s="16">
        <f t="shared" si="0"/>
        <v>13</v>
      </c>
      <c r="B20" s="34" t="s">
        <v>127</v>
      </c>
      <c r="C20" s="35"/>
      <c r="D20" s="36"/>
      <c r="E20" s="37"/>
      <c r="F20" s="38">
        <f>F18+F19</f>
        <v>0.025599999999999998</v>
      </c>
      <c r="H20" s="8"/>
    </row>
    <row r="21" spans="1:8" ht="12.75">
      <c r="A21" s="16">
        <f t="shared" si="0"/>
        <v>14</v>
      </c>
      <c r="B21" s="39" t="s">
        <v>104</v>
      </c>
      <c r="C21" s="17"/>
      <c r="D21" s="32">
        <f>D14+D18</f>
        <v>0.5068198039709935</v>
      </c>
      <c r="E21" s="25"/>
      <c r="F21" s="32">
        <f>F17+F20</f>
        <v>0.026299999999999997</v>
      </c>
      <c r="H21" s="8"/>
    </row>
    <row r="22" spans="1:8" ht="12.75">
      <c r="A22" s="16">
        <f t="shared" si="0"/>
        <v>15</v>
      </c>
      <c r="B22" s="39" t="s">
        <v>105</v>
      </c>
      <c r="C22" s="17"/>
      <c r="D22" s="162">
        <f>'[10]PSE Consol Ratios &amp; Statistics'!$C$75</f>
        <v>0.49318019602900665</v>
      </c>
      <c r="E22" s="139">
        <v>0.094</v>
      </c>
      <c r="F22" s="40">
        <f>ROUND(D22*E22,4)</f>
        <v>0.0464</v>
      </c>
      <c r="H22" s="8"/>
    </row>
    <row r="23" spans="1:8" ht="12.75">
      <c r="A23" s="16">
        <f t="shared" si="0"/>
        <v>16</v>
      </c>
      <c r="B23" s="39" t="s">
        <v>106</v>
      </c>
      <c r="C23" s="41"/>
      <c r="D23" s="296">
        <v>1</v>
      </c>
      <c r="E23" s="25"/>
      <c r="F23" s="144">
        <f>F21+F22</f>
        <v>0.07269999999999999</v>
      </c>
      <c r="H23" s="8"/>
    </row>
    <row r="24" spans="1:8" ht="12.75">
      <c r="A24" s="16">
        <f t="shared" si="0"/>
        <v>17</v>
      </c>
      <c r="B24" s="17"/>
      <c r="C24" s="17"/>
      <c r="D24" s="17"/>
      <c r="E24" s="17"/>
      <c r="F24" s="17"/>
      <c r="H24" s="8"/>
    </row>
    <row r="25" spans="1:8" ht="12.75">
      <c r="A25" s="16">
        <f t="shared" si="0"/>
        <v>18</v>
      </c>
      <c r="B25" s="17"/>
      <c r="C25" s="17"/>
      <c r="D25" s="17"/>
      <c r="E25" s="17"/>
      <c r="F25" s="17"/>
      <c r="H25" s="8"/>
    </row>
    <row r="26" spans="1:8" ht="12.75">
      <c r="A26" s="16">
        <f t="shared" si="0"/>
        <v>19</v>
      </c>
      <c r="B26" s="299" t="s">
        <v>116</v>
      </c>
      <c r="C26" s="300"/>
      <c r="D26" s="300"/>
      <c r="E26" s="300"/>
      <c r="F26" s="301"/>
      <c r="H26" s="8"/>
    </row>
    <row r="27" spans="1:8" ht="12.75">
      <c r="A27" s="16">
        <f t="shared" si="0"/>
        <v>20</v>
      </c>
      <c r="B27" s="107"/>
      <c r="C27" s="107"/>
      <c r="D27" s="107"/>
      <c r="E27" s="107"/>
      <c r="F27" s="107"/>
      <c r="G27" s="42"/>
      <c r="H27" s="8"/>
    </row>
    <row r="28" spans="1:7" ht="12.75">
      <c r="A28" s="16">
        <f t="shared" si="0"/>
        <v>21</v>
      </c>
      <c r="B28" s="108"/>
      <c r="C28" s="109" t="s">
        <v>114</v>
      </c>
      <c r="D28" s="108"/>
      <c r="E28" s="110" t="s">
        <v>6</v>
      </c>
      <c r="F28" s="110" t="s">
        <v>3</v>
      </c>
      <c r="G28" s="42"/>
    </row>
    <row r="29" spans="1:8" ht="12.75">
      <c r="A29" s="16">
        <f t="shared" si="0"/>
        <v>22</v>
      </c>
      <c r="B29" s="111" t="s">
        <v>4</v>
      </c>
      <c r="C29" s="112" t="s">
        <v>117</v>
      </c>
      <c r="D29" s="113" t="s">
        <v>5</v>
      </c>
      <c r="E29" s="113" t="s">
        <v>107</v>
      </c>
      <c r="F29" s="113" t="s">
        <v>7</v>
      </c>
      <c r="G29" s="42"/>
      <c r="H29" s="150"/>
    </row>
    <row r="30" spans="1:8" ht="12.75">
      <c r="A30" s="16">
        <f t="shared" si="0"/>
        <v>23</v>
      </c>
      <c r="B30" s="114"/>
      <c r="C30" s="114"/>
      <c r="D30" s="115"/>
      <c r="E30" s="114"/>
      <c r="F30" s="116"/>
      <c r="G30" s="42"/>
      <c r="H30" s="150"/>
    </row>
    <row r="31" spans="1:8" ht="12.75">
      <c r="A31" s="16">
        <f t="shared" si="0"/>
        <v>24</v>
      </c>
      <c r="B31" s="117" t="s">
        <v>125</v>
      </c>
      <c r="C31" s="118">
        <f>'[4]New Format'!$C$14</f>
        <v>119791667</v>
      </c>
      <c r="D31" s="159">
        <f>'[4]New Format'!$D$14</f>
        <v>0.0123</v>
      </c>
      <c r="E31" s="119">
        <f>'[4]New Format'!$E$14</f>
        <v>0.0458</v>
      </c>
      <c r="F31" s="124">
        <f>ROUND(D31*E31,4)</f>
        <v>0.0006</v>
      </c>
      <c r="H31" s="151"/>
    </row>
    <row r="32" spans="1:8" ht="12.75">
      <c r="A32" s="16">
        <f t="shared" si="0"/>
        <v>25</v>
      </c>
      <c r="B32" s="121" t="s">
        <v>25</v>
      </c>
      <c r="C32" s="122"/>
      <c r="D32" s="160"/>
      <c r="E32" s="123"/>
      <c r="F32" s="124">
        <f>'[4]New Format'!$F$20</f>
        <v>0.0002</v>
      </c>
      <c r="H32" s="151"/>
    </row>
    <row r="33" spans="1:8" ht="12.75">
      <c r="A33" s="16">
        <f t="shared" si="0"/>
        <v>26</v>
      </c>
      <c r="B33" s="125" t="s">
        <v>102</v>
      </c>
      <c r="C33" s="126"/>
      <c r="D33" s="129"/>
      <c r="E33" s="128"/>
      <c r="F33" s="129">
        <f>'[4]New Format'!$F$22</f>
        <v>0.0001</v>
      </c>
      <c r="H33" s="151"/>
    </row>
    <row r="34" spans="1:8" ht="12.75">
      <c r="A34" s="16">
        <f t="shared" si="0"/>
        <v>27</v>
      </c>
      <c r="B34" s="130" t="s">
        <v>124</v>
      </c>
      <c r="C34" s="122"/>
      <c r="D34" s="160"/>
      <c r="E34" s="123"/>
      <c r="F34" s="131">
        <f>SUM(F31:F33)</f>
        <v>0.0009</v>
      </c>
      <c r="H34" s="151"/>
    </row>
    <row r="35" spans="1:8" ht="12.75">
      <c r="A35" s="16">
        <f t="shared" si="0"/>
        <v>28</v>
      </c>
      <c r="B35" s="117" t="s">
        <v>8</v>
      </c>
      <c r="C35" s="122">
        <f>'[4]New Format'!$C$16</f>
        <v>4836189614</v>
      </c>
      <c r="D35" s="159">
        <f>'[4]New Format'!$D$16</f>
        <v>0.497</v>
      </c>
      <c r="E35" s="119">
        <f>'[4]New Format'!$E$16</f>
        <v>0.0507</v>
      </c>
      <c r="F35" s="120">
        <f>ROUND(D35*E35,4)</f>
        <v>0.0252</v>
      </c>
      <c r="H35" s="151"/>
    </row>
    <row r="36" spans="1:10" ht="12.75">
      <c r="A36" s="16">
        <f t="shared" si="0"/>
        <v>29</v>
      </c>
      <c r="B36" s="125" t="s">
        <v>103</v>
      </c>
      <c r="C36" s="126"/>
      <c r="D36" s="127"/>
      <c r="E36" s="128"/>
      <c r="F36" s="129">
        <f>'[4]New Format'!$F$24</f>
        <v>0.0002</v>
      </c>
      <c r="G36" s="42"/>
      <c r="H36" s="152"/>
      <c r="I36" s="147"/>
      <c r="J36" s="148"/>
    </row>
    <row r="37" spans="1:8" ht="12.75">
      <c r="A37" s="16">
        <f t="shared" si="0"/>
        <v>30</v>
      </c>
      <c r="B37" s="132" t="s">
        <v>127</v>
      </c>
      <c r="C37" s="133"/>
      <c r="D37" s="134"/>
      <c r="E37" s="135"/>
      <c r="F37" s="136">
        <f>F35+F36</f>
        <v>0.0254</v>
      </c>
      <c r="G37" s="42"/>
      <c r="H37" s="150"/>
    </row>
    <row r="38" spans="1:9" ht="12.75">
      <c r="A38" s="16">
        <f t="shared" si="0"/>
        <v>31</v>
      </c>
      <c r="B38" s="137" t="s">
        <v>104</v>
      </c>
      <c r="C38" s="138">
        <f>+C31+C35</f>
        <v>4955981281</v>
      </c>
      <c r="D38" s="161">
        <f>'[4]New Format'!$D$26</f>
        <v>0.5093</v>
      </c>
      <c r="E38" s="119"/>
      <c r="F38" s="139">
        <f>F34+F37</f>
        <v>0.0263</v>
      </c>
      <c r="G38" s="42"/>
      <c r="H38" s="12"/>
      <c r="I38" s="11"/>
    </row>
    <row r="39" spans="1:9" ht="12.75">
      <c r="A39" s="16">
        <f t="shared" si="0"/>
        <v>32</v>
      </c>
      <c r="B39" s="137" t="s">
        <v>105</v>
      </c>
      <c r="C39" s="140">
        <f>'[4]New Format'!$C$28</f>
        <v>4774948958</v>
      </c>
      <c r="D39" s="141">
        <f>'[4]New Format'!$D$28</f>
        <v>0.4907</v>
      </c>
      <c r="E39" s="139">
        <f>'[4]New Format'!$E$28</f>
        <v>0.094</v>
      </c>
      <c r="F39" s="141">
        <f>ROUND(+D39*E39,4)</f>
        <v>0.0461</v>
      </c>
      <c r="G39" s="42"/>
      <c r="H39" s="12"/>
      <c r="I39" s="11"/>
    </row>
    <row r="40" spans="1:8" ht="12.75">
      <c r="A40" s="16">
        <f t="shared" si="0"/>
        <v>33</v>
      </c>
      <c r="B40" s="137" t="s">
        <v>106</v>
      </c>
      <c r="C40" s="142">
        <f>SUM(C38:C39)</f>
        <v>9730930239</v>
      </c>
      <c r="D40" s="144">
        <f>SUM(D38:D39)</f>
        <v>1</v>
      </c>
      <c r="E40" s="143"/>
      <c r="F40" s="144">
        <f>SUM(F38:F39)</f>
        <v>0.0724</v>
      </c>
      <c r="G40" s="42"/>
      <c r="H40" s="10"/>
    </row>
    <row r="41" spans="1:7" ht="12.75">
      <c r="A41" s="16"/>
      <c r="C41" s="44"/>
      <c r="D41" s="45"/>
      <c r="E41" s="43"/>
      <c r="F41" s="45"/>
      <c r="G41" s="42"/>
    </row>
    <row r="42" spans="1:6" ht="12.75">
      <c r="A42" s="16"/>
      <c r="B42" s="46"/>
      <c r="C42" s="47"/>
      <c r="E42" s="48"/>
      <c r="F42" s="48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&amp;C&amp;A&amp;RExhibit No. CGP-4
Page 1 of 4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view="pageLayout" workbookViewId="0" topLeftCell="A1">
      <selection activeCell="M11" sqref="M11"/>
    </sheetView>
  </sheetViews>
  <sheetFormatPr defaultColWidth="8.66015625" defaultRowHeight="11.25"/>
  <cols>
    <col min="1" max="1" width="5.66015625" style="234" bestFit="1" customWidth="1"/>
    <col min="2" max="2" width="11.16015625" style="163" customWidth="1"/>
    <col min="3" max="6" width="10.5" style="163" customWidth="1"/>
    <col min="7" max="7" width="10.5" style="190" customWidth="1"/>
    <col min="8" max="8" width="17.5" style="163" customWidth="1"/>
    <col min="9" max="9" width="14.66015625" style="163" customWidth="1"/>
    <col min="10" max="10" width="11.16015625" style="163" customWidth="1"/>
    <col min="11" max="11" width="11.5" style="163" bestFit="1" customWidth="1"/>
    <col min="12" max="12" width="6" style="163" customWidth="1"/>
    <col min="13" max="13" width="10.83203125" style="163" bestFit="1" customWidth="1"/>
    <col min="14" max="16384" width="8.66015625" style="163" customWidth="1"/>
  </cols>
  <sheetData>
    <row r="1" spans="1:10" ht="12">
      <c r="A1" s="49"/>
      <c r="B1" s="51" t="s">
        <v>70</v>
      </c>
      <c r="C1" s="51"/>
      <c r="D1" s="51"/>
      <c r="E1" s="51"/>
      <c r="F1" s="51"/>
      <c r="G1" s="51"/>
      <c r="H1" s="51"/>
      <c r="I1" s="51"/>
      <c r="J1" s="51"/>
    </row>
    <row r="2" spans="1:10" s="164" customFormat="1" ht="12">
      <c r="A2" s="52"/>
      <c r="B2" s="51" t="s">
        <v>122</v>
      </c>
      <c r="C2" s="51"/>
      <c r="D2" s="51"/>
      <c r="E2" s="51"/>
      <c r="F2" s="51"/>
      <c r="G2" s="51"/>
      <c r="H2" s="51"/>
      <c r="I2" s="51"/>
      <c r="J2" s="51"/>
    </row>
    <row r="3" spans="1:10" s="164" customFormat="1" ht="12">
      <c r="A3" s="53"/>
      <c r="B3" s="51" t="s">
        <v>149</v>
      </c>
      <c r="C3" s="51"/>
      <c r="D3" s="51"/>
      <c r="E3" s="51"/>
      <c r="F3" s="51"/>
      <c r="G3" s="51"/>
      <c r="H3" s="51"/>
      <c r="I3" s="51"/>
      <c r="J3" s="51"/>
    </row>
    <row r="4" spans="1:7" ht="10.5" customHeight="1">
      <c r="A4" s="163"/>
      <c r="G4" s="163"/>
    </row>
    <row r="5" spans="1:9" ht="10.5" customHeight="1">
      <c r="A5" s="165">
        <v>1</v>
      </c>
      <c r="B5" s="166" t="s">
        <v>1</v>
      </c>
      <c r="C5" s="166" t="s">
        <v>17</v>
      </c>
      <c r="D5" s="166" t="s">
        <v>24</v>
      </c>
      <c r="E5" s="166" t="s">
        <v>26</v>
      </c>
      <c r="F5" s="166" t="s">
        <v>27</v>
      </c>
      <c r="G5" s="166" t="s">
        <v>28</v>
      </c>
      <c r="H5" s="166" t="s">
        <v>29</v>
      </c>
      <c r="I5" s="166" t="s">
        <v>30</v>
      </c>
    </row>
    <row r="6" spans="1:9" ht="10.5" customHeight="1">
      <c r="A6" s="165">
        <f>A5+1</f>
        <v>2</v>
      </c>
      <c r="B6" s="166"/>
      <c r="C6" s="166"/>
      <c r="D6" s="166"/>
      <c r="E6" s="166"/>
      <c r="F6" s="304" t="s">
        <v>112</v>
      </c>
      <c r="G6" s="165"/>
      <c r="H6" s="165"/>
      <c r="I6" s="304" t="s">
        <v>123</v>
      </c>
    </row>
    <row r="7" spans="1:9" ht="10.5" customHeight="1">
      <c r="A7" s="165">
        <f aca="true" t="shared" si="0" ref="A7:A44">A6+1</f>
        <v>3</v>
      </c>
      <c r="B7" s="166"/>
      <c r="C7" s="166"/>
      <c r="D7" s="166"/>
      <c r="E7" s="166"/>
      <c r="F7" s="304"/>
      <c r="G7" s="165"/>
      <c r="H7" s="165"/>
      <c r="I7" s="304"/>
    </row>
    <row r="8" spans="1:10" ht="10.5" customHeight="1">
      <c r="A8" s="165">
        <f t="shared" si="0"/>
        <v>4</v>
      </c>
      <c r="B8" s="166"/>
      <c r="C8" s="167" t="s">
        <v>19</v>
      </c>
      <c r="D8" s="167" t="s">
        <v>9</v>
      </c>
      <c r="E8" s="168" t="s">
        <v>44</v>
      </c>
      <c r="F8" s="304"/>
      <c r="G8" s="304" t="s">
        <v>40</v>
      </c>
      <c r="H8" s="304" t="s">
        <v>121</v>
      </c>
      <c r="I8" s="304"/>
      <c r="J8" s="169"/>
    </row>
    <row r="9" spans="1:9" ht="9.75" customHeight="1">
      <c r="A9" s="165">
        <f t="shared" si="0"/>
        <v>5</v>
      </c>
      <c r="B9" s="170" t="s">
        <v>111</v>
      </c>
      <c r="C9" s="171" t="s">
        <v>11</v>
      </c>
      <c r="D9" s="170" t="s">
        <v>45</v>
      </c>
      <c r="E9" s="170" t="s">
        <v>45</v>
      </c>
      <c r="F9" s="305"/>
      <c r="G9" s="305"/>
      <c r="H9" s="305" t="s">
        <v>39</v>
      </c>
      <c r="I9" s="305"/>
    </row>
    <row r="10" spans="1:11" s="180" customFormat="1" ht="12">
      <c r="A10" s="165">
        <f t="shared" si="0"/>
        <v>6</v>
      </c>
      <c r="B10" s="172" t="s">
        <v>14</v>
      </c>
      <c r="C10" s="173">
        <v>0.0715</v>
      </c>
      <c r="D10" s="174">
        <v>35053</v>
      </c>
      <c r="E10" s="174">
        <v>46010</v>
      </c>
      <c r="F10" s="175">
        <v>99.211912</v>
      </c>
      <c r="G10" s="176">
        <f>ROUND(YIELD(D10,E10,C10,F10,100,2,2),4)</f>
        <v>0.0721</v>
      </c>
      <c r="H10" s="177">
        <f>G10*I10</f>
        <v>1081500</v>
      </c>
      <c r="I10" s="177">
        <v>15000000</v>
      </c>
      <c r="J10" s="178"/>
      <c r="K10" s="179"/>
    </row>
    <row r="11" spans="1:11" s="183" customFormat="1" ht="12">
      <c r="A11" s="165">
        <f t="shared" si="0"/>
        <v>7</v>
      </c>
      <c r="B11" s="172" t="s">
        <v>14</v>
      </c>
      <c r="C11" s="173">
        <v>0.072</v>
      </c>
      <c r="D11" s="174">
        <v>35054</v>
      </c>
      <c r="E11" s="174">
        <v>46013</v>
      </c>
      <c r="F11" s="175">
        <v>99.2116</v>
      </c>
      <c r="G11" s="181">
        <f>ROUND(YIELD(D11,E11,C11,F11,100,2,2),4)</f>
        <v>0.0726</v>
      </c>
      <c r="H11" s="177">
        <f aca="true" t="shared" si="1" ref="H11:H27">G11*I11</f>
        <v>145200</v>
      </c>
      <c r="I11" s="177">
        <v>2000000</v>
      </c>
      <c r="J11" s="177"/>
      <c r="K11" s="182"/>
    </row>
    <row r="12" spans="1:11" s="183" customFormat="1" ht="12">
      <c r="A12" s="165">
        <f t="shared" si="0"/>
        <v>8</v>
      </c>
      <c r="B12" s="172" t="s">
        <v>12</v>
      </c>
      <c r="C12" s="173">
        <v>0.0702</v>
      </c>
      <c r="D12" s="174">
        <v>35786</v>
      </c>
      <c r="E12" s="174">
        <v>46722</v>
      </c>
      <c r="F12" s="175">
        <v>98.98573577666666</v>
      </c>
      <c r="G12" s="181">
        <f>ROUND(YIELD(D12,E12,C12,F12,100,2,2),4)</f>
        <v>0.071</v>
      </c>
      <c r="H12" s="177">
        <f t="shared" si="1"/>
        <v>21299999.999999996</v>
      </c>
      <c r="I12" s="177">
        <v>300000000</v>
      </c>
      <c r="J12" s="177"/>
      <c r="K12" s="182"/>
    </row>
    <row r="13" spans="1:11" s="183" customFormat="1" ht="12">
      <c r="A13" s="165">
        <f t="shared" si="0"/>
        <v>9</v>
      </c>
      <c r="B13" s="172" t="s">
        <v>13</v>
      </c>
      <c r="C13" s="173">
        <v>0.07</v>
      </c>
      <c r="D13" s="174">
        <v>36228</v>
      </c>
      <c r="E13" s="174">
        <v>47186</v>
      </c>
      <c r="F13" s="175">
        <v>99.04287054999999</v>
      </c>
      <c r="G13" s="181">
        <f aca="true" t="shared" si="2" ref="G13:G26">ROUND(YIELD(D13,E13,C13,F13,100,2,2),4)</f>
        <v>0.0708</v>
      </c>
      <c r="H13" s="177">
        <f t="shared" si="1"/>
        <v>7080000</v>
      </c>
      <c r="I13" s="177">
        <v>100000000</v>
      </c>
      <c r="J13" s="177"/>
      <c r="K13" s="182"/>
    </row>
    <row r="14" spans="1:11" ht="12">
      <c r="A14" s="165">
        <f t="shared" si="0"/>
        <v>10</v>
      </c>
      <c r="B14" s="172" t="s">
        <v>41</v>
      </c>
      <c r="C14" s="173">
        <v>0.05483</v>
      </c>
      <c r="D14" s="174">
        <v>38499</v>
      </c>
      <c r="E14" s="174">
        <v>49461</v>
      </c>
      <c r="F14" s="175">
        <v>84.886606836</v>
      </c>
      <c r="G14" s="181">
        <f t="shared" si="2"/>
        <v>0.0665</v>
      </c>
      <c r="H14" s="177">
        <f t="shared" si="1"/>
        <v>16625000</v>
      </c>
      <c r="I14" s="177">
        <v>250000000</v>
      </c>
      <c r="J14" s="177"/>
      <c r="K14" s="184"/>
    </row>
    <row r="15" spans="1:11" ht="12">
      <c r="A15" s="165">
        <f t="shared" si="0"/>
        <v>11</v>
      </c>
      <c r="B15" s="172" t="s">
        <v>41</v>
      </c>
      <c r="C15" s="173">
        <v>0.06724</v>
      </c>
      <c r="D15" s="174">
        <v>38898</v>
      </c>
      <c r="E15" s="174">
        <v>49841</v>
      </c>
      <c r="F15" s="175">
        <v>107.515271756</v>
      </c>
      <c r="G15" s="181">
        <f t="shared" si="2"/>
        <v>0.0617</v>
      </c>
      <c r="H15" s="177">
        <f t="shared" si="1"/>
        <v>15425000</v>
      </c>
      <c r="I15" s="177">
        <v>250000000</v>
      </c>
      <c r="J15" s="177"/>
      <c r="K15" s="184"/>
    </row>
    <row r="16" spans="1:11" ht="12">
      <c r="A16" s="165">
        <f t="shared" si="0"/>
        <v>12</v>
      </c>
      <c r="B16" s="172" t="s">
        <v>41</v>
      </c>
      <c r="C16" s="173">
        <v>0.06274</v>
      </c>
      <c r="D16" s="174">
        <v>38978</v>
      </c>
      <c r="E16" s="174">
        <v>50114</v>
      </c>
      <c r="F16" s="175">
        <v>98.8127</v>
      </c>
      <c r="G16" s="181">
        <f t="shared" si="2"/>
        <v>0.0636</v>
      </c>
      <c r="H16" s="177">
        <f t="shared" si="1"/>
        <v>19080000</v>
      </c>
      <c r="I16" s="177">
        <v>300000000</v>
      </c>
      <c r="J16" s="177"/>
      <c r="K16" s="184"/>
    </row>
    <row r="17" spans="1:11" ht="12">
      <c r="A17" s="165">
        <f t="shared" si="0"/>
        <v>13</v>
      </c>
      <c r="B17" s="172" t="s">
        <v>41</v>
      </c>
      <c r="C17" s="173">
        <v>0.05757</v>
      </c>
      <c r="D17" s="174">
        <v>40067</v>
      </c>
      <c r="E17" s="174">
        <v>51058</v>
      </c>
      <c r="F17" s="175">
        <v>98.9836</v>
      </c>
      <c r="G17" s="181">
        <f t="shared" si="2"/>
        <v>0.0583</v>
      </c>
      <c r="H17" s="177">
        <f t="shared" si="1"/>
        <v>20405000</v>
      </c>
      <c r="I17" s="177">
        <v>350000000</v>
      </c>
      <c r="J17" s="177"/>
      <c r="K17" s="184"/>
    </row>
    <row r="18" spans="1:11" ht="12">
      <c r="A18" s="165">
        <f t="shared" si="0"/>
        <v>14</v>
      </c>
      <c r="B18" s="172" t="s">
        <v>41</v>
      </c>
      <c r="C18" s="173">
        <v>0.05795</v>
      </c>
      <c r="D18" s="174">
        <v>40245</v>
      </c>
      <c r="E18" s="174">
        <v>51210</v>
      </c>
      <c r="F18" s="175">
        <v>98.9588</v>
      </c>
      <c r="G18" s="181">
        <f t="shared" si="2"/>
        <v>0.0587</v>
      </c>
      <c r="H18" s="177">
        <f t="shared" si="1"/>
        <v>19077500</v>
      </c>
      <c r="I18" s="177">
        <v>325000000</v>
      </c>
      <c r="J18" s="177"/>
      <c r="K18" s="184"/>
    </row>
    <row r="19" spans="1:11" ht="12">
      <c r="A19" s="165">
        <f t="shared" si="0"/>
        <v>15</v>
      </c>
      <c r="B19" s="172" t="s">
        <v>41</v>
      </c>
      <c r="C19" s="173">
        <v>0.05764</v>
      </c>
      <c r="D19" s="174">
        <v>40358</v>
      </c>
      <c r="E19" s="174">
        <v>51332</v>
      </c>
      <c r="F19" s="175">
        <v>98.9652</v>
      </c>
      <c r="G19" s="181">
        <f t="shared" si="2"/>
        <v>0.0584</v>
      </c>
      <c r="H19" s="177">
        <f t="shared" si="1"/>
        <v>14600000</v>
      </c>
      <c r="I19" s="177">
        <v>250000000</v>
      </c>
      <c r="J19" s="177"/>
      <c r="K19" s="184"/>
    </row>
    <row r="20" spans="1:11" ht="12">
      <c r="A20" s="165">
        <f t="shared" si="0"/>
        <v>16</v>
      </c>
      <c r="B20" s="172" t="s">
        <v>41</v>
      </c>
      <c r="C20" s="173">
        <v>0.05638</v>
      </c>
      <c r="D20" s="174">
        <v>40627</v>
      </c>
      <c r="E20" s="174">
        <v>51606</v>
      </c>
      <c r="F20" s="175">
        <v>98.971</v>
      </c>
      <c r="G20" s="181">
        <f t="shared" si="2"/>
        <v>0.0571</v>
      </c>
      <c r="H20" s="177">
        <f t="shared" si="1"/>
        <v>17130000</v>
      </c>
      <c r="I20" s="177">
        <v>300000000</v>
      </c>
      <c r="J20" s="177"/>
      <c r="K20" s="184"/>
    </row>
    <row r="21" spans="1:11" ht="12">
      <c r="A21" s="165">
        <f t="shared" si="0"/>
        <v>17</v>
      </c>
      <c r="B21" s="172" t="s">
        <v>41</v>
      </c>
      <c r="C21" s="173">
        <v>0.04434</v>
      </c>
      <c r="D21" s="174">
        <v>40863</v>
      </c>
      <c r="E21" s="174">
        <v>51820</v>
      </c>
      <c r="F21" s="175">
        <v>98.963</v>
      </c>
      <c r="G21" s="181">
        <f t="shared" si="2"/>
        <v>0.045</v>
      </c>
      <c r="H21" s="177">
        <f t="shared" si="1"/>
        <v>11250000</v>
      </c>
      <c r="I21" s="177">
        <v>250000000</v>
      </c>
      <c r="J21" s="177"/>
      <c r="K21" s="184"/>
    </row>
    <row r="22" spans="1:11" ht="12">
      <c r="A22" s="165">
        <f t="shared" si="0"/>
        <v>18</v>
      </c>
      <c r="B22" s="172" t="s">
        <v>41</v>
      </c>
      <c r="C22" s="173">
        <v>0.047</v>
      </c>
      <c r="D22" s="174">
        <v>40869</v>
      </c>
      <c r="E22" s="174">
        <v>55472</v>
      </c>
      <c r="F22" s="175">
        <v>98.8639</v>
      </c>
      <c r="G22" s="181">
        <f t="shared" si="2"/>
        <v>0.0476</v>
      </c>
      <c r="H22" s="177">
        <f t="shared" si="1"/>
        <v>2142000</v>
      </c>
      <c r="I22" s="177">
        <v>45000000</v>
      </c>
      <c r="J22" s="177"/>
      <c r="K22" s="184"/>
    </row>
    <row r="23" spans="1:11" ht="12">
      <c r="A23" s="165">
        <f t="shared" si="0"/>
        <v>19</v>
      </c>
      <c r="B23" s="185" t="s">
        <v>15</v>
      </c>
      <c r="C23" s="173">
        <v>0.039</v>
      </c>
      <c r="D23" s="174">
        <v>41417</v>
      </c>
      <c r="E23" s="186">
        <v>47908</v>
      </c>
      <c r="F23" s="175">
        <v>98.9391</v>
      </c>
      <c r="G23" s="181">
        <f t="shared" si="2"/>
        <v>0.0398</v>
      </c>
      <c r="H23" s="177">
        <f t="shared" si="1"/>
        <v>5510708</v>
      </c>
      <c r="I23" s="177">
        <v>138460000</v>
      </c>
      <c r="J23" s="177"/>
      <c r="K23" s="184"/>
    </row>
    <row r="24" spans="1:11" ht="12">
      <c r="A24" s="165">
        <f t="shared" si="0"/>
        <v>20</v>
      </c>
      <c r="B24" s="185" t="s">
        <v>15</v>
      </c>
      <c r="C24" s="173">
        <v>0.04</v>
      </c>
      <c r="D24" s="174">
        <v>41417</v>
      </c>
      <c r="E24" s="186">
        <v>47908</v>
      </c>
      <c r="F24" s="175">
        <v>98.9391</v>
      </c>
      <c r="G24" s="181">
        <f t="shared" si="2"/>
        <v>0.0408</v>
      </c>
      <c r="H24" s="177">
        <f t="shared" si="1"/>
        <v>954720.0000000001</v>
      </c>
      <c r="I24" s="177">
        <v>23400000</v>
      </c>
      <c r="J24" s="177"/>
      <c r="K24" s="184"/>
    </row>
    <row r="25" spans="1:11" ht="12">
      <c r="A25" s="165">
        <f t="shared" si="0"/>
        <v>21</v>
      </c>
      <c r="B25" s="172" t="s">
        <v>41</v>
      </c>
      <c r="C25" s="173">
        <v>0.043</v>
      </c>
      <c r="D25" s="174">
        <v>42150</v>
      </c>
      <c r="E25" s="174">
        <v>53102</v>
      </c>
      <c r="F25" s="175">
        <v>98.46</v>
      </c>
      <c r="G25" s="181">
        <f t="shared" si="2"/>
        <v>0.0439</v>
      </c>
      <c r="H25" s="177">
        <f t="shared" si="1"/>
        <v>18657500</v>
      </c>
      <c r="I25" s="177">
        <v>425000000</v>
      </c>
      <c r="J25" s="177"/>
      <c r="K25" s="184"/>
    </row>
    <row r="26" spans="1:11" ht="12">
      <c r="A26" s="165">
        <f t="shared" si="0"/>
        <v>22</v>
      </c>
      <c r="B26" s="172" t="s">
        <v>41</v>
      </c>
      <c r="C26" s="173">
        <v>0.04223</v>
      </c>
      <c r="D26" s="174">
        <v>43265</v>
      </c>
      <c r="E26" s="174">
        <v>54224</v>
      </c>
      <c r="F26" s="175">
        <v>98.8868</v>
      </c>
      <c r="G26" s="181">
        <f t="shared" si="2"/>
        <v>0.0429</v>
      </c>
      <c r="H26" s="177">
        <f t="shared" si="1"/>
        <v>25740000</v>
      </c>
      <c r="I26" s="177">
        <v>600000000</v>
      </c>
      <c r="J26" s="177"/>
      <c r="K26" s="184"/>
    </row>
    <row r="27" spans="1:11" ht="12">
      <c r="A27" s="165">
        <f t="shared" si="0"/>
        <v>23</v>
      </c>
      <c r="B27" s="172" t="s">
        <v>41</v>
      </c>
      <c r="C27" s="173">
        <v>0.0325</v>
      </c>
      <c r="D27" s="174">
        <v>43707</v>
      </c>
      <c r="E27" s="174">
        <v>54681</v>
      </c>
      <c r="F27" s="298">
        <v>98.83</v>
      </c>
      <c r="G27" s="176">
        <f>ROUND(YIELD(D27,E27,C27,F27,100,2,2),4)</f>
        <v>0.0331</v>
      </c>
      <c r="H27" s="177">
        <f t="shared" si="1"/>
        <v>14894999.999999998</v>
      </c>
      <c r="I27" s="177">
        <v>450000000</v>
      </c>
      <c r="J27" s="178"/>
      <c r="K27" s="184"/>
    </row>
    <row r="28" spans="1:11" ht="12">
      <c r="A28" s="165">
        <f t="shared" si="0"/>
        <v>24</v>
      </c>
      <c r="B28" s="187" t="s">
        <v>41</v>
      </c>
      <c r="C28" s="188">
        <v>0.02893</v>
      </c>
      <c r="D28" s="189">
        <v>44454</v>
      </c>
      <c r="E28" s="189">
        <v>55411</v>
      </c>
      <c r="F28" s="175">
        <v>98.85</v>
      </c>
      <c r="G28" s="176">
        <f>ROUND(YIELD(D28,E28,C28,F28,100,2,2),4)</f>
        <v>0.0295</v>
      </c>
      <c r="H28" s="177">
        <f>G28*I28</f>
        <v>13275000</v>
      </c>
      <c r="I28" s="177">
        <v>450000000</v>
      </c>
      <c r="J28" s="178"/>
      <c r="K28" s="184"/>
    </row>
    <row r="29" spans="1:11" ht="12">
      <c r="A29" s="165">
        <f t="shared" si="0"/>
        <v>25</v>
      </c>
      <c r="B29" s="187" t="s">
        <v>41</v>
      </c>
      <c r="C29" s="188">
        <v>0.05448</v>
      </c>
      <c r="D29" s="189">
        <v>45064</v>
      </c>
      <c r="E29" s="189">
        <v>56036</v>
      </c>
      <c r="F29" s="175">
        <f>'[5]2023 PSE $400M Bond'!$C$61</f>
        <v>98.82010309500001</v>
      </c>
      <c r="G29" s="176">
        <f>ROUND(YIELD(D29,E29,C29,F29,100,2,2),4)</f>
        <v>0.0553</v>
      </c>
      <c r="H29" s="177">
        <f>(G29*I29)/12*7</f>
        <v>12903333.333333332</v>
      </c>
      <c r="I29" s="177">
        <v>400000000</v>
      </c>
      <c r="J29" s="178"/>
      <c r="K29" s="184"/>
    </row>
    <row r="30" spans="1:11" ht="12">
      <c r="A30" s="165">
        <f t="shared" si="0"/>
        <v>26</v>
      </c>
      <c r="H30" s="177">
        <f>G30*I30</f>
        <v>0</v>
      </c>
      <c r="K30" s="184"/>
    </row>
    <row r="31" spans="1:10" ht="12">
      <c r="A31" s="165">
        <f t="shared" si="0"/>
        <v>27</v>
      </c>
      <c r="B31" s="191" t="s">
        <v>145</v>
      </c>
      <c r="C31" s="177"/>
      <c r="D31" s="173"/>
      <c r="E31" s="174"/>
      <c r="F31" s="174"/>
      <c r="G31" s="192"/>
      <c r="H31" s="193"/>
      <c r="I31" s="193">
        <f>SUM(I10:I29)</f>
        <v>5223860000</v>
      </c>
      <c r="J31" s="177"/>
    </row>
    <row r="32" spans="1:10" ht="12">
      <c r="A32" s="165">
        <f t="shared" si="0"/>
        <v>28</v>
      </c>
      <c r="B32" s="172"/>
      <c r="C32" s="177"/>
      <c r="D32" s="173"/>
      <c r="E32" s="174"/>
      <c r="F32" s="174"/>
      <c r="G32" s="192"/>
      <c r="H32" s="194"/>
      <c r="I32" s="195"/>
      <c r="J32" s="177"/>
    </row>
    <row r="33" spans="1:9" ht="12" thickBot="1">
      <c r="A33" s="165">
        <f t="shared" si="0"/>
        <v>29</v>
      </c>
      <c r="B33" s="196" t="s">
        <v>138</v>
      </c>
      <c r="C33" s="197"/>
      <c r="D33" s="173"/>
      <c r="E33" s="174"/>
      <c r="F33" s="193"/>
      <c r="G33" s="198">
        <f>H33/I33</f>
        <v>0.05070645649137606</v>
      </c>
      <c r="H33" s="199">
        <f>SUM(H10:H29)</f>
        <v>257277461.33333334</v>
      </c>
      <c r="I33" s="200">
        <f>'Pg 3 STD Int&amp;Fees-Details AMA'!P63*1000</f>
        <v>5073860000</v>
      </c>
    </row>
    <row r="34" spans="1:9" ht="12" thickTop="1">
      <c r="A34" s="165">
        <f t="shared" si="0"/>
        <v>30</v>
      </c>
      <c r="B34" s="197"/>
      <c r="C34" s="197"/>
      <c r="D34" s="173"/>
      <c r="E34" s="174"/>
      <c r="F34" s="193"/>
      <c r="G34" s="201"/>
      <c r="H34" s="201"/>
      <c r="I34" s="193"/>
    </row>
    <row r="35" spans="1:9" ht="12">
      <c r="A35" s="165">
        <f t="shared" si="0"/>
        <v>31</v>
      </c>
      <c r="B35" s="202" t="s">
        <v>108</v>
      </c>
      <c r="C35" s="202"/>
      <c r="D35" s="173"/>
      <c r="E35" s="174"/>
      <c r="F35" s="193"/>
      <c r="G35" s="203">
        <f>_xlfn.IFERROR(ROUND(H35/I35,4),0)</f>
        <v>0.0589</v>
      </c>
      <c r="H35" s="195">
        <f>'Pg 3 STD Int&amp;Fees-Details AMA'!P30</f>
        <v>3650606.992911305</v>
      </c>
      <c r="I35" s="204">
        <f>'Pg 3 STD Int&amp;Fees-Details AMA'!P8*1000</f>
        <v>61959202.000000015</v>
      </c>
    </row>
    <row r="36" spans="1:9" ht="12" thickBot="1">
      <c r="A36" s="165">
        <f t="shared" si="0"/>
        <v>32</v>
      </c>
      <c r="B36" s="205" t="s">
        <v>109</v>
      </c>
      <c r="C36" s="205"/>
      <c r="D36" s="173"/>
      <c r="E36" s="174"/>
      <c r="F36" s="168" t="s">
        <v>133</v>
      </c>
      <c r="G36" s="206">
        <f>ROUND(H36/I36,4)</f>
        <v>0.0508</v>
      </c>
      <c r="H36" s="199">
        <f>H33+H35</f>
        <v>260928068.32624465</v>
      </c>
      <c r="I36" s="200">
        <f>I33+I35</f>
        <v>5135819202</v>
      </c>
    </row>
    <row r="37" spans="1:10" ht="12" thickTop="1">
      <c r="A37" s="165">
        <f t="shared" si="0"/>
        <v>33</v>
      </c>
      <c r="B37" s="205"/>
      <c r="C37" s="205"/>
      <c r="D37" s="173"/>
      <c r="E37" s="174"/>
      <c r="F37" s="174"/>
      <c r="G37" s="193"/>
      <c r="H37" s="207"/>
      <c r="I37" s="208"/>
      <c r="J37" s="209"/>
    </row>
    <row r="38" spans="1:10" ht="12">
      <c r="A38" s="165">
        <f t="shared" si="0"/>
        <v>34</v>
      </c>
      <c r="B38" s="205" t="s">
        <v>119</v>
      </c>
      <c r="C38" s="205"/>
      <c r="D38" s="173"/>
      <c r="E38" s="174"/>
      <c r="F38" s="174"/>
      <c r="H38" s="210">
        <f>I33</f>
        <v>5073860000</v>
      </c>
      <c r="I38" s="208"/>
      <c r="J38" s="209"/>
    </row>
    <row r="39" spans="1:10" ht="12">
      <c r="A39" s="165">
        <f t="shared" si="0"/>
        <v>35</v>
      </c>
      <c r="B39" s="205" t="s">
        <v>118</v>
      </c>
      <c r="C39" s="205"/>
      <c r="D39" s="173"/>
      <c r="E39" s="174"/>
      <c r="F39" s="174"/>
      <c r="H39" s="238">
        <f>'Pg 3 STD Int&amp;Fees-Details AMA'!P67</f>
        <v>0.5007054628353844</v>
      </c>
      <c r="I39" s="208"/>
      <c r="J39" s="209"/>
    </row>
    <row r="40" spans="1:10" ht="12">
      <c r="A40" s="165">
        <f t="shared" si="0"/>
        <v>36</v>
      </c>
      <c r="B40" s="205" t="s">
        <v>120</v>
      </c>
      <c r="C40" s="205"/>
      <c r="D40" s="173"/>
      <c r="E40" s="174"/>
      <c r="F40" s="174"/>
      <c r="H40" s="211">
        <f>H38/H39</f>
        <v>10133422494.07037</v>
      </c>
      <c r="I40" s="208"/>
      <c r="J40" s="209"/>
    </row>
    <row r="41" spans="1:10" ht="12">
      <c r="A41" s="165">
        <f t="shared" si="0"/>
        <v>37</v>
      </c>
      <c r="B41" s="205"/>
      <c r="C41" s="205"/>
      <c r="D41" s="173"/>
      <c r="E41" s="174"/>
      <c r="F41" s="174"/>
      <c r="G41" s="193"/>
      <c r="H41" s="207"/>
      <c r="I41" s="208"/>
      <c r="J41" s="209"/>
    </row>
    <row r="42" spans="1:9" ht="12">
      <c r="A42" s="165">
        <f t="shared" si="0"/>
        <v>38</v>
      </c>
      <c r="B42" s="212" t="s">
        <v>154</v>
      </c>
      <c r="C42" s="213"/>
      <c r="D42" s="214"/>
      <c r="E42" s="214"/>
      <c r="F42" s="214"/>
      <c r="G42" s="214"/>
      <c r="H42" s="214"/>
      <c r="I42" s="214"/>
    </row>
    <row r="43" spans="1:9" ht="12">
      <c r="A43" s="165">
        <f t="shared" si="0"/>
        <v>39</v>
      </c>
      <c r="B43" s="212" t="s">
        <v>155</v>
      </c>
      <c r="C43" s="213"/>
      <c r="D43" s="214"/>
      <c r="E43" s="214"/>
      <c r="F43" s="214"/>
      <c r="G43" s="214"/>
      <c r="H43" s="215"/>
      <c r="I43" s="214"/>
    </row>
    <row r="44" spans="1:9" ht="27.75" customHeight="1">
      <c r="A44" s="165">
        <f t="shared" si="0"/>
        <v>40</v>
      </c>
      <c r="B44" s="306" t="s">
        <v>156</v>
      </c>
      <c r="C44" s="306"/>
      <c r="D44" s="306"/>
      <c r="E44" s="306"/>
      <c r="F44" s="306"/>
      <c r="G44" s="306"/>
      <c r="H44" s="306"/>
      <c r="I44" s="306"/>
    </row>
    <row r="45" spans="1:39" ht="12">
      <c r="A45" s="216"/>
      <c r="B45" s="217"/>
      <c r="C45" s="217"/>
      <c r="D45" s="217"/>
      <c r="E45" s="217"/>
      <c r="F45" s="218"/>
      <c r="G45" s="219"/>
      <c r="H45" s="217"/>
      <c r="I45" s="218"/>
      <c r="J45" s="177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</row>
    <row r="46" spans="1:10" ht="12">
      <c r="A46" s="220"/>
      <c r="B46" s="217"/>
      <c r="C46" s="217"/>
      <c r="D46" s="217"/>
      <c r="E46" s="217"/>
      <c r="F46" s="217"/>
      <c r="G46" s="219"/>
      <c r="H46" s="217"/>
      <c r="I46" s="214"/>
      <c r="J46" s="172"/>
    </row>
    <row r="47" spans="1:10" ht="12">
      <c r="A47" s="220"/>
      <c r="B47" s="217"/>
      <c r="C47" s="217"/>
      <c r="D47" s="217"/>
      <c r="E47" s="217"/>
      <c r="F47" s="217"/>
      <c r="G47" s="219"/>
      <c r="H47" s="217"/>
      <c r="J47" s="221"/>
    </row>
    <row r="48" spans="1:10" ht="12">
      <c r="A48" s="220"/>
      <c r="B48" s="183"/>
      <c r="C48" s="183"/>
      <c r="D48" s="183"/>
      <c r="E48" s="183"/>
      <c r="F48" s="183"/>
      <c r="G48" s="219"/>
      <c r="H48" s="183"/>
      <c r="I48" s="183"/>
      <c r="J48" s="220">
        <f>IF(J47&lt;&gt;0,"ERROR","")</f>
      </c>
    </row>
    <row r="49" spans="1:9" ht="12">
      <c r="A49" s="220"/>
      <c r="B49" s="183"/>
      <c r="C49" s="183"/>
      <c r="D49" s="183"/>
      <c r="E49" s="183"/>
      <c r="F49" s="183"/>
      <c r="G49" s="222"/>
      <c r="H49" s="183"/>
      <c r="I49" s="194"/>
    </row>
    <row r="50" spans="1:9" ht="12">
      <c r="A50" s="223"/>
      <c r="B50" s="224"/>
      <c r="C50" s="224"/>
      <c r="D50" s="225"/>
      <c r="E50" s="226"/>
      <c r="F50" s="226"/>
      <c r="G50" s="227"/>
      <c r="H50" s="228"/>
      <c r="I50" s="194"/>
    </row>
    <row r="51" spans="1:9" ht="12">
      <c r="A51" s="223"/>
      <c r="B51" s="224"/>
      <c r="C51" s="224"/>
      <c r="D51" s="225"/>
      <c r="E51" s="226"/>
      <c r="F51" s="226"/>
      <c r="G51" s="229"/>
      <c r="H51" s="228"/>
      <c r="I51" s="230"/>
    </row>
    <row r="52" spans="1:9" ht="12">
      <c r="A52" s="223"/>
      <c r="B52" s="224"/>
      <c r="C52" s="224"/>
      <c r="D52" s="225"/>
      <c r="E52" s="226"/>
      <c r="F52" s="226"/>
      <c r="G52" s="229"/>
      <c r="H52" s="228"/>
      <c r="I52" s="230"/>
    </row>
    <row r="53" spans="1:9" ht="12" hidden="1">
      <c r="A53" s="231"/>
      <c r="B53" s="183"/>
      <c r="C53" s="183"/>
      <c r="D53" s="183"/>
      <c r="E53" s="183"/>
      <c r="F53" s="183"/>
      <c r="G53" s="222"/>
      <c r="H53" s="183"/>
      <c r="I53" s="232"/>
    </row>
    <row r="54" spans="1:9" ht="12" hidden="1">
      <c r="A54" s="231"/>
      <c r="B54" s="183"/>
      <c r="C54" s="183"/>
      <c r="D54" s="183"/>
      <c r="E54" s="183"/>
      <c r="F54" s="183"/>
      <c r="G54" s="222"/>
      <c r="H54" s="183"/>
      <c r="I54" s="233"/>
    </row>
    <row r="55" spans="1:9" ht="12" hidden="1">
      <c r="A55" s="231"/>
      <c r="B55" s="183"/>
      <c r="C55" s="183"/>
      <c r="D55" s="183"/>
      <c r="E55" s="183"/>
      <c r="F55" s="183"/>
      <c r="G55" s="222"/>
      <c r="H55" s="183"/>
      <c r="I55" s="183"/>
    </row>
    <row r="56" spans="1:9" ht="12">
      <c r="A56" s="223"/>
      <c r="B56" s="224"/>
      <c r="C56" s="224"/>
      <c r="D56" s="225"/>
      <c r="E56" s="226"/>
      <c r="F56" s="226"/>
      <c r="G56" s="229"/>
      <c r="H56" s="228"/>
      <c r="I56" s="230"/>
    </row>
    <row r="57" spans="1:9" ht="12">
      <c r="A57" s="223"/>
      <c r="B57" s="224"/>
      <c r="C57" s="224"/>
      <c r="D57" s="225"/>
      <c r="E57" s="226"/>
      <c r="F57" s="226"/>
      <c r="G57" s="229"/>
      <c r="H57" s="228"/>
      <c r="I57" s="230"/>
    </row>
    <row r="58" spans="1:9" ht="12">
      <c r="A58" s="231"/>
      <c r="B58" s="183"/>
      <c r="C58" s="183"/>
      <c r="D58" s="183"/>
      <c r="E58" s="183"/>
      <c r="F58" s="183"/>
      <c r="G58" s="222"/>
      <c r="H58" s="183"/>
      <c r="I58" s="183"/>
    </row>
    <row r="59" spans="1:9" ht="12">
      <c r="A59" s="231"/>
      <c r="B59" s="183"/>
      <c r="C59" s="183"/>
      <c r="D59" s="183"/>
      <c r="E59" s="183"/>
      <c r="F59" s="183"/>
      <c r="G59" s="222"/>
      <c r="H59" s="183"/>
      <c r="I59" s="183"/>
    </row>
    <row r="60" spans="1:9" ht="12">
      <c r="A60" s="231"/>
      <c r="B60" s="183"/>
      <c r="C60" s="183"/>
      <c r="D60" s="183"/>
      <c r="E60" s="183"/>
      <c r="F60" s="183"/>
      <c r="G60" s="222"/>
      <c r="H60" s="183"/>
      <c r="I60" s="183"/>
    </row>
    <row r="61" spans="1:9" ht="12">
      <c r="A61" s="231"/>
      <c r="B61" s="183"/>
      <c r="C61" s="183"/>
      <c r="D61" s="183"/>
      <c r="E61" s="183"/>
      <c r="F61" s="183"/>
      <c r="G61" s="222"/>
      <c r="H61" s="183"/>
      <c r="I61" s="183"/>
    </row>
    <row r="62" spans="1:9" ht="12">
      <c r="A62" s="231"/>
      <c r="B62" s="183"/>
      <c r="C62" s="183"/>
      <c r="D62" s="183"/>
      <c r="E62" s="183"/>
      <c r="F62" s="183"/>
      <c r="G62" s="222"/>
      <c r="H62" s="183"/>
      <c r="I62" s="183"/>
    </row>
    <row r="63" spans="1:9" ht="12">
      <c r="A63" s="231"/>
      <c r="B63" s="183"/>
      <c r="C63" s="183"/>
      <c r="D63" s="183"/>
      <c r="E63" s="183"/>
      <c r="F63" s="183"/>
      <c r="G63" s="222"/>
      <c r="H63" s="183"/>
      <c r="I63" s="183"/>
    </row>
    <row r="64" spans="1:9" ht="12">
      <c r="A64" s="231"/>
      <c r="B64" s="183"/>
      <c r="C64" s="183"/>
      <c r="D64" s="183"/>
      <c r="E64" s="183"/>
      <c r="F64" s="183"/>
      <c r="G64" s="222"/>
      <c r="H64" s="183"/>
      <c r="I64" s="183"/>
    </row>
    <row r="65" spans="1:9" ht="12">
      <c r="A65" s="231"/>
      <c r="B65" s="183"/>
      <c r="C65" s="183"/>
      <c r="D65" s="183"/>
      <c r="E65" s="183"/>
      <c r="F65" s="183"/>
      <c r="G65" s="222"/>
      <c r="H65" s="183"/>
      <c r="I65" s="183"/>
    </row>
    <row r="66" spans="1:9" ht="12">
      <c r="A66" s="231"/>
      <c r="B66" s="183"/>
      <c r="C66" s="183"/>
      <c r="D66" s="183"/>
      <c r="E66" s="183"/>
      <c r="F66" s="183"/>
      <c r="G66" s="222"/>
      <c r="H66" s="183"/>
      <c r="I66" s="183"/>
    </row>
    <row r="67" spans="1:9" ht="12">
      <c r="A67" s="220"/>
      <c r="B67" s="183"/>
      <c r="C67" s="183"/>
      <c r="D67" s="224"/>
      <c r="E67" s="183"/>
      <c r="F67" s="183"/>
      <c r="G67" s="222"/>
      <c r="H67" s="183"/>
      <c r="I67" s="183"/>
    </row>
    <row r="68" spans="4:6" ht="12">
      <c r="D68" s="235"/>
      <c r="F68" s="236"/>
    </row>
    <row r="69" ht="12">
      <c r="D69" s="237"/>
    </row>
  </sheetData>
  <sheetProtection/>
  <mergeCells count="5">
    <mergeCell ref="G8:G9"/>
    <mergeCell ref="H8:H9"/>
    <mergeCell ref="F6:F9"/>
    <mergeCell ref="I6:I9"/>
    <mergeCell ref="B44:I44"/>
  </mergeCells>
  <printOptions horizontalCentered="1"/>
  <pageMargins left="0.2" right="0.2" top="0.41" bottom="0.35" header="0.17" footer="0.17"/>
  <pageSetup fitToHeight="1" fitToWidth="1" horizontalDpi="600" verticalDpi="600" orientation="landscape" r:id="rId1"/>
  <headerFooter alignWithMargins="0">
    <oddFooter>&amp;C&amp;A&amp;RExhibit No. CGP-4
Page 2 of 4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D25">
      <selection activeCell="S1" sqref="S1:U16384"/>
    </sheetView>
  </sheetViews>
  <sheetFormatPr defaultColWidth="10.5" defaultRowHeight="11.25"/>
  <cols>
    <col min="1" max="1" width="7.5" style="55" customWidth="1"/>
    <col min="2" max="2" width="37" style="55" customWidth="1"/>
    <col min="3" max="3" width="14.5" style="55" bestFit="1" customWidth="1"/>
    <col min="4" max="11" width="13.66015625" style="55" customWidth="1"/>
    <col min="12" max="12" width="12.5" style="55" customWidth="1"/>
    <col min="13" max="15" width="13.66015625" style="55" customWidth="1"/>
    <col min="16" max="16" width="17.16015625" style="55" customWidth="1"/>
    <col min="17" max="17" width="2" style="55" customWidth="1"/>
    <col min="18" max="18" width="8" style="55" bestFit="1" customWidth="1"/>
    <col min="19" max="16384" width="10.5" style="55" customWidth="1"/>
  </cols>
  <sheetData>
    <row r="1" spans="1:16" ht="12.75">
      <c r="A1" s="54"/>
      <c r="B1" s="50" t="s">
        <v>70</v>
      </c>
      <c r="C1" s="51"/>
      <c r="D1" s="51"/>
      <c r="E1" s="51"/>
      <c r="F1" s="51"/>
      <c r="G1" s="50"/>
      <c r="H1" s="51"/>
      <c r="I1" s="51"/>
      <c r="J1" s="50"/>
      <c r="K1" s="50"/>
      <c r="L1" s="51"/>
      <c r="M1" s="51"/>
      <c r="N1" s="51"/>
      <c r="O1" s="51"/>
      <c r="P1" s="50"/>
    </row>
    <row r="2" spans="1:16" ht="12.75">
      <c r="A2" s="54"/>
      <c r="B2" s="50" t="s">
        <v>71</v>
      </c>
      <c r="C2" s="51"/>
      <c r="D2" s="51"/>
      <c r="E2" s="51"/>
      <c r="F2" s="51"/>
      <c r="G2" s="50"/>
      <c r="H2" s="51"/>
      <c r="I2" s="51"/>
      <c r="J2" s="50"/>
      <c r="K2" s="50"/>
      <c r="L2" s="51"/>
      <c r="M2" s="51"/>
      <c r="N2" s="51"/>
      <c r="O2" s="51"/>
      <c r="P2" s="50"/>
    </row>
    <row r="3" spans="1:16" ht="13.5" customHeight="1">
      <c r="A3" s="54"/>
      <c r="B3" s="50" t="str">
        <f>'Pg 2 Cost of Total Debt'!$B$3</f>
        <v>For The 12 Months Ended December 31, 2023</v>
      </c>
      <c r="C3" s="51"/>
      <c r="D3" s="51"/>
      <c r="E3" s="51"/>
      <c r="F3" s="51"/>
      <c r="G3" s="50"/>
      <c r="H3" s="51"/>
      <c r="I3" s="51"/>
      <c r="J3" s="50"/>
      <c r="K3" s="50"/>
      <c r="L3" s="51"/>
      <c r="M3" s="51"/>
      <c r="N3" s="51"/>
      <c r="O3" s="51"/>
      <c r="P3" s="50"/>
    </row>
    <row r="4" spans="1:16" ht="12.7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2">
      <c r="A5" s="57">
        <v>1</v>
      </c>
      <c r="B5" s="58" t="s">
        <v>1</v>
      </c>
      <c r="C5" s="58" t="s">
        <v>17</v>
      </c>
      <c r="D5" s="58" t="s">
        <v>24</v>
      </c>
      <c r="E5" s="58" t="s">
        <v>26</v>
      </c>
      <c r="F5" s="58" t="s">
        <v>27</v>
      </c>
      <c r="G5" s="58" t="s">
        <v>28</v>
      </c>
      <c r="H5" s="58" t="s">
        <v>29</v>
      </c>
      <c r="I5" s="58" t="s">
        <v>30</v>
      </c>
      <c r="J5" s="58" t="s">
        <v>31</v>
      </c>
      <c r="K5" s="58" t="s">
        <v>33</v>
      </c>
      <c r="L5" s="58" t="s">
        <v>34</v>
      </c>
      <c r="M5" s="58" t="s">
        <v>35</v>
      </c>
      <c r="N5" s="58" t="s">
        <v>36</v>
      </c>
      <c r="O5" s="58" t="s">
        <v>37</v>
      </c>
      <c r="P5" s="58" t="s">
        <v>38</v>
      </c>
    </row>
    <row r="6" spans="1:16" ht="12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8"/>
    </row>
    <row r="7" spans="1:16" ht="12" customHeight="1">
      <c r="A7" s="57">
        <f>A5+1</f>
        <v>2</v>
      </c>
      <c r="B7" s="54"/>
      <c r="C7" s="59">
        <v>44926</v>
      </c>
      <c r="D7" s="59">
        <v>44957</v>
      </c>
      <c r="E7" s="59">
        <v>44985</v>
      </c>
      <c r="F7" s="59">
        <v>45016</v>
      </c>
      <c r="G7" s="59">
        <v>45046</v>
      </c>
      <c r="H7" s="59">
        <v>45077</v>
      </c>
      <c r="I7" s="59">
        <v>45107</v>
      </c>
      <c r="J7" s="59">
        <v>45138</v>
      </c>
      <c r="K7" s="59">
        <v>45169</v>
      </c>
      <c r="L7" s="59">
        <v>45199</v>
      </c>
      <c r="M7" s="59">
        <v>45230</v>
      </c>
      <c r="N7" s="59">
        <v>45260</v>
      </c>
      <c r="O7" s="59">
        <v>45291</v>
      </c>
      <c r="P7" s="60" t="s">
        <v>146</v>
      </c>
    </row>
    <row r="8" spans="1:16" ht="12">
      <c r="A8" s="57">
        <f>A7+1</f>
        <v>3</v>
      </c>
      <c r="B8" s="61" t="s">
        <v>144</v>
      </c>
      <c r="C8" s="62">
        <f>'Pg 5 Loan Balance AMA Calc'!$P$8</f>
        <v>61959.202</v>
      </c>
      <c r="D8" s="62">
        <f>'Pg 5 Loan Balance AMA Calc'!$P$8</f>
        <v>61959.202</v>
      </c>
      <c r="E8" s="62">
        <f>'Pg 5 Loan Balance AMA Calc'!$P$8</f>
        <v>61959.202</v>
      </c>
      <c r="F8" s="62">
        <f>'Pg 5 Loan Balance AMA Calc'!$P$8</f>
        <v>61959.202</v>
      </c>
      <c r="G8" s="62">
        <f>'Pg 5 Loan Balance AMA Calc'!$P$8</f>
        <v>61959.202</v>
      </c>
      <c r="H8" s="62">
        <f>'Pg 5 Loan Balance AMA Calc'!$P$8</f>
        <v>61959.202</v>
      </c>
      <c r="I8" s="62">
        <f>'Pg 5 Loan Balance AMA Calc'!$P$8</f>
        <v>61959.202</v>
      </c>
      <c r="J8" s="62">
        <f>'Pg 5 Loan Balance AMA Calc'!$P$8</f>
        <v>61959.202</v>
      </c>
      <c r="K8" s="62">
        <f>'Pg 5 Loan Balance AMA Calc'!$P$8</f>
        <v>61959.202</v>
      </c>
      <c r="L8" s="62">
        <f>'Pg 5 Loan Balance AMA Calc'!$P$8</f>
        <v>61959.202</v>
      </c>
      <c r="M8" s="62">
        <f>'Pg 5 Loan Balance AMA Calc'!$P$8</f>
        <v>61959.202</v>
      </c>
      <c r="N8" s="62">
        <f>'Pg 5 Loan Balance AMA Calc'!$P$8</f>
        <v>61959.202</v>
      </c>
      <c r="O8" s="62">
        <f>'Pg 5 Loan Balance AMA Calc'!$P$8</f>
        <v>61959.202</v>
      </c>
      <c r="P8" s="64">
        <f>AVERAGE(D8:O8)</f>
        <v>61959.20200000001</v>
      </c>
    </row>
    <row r="9" spans="1:16" ht="5.25" customHeight="1">
      <c r="A9" s="57"/>
      <c r="B9" s="65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2">
      <c r="A10" s="57">
        <f>A8+1</f>
        <v>4</v>
      </c>
      <c r="B10" s="61" t="s">
        <v>74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3"/>
    </row>
    <row r="11" spans="1:16" ht="12">
      <c r="A11" s="57">
        <f>A10+1</f>
        <v>5</v>
      </c>
      <c r="B11" s="65" t="s">
        <v>75</v>
      </c>
      <c r="C11" s="62">
        <f>MIN(0.5*C8,125000)</f>
        <v>30979.601</v>
      </c>
      <c r="D11" s="62">
        <f>+C11</f>
        <v>30979.601</v>
      </c>
      <c r="E11" s="62">
        <f aca="true" t="shared" si="0" ref="E11:O11">+D11</f>
        <v>30979.601</v>
      </c>
      <c r="F11" s="62">
        <f t="shared" si="0"/>
        <v>30979.601</v>
      </c>
      <c r="G11" s="62">
        <f t="shared" si="0"/>
        <v>30979.601</v>
      </c>
      <c r="H11" s="62">
        <f t="shared" si="0"/>
        <v>30979.601</v>
      </c>
      <c r="I11" s="62">
        <f t="shared" si="0"/>
        <v>30979.601</v>
      </c>
      <c r="J11" s="62">
        <f t="shared" si="0"/>
        <v>30979.601</v>
      </c>
      <c r="K11" s="62">
        <f t="shared" si="0"/>
        <v>30979.601</v>
      </c>
      <c r="L11" s="62">
        <f t="shared" si="0"/>
        <v>30979.601</v>
      </c>
      <c r="M11" s="62">
        <f t="shared" si="0"/>
        <v>30979.601</v>
      </c>
      <c r="N11" s="62">
        <f t="shared" si="0"/>
        <v>30979.601</v>
      </c>
      <c r="O11" s="62">
        <f t="shared" si="0"/>
        <v>30979.601</v>
      </c>
      <c r="P11" s="64">
        <f>AVERAGE(D11:O11)</f>
        <v>30979.601000000006</v>
      </c>
    </row>
    <row r="12" spans="1:16" ht="12">
      <c r="A12" s="57">
        <f>A11+1</f>
        <v>6</v>
      </c>
      <c r="B12" s="65" t="s">
        <v>76</v>
      </c>
      <c r="C12" s="67">
        <f>+C8-C11</f>
        <v>30979.601</v>
      </c>
      <c r="D12" s="67">
        <f aca="true" t="shared" si="1" ref="D12:O12">D8-D11</f>
        <v>30979.601</v>
      </c>
      <c r="E12" s="67">
        <f t="shared" si="1"/>
        <v>30979.601</v>
      </c>
      <c r="F12" s="67">
        <f t="shared" si="1"/>
        <v>30979.601</v>
      </c>
      <c r="G12" s="67">
        <f t="shared" si="1"/>
        <v>30979.601</v>
      </c>
      <c r="H12" s="67">
        <f t="shared" si="1"/>
        <v>30979.601</v>
      </c>
      <c r="I12" s="67">
        <f t="shared" si="1"/>
        <v>30979.601</v>
      </c>
      <c r="J12" s="67">
        <f t="shared" si="1"/>
        <v>30979.601</v>
      </c>
      <c r="K12" s="67">
        <f t="shared" si="1"/>
        <v>30979.601</v>
      </c>
      <c r="L12" s="67">
        <f t="shared" si="1"/>
        <v>30979.601</v>
      </c>
      <c r="M12" s="67">
        <f t="shared" si="1"/>
        <v>30979.601</v>
      </c>
      <c r="N12" s="67">
        <f t="shared" si="1"/>
        <v>30979.601</v>
      </c>
      <c r="O12" s="67">
        <f t="shared" si="1"/>
        <v>30979.601</v>
      </c>
      <c r="P12" s="64">
        <f>ROUND(((C12+O12)+(SUM(D12:N12)*2))/24,3)</f>
        <v>30979.601</v>
      </c>
    </row>
    <row r="13" spans="1:16" ht="12">
      <c r="A13" s="57">
        <f>A12+1</f>
        <v>7</v>
      </c>
      <c r="B13" s="68" t="s">
        <v>77</v>
      </c>
      <c r="C13" s="69">
        <f aca="true" t="shared" si="2" ref="C13:O13">SUM(C11:C12)</f>
        <v>61959.202</v>
      </c>
      <c r="D13" s="69">
        <f t="shared" si="2"/>
        <v>61959.202</v>
      </c>
      <c r="E13" s="69">
        <f t="shared" si="2"/>
        <v>61959.202</v>
      </c>
      <c r="F13" s="69">
        <f t="shared" si="2"/>
        <v>61959.202</v>
      </c>
      <c r="G13" s="69">
        <f t="shared" si="2"/>
        <v>61959.202</v>
      </c>
      <c r="H13" s="69">
        <f t="shared" si="2"/>
        <v>61959.202</v>
      </c>
      <c r="I13" s="69">
        <f t="shared" si="2"/>
        <v>61959.202</v>
      </c>
      <c r="J13" s="69">
        <f t="shared" si="2"/>
        <v>61959.202</v>
      </c>
      <c r="K13" s="69">
        <f t="shared" si="2"/>
        <v>61959.202</v>
      </c>
      <c r="L13" s="69">
        <f t="shared" si="2"/>
        <v>61959.202</v>
      </c>
      <c r="M13" s="69">
        <f t="shared" si="2"/>
        <v>61959.202</v>
      </c>
      <c r="N13" s="69">
        <f t="shared" si="2"/>
        <v>61959.202</v>
      </c>
      <c r="O13" s="69">
        <f t="shared" si="2"/>
        <v>61959.202</v>
      </c>
      <c r="P13" s="70">
        <f>AVERAGE(D13:O13)</f>
        <v>61959.20200000001</v>
      </c>
    </row>
    <row r="14" spans="1:16" ht="5.25" customHeight="1">
      <c r="A14" s="57"/>
      <c r="B14" s="65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3.5" customHeight="1">
      <c r="A15" s="57">
        <f>A13+1</f>
        <v>8</v>
      </c>
      <c r="B15" s="61" t="s">
        <v>64</v>
      </c>
      <c r="M15" s="71"/>
      <c r="N15" s="72"/>
      <c r="O15" s="73"/>
      <c r="P15" s="74"/>
    </row>
    <row r="16" spans="1:15" ht="12">
      <c r="A16" s="57">
        <f>A15+1</f>
        <v>9</v>
      </c>
      <c r="B16" s="65" t="s">
        <v>148</v>
      </c>
      <c r="C16" s="89">
        <f>'[6]Sheet1'!$P$118</f>
        <v>0.03792591886731961</v>
      </c>
      <c r="D16" s="89">
        <f>'[6]Sheet1'!E123</f>
        <v>0.041658516312581335</v>
      </c>
      <c r="E16" s="89">
        <f>'[6]Sheet1'!F123</f>
        <v>0.04450878935726256</v>
      </c>
      <c r="F16" s="89">
        <f>'[6]Sheet1'!G123</f>
        <v>0.04653569631789241</v>
      </c>
      <c r="G16" s="89">
        <f>'[6]Sheet1'!H123</f>
        <v>0.04801150645065354</v>
      </c>
      <c r="H16" s="89">
        <f>'[6]Sheet1'!I123</f>
        <v>0.0491913036874288</v>
      </c>
      <c r="I16" s="89">
        <f>'[6]Sheet1'!J123</f>
        <v>0.05032727764219938</v>
      </c>
      <c r="J16" s="89">
        <f>'[6]Sheet1'!K123</f>
        <v>0.05136609075966032</v>
      </c>
      <c r="K16" s="89">
        <f>'[6]Sheet1'!L123</f>
        <v>0.052167358411510746</v>
      </c>
      <c r="L16" s="89">
        <f>'[6]Sheet1'!M123</f>
        <v>0.05260962717926304</v>
      </c>
      <c r="M16" s="89">
        <f>'[6]Sheet1'!N123</f>
        <v>0.0527814567322287</v>
      </c>
      <c r="N16" s="89">
        <f>'[6]Sheet1'!O123</f>
        <v>0.05281451999212489</v>
      </c>
      <c r="O16" s="89">
        <f>'[6]Sheet1'!P123</f>
        <v>0.05281704920991967</v>
      </c>
    </row>
    <row r="17" spans="1:18" ht="12">
      <c r="A17" s="57">
        <f>A16+1</f>
        <v>10</v>
      </c>
      <c r="B17" s="65" t="s">
        <v>78</v>
      </c>
      <c r="C17" s="294">
        <f>(5.67%+5.72%)/2-(5.34097%)</f>
        <v>0.0035402999999999962</v>
      </c>
      <c r="D17" s="294">
        <f aca="true" t="shared" si="3" ref="D17:O17">(5.67%+5.72%)/2-(5.34097%)</f>
        <v>0.0035402999999999962</v>
      </c>
      <c r="E17" s="294">
        <f t="shared" si="3"/>
        <v>0.0035402999999999962</v>
      </c>
      <c r="F17" s="294">
        <f t="shared" si="3"/>
        <v>0.0035402999999999962</v>
      </c>
      <c r="G17" s="294">
        <f t="shared" si="3"/>
        <v>0.0035402999999999962</v>
      </c>
      <c r="H17" s="294">
        <f t="shared" si="3"/>
        <v>0.0035402999999999962</v>
      </c>
      <c r="I17" s="294">
        <f t="shared" si="3"/>
        <v>0.0035402999999999962</v>
      </c>
      <c r="J17" s="294">
        <f t="shared" si="3"/>
        <v>0.0035402999999999962</v>
      </c>
      <c r="K17" s="294">
        <f t="shared" si="3"/>
        <v>0.0035402999999999962</v>
      </c>
      <c r="L17" s="294">
        <f t="shared" si="3"/>
        <v>0.0035402999999999962</v>
      </c>
      <c r="M17" s="294">
        <f t="shared" si="3"/>
        <v>0.0035402999999999962</v>
      </c>
      <c r="N17" s="294">
        <f t="shared" si="3"/>
        <v>0.0035402999999999962</v>
      </c>
      <c r="O17" s="294">
        <f t="shared" si="3"/>
        <v>0.0035402999999999962</v>
      </c>
      <c r="R17" s="149"/>
    </row>
    <row r="18" spans="1:15" ht="12">
      <c r="A18" s="57">
        <f>A17+1</f>
        <v>11</v>
      </c>
      <c r="B18" s="65" t="s">
        <v>79</v>
      </c>
      <c r="C18" s="83">
        <v>0.0125</v>
      </c>
      <c r="D18" s="83">
        <f>C18</f>
        <v>0.0125</v>
      </c>
      <c r="E18" s="83">
        <f aca="true" t="shared" si="4" ref="E18:O18">D18</f>
        <v>0.0125</v>
      </c>
      <c r="F18" s="83">
        <f t="shared" si="4"/>
        <v>0.0125</v>
      </c>
      <c r="G18" s="83">
        <f t="shared" si="4"/>
        <v>0.0125</v>
      </c>
      <c r="H18" s="83">
        <f t="shared" si="4"/>
        <v>0.0125</v>
      </c>
      <c r="I18" s="83">
        <f t="shared" si="4"/>
        <v>0.0125</v>
      </c>
      <c r="J18" s="83">
        <f t="shared" si="4"/>
        <v>0.0125</v>
      </c>
      <c r="K18" s="83">
        <f t="shared" si="4"/>
        <v>0.0125</v>
      </c>
      <c r="L18" s="83">
        <f t="shared" si="4"/>
        <v>0.0125</v>
      </c>
      <c r="M18" s="83">
        <f t="shared" si="4"/>
        <v>0.0125</v>
      </c>
      <c r="N18" s="83">
        <f t="shared" si="4"/>
        <v>0.0125</v>
      </c>
      <c r="O18" s="83">
        <f t="shared" si="4"/>
        <v>0.0125</v>
      </c>
    </row>
    <row r="19" spans="1:15" ht="12">
      <c r="A19" s="57">
        <f>A18+1</f>
        <v>12</v>
      </c>
      <c r="B19" s="65" t="s">
        <v>153</v>
      </c>
      <c r="C19" s="83">
        <v>0.001</v>
      </c>
      <c r="D19" s="83">
        <v>0.001</v>
      </c>
      <c r="E19" s="83">
        <v>0.001</v>
      </c>
      <c r="F19" s="83">
        <v>0.001</v>
      </c>
      <c r="G19" s="83">
        <v>0.001</v>
      </c>
      <c r="H19" s="83">
        <v>0.001</v>
      </c>
      <c r="I19" s="83">
        <v>0.001</v>
      </c>
      <c r="J19" s="83">
        <v>0.001</v>
      </c>
      <c r="K19" s="83">
        <v>0.001</v>
      </c>
      <c r="L19" s="83">
        <v>0.001</v>
      </c>
      <c r="M19" s="83">
        <v>0.001</v>
      </c>
      <c r="N19" s="83">
        <v>0.001</v>
      </c>
      <c r="O19" s="83">
        <v>0.001</v>
      </c>
    </row>
    <row r="20" spans="1:16" ht="6" customHeight="1">
      <c r="A20" s="57"/>
      <c r="B20" s="6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63"/>
    </row>
    <row r="21" spans="1:16" ht="12" customHeight="1">
      <c r="A21" s="57">
        <f>A18+1</f>
        <v>12</v>
      </c>
      <c r="B21" s="61" t="s">
        <v>80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63"/>
    </row>
    <row r="22" spans="1:16" ht="12">
      <c r="A22" s="57">
        <f>A21+1</f>
        <v>13</v>
      </c>
      <c r="B22" s="76" t="s">
        <v>81</v>
      </c>
      <c r="C22" s="77">
        <f>C16+C17</f>
        <v>0.041466218867319604</v>
      </c>
      <c r="D22" s="77">
        <f aca="true" t="shared" si="5" ref="D22:O22">D16+D17</f>
        <v>0.04519881631258133</v>
      </c>
      <c r="E22" s="77">
        <f t="shared" si="5"/>
        <v>0.048049089357262556</v>
      </c>
      <c r="F22" s="77">
        <f t="shared" si="5"/>
        <v>0.050075996317892404</v>
      </c>
      <c r="G22" s="77">
        <f t="shared" si="5"/>
        <v>0.051551806450653534</v>
      </c>
      <c r="H22" s="77">
        <f t="shared" si="5"/>
        <v>0.052731603687428796</v>
      </c>
      <c r="I22" s="77">
        <f t="shared" si="5"/>
        <v>0.05386757764219938</v>
      </c>
      <c r="J22" s="77">
        <f t="shared" si="5"/>
        <v>0.05490639075966031</v>
      </c>
      <c r="K22" s="77">
        <f t="shared" si="5"/>
        <v>0.05570765841151074</v>
      </c>
      <c r="L22" s="77">
        <f t="shared" si="5"/>
        <v>0.05614992717926304</v>
      </c>
      <c r="M22" s="77">
        <f t="shared" si="5"/>
        <v>0.056321756732228695</v>
      </c>
      <c r="N22" s="77">
        <f t="shared" si="5"/>
        <v>0.05635481999212489</v>
      </c>
      <c r="O22" s="77">
        <f t="shared" si="5"/>
        <v>0.056357349209919666</v>
      </c>
      <c r="P22" s="63"/>
    </row>
    <row r="23" spans="1:16" ht="12">
      <c r="A23" s="57">
        <f>A22+1</f>
        <v>14</v>
      </c>
      <c r="B23" s="76" t="s">
        <v>76</v>
      </c>
      <c r="C23" s="77">
        <f>C16+C18+C19</f>
        <v>0.051425918867319606</v>
      </c>
      <c r="D23" s="77">
        <f aca="true" t="shared" si="6" ref="D23:O23">D16+D18+D19</f>
        <v>0.05515851631258134</v>
      </c>
      <c r="E23" s="77">
        <f t="shared" si="6"/>
        <v>0.05800878935726256</v>
      </c>
      <c r="F23" s="77">
        <f t="shared" si="6"/>
        <v>0.060035696317892406</v>
      </c>
      <c r="G23" s="77">
        <f t="shared" si="6"/>
        <v>0.061511506450653536</v>
      </c>
      <c r="H23" s="77">
        <f t="shared" si="6"/>
        <v>0.0626913036874288</v>
      </c>
      <c r="I23" s="77">
        <f t="shared" si="6"/>
        <v>0.06382727764219938</v>
      </c>
      <c r="J23" s="77">
        <f t="shared" si="6"/>
        <v>0.06486609075966032</v>
      </c>
      <c r="K23" s="77">
        <f t="shared" si="6"/>
        <v>0.06566735841151075</v>
      </c>
      <c r="L23" s="77">
        <f t="shared" si="6"/>
        <v>0.06610962717926304</v>
      </c>
      <c r="M23" s="77">
        <f t="shared" si="6"/>
        <v>0.0662814567322287</v>
      </c>
      <c r="N23" s="77">
        <f t="shared" si="6"/>
        <v>0.0663145199921249</v>
      </c>
      <c r="O23" s="77">
        <f t="shared" si="6"/>
        <v>0.06631704920991967</v>
      </c>
      <c r="P23" s="63"/>
    </row>
    <row r="24" spans="1:16" ht="5.25" customHeight="1">
      <c r="A24" s="57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2">
      <c r="A25" s="57">
        <f>A23+1</f>
        <v>15</v>
      </c>
      <c r="B25" s="65" t="s">
        <v>82</v>
      </c>
      <c r="C25" s="65"/>
      <c r="D25" s="65">
        <v>31</v>
      </c>
      <c r="E25" s="65">
        <f>E7-D7</f>
        <v>28</v>
      </c>
      <c r="F25" s="65">
        <f aca="true" t="shared" si="7" ref="F25:O25">F7-E7</f>
        <v>31</v>
      </c>
      <c r="G25" s="65">
        <f t="shared" si="7"/>
        <v>30</v>
      </c>
      <c r="H25" s="65">
        <f t="shared" si="7"/>
        <v>31</v>
      </c>
      <c r="I25" s="65">
        <f t="shared" si="7"/>
        <v>30</v>
      </c>
      <c r="J25" s="65">
        <f t="shared" si="7"/>
        <v>31</v>
      </c>
      <c r="K25" s="65">
        <f t="shared" si="7"/>
        <v>31</v>
      </c>
      <c r="L25" s="65">
        <f t="shared" si="7"/>
        <v>30</v>
      </c>
      <c r="M25" s="65">
        <f t="shared" si="7"/>
        <v>31</v>
      </c>
      <c r="N25" s="65">
        <f t="shared" si="7"/>
        <v>30</v>
      </c>
      <c r="O25" s="65">
        <f t="shared" si="7"/>
        <v>31</v>
      </c>
      <c r="P25" s="78"/>
    </row>
    <row r="26" spans="1:16" ht="3.75" customHeight="1">
      <c r="A26" s="5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78"/>
    </row>
    <row r="27" spans="1:16" ht="12">
      <c r="A27" s="57">
        <f>A25+1</f>
        <v>16</v>
      </c>
      <c r="B27" s="61" t="s">
        <v>83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9" t="s">
        <v>56</v>
      </c>
    </row>
    <row r="28" spans="1:16" ht="12">
      <c r="A28" s="57">
        <f>A27+1</f>
        <v>17</v>
      </c>
      <c r="B28" s="65" t="s">
        <v>84</v>
      </c>
      <c r="C28" s="63"/>
      <c r="D28" s="63">
        <f>AVERAGE(C11:D11)*(D22*D25/360)*1000</f>
        <v>120576.33373921635</v>
      </c>
      <c r="E28" s="63">
        <f>AVERAGE(D11:E11)*(E22*E25/360)*1000</f>
        <v>115775.45907677093</v>
      </c>
      <c r="F28" s="63">
        <f aca="true" t="shared" si="8" ref="F28:O28">AVERAGE(E11:F11)*(F22*F25/360)*1000</f>
        <v>133587.12764938624</v>
      </c>
      <c r="G28" s="63">
        <f t="shared" si="8"/>
        <v>133087.8662225394</v>
      </c>
      <c r="H28" s="63">
        <f t="shared" si="8"/>
        <v>140671.45920035237</v>
      </c>
      <c r="I28" s="63">
        <f t="shared" si="8"/>
        <v>139066.33851598809</v>
      </c>
      <c r="J28" s="63">
        <f t="shared" si="8"/>
        <v>146473.1122794868</v>
      </c>
      <c r="K28" s="63">
        <f t="shared" si="8"/>
        <v>148610.64427005497</v>
      </c>
      <c r="L28" s="63">
        <f t="shared" si="8"/>
        <v>144958.52834938533</v>
      </c>
      <c r="M28" s="63">
        <f t="shared" si="8"/>
        <v>150248.8669074688</v>
      </c>
      <c r="N28" s="63">
        <f t="shared" si="8"/>
        <v>145487.48648190434</v>
      </c>
      <c r="O28" s="63">
        <f t="shared" si="8"/>
        <v>150343.81652825075</v>
      </c>
      <c r="P28" s="64">
        <f>SUM(D28:O28)</f>
        <v>1668887.0392208043</v>
      </c>
    </row>
    <row r="29" spans="1:16" ht="12">
      <c r="A29" s="57">
        <f>A28+1</f>
        <v>18</v>
      </c>
      <c r="B29" s="65" t="s">
        <v>85</v>
      </c>
      <c r="C29" s="65"/>
      <c r="D29" s="63">
        <f>AVERAGE(C12:D12)*(D23*D25/360)*1000</f>
        <v>147145.70455719053</v>
      </c>
      <c r="E29" s="63">
        <f aca="true" t="shared" si="9" ref="E29:N29">AVERAGE(D12:E12)*(E23*E25/360)*1000</f>
        <v>139773.60046074758</v>
      </c>
      <c r="F29" s="63">
        <f t="shared" si="9"/>
        <v>160156.49846736042</v>
      </c>
      <c r="G29" s="63">
        <f t="shared" si="9"/>
        <v>158800.16056251441</v>
      </c>
      <c r="H29" s="63">
        <f t="shared" si="9"/>
        <v>167240.83001832652</v>
      </c>
      <c r="I29" s="63">
        <f t="shared" si="9"/>
        <v>164778.6328559631</v>
      </c>
      <c r="J29" s="63">
        <f t="shared" si="9"/>
        <v>173042.483097461</v>
      </c>
      <c r="K29" s="63">
        <f t="shared" si="9"/>
        <v>175180.0150880292</v>
      </c>
      <c r="L29" s="63">
        <f t="shared" si="9"/>
        <v>170670.82268936036</v>
      </c>
      <c r="M29" s="63">
        <f t="shared" si="9"/>
        <v>176818.237725443</v>
      </c>
      <c r="N29" s="63">
        <f t="shared" si="9"/>
        <v>171199.78082187937</v>
      </c>
      <c r="O29" s="63">
        <f>AVERAGE(N12:O12)*(O23*O25/360)*1000</f>
        <v>176913.1873462249</v>
      </c>
      <c r="P29" s="64">
        <f>SUM(D29:O29)</f>
        <v>1981719.9536905005</v>
      </c>
    </row>
    <row r="30" spans="1:16" ht="12.75" thickBot="1">
      <c r="A30" s="57">
        <f>A29+1</f>
        <v>19</v>
      </c>
      <c r="B30" s="80" t="s">
        <v>86</v>
      </c>
      <c r="C30" s="65"/>
      <c r="D30" s="81">
        <f>SUM(D28:D29)</f>
        <v>267722.03829640686</v>
      </c>
      <c r="E30" s="81">
        <f aca="true" t="shared" si="10" ref="E30:O30">SUM(E28:E29)</f>
        <v>255549.0595375185</v>
      </c>
      <c r="F30" s="81">
        <f t="shared" si="10"/>
        <v>293743.6261167467</v>
      </c>
      <c r="G30" s="81">
        <f t="shared" si="10"/>
        <v>291888.0267850538</v>
      </c>
      <c r="H30" s="81">
        <f t="shared" si="10"/>
        <v>307912.2892186789</v>
      </c>
      <c r="I30" s="81">
        <f t="shared" si="10"/>
        <v>303844.97137195116</v>
      </c>
      <c r="J30" s="81">
        <f t="shared" si="10"/>
        <v>319515.5953769478</v>
      </c>
      <c r="K30" s="81">
        <f t="shared" si="10"/>
        <v>323790.6593580842</v>
      </c>
      <c r="L30" s="81">
        <f t="shared" si="10"/>
        <v>315629.3510387457</v>
      </c>
      <c r="M30" s="81">
        <f t="shared" si="10"/>
        <v>327067.1046329118</v>
      </c>
      <c r="N30" s="81">
        <f t="shared" si="10"/>
        <v>316687.2673037837</v>
      </c>
      <c r="O30" s="81">
        <f t="shared" si="10"/>
        <v>327257.00387447566</v>
      </c>
      <c r="P30" s="82">
        <f>SUM(D30:O30)</f>
        <v>3650606.992911305</v>
      </c>
    </row>
    <row r="31" spans="1:16" ht="5.25" customHeight="1" thickTop="1">
      <c r="A31" s="5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8"/>
    </row>
    <row r="32" spans="1:18" ht="12">
      <c r="A32" s="57">
        <f>A30+1</f>
        <v>20</v>
      </c>
      <c r="B32" s="54" t="s">
        <v>87</v>
      </c>
      <c r="C32" s="71"/>
      <c r="D32" s="83">
        <f>(+D30/1000)/((D13+C13)/2)*(360/D25)</f>
        <v>0.05017866631258133</v>
      </c>
      <c r="E32" s="83">
        <f aca="true" t="shared" si="11" ref="E32:N32">(+E30/1000)/((E13+D13)/2)*(360/E25)</f>
        <v>0.053028939357262564</v>
      </c>
      <c r="F32" s="83">
        <f t="shared" si="11"/>
        <v>0.055055846317892405</v>
      </c>
      <c r="G32" s="83">
        <f t="shared" si="11"/>
        <v>0.05653165645065354</v>
      </c>
      <c r="H32" s="83">
        <f t="shared" si="11"/>
        <v>0.05771145368742879</v>
      </c>
      <c r="I32" s="83">
        <f t="shared" si="11"/>
        <v>0.05884742764219936</v>
      </c>
      <c r="J32" s="83">
        <f t="shared" si="11"/>
        <v>0.05988624075966029</v>
      </c>
      <c r="K32" s="83">
        <f t="shared" si="11"/>
        <v>0.060687508411510764</v>
      </c>
      <c r="L32" s="83">
        <f t="shared" si="11"/>
        <v>0.06112977717926304</v>
      </c>
      <c r="M32" s="83">
        <f t="shared" si="11"/>
        <v>0.0613016067322287</v>
      </c>
      <c r="N32" s="83">
        <f t="shared" si="11"/>
        <v>0.06133466999212489</v>
      </c>
      <c r="O32" s="83">
        <f>(+O30/1000)/((O13+N13)/2)*(360/O25)</f>
        <v>0.06133719920991968</v>
      </c>
      <c r="P32" s="83">
        <f>ROUND(P30/(P8*1000),4)</f>
        <v>0.0589</v>
      </c>
      <c r="R32" s="83"/>
    </row>
    <row r="33" spans="1:16" ht="4.5" customHeight="1">
      <c r="A33" s="5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8"/>
    </row>
    <row r="34" spans="1:16" ht="12">
      <c r="A34" s="57">
        <f>A32+1</f>
        <v>21</v>
      </c>
      <c r="B34" s="61" t="s">
        <v>88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8"/>
    </row>
    <row r="35" spans="1:16" ht="12">
      <c r="A35" s="57">
        <f>A34+1</f>
        <v>22</v>
      </c>
      <c r="B35" s="65" t="s">
        <v>89</v>
      </c>
      <c r="C35" s="62">
        <v>800000</v>
      </c>
      <c r="D35" s="62">
        <f>C35</f>
        <v>800000</v>
      </c>
      <c r="E35" s="62">
        <f aca="true" t="shared" si="12" ref="E35:O35">D35</f>
        <v>800000</v>
      </c>
      <c r="F35" s="62">
        <f t="shared" si="12"/>
        <v>800000</v>
      </c>
      <c r="G35" s="62">
        <f t="shared" si="12"/>
        <v>800000</v>
      </c>
      <c r="H35" s="62">
        <f t="shared" si="12"/>
        <v>800000</v>
      </c>
      <c r="I35" s="62">
        <f t="shared" si="12"/>
        <v>800000</v>
      </c>
      <c r="J35" s="62">
        <f t="shared" si="12"/>
        <v>800000</v>
      </c>
      <c r="K35" s="62">
        <f t="shared" si="12"/>
        <v>800000</v>
      </c>
      <c r="L35" s="62">
        <f t="shared" si="12"/>
        <v>800000</v>
      </c>
      <c r="M35" s="62">
        <f t="shared" si="12"/>
        <v>800000</v>
      </c>
      <c r="N35" s="62">
        <f t="shared" si="12"/>
        <v>800000</v>
      </c>
      <c r="O35" s="62">
        <f t="shared" si="12"/>
        <v>800000</v>
      </c>
      <c r="P35" s="78"/>
    </row>
    <row r="36" spans="1:16" ht="12">
      <c r="A36" s="57">
        <f>A35+1</f>
        <v>23</v>
      </c>
      <c r="B36" s="65" t="s">
        <v>90</v>
      </c>
      <c r="C36" s="63">
        <f>C12+C44</f>
        <v>30979.601</v>
      </c>
      <c r="D36" s="63">
        <f>D12+D44</f>
        <v>30979.601</v>
      </c>
      <c r="E36" s="63">
        <f aca="true" t="shared" si="13" ref="E36:O36">E12+E44</f>
        <v>30979.601</v>
      </c>
      <c r="F36" s="63">
        <f t="shared" si="13"/>
        <v>30979.601</v>
      </c>
      <c r="G36" s="63">
        <f t="shared" si="13"/>
        <v>30979.601</v>
      </c>
      <c r="H36" s="63">
        <f t="shared" si="13"/>
        <v>30979.601</v>
      </c>
      <c r="I36" s="63">
        <f t="shared" si="13"/>
        <v>30979.601</v>
      </c>
      <c r="J36" s="63">
        <f t="shared" si="13"/>
        <v>30979.601</v>
      </c>
      <c r="K36" s="63">
        <f t="shared" si="13"/>
        <v>30979.601</v>
      </c>
      <c r="L36" s="63">
        <f t="shared" si="13"/>
        <v>30979.601</v>
      </c>
      <c r="M36" s="63">
        <f t="shared" si="13"/>
        <v>30979.601</v>
      </c>
      <c r="N36" s="63">
        <f t="shared" si="13"/>
        <v>30979.601</v>
      </c>
      <c r="O36" s="63">
        <f t="shared" si="13"/>
        <v>30979.601</v>
      </c>
      <c r="P36" s="78"/>
    </row>
    <row r="37" spans="1:16" ht="12">
      <c r="A37" s="57">
        <f>A36+1</f>
        <v>24</v>
      </c>
      <c r="B37" s="84" t="s">
        <v>91</v>
      </c>
      <c r="C37" s="85">
        <f>C35-C36</f>
        <v>769020.399</v>
      </c>
      <c r="D37" s="85">
        <f aca="true" t="shared" si="14" ref="D37:O37">D35-D36</f>
        <v>769020.399</v>
      </c>
      <c r="E37" s="85">
        <f t="shared" si="14"/>
        <v>769020.399</v>
      </c>
      <c r="F37" s="85">
        <f t="shared" si="14"/>
        <v>769020.399</v>
      </c>
      <c r="G37" s="85">
        <f t="shared" si="14"/>
        <v>769020.399</v>
      </c>
      <c r="H37" s="85">
        <f t="shared" si="14"/>
        <v>769020.399</v>
      </c>
      <c r="I37" s="85">
        <f t="shared" si="14"/>
        <v>769020.399</v>
      </c>
      <c r="J37" s="85">
        <f t="shared" si="14"/>
        <v>769020.399</v>
      </c>
      <c r="K37" s="85">
        <f t="shared" si="14"/>
        <v>769020.399</v>
      </c>
      <c r="L37" s="85">
        <f t="shared" si="14"/>
        <v>769020.399</v>
      </c>
      <c r="M37" s="85">
        <f t="shared" si="14"/>
        <v>769020.399</v>
      </c>
      <c r="N37" s="85">
        <f t="shared" si="14"/>
        <v>769020.399</v>
      </c>
      <c r="O37" s="85">
        <f t="shared" si="14"/>
        <v>769020.399</v>
      </c>
      <c r="P37" s="78"/>
    </row>
    <row r="38" spans="1:16" ht="4.5" customHeight="1">
      <c r="A38" s="57"/>
      <c r="B38" s="68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78"/>
    </row>
    <row r="39" spans="1:16" ht="12">
      <c r="A39" s="57">
        <f>A37+1</f>
        <v>25</v>
      </c>
      <c r="B39" s="61" t="s">
        <v>92</v>
      </c>
      <c r="C39" s="86" t="s">
        <v>11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8"/>
    </row>
    <row r="40" spans="1:16" ht="12">
      <c r="A40" s="57">
        <f>A39+1</f>
        <v>26</v>
      </c>
      <c r="B40" s="76" t="s">
        <v>93</v>
      </c>
      <c r="C40" s="295">
        <v>0.00175</v>
      </c>
      <c r="D40" s="63">
        <f>AVERAGE(C37:D37)*($C40*D$25/360)*1000</f>
        <v>115887.10179375</v>
      </c>
      <c r="E40" s="63">
        <f aca="true" t="shared" si="15" ref="E40:O40">AVERAGE(D37:E37)*($C40*E$25/360)*1000</f>
        <v>104672.22097500002</v>
      </c>
      <c r="F40" s="63">
        <f t="shared" si="15"/>
        <v>115887.10179375</v>
      </c>
      <c r="G40" s="63">
        <f t="shared" si="15"/>
        <v>112148.80818749998</v>
      </c>
      <c r="H40" s="63">
        <f t="shared" si="15"/>
        <v>115887.10179375</v>
      </c>
      <c r="I40" s="63">
        <f t="shared" si="15"/>
        <v>112148.80818749998</v>
      </c>
      <c r="J40" s="63">
        <f t="shared" si="15"/>
        <v>115887.10179375</v>
      </c>
      <c r="K40" s="63">
        <f t="shared" si="15"/>
        <v>115887.10179375</v>
      </c>
      <c r="L40" s="63">
        <f t="shared" si="15"/>
        <v>112148.80818749998</v>
      </c>
      <c r="M40" s="63">
        <f t="shared" si="15"/>
        <v>115887.10179375</v>
      </c>
      <c r="N40" s="63">
        <f t="shared" si="15"/>
        <v>112148.80818749998</v>
      </c>
      <c r="O40" s="63">
        <f t="shared" si="15"/>
        <v>115887.10179375</v>
      </c>
      <c r="P40" s="64">
        <f>SUM(D40:O40)</f>
        <v>1364477.1662812498</v>
      </c>
    </row>
    <row r="41" spans="1:18" ht="12.75" thickBot="1">
      <c r="A41" s="57">
        <f>A40+1</f>
        <v>27</v>
      </c>
      <c r="B41" s="80" t="s">
        <v>94</v>
      </c>
      <c r="C41" s="87"/>
      <c r="D41" s="88">
        <f aca="true" t="shared" si="16" ref="D41:O41">SUM(D40:D40)</f>
        <v>115887.10179375</v>
      </c>
      <c r="E41" s="88">
        <f t="shared" si="16"/>
        <v>104672.22097500002</v>
      </c>
      <c r="F41" s="88">
        <f t="shared" si="16"/>
        <v>115887.10179375</v>
      </c>
      <c r="G41" s="88">
        <f t="shared" si="16"/>
        <v>112148.80818749998</v>
      </c>
      <c r="H41" s="88">
        <f t="shared" si="16"/>
        <v>115887.10179375</v>
      </c>
      <c r="I41" s="88">
        <f t="shared" si="16"/>
        <v>112148.80818749998</v>
      </c>
      <c r="J41" s="88">
        <f t="shared" si="16"/>
        <v>115887.10179375</v>
      </c>
      <c r="K41" s="88">
        <f t="shared" si="16"/>
        <v>115887.10179375</v>
      </c>
      <c r="L41" s="88">
        <f t="shared" si="16"/>
        <v>112148.80818749998</v>
      </c>
      <c r="M41" s="88">
        <f t="shared" si="16"/>
        <v>115887.10179375</v>
      </c>
      <c r="N41" s="88">
        <f t="shared" si="16"/>
        <v>112148.80818749998</v>
      </c>
      <c r="O41" s="88">
        <f t="shared" si="16"/>
        <v>115887.10179375</v>
      </c>
      <c r="P41" s="82">
        <f>SUM(D41:O41)</f>
        <v>1364477.1662812498</v>
      </c>
      <c r="R41" s="89"/>
    </row>
    <row r="42" spans="1:16" ht="6" customHeight="1" thickTop="1">
      <c r="A42" s="57"/>
      <c r="B42" s="90"/>
      <c r="C42" s="91"/>
      <c r="D42" s="91"/>
      <c r="E42" s="91"/>
      <c r="F42" s="91"/>
      <c r="G42" s="91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2" customHeight="1">
      <c r="A43" s="57">
        <f>A41+1</f>
        <v>28</v>
      </c>
      <c r="B43" s="61" t="s">
        <v>95</v>
      </c>
      <c r="C43" s="92"/>
      <c r="D43" s="91"/>
      <c r="E43" s="91"/>
      <c r="F43" s="91"/>
      <c r="G43" s="91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2" customHeight="1">
      <c r="A44" s="57">
        <f aca="true" t="shared" si="17" ref="A44:A67">A43+1</f>
        <v>29</v>
      </c>
      <c r="B44" s="65" t="s">
        <v>96</v>
      </c>
      <c r="C44" s="62"/>
      <c r="D44" s="62">
        <v>0</v>
      </c>
      <c r="E44" s="62">
        <f aca="true" t="shared" si="18" ref="E44:O44">D44</f>
        <v>0</v>
      </c>
      <c r="F44" s="62">
        <f t="shared" si="18"/>
        <v>0</v>
      </c>
      <c r="G44" s="62">
        <f t="shared" si="18"/>
        <v>0</v>
      </c>
      <c r="H44" s="62">
        <f t="shared" si="18"/>
        <v>0</v>
      </c>
      <c r="I44" s="62">
        <f t="shared" si="18"/>
        <v>0</v>
      </c>
      <c r="J44" s="62">
        <f t="shared" si="18"/>
        <v>0</v>
      </c>
      <c r="K44" s="62">
        <f t="shared" si="18"/>
        <v>0</v>
      </c>
      <c r="L44" s="62">
        <f t="shared" si="18"/>
        <v>0</v>
      </c>
      <c r="M44" s="62">
        <f t="shared" si="18"/>
        <v>0</v>
      </c>
      <c r="N44" s="62">
        <f t="shared" si="18"/>
        <v>0</v>
      </c>
      <c r="O44" s="62">
        <f t="shared" si="18"/>
        <v>0</v>
      </c>
      <c r="P44" s="64"/>
    </row>
    <row r="45" spans="1:16" ht="12" customHeight="1">
      <c r="A45" s="57">
        <f t="shared" si="17"/>
        <v>30</v>
      </c>
      <c r="B45" s="65" t="s">
        <v>151</v>
      </c>
      <c r="C45" s="62"/>
      <c r="D45" s="62">
        <f>'[7]NGX 2023 '!$J$36/1000</f>
        <v>28000</v>
      </c>
      <c r="E45" s="62">
        <f>'[7]NGX 2023 '!$J$39/1000</f>
        <v>28000</v>
      </c>
      <c r="F45" s="62">
        <f>'[7]NGX 2023 '!$J$43/1000</f>
        <v>22393.939393939396</v>
      </c>
      <c r="G45" s="62">
        <f>'[7]NGX 2023 '!$J$49/1000</f>
        <v>9892.857142857143</v>
      </c>
      <c r="H45" s="62">
        <f>'[7]NGX 2023 '!$J$54/1000</f>
        <v>17612.90322580645</v>
      </c>
      <c r="I45" s="62">
        <f>'[7]NGX 2023 '!$J$61/1000</f>
        <v>9676.470588235294</v>
      </c>
      <c r="J45" s="62">
        <f>'[7]NGX 2023 '!$J$65/1000</f>
        <v>7857.142857142857</v>
      </c>
      <c r="K45" s="62">
        <f>'[7]NGX 2023 '!$J$68/1000</f>
        <v>11000</v>
      </c>
      <c r="L45" s="62">
        <f>'[7]NGX 2023 '!$J$72/1000</f>
        <v>8290.322580645161</v>
      </c>
      <c r="M45" s="62">
        <f>'[7]NGX 2023 '!$J$76/1000</f>
        <v>4290.322580645162</v>
      </c>
      <c r="N45" s="62">
        <f>'[7]NGX 2023 '!$J$80/1000</f>
        <v>4000</v>
      </c>
      <c r="O45" s="62">
        <f>'[7]NGX 2023 '!$J$84/1000</f>
        <v>4000</v>
      </c>
      <c r="P45" s="64"/>
    </row>
    <row r="46" spans="1:16" ht="12" customHeight="1">
      <c r="A46" s="57">
        <f t="shared" si="17"/>
        <v>31</v>
      </c>
      <c r="B46" s="65" t="s">
        <v>152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>
        <f>'[8]CCA 2023 '!$J$76/1000</f>
        <v>8370.967741935485</v>
      </c>
      <c r="N46" s="62">
        <f>'[8]CCA 2023 '!$J$80/1000</f>
        <v>62861.91133333334</v>
      </c>
      <c r="O46" s="62">
        <f>'[8]CCA 2023 '!$J$84/1000</f>
        <v>53676.39419354839</v>
      </c>
      <c r="P46" s="64"/>
    </row>
    <row r="47" spans="1:16" ht="12" customHeight="1">
      <c r="A47" s="57">
        <f t="shared" si="17"/>
        <v>32</v>
      </c>
      <c r="B47" s="65" t="s">
        <v>97</v>
      </c>
      <c r="C47" s="62"/>
      <c r="D47" s="62">
        <f aca="true" t="shared" si="19" ref="D47:I47">2316500/1000</f>
        <v>2316.5</v>
      </c>
      <c r="E47" s="62">
        <f t="shared" si="19"/>
        <v>2316.5</v>
      </c>
      <c r="F47" s="62">
        <f t="shared" si="19"/>
        <v>2316.5</v>
      </c>
      <c r="G47" s="62">
        <f t="shared" si="19"/>
        <v>2316.5</v>
      </c>
      <c r="H47" s="62">
        <f t="shared" si="19"/>
        <v>2316.5</v>
      </c>
      <c r="I47" s="62">
        <f t="shared" si="19"/>
        <v>2316.5</v>
      </c>
      <c r="J47" s="62">
        <f aca="true" t="shared" si="20" ref="J47:O47">2132000/1000</f>
        <v>2132</v>
      </c>
      <c r="K47" s="62">
        <f t="shared" si="20"/>
        <v>2132</v>
      </c>
      <c r="L47" s="62">
        <f t="shared" si="20"/>
        <v>2132</v>
      </c>
      <c r="M47" s="62">
        <f t="shared" si="20"/>
        <v>2132</v>
      </c>
      <c r="N47" s="62">
        <f t="shared" si="20"/>
        <v>2132</v>
      </c>
      <c r="O47" s="62">
        <f t="shared" si="20"/>
        <v>2132</v>
      </c>
      <c r="P47" s="64"/>
    </row>
    <row r="48" spans="1:16" ht="4.5" customHeight="1">
      <c r="A48" s="57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4"/>
    </row>
    <row r="49" spans="1:16" ht="14.25" customHeight="1">
      <c r="A49" s="57">
        <f>A47+1</f>
        <v>33</v>
      </c>
      <c r="B49" s="65" t="s">
        <v>96</v>
      </c>
      <c r="C49" s="295">
        <v>0.01</v>
      </c>
      <c r="D49" s="62">
        <f>D44*($C49*D$25/360)*1000</f>
        <v>0</v>
      </c>
      <c r="E49" s="62">
        <f aca="true" t="shared" si="21" ref="E49:O49">E44*($C49*E$25/360)*1000</f>
        <v>0</v>
      </c>
      <c r="F49" s="62">
        <f t="shared" si="21"/>
        <v>0</v>
      </c>
      <c r="G49" s="62">
        <f t="shared" si="21"/>
        <v>0</v>
      </c>
      <c r="H49" s="62">
        <f t="shared" si="21"/>
        <v>0</v>
      </c>
      <c r="I49" s="62">
        <f t="shared" si="21"/>
        <v>0</v>
      </c>
      <c r="J49" s="62">
        <f t="shared" si="21"/>
        <v>0</v>
      </c>
      <c r="K49" s="62">
        <f t="shared" si="21"/>
        <v>0</v>
      </c>
      <c r="L49" s="62">
        <f t="shared" si="21"/>
        <v>0</v>
      </c>
      <c r="M49" s="62">
        <f t="shared" si="21"/>
        <v>0</v>
      </c>
      <c r="N49" s="62">
        <f t="shared" si="21"/>
        <v>0</v>
      </c>
      <c r="O49" s="62">
        <f t="shared" si="21"/>
        <v>0</v>
      </c>
      <c r="P49" s="64"/>
    </row>
    <row r="50" spans="1:16" ht="12" customHeight="1">
      <c r="A50" s="57">
        <f>A49+1</f>
        <v>34</v>
      </c>
      <c r="B50" s="65" t="s">
        <v>151</v>
      </c>
      <c r="C50" s="295">
        <v>0.00625</v>
      </c>
      <c r="D50" s="62">
        <f>D45*($C50*D$25/360)*1000</f>
        <v>15069.444444444445</v>
      </c>
      <c r="E50" s="62">
        <f aca="true" t="shared" si="22" ref="E50:O50">E45*($C50*E$25/360)*1000</f>
        <v>13611.111111111113</v>
      </c>
      <c r="F50" s="62">
        <f t="shared" si="22"/>
        <v>12052.29377104377</v>
      </c>
      <c r="G50" s="62">
        <f t="shared" si="22"/>
        <v>5152.5297619047615</v>
      </c>
      <c r="H50" s="62">
        <f t="shared" si="22"/>
        <v>9479.166666666666</v>
      </c>
      <c r="I50" s="62">
        <f t="shared" si="22"/>
        <v>5039.828431372548</v>
      </c>
      <c r="J50" s="62">
        <f t="shared" si="22"/>
        <v>4228.670634920634</v>
      </c>
      <c r="K50" s="62">
        <f t="shared" si="22"/>
        <v>5920.13888888889</v>
      </c>
      <c r="L50" s="62">
        <f t="shared" si="22"/>
        <v>4317.876344086021</v>
      </c>
      <c r="M50" s="62">
        <f t="shared" si="22"/>
        <v>2309.0277777777783</v>
      </c>
      <c r="N50" s="62">
        <f t="shared" si="22"/>
        <v>2083.3333333333335</v>
      </c>
      <c r="O50" s="62">
        <f t="shared" si="22"/>
        <v>2152.777777777778</v>
      </c>
      <c r="P50" s="64"/>
    </row>
    <row r="51" spans="1:18" ht="12" customHeight="1">
      <c r="A51" s="57">
        <f t="shared" si="17"/>
        <v>35</v>
      </c>
      <c r="B51" s="65" t="s">
        <v>152</v>
      </c>
      <c r="C51" s="295">
        <v>0.0075</v>
      </c>
      <c r="D51" s="62">
        <f>D46*($C51*D$25/360)*1000</f>
        <v>0</v>
      </c>
      <c r="E51" s="62">
        <f aca="true" t="shared" si="23" ref="E51:O51">E46*($C51*E$25/360)*1000</f>
        <v>0</v>
      </c>
      <c r="F51" s="62">
        <f t="shared" si="23"/>
        <v>0</v>
      </c>
      <c r="G51" s="62">
        <f t="shared" si="23"/>
        <v>0</v>
      </c>
      <c r="H51" s="62">
        <f t="shared" si="23"/>
        <v>0</v>
      </c>
      <c r="I51" s="62">
        <f t="shared" si="23"/>
        <v>0</v>
      </c>
      <c r="J51" s="62">
        <f t="shared" si="23"/>
        <v>0</v>
      </c>
      <c r="K51" s="62">
        <f t="shared" si="23"/>
        <v>0</v>
      </c>
      <c r="L51" s="62">
        <f t="shared" si="23"/>
        <v>0</v>
      </c>
      <c r="M51" s="62">
        <f t="shared" si="23"/>
        <v>5406.250000000001</v>
      </c>
      <c r="N51" s="62">
        <f t="shared" si="23"/>
        <v>39288.69458333333</v>
      </c>
      <c r="O51" s="62">
        <f t="shared" si="23"/>
        <v>34666.004583333335</v>
      </c>
      <c r="R51" s="89"/>
    </row>
    <row r="52" spans="1:18" ht="12" customHeight="1">
      <c r="A52" s="57">
        <f t="shared" si="17"/>
        <v>36</v>
      </c>
      <c r="B52" s="65" t="s">
        <v>97</v>
      </c>
      <c r="C52" s="295">
        <v>0.01</v>
      </c>
      <c r="D52" s="62">
        <f>D47*($C52*D$25/360)*1000</f>
        <v>1994.7638888888887</v>
      </c>
      <c r="E52" s="62">
        <f aca="true" t="shared" si="24" ref="E52:O52">E47*($C52*E$25/360)*1000</f>
        <v>1801.7222222222224</v>
      </c>
      <c r="F52" s="62">
        <f t="shared" si="24"/>
        <v>1994.7638888888887</v>
      </c>
      <c r="G52" s="62">
        <f t="shared" si="24"/>
        <v>1930.4166666666665</v>
      </c>
      <c r="H52" s="62">
        <f t="shared" si="24"/>
        <v>1994.7638888888887</v>
      </c>
      <c r="I52" s="62">
        <f t="shared" si="24"/>
        <v>1930.4166666666665</v>
      </c>
      <c r="J52" s="62">
        <f t="shared" si="24"/>
        <v>1835.888888888889</v>
      </c>
      <c r="K52" s="62">
        <f t="shared" si="24"/>
        <v>1835.888888888889</v>
      </c>
      <c r="L52" s="62">
        <f t="shared" si="24"/>
        <v>1776.6666666666665</v>
      </c>
      <c r="M52" s="62">
        <f t="shared" si="24"/>
        <v>1835.888888888889</v>
      </c>
      <c r="N52" s="62">
        <f t="shared" si="24"/>
        <v>1776.6666666666665</v>
      </c>
      <c r="O52" s="62">
        <f t="shared" si="24"/>
        <v>1835.888888888889</v>
      </c>
      <c r="P52" s="64"/>
      <c r="R52" s="89"/>
    </row>
    <row r="53" spans="1:16" ht="12.75" customHeight="1" thickBot="1">
      <c r="A53" s="57">
        <f t="shared" si="17"/>
        <v>37</v>
      </c>
      <c r="B53" s="80" t="s">
        <v>130</v>
      </c>
      <c r="D53" s="88">
        <f>SUM(D49:D52)</f>
        <v>17064.208333333336</v>
      </c>
      <c r="E53" s="88">
        <f aca="true" t="shared" si="25" ref="E53:O53">SUM(E49:E52)</f>
        <v>15412.833333333336</v>
      </c>
      <c r="F53" s="88">
        <f t="shared" si="25"/>
        <v>14047.05765993266</v>
      </c>
      <c r="G53" s="88">
        <f t="shared" si="25"/>
        <v>7082.9464285714275</v>
      </c>
      <c r="H53" s="88">
        <f t="shared" si="25"/>
        <v>11473.930555555555</v>
      </c>
      <c r="I53" s="88">
        <f t="shared" si="25"/>
        <v>6970.245098039215</v>
      </c>
      <c r="J53" s="88">
        <f t="shared" si="25"/>
        <v>6064.559523809523</v>
      </c>
      <c r="K53" s="88">
        <f t="shared" si="25"/>
        <v>7756.027777777778</v>
      </c>
      <c r="L53" s="88">
        <f t="shared" si="25"/>
        <v>6094.543010752688</v>
      </c>
      <c r="M53" s="88">
        <f t="shared" si="25"/>
        <v>9551.166666666668</v>
      </c>
      <c r="N53" s="88">
        <f t="shared" si="25"/>
        <v>43148.69458333333</v>
      </c>
      <c r="O53" s="88">
        <f t="shared" si="25"/>
        <v>38654.67125000001</v>
      </c>
      <c r="P53" s="82">
        <f>SUM(D53:O53)</f>
        <v>183320.88422110555</v>
      </c>
    </row>
    <row r="54" spans="1:18" ht="12.75" customHeight="1" thickTop="1">
      <c r="A54" s="57">
        <f t="shared" si="17"/>
        <v>38</v>
      </c>
      <c r="B54" s="80"/>
      <c r="C54" s="93"/>
      <c r="D54" s="63"/>
      <c r="E54" s="63"/>
      <c r="F54" s="94"/>
      <c r="G54" s="63"/>
      <c r="H54" s="63"/>
      <c r="I54" s="63"/>
      <c r="J54" s="63"/>
      <c r="K54" s="63"/>
      <c r="L54" s="63"/>
      <c r="M54" s="63"/>
      <c r="N54" s="63"/>
      <c r="O54" s="292" t="s">
        <v>98</v>
      </c>
      <c r="P54" s="64">
        <f>P41+P53</f>
        <v>1547798.0505023554</v>
      </c>
      <c r="R54" s="89"/>
    </row>
    <row r="55" spans="1:18" ht="12.75" customHeight="1">
      <c r="A55" s="57">
        <f t="shared" si="17"/>
        <v>39</v>
      </c>
      <c r="B55" s="80"/>
      <c r="C55" s="9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292" t="s">
        <v>110</v>
      </c>
      <c r="P55" s="64">
        <f>'Pg 2 Cost of Total Debt'!H40</f>
        <v>10133422494.07037</v>
      </c>
      <c r="R55" s="89"/>
    </row>
    <row r="56" spans="1:16" ht="11.25" customHeight="1">
      <c r="A56" s="57">
        <f t="shared" si="17"/>
        <v>40</v>
      </c>
      <c r="B56" s="80"/>
      <c r="C56" s="9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292" t="s">
        <v>99</v>
      </c>
      <c r="P56" s="96">
        <f>ROUND(P54/P55,4)</f>
        <v>0.0002</v>
      </c>
    </row>
    <row r="57" spans="1:16" ht="12">
      <c r="A57" s="57">
        <f t="shared" si="17"/>
        <v>41</v>
      </c>
      <c r="B57" s="61" t="s">
        <v>128</v>
      </c>
      <c r="C57" s="91"/>
      <c r="D57" s="91"/>
      <c r="E57" s="91"/>
      <c r="F57" s="91"/>
      <c r="G57" s="91"/>
      <c r="H57" s="54"/>
      <c r="I57" s="54"/>
      <c r="J57" s="54"/>
      <c r="K57" s="54"/>
      <c r="L57" s="54"/>
      <c r="M57" s="54"/>
      <c r="N57" s="54"/>
      <c r="O57" s="54"/>
      <c r="P57" s="54"/>
    </row>
    <row r="58" spans="1:16" ht="12">
      <c r="A58" s="57">
        <f t="shared" si="17"/>
        <v>42</v>
      </c>
      <c r="B58" s="76" t="s">
        <v>147</v>
      </c>
      <c r="C58" s="91"/>
      <c r="D58" s="62">
        <v>54030.38</v>
      </c>
      <c r="E58" s="62">
        <f>+D58</f>
        <v>54030.38</v>
      </c>
      <c r="F58" s="62">
        <f aca="true" t="shared" si="26" ref="F58:O58">+E58</f>
        <v>54030.38</v>
      </c>
      <c r="G58" s="62">
        <f t="shared" si="26"/>
        <v>54030.38</v>
      </c>
      <c r="H58" s="62">
        <f t="shared" si="26"/>
        <v>54030.38</v>
      </c>
      <c r="I58" s="62">
        <f t="shared" si="26"/>
        <v>54030.38</v>
      </c>
      <c r="J58" s="62">
        <f t="shared" si="26"/>
        <v>54030.38</v>
      </c>
      <c r="K58" s="62">
        <f t="shared" si="26"/>
        <v>54030.38</v>
      </c>
      <c r="L58" s="62">
        <f t="shared" si="26"/>
        <v>54030.38</v>
      </c>
      <c r="M58" s="62">
        <f t="shared" si="26"/>
        <v>54030.38</v>
      </c>
      <c r="N58" s="62">
        <f t="shared" si="26"/>
        <v>54030.38</v>
      </c>
      <c r="O58" s="62">
        <f t="shared" si="26"/>
        <v>54030.38</v>
      </c>
      <c r="P58" s="64">
        <f>SUM(D58:O58)</f>
        <v>648364.5599999999</v>
      </c>
    </row>
    <row r="59" spans="1:18" ht="12" customHeight="1" thickBot="1">
      <c r="A59" s="57">
        <f t="shared" si="17"/>
        <v>43</v>
      </c>
      <c r="B59" s="80" t="s">
        <v>100</v>
      </c>
      <c r="C59" s="91"/>
      <c r="D59" s="97">
        <f aca="true" t="shared" si="27" ref="D59:O59">SUM(D58:D58)</f>
        <v>54030.38</v>
      </c>
      <c r="E59" s="97">
        <f t="shared" si="27"/>
        <v>54030.38</v>
      </c>
      <c r="F59" s="97">
        <f t="shared" si="27"/>
        <v>54030.38</v>
      </c>
      <c r="G59" s="97">
        <f t="shared" si="27"/>
        <v>54030.38</v>
      </c>
      <c r="H59" s="97">
        <f t="shared" si="27"/>
        <v>54030.38</v>
      </c>
      <c r="I59" s="97">
        <f t="shared" si="27"/>
        <v>54030.38</v>
      </c>
      <c r="J59" s="97">
        <f t="shared" si="27"/>
        <v>54030.38</v>
      </c>
      <c r="K59" s="97">
        <f t="shared" si="27"/>
        <v>54030.38</v>
      </c>
      <c r="L59" s="97">
        <f t="shared" si="27"/>
        <v>54030.38</v>
      </c>
      <c r="M59" s="97">
        <f t="shared" si="27"/>
        <v>54030.38</v>
      </c>
      <c r="N59" s="97">
        <f t="shared" si="27"/>
        <v>54030.38</v>
      </c>
      <c r="O59" s="97">
        <f t="shared" si="27"/>
        <v>54030.38</v>
      </c>
      <c r="P59" s="82">
        <f>SUM(D59:O59)</f>
        <v>648364.5599999999</v>
      </c>
      <c r="R59" s="89"/>
    </row>
    <row r="60" spans="1:18" ht="12" customHeight="1" thickTop="1">
      <c r="A60" s="57">
        <f t="shared" si="17"/>
        <v>44</v>
      </c>
      <c r="B60" s="80"/>
      <c r="C60" s="91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292" t="s">
        <v>110</v>
      </c>
      <c r="P60" s="64">
        <f>'Pg 2 Cost of Total Debt'!$H$40</f>
        <v>10133422494.07037</v>
      </c>
      <c r="R60" s="89"/>
    </row>
    <row r="61" spans="1:18" ht="12" customHeight="1">
      <c r="A61" s="57">
        <f t="shared" si="17"/>
        <v>45</v>
      </c>
      <c r="B61" s="80"/>
      <c r="C61" s="91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292" t="s">
        <v>101</v>
      </c>
      <c r="P61" s="96">
        <f>ROUND(P59/P60,4)</f>
        <v>0.0001</v>
      </c>
      <c r="R61" s="89"/>
    </row>
    <row r="62" spans="1:18" ht="12" customHeight="1">
      <c r="A62" s="57">
        <f t="shared" si="17"/>
        <v>46</v>
      </c>
      <c r="B62" s="80"/>
      <c r="C62" s="91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5"/>
      <c r="P62" s="96"/>
      <c r="R62" s="89"/>
    </row>
    <row r="63" spans="1:18" ht="12" customHeight="1">
      <c r="A63" s="57">
        <f t="shared" si="17"/>
        <v>47</v>
      </c>
      <c r="B63" s="61" t="s">
        <v>134</v>
      </c>
      <c r="C63" s="153">
        <f>'Pg 5 Loan Balance AMA Calc'!$P$15</f>
        <v>5073860</v>
      </c>
      <c r="D63" s="154">
        <f>'Pg 5 Loan Balance AMA Calc'!$P$15</f>
        <v>5073860</v>
      </c>
      <c r="E63" s="154">
        <f>'Pg 5 Loan Balance AMA Calc'!$P$15</f>
        <v>5073860</v>
      </c>
      <c r="F63" s="154">
        <f>'Pg 5 Loan Balance AMA Calc'!$P$15</f>
        <v>5073860</v>
      </c>
      <c r="G63" s="154">
        <f>'Pg 5 Loan Balance AMA Calc'!$P$15</f>
        <v>5073860</v>
      </c>
      <c r="H63" s="154">
        <f>'Pg 5 Loan Balance AMA Calc'!$P$15</f>
        <v>5073860</v>
      </c>
      <c r="I63" s="154">
        <f>'Pg 5 Loan Balance AMA Calc'!$P$15</f>
        <v>5073860</v>
      </c>
      <c r="J63" s="154">
        <f>'Pg 5 Loan Balance AMA Calc'!$P$15</f>
        <v>5073860</v>
      </c>
      <c r="K63" s="154">
        <f>'Pg 5 Loan Balance AMA Calc'!$P$15</f>
        <v>5073860</v>
      </c>
      <c r="L63" s="154">
        <f>'Pg 5 Loan Balance AMA Calc'!$P$15</f>
        <v>5073860</v>
      </c>
      <c r="M63" s="98">
        <f>'Pg 5 Loan Balance AMA Calc'!$P$15</f>
        <v>5073860</v>
      </c>
      <c r="N63" s="98">
        <f>'Pg 5 Loan Balance AMA Calc'!$P$15</f>
        <v>5073860</v>
      </c>
      <c r="O63" s="98">
        <f>'Pg 5 Loan Balance AMA Calc'!$P$15</f>
        <v>5073860</v>
      </c>
      <c r="P63" s="155">
        <f>ROUND(((C63+O63)+(SUM(D63:N63)*2))/24,3)</f>
        <v>5073860</v>
      </c>
      <c r="R63" s="89"/>
    </row>
    <row r="64" spans="1:18" ht="12" customHeight="1" thickBot="1">
      <c r="A64" s="57">
        <f t="shared" si="17"/>
        <v>48</v>
      </c>
      <c r="B64" s="80" t="s">
        <v>135</v>
      </c>
      <c r="C64" s="88">
        <f aca="true" t="shared" si="28" ref="C64:P64">C13+C63</f>
        <v>5135819.202</v>
      </c>
      <c r="D64" s="88">
        <f t="shared" si="28"/>
        <v>5135819.202</v>
      </c>
      <c r="E64" s="88">
        <f t="shared" si="28"/>
        <v>5135819.202</v>
      </c>
      <c r="F64" s="88">
        <f t="shared" si="28"/>
        <v>5135819.202</v>
      </c>
      <c r="G64" s="88">
        <f t="shared" si="28"/>
        <v>5135819.202</v>
      </c>
      <c r="H64" s="88">
        <f t="shared" si="28"/>
        <v>5135819.202</v>
      </c>
      <c r="I64" s="88">
        <f t="shared" si="28"/>
        <v>5135819.202</v>
      </c>
      <c r="J64" s="88">
        <f t="shared" si="28"/>
        <v>5135819.202</v>
      </c>
      <c r="K64" s="88">
        <f t="shared" si="28"/>
        <v>5135819.202</v>
      </c>
      <c r="L64" s="88">
        <f t="shared" si="28"/>
        <v>5135819.202</v>
      </c>
      <c r="M64" s="88">
        <f t="shared" si="28"/>
        <v>5135819.202</v>
      </c>
      <c r="N64" s="88">
        <f t="shared" si="28"/>
        <v>5135819.202</v>
      </c>
      <c r="O64" s="88">
        <f t="shared" si="28"/>
        <v>5135819.202</v>
      </c>
      <c r="P64" s="297">
        <f t="shared" si="28"/>
        <v>5135819.202</v>
      </c>
      <c r="R64" s="89"/>
    </row>
    <row r="65" spans="1:18" ht="12" customHeight="1" thickTop="1">
      <c r="A65" s="57">
        <f t="shared" si="17"/>
        <v>49</v>
      </c>
      <c r="B65" s="80"/>
      <c r="C65" s="91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5"/>
      <c r="P65" s="96"/>
      <c r="R65" s="89"/>
    </row>
    <row r="66" spans="1:18" ht="12" customHeight="1">
      <c r="A66" s="57">
        <f t="shared" si="17"/>
        <v>50</v>
      </c>
      <c r="B66" s="76" t="s">
        <v>142</v>
      </c>
      <c r="C66" s="91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5"/>
      <c r="P66" s="293">
        <f>+P13/P64*(1-'Pg 1 CofCap'!D22)</f>
        <v>0.006114341135609</v>
      </c>
      <c r="R66" s="89"/>
    </row>
    <row r="67" spans="1:16" ht="12" customHeight="1">
      <c r="A67" s="57">
        <f t="shared" si="17"/>
        <v>51</v>
      </c>
      <c r="B67" s="76" t="s">
        <v>143</v>
      </c>
      <c r="P67" s="293">
        <f>+P63/P64*(1-'Pg 1 CofCap'!D22)</f>
        <v>0.5007054628353844</v>
      </c>
    </row>
    <row r="68" spans="1:16" ht="12" customHeight="1">
      <c r="A68" s="57">
        <f>A67+1</f>
        <v>52</v>
      </c>
      <c r="B68" s="80" t="s">
        <v>141</v>
      </c>
      <c r="P68" s="293">
        <f>SUM(P66:P67)</f>
        <v>0.5068198039709935</v>
      </c>
    </row>
    <row r="69" spans="1:16" ht="12" customHeight="1">
      <c r="A69" s="57">
        <f>A68+1</f>
        <v>53</v>
      </c>
      <c r="B69" s="76"/>
      <c r="P69" s="9"/>
    </row>
    <row r="70" spans="1:2" ht="12" customHeight="1">
      <c r="A70" s="57">
        <f>A69+1</f>
        <v>54</v>
      </c>
      <c r="B70" s="61" t="s">
        <v>131</v>
      </c>
    </row>
    <row r="71" spans="2:15" ht="12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</sheetData>
  <sheetProtection/>
  <printOptions horizontalCentered="1"/>
  <pageMargins left="0.27" right="0.23" top="0.61" bottom="0" header="0.27" footer="0.27"/>
  <pageSetup horizontalDpi="600" verticalDpi="600" orientation="landscape" scale="70" r:id="rId3"/>
  <headerFooter alignWithMargins="0">
    <oddHeader>&amp;C
</oddHeader>
    <oddFooter>&amp;C&amp;A&amp;R&amp;"Times New Roman,Regular"Exhibit No. CGP-4
Page 3 of 4</oddFooter>
  </headerFooter>
  <customProperties>
    <customPr name="_pios_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3">
      <selection activeCell="A1" sqref="A1"/>
    </sheetView>
  </sheetViews>
  <sheetFormatPr defaultColWidth="8.66015625" defaultRowHeight="11.25"/>
  <cols>
    <col min="1" max="1" width="4.66015625" style="101" customWidth="1"/>
    <col min="2" max="2" width="35.33203125" style="101" customWidth="1"/>
    <col min="3" max="3" width="10.66015625" style="101" customWidth="1"/>
    <col min="4" max="4" width="11.66015625" style="101" customWidth="1"/>
    <col min="5" max="5" width="16.16015625" style="101" customWidth="1"/>
    <col min="6" max="6" width="15.66015625" style="101" customWidth="1"/>
    <col min="7" max="7" width="13" style="101" customWidth="1"/>
    <col min="8" max="8" width="16.83203125" style="101" customWidth="1"/>
    <col min="9" max="9" width="15.83203125" style="101" customWidth="1"/>
    <col min="10" max="10" width="16.33203125" style="101" customWidth="1"/>
    <col min="11" max="11" width="18.16015625" style="101" customWidth="1"/>
    <col min="12" max="12" width="6.33203125" style="101" customWidth="1"/>
    <col min="13" max="13" width="10.5" style="101" bestFit="1" customWidth="1"/>
    <col min="14" max="14" width="9.16015625" style="101" bestFit="1" customWidth="1"/>
    <col min="15" max="16384" width="8.66015625" style="101" customWidth="1"/>
  </cols>
  <sheetData>
    <row r="1" spans="2:11" ht="12.75" customHeight="1">
      <c r="B1" s="51" t="s">
        <v>70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 customHeight="1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 customHeight="1">
      <c r="B3" s="51" t="str">
        <f>'Pg 2 Cost of Total Debt'!$B$3</f>
        <v>For The 12 Months Ended December 31, 2023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 customHeight="1">
      <c r="B4" s="102"/>
      <c r="C4" s="102"/>
      <c r="D4" s="102"/>
      <c r="E4" s="103"/>
      <c r="F4" s="103"/>
      <c r="G4" s="103"/>
      <c r="H4" s="103"/>
      <c r="I4" s="103"/>
      <c r="J4" s="103"/>
      <c r="K4" s="103"/>
    </row>
    <row r="5" spans="1:11" ht="12.75" customHeight="1">
      <c r="A5" s="104">
        <v>1</v>
      </c>
      <c r="B5" s="166" t="s">
        <v>1</v>
      </c>
      <c r="C5" s="166" t="s">
        <v>17</v>
      </c>
      <c r="D5" s="166" t="s">
        <v>24</v>
      </c>
      <c r="E5" s="166" t="s">
        <v>26</v>
      </c>
      <c r="F5" s="166" t="s">
        <v>27</v>
      </c>
      <c r="G5" s="255" t="s">
        <v>28</v>
      </c>
      <c r="H5" s="166" t="s">
        <v>29</v>
      </c>
      <c r="I5" s="166" t="s">
        <v>30</v>
      </c>
      <c r="J5" s="166" t="s">
        <v>31</v>
      </c>
      <c r="K5" s="166" t="s">
        <v>33</v>
      </c>
    </row>
    <row r="6" spans="1:11" ht="23.25" customHeight="1">
      <c r="A6" s="104">
        <f aca="true" t="shared" si="0" ref="A6:A29">A5+1</f>
        <v>2</v>
      </c>
      <c r="B6" s="239" t="s">
        <v>0</v>
      </c>
      <c r="C6" s="239" t="s">
        <v>9</v>
      </c>
      <c r="D6" s="256" t="s">
        <v>44</v>
      </c>
      <c r="E6" s="257" t="s">
        <v>52</v>
      </c>
      <c r="F6" s="257" t="s">
        <v>53</v>
      </c>
      <c r="G6" s="257" t="s">
        <v>53</v>
      </c>
      <c r="H6" s="257" t="s">
        <v>32</v>
      </c>
      <c r="I6" s="256" t="s">
        <v>65</v>
      </c>
      <c r="J6" s="257" t="s">
        <v>66</v>
      </c>
      <c r="K6" s="256" t="s">
        <v>10</v>
      </c>
    </row>
    <row r="7" spans="1:11" ht="12.75" customHeight="1">
      <c r="A7" s="104">
        <f t="shared" si="0"/>
        <v>3</v>
      </c>
      <c r="B7" s="258" t="s">
        <v>9</v>
      </c>
      <c r="C7" s="259" t="s">
        <v>45</v>
      </c>
      <c r="D7" s="259" t="s">
        <v>45</v>
      </c>
      <c r="E7" s="259" t="s">
        <v>45</v>
      </c>
      <c r="F7" s="259" t="s">
        <v>9</v>
      </c>
      <c r="G7" s="259" t="s">
        <v>45</v>
      </c>
      <c r="H7" s="259" t="s">
        <v>54</v>
      </c>
      <c r="I7" s="260" t="s">
        <v>51</v>
      </c>
      <c r="J7" s="259" t="s">
        <v>67</v>
      </c>
      <c r="K7" s="259" t="s">
        <v>51</v>
      </c>
    </row>
    <row r="8" ht="12.75" customHeight="1">
      <c r="A8" s="104">
        <f t="shared" si="0"/>
        <v>4</v>
      </c>
    </row>
    <row r="9" spans="1:13" ht="15" customHeight="1">
      <c r="A9" s="104">
        <f>A8+1</f>
        <v>5</v>
      </c>
      <c r="B9" s="240" t="s">
        <v>55</v>
      </c>
      <c r="C9" s="241">
        <v>34199</v>
      </c>
      <c r="D9" s="241">
        <v>45156</v>
      </c>
      <c r="E9" s="242">
        <v>37851</v>
      </c>
      <c r="F9" s="261"/>
      <c r="G9" s="261"/>
      <c r="H9" s="243">
        <v>45156</v>
      </c>
      <c r="I9" s="105">
        <v>887.9899999999999</v>
      </c>
      <c r="J9" s="244">
        <v>8</v>
      </c>
      <c r="K9" s="105">
        <f>ROUND(I9*J9,2)</f>
        <v>7103.92</v>
      </c>
      <c r="M9" s="105"/>
    </row>
    <row r="10" spans="1:13" ht="15" customHeight="1">
      <c r="A10" s="104">
        <f t="shared" si="0"/>
        <v>6</v>
      </c>
      <c r="B10" s="245" t="s">
        <v>50</v>
      </c>
      <c r="C10" s="241">
        <v>33161</v>
      </c>
      <c r="D10" s="241">
        <v>35718</v>
      </c>
      <c r="E10" s="241">
        <v>34372</v>
      </c>
      <c r="F10" s="241" t="s">
        <v>47</v>
      </c>
      <c r="G10" s="241">
        <v>34366</v>
      </c>
      <c r="H10" s="243">
        <v>45323</v>
      </c>
      <c r="I10" s="105">
        <v>14073.339999999998</v>
      </c>
      <c r="J10" s="244">
        <v>12</v>
      </c>
      <c r="K10" s="105">
        <f>ROUND(I10*J10,2)</f>
        <v>168880.08</v>
      </c>
      <c r="M10" s="105"/>
    </row>
    <row r="11" spans="1:13" ht="15" customHeight="1">
      <c r="A11" s="104">
        <f t="shared" si="0"/>
        <v>7</v>
      </c>
      <c r="B11" s="245" t="s">
        <v>46</v>
      </c>
      <c r="C11" s="241">
        <v>35587</v>
      </c>
      <c r="D11" s="241">
        <v>46539</v>
      </c>
      <c r="E11" s="241">
        <v>38504</v>
      </c>
      <c r="F11" s="241"/>
      <c r="G11" s="241"/>
      <c r="H11" s="243">
        <v>46539</v>
      </c>
      <c r="I11" s="105">
        <v>19150.350000000002</v>
      </c>
      <c r="J11" s="244">
        <v>12</v>
      </c>
      <c r="K11" s="105">
        <f aca="true" t="shared" si="1" ref="K11:K23">ROUND(I11*J11,2)</f>
        <v>229804.2</v>
      </c>
      <c r="M11" s="105"/>
    </row>
    <row r="12" spans="1:13" ht="15" customHeight="1">
      <c r="A12" s="104">
        <f t="shared" si="0"/>
        <v>8</v>
      </c>
      <c r="B12" s="240" t="s">
        <v>20</v>
      </c>
      <c r="C12" s="241">
        <v>33457</v>
      </c>
      <c r="D12" s="241">
        <f>DATE(2021,8,1)</f>
        <v>44409</v>
      </c>
      <c r="E12" s="242">
        <v>37691</v>
      </c>
      <c r="F12" s="242" t="s">
        <v>48</v>
      </c>
      <c r="G12" s="242">
        <v>37691</v>
      </c>
      <c r="H12" s="243">
        <v>47908</v>
      </c>
      <c r="I12" s="105">
        <v>3790.0400000000004</v>
      </c>
      <c r="J12" s="244">
        <v>12</v>
      </c>
      <c r="K12" s="105">
        <f t="shared" si="1"/>
        <v>45480.48</v>
      </c>
      <c r="M12" s="105"/>
    </row>
    <row r="13" spans="1:13" ht="15" customHeight="1">
      <c r="A13" s="104">
        <f t="shared" si="0"/>
        <v>9</v>
      </c>
      <c r="B13" s="240" t="s">
        <v>21</v>
      </c>
      <c r="C13" s="241">
        <v>33457</v>
      </c>
      <c r="D13" s="241">
        <f>DATE(2021,8,1)</f>
        <v>44409</v>
      </c>
      <c r="E13" s="242">
        <v>37691</v>
      </c>
      <c r="F13" s="242" t="s">
        <v>48</v>
      </c>
      <c r="G13" s="242">
        <v>37691</v>
      </c>
      <c r="H13" s="243">
        <v>47908</v>
      </c>
      <c r="I13" s="105">
        <v>2880.1200000000003</v>
      </c>
      <c r="J13" s="244">
        <v>12</v>
      </c>
      <c r="K13" s="105">
        <f t="shared" si="1"/>
        <v>34561.44</v>
      </c>
      <c r="M13" s="105"/>
    </row>
    <row r="14" spans="1:13" ht="15" customHeight="1">
      <c r="A14" s="104">
        <f t="shared" si="0"/>
        <v>10</v>
      </c>
      <c r="B14" s="240" t="s">
        <v>22</v>
      </c>
      <c r="C14" s="241">
        <v>33664</v>
      </c>
      <c r="D14" s="241">
        <f>DATE(2022,3,1)</f>
        <v>44621</v>
      </c>
      <c r="E14" s="242">
        <v>37691</v>
      </c>
      <c r="F14" s="242" t="s">
        <v>48</v>
      </c>
      <c r="G14" s="242">
        <v>37691</v>
      </c>
      <c r="H14" s="243">
        <v>47908</v>
      </c>
      <c r="I14" s="105">
        <v>8818.789999999999</v>
      </c>
      <c r="J14" s="244">
        <v>12</v>
      </c>
      <c r="K14" s="105">
        <f t="shared" si="1"/>
        <v>105825.48</v>
      </c>
      <c r="M14" s="105"/>
    </row>
    <row r="15" spans="1:13" ht="15" customHeight="1">
      <c r="A15" s="104">
        <f t="shared" si="0"/>
        <v>11</v>
      </c>
      <c r="B15" s="240" t="s">
        <v>23</v>
      </c>
      <c r="C15" s="241">
        <v>33664</v>
      </c>
      <c r="D15" s="241">
        <f>DATE(2022,3,1)</f>
        <v>44621</v>
      </c>
      <c r="E15" s="242">
        <v>37691</v>
      </c>
      <c r="F15" s="242" t="s">
        <v>48</v>
      </c>
      <c r="G15" s="242">
        <v>37691</v>
      </c>
      <c r="H15" s="243">
        <v>47908</v>
      </c>
      <c r="I15" s="105">
        <v>2691.48</v>
      </c>
      <c r="J15" s="244">
        <v>12</v>
      </c>
      <c r="K15" s="105">
        <f t="shared" si="1"/>
        <v>32297.76</v>
      </c>
      <c r="M15" s="105"/>
    </row>
    <row r="16" spans="1:13" ht="15" customHeight="1">
      <c r="A16" s="104">
        <f t="shared" si="0"/>
        <v>12</v>
      </c>
      <c r="B16" s="240" t="s">
        <v>59</v>
      </c>
      <c r="C16" s="241">
        <v>37691</v>
      </c>
      <c r="D16" s="241">
        <v>47908</v>
      </c>
      <c r="E16" s="242">
        <v>41449</v>
      </c>
      <c r="F16" s="242" t="s">
        <v>60</v>
      </c>
      <c r="G16" s="242">
        <v>41417</v>
      </c>
      <c r="H16" s="243">
        <v>47908</v>
      </c>
      <c r="I16" s="105">
        <v>24927.39</v>
      </c>
      <c r="J16" s="244">
        <v>12</v>
      </c>
      <c r="K16" s="105">
        <f t="shared" si="1"/>
        <v>299128.68</v>
      </c>
      <c r="M16" s="105"/>
    </row>
    <row r="17" spans="1:13" ht="15" customHeight="1">
      <c r="A17" s="104">
        <f t="shared" si="0"/>
        <v>13</v>
      </c>
      <c r="B17" s="240" t="s">
        <v>59</v>
      </c>
      <c r="C17" s="241">
        <v>37691</v>
      </c>
      <c r="D17" s="241">
        <v>47908</v>
      </c>
      <c r="E17" s="242">
        <v>41449</v>
      </c>
      <c r="F17" s="242" t="s">
        <v>60</v>
      </c>
      <c r="G17" s="242">
        <v>41417</v>
      </c>
      <c r="H17" s="243">
        <v>47908</v>
      </c>
      <c r="I17" s="105">
        <v>4212.7699999999995</v>
      </c>
      <c r="J17" s="244">
        <v>12</v>
      </c>
      <c r="K17" s="105">
        <f t="shared" si="1"/>
        <v>50553.24</v>
      </c>
      <c r="M17" s="105"/>
    </row>
    <row r="18" spans="1:11" ht="15" customHeight="1">
      <c r="A18" s="104">
        <f t="shared" si="0"/>
        <v>14</v>
      </c>
      <c r="B18" s="245" t="s">
        <v>42</v>
      </c>
      <c r="C18" s="241">
        <v>38183</v>
      </c>
      <c r="D18" s="241">
        <v>38913</v>
      </c>
      <c r="E18" s="241">
        <v>38499</v>
      </c>
      <c r="F18" s="241" t="s">
        <v>43</v>
      </c>
      <c r="G18" s="241">
        <v>38499</v>
      </c>
      <c r="H18" s="243">
        <v>49456</v>
      </c>
      <c r="I18" s="105">
        <v>1423.88</v>
      </c>
      <c r="J18" s="244">
        <v>12</v>
      </c>
      <c r="K18" s="105">
        <f t="shared" si="1"/>
        <v>17086.56</v>
      </c>
    </row>
    <row r="19" spans="1:11" ht="15" customHeight="1">
      <c r="A19" s="104">
        <f t="shared" si="0"/>
        <v>15</v>
      </c>
      <c r="B19" s="245" t="s">
        <v>18</v>
      </c>
      <c r="C19" s="241">
        <v>37035</v>
      </c>
      <c r="D19" s="241">
        <v>51682</v>
      </c>
      <c r="E19" s="241">
        <v>38898</v>
      </c>
      <c r="F19" s="241" t="s">
        <v>49</v>
      </c>
      <c r="G19" s="241">
        <v>38898</v>
      </c>
      <c r="H19" s="243">
        <v>49841</v>
      </c>
      <c r="I19" s="105">
        <v>16418.45</v>
      </c>
      <c r="J19" s="244">
        <v>12</v>
      </c>
      <c r="K19" s="105">
        <f t="shared" si="1"/>
        <v>197021.4</v>
      </c>
    </row>
    <row r="20" spans="1:11" ht="15" customHeight="1">
      <c r="A20" s="104">
        <f t="shared" si="0"/>
        <v>16</v>
      </c>
      <c r="B20" s="245" t="s">
        <v>57</v>
      </c>
      <c r="C20" s="241">
        <v>33117</v>
      </c>
      <c r="D20" s="241">
        <v>44075</v>
      </c>
      <c r="E20" s="241">
        <v>40900</v>
      </c>
      <c r="F20" s="241" t="s">
        <v>58</v>
      </c>
      <c r="G20" s="241">
        <v>40869</v>
      </c>
      <c r="H20" s="243">
        <v>55472</v>
      </c>
      <c r="I20" s="105">
        <v>33376.57</v>
      </c>
      <c r="J20" s="244">
        <v>12</v>
      </c>
      <c r="K20" s="105">
        <f t="shared" si="1"/>
        <v>400518.84</v>
      </c>
    </row>
    <row r="21" spans="1:11" ht="15" customHeight="1">
      <c r="A21" s="104">
        <f t="shared" si="0"/>
        <v>17</v>
      </c>
      <c r="B21" s="245" t="s">
        <v>61</v>
      </c>
      <c r="C21" s="241">
        <v>38637</v>
      </c>
      <c r="D21" s="241">
        <v>42278</v>
      </c>
      <c r="E21" s="241">
        <v>42160</v>
      </c>
      <c r="F21" s="241" t="s">
        <v>63</v>
      </c>
      <c r="G21" s="241">
        <v>42150</v>
      </c>
      <c r="H21" s="243">
        <v>53102</v>
      </c>
      <c r="I21" s="105">
        <v>6858.54</v>
      </c>
      <c r="J21" s="244">
        <v>12</v>
      </c>
      <c r="K21" s="105">
        <f t="shared" si="1"/>
        <v>82302.48</v>
      </c>
    </row>
    <row r="22" spans="1:11" ht="15" customHeight="1">
      <c r="A22" s="104">
        <f t="shared" si="0"/>
        <v>18</v>
      </c>
      <c r="B22" s="245" t="s">
        <v>62</v>
      </c>
      <c r="C22" s="241">
        <v>39836</v>
      </c>
      <c r="D22" s="241">
        <v>42384</v>
      </c>
      <c r="E22" s="241">
        <v>42160</v>
      </c>
      <c r="F22" s="241" t="s">
        <v>63</v>
      </c>
      <c r="G22" s="241">
        <v>42150</v>
      </c>
      <c r="H22" s="243">
        <v>53102</v>
      </c>
      <c r="I22" s="105">
        <v>26387.48</v>
      </c>
      <c r="J22" s="244">
        <v>12</v>
      </c>
      <c r="K22" s="105">
        <f t="shared" si="1"/>
        <v>316649.76</v>
      </c>
    </row>
    <row r="23" spans="1:11" ht="15" customHeight="1">
      <c r="A23" s="104">
        <f t="shared" si="0"/>
        <v>19</v>
      </c>
      <c r="B23" s="245" t="s">
        <v>132</v>
      </c>
      <c r="C23" s="241">
        <v>39237</v>
      </c>
      <c r="D23" s="241">
        <v>24624</v>
      </c>
      <c r="E23" s="241">
        <v>43217</v>
      </c>
      <c r="F23" s="241"/>
      <c r="G23" s="241"/>
      <c r="H23" s="243">
        <v>61149</v>
      </c>
      <c r="I23" s="105">
        <v>8387.72</v>
      </c>
      <c r="J23" s="244">
        <v>12</v>
      </c>
      <c r="K23" s="105">
        <f t="shared" si="1"/>
        <v>100652.64</v>
      </c>
    </row>
    <row r="24" spans="1:11" ht="15" customHeight="1" thickBot="1">
      <c r="A24" s="104">
        <f t="shared" si="0"/>
        <v>20</v>
      </c>
      <c r="B24" s="246"/>
      <c r="C24" s="247"/>
      <c r="D24" s="247"/>
      <c r="E24" s="247"/>
      <c r="F24" s="247"/>
      <c r="G24" s="247"/>
      <c r="H24" s="247"/>
      <c r="J24" s="247"/>
      <c r="K24" s="248">
        <f>SUM(K9:K23)</f>
        <v>2087866.96</v>
      </c>
    </row>
    <row r="25" spans="1:11" ht="15" customHeight="1" thickTop="1">
      <c r="A25" s="104">
        <f t="shared" si="0"/>
        <v>21</v>
      </c>
      <c r="B25" s="246" t="s">
        <v>110</v>
      </c>
      <c r="C25" s="247"/>
      <c r="D25" s="247"/>
      <c r="E25" s="247"/>
      <c r="F25" s="247"/>
      <c r="G25" s="247"/>
      <c r="H25" s="247"/>
      <c r="I25" s="249"/>
      <c r="J25" s="247"/>
      <c r="K25" s="250">
        <f>'Pg 2 Cost of Total Debt'!H40</f>
        <v>10133422494.07037</v>
      </c>
    </row>
    <row r="26" spans="1:11" ht="12.75" customHeight="1">
      <c r="A26" s="104">
        <f t="shared" si="0"/>
        <v>22</v>
      </c>
      <c r="B26" s="246"/>
      <c r="C26" s="251"/>
      <c r="D26" s="251"/>
      <c r="E26" s="251"/>
      <c r="F26" s="251"/>
      <c r="G26" s="251"/>
      <c r="H26" s="251"/>
      <c r="I26" s="251"/>
      <c r="J26" s="251"/>
      <c r="K26" s="252"/>
    </row>
    <row r="27" spans="1:11" ht="12.75" customHeight="1">
      <c r="A27" s="104">
        <f t="shared" si="0"/>
        <v>23</v>
      </c>
      <c r="B27" s="246" t="s">
        <v>68</v>
      </c>
      <c r="H27" s="253"/>
      <c r="I27" s="253"/>
      <c r="J27" s="253"/>
      <c r="K27" s="203">
        <f>ROUND(K24/K25,4)</f>
        <v>0.0002</v>
      </c>
    </row>
    <row r="28" spans="1:11" ht="12.75" customHeight="1">
      <c r="A28" s="104">
        <f t="shared" si="0"/>
        <v>24</v>
      </c>
      <c r="B28" s="254"/>
      <c r="C28" s="261"/>
      <c r="D28" s="261"/>
      <c r="E28" s="261"/>
      <c r="F28" s="261"/>
      <c r="H28" s="253"/>
      <c r="I28" s="253"/>
      <c r="J28" s="253"/>
      <c r="K28" s="252"/>
    </row>
    <row r="29" spans="1:11" ht="12.75" customHeight="1">
      <c r="A29" s="104">
        <f t="shared" si="0"/>
        <v>25</v>
      </c>
      <c r="B29" s="101" t="s">
        <v>69</v>
      </c>
      <c r="H29" s="253"/>
      <c r="I29" s="253"/>
      <c r="J29" s="253"/>
      <c r="K29" s="252"/>
    </row>
    <row r="30" spans="1:11" ht="12.75" customHeight="1">
      <c r="A30" s="104"/>
      <c r="B30" s="106"/>
      <c r="H30" s="253"/>
      <c r="I30" s="253"/>
      <c r="J30" s="253"/>
      <c r="K30" s="253"/>
    </row>
    <row r="31" spans="1:11" ht="12.75" customHeight="1">
      <c r="A31" s="262"/>
      <c r="H31" s="253"/>
      <c r="I31" s="253"/>
      <c r="J31" s="253"/>
      <c r="K31" s="253"/>
    </row>
    <row r="32" spans="8:11" ht="12.75" customHeight="1">
      <c r="H32" s="253"/>
      <c r="I32" s="253"/>
      <c r="J32" s="253"/>
      <c r="K32" s="253"/>
    </row>
    <row r="33" spans="8:11" ht="12.75" customHeight="1">
      <c r="H33" s="253"/>
      <c r="I33" s="253"/>
      <c r="J33" s="253"/>
      <c r="K33" s="263"/>
    </row>
    <row r="34" spans="8:11" ht="12.75" customHeight="1">
      <c r="H34" s="253"/>
      <c r="I34" s="253"/>
      <c r="J34" s="253"/>
      <c r="K34" s="253"/>
    </row>
    <row r="35" spans="8:11" ht="12.75" customHeight="1">
      <c r="H35" s="253"/>
      <c r="I35" s="253"/>
      <c r="J35" s="253"/>
      <c r="K35" s="253"/>
    </row>
    <row r="36" spans="8:11" ht="12.75" customHeight="1">
      <c r="H36" s="253"/>
      <c r="I36" s="253"/>
      <c r="J36" s="253"/>
      <c r="K36" s="253"/>
    </row>
    <row r="37" spans="8:11" ht="12.75" customHeight="1">
      <c r="H37" s="253"/>
      <c r="I37" s="253"/>
      <c r="J37" s="253"/>
      <c r="K37" s="253"/>
    </row>
    <row r="38" spans="8:11" ht="12.75" customHeight="1">
      <c r="H38" s="253"/>
      <c r="I38" s="253"/>
      <c r="J38" s="253"/>
      <c r="K38" s="253"/>
    </row>
    <row r="39" spans="8:11" ht="12.75" customHeight="1">
      <c r="H39" s="253"/>
      <c r="I39" s="253"/>
      <c r="J39" s="253"/>
      <c r="K39" s="253"/>
    </row>
    <row r="40" spans="8:11" ht="12.75" customHeight="1">
      <c r="H40" s="253"/>
      <c r="I40" s="253"/>
      <c r="J40" s="253"/>
      <c r="K40" s="253"/>
    </row>
    <row r="41" spans="8:11" ht="12.75" customHeight="1">
      <c r="H41" s="253"/>
      <c r="I41" s="253"/>
      <c r="J41" s="253"/>
      <c r="K41" s="253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&amp;C&amp;A&amp;RExhibit No. CGP-4
Page 4 of 4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C8" sqref="C8:O8"/>
    </sheetView>
  </sheetViews>
  <sheetFormatPr defaultColWidth="10.5" defaultRowHeight="11.25"/>
  <cols>
    <col min="1" max="1" width="3.5" style="55" customWidth="1"/>
    <col min="2" max="2" width="28.5" style="55" customWidth="1"/>
    <col min="3" max="3" width="15" style="55" customWidth="1"/>
    <col min="4" max="15" width="13.66015625" style="55" customWidth="1"/>
    <col min="16" max="16" width="15.5" style="55" customWidth="1"/>
    <col min="17" max="17" width="2" style="55" hidden="1" customWidth="1"/>
    <col min="18" max="18" width="8" style="55" bestFit="1" customWidth="1"/>
    <col min="19" max="16384" width="10.5" style="55" customWidth="1"/>
  </cols>
  <sheetData>
    <row r="1" spans="2:16" ht="12">
      <c r="B1" s="51" t="s">
        <v>70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12">
      <c r="B2" s="51" t="s">
        <v>140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13.5" customHeight="1">
      <c r="B3" s="307" t="str">
        <f>'Pg 2 Cost of Total Debt'!B3</f>
        <v>For The 12 Months Ended December 31, 2023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3" ht="12">
      <c r="B4" s="264"/>
      <c r="C4" s="264"/>
    </row>
    <row r="5" spans="1:16" ht="12">
      <c r="A5" s="265">
        <v>1</v>
      </c>
      <c r="B5" s="266" t="s">
        <v>1</v>
      </c>
      <c r="C5" s="266" t="s">
        <v>17</v>
      </c>
      <c r="D5" s="266" t="s">
        <v>24</v>
      </c>
      <c r="E5" s="266" t="s">
        <v>26</v>
      </c>
      <c r="F5" s="266" t="s">
        <v>27</v>
      </c>
      <c r="G5" s="266" t="s">
        <v>28</v>
      </c>
      <c r="H5" s="266" t="s">
        <v>29</v>
      </c>
      <c r="I5" s="266" t="s">
        <v>30</v>
      </c>
      <c r="J5" s="266" t="s">
        <v>31</v>
      </c>
      <c r="K5" s="266" t="s">
        <v>33</v>
      </c>
      <c r="L5" s="266" t="s">
        <v>34</v>
      </c>
      <c r="M5" s="266" t="s">
        <v>35</v>
      </c>
      <c r="N5" s="266" t="s">
        <v>36</v>
      </c>
      <c r="O5" s="266" t="s">
        <v>37</v>
      </c>
      <c r="P5" s="266" t="s">
        <v>38</v>
      </c>
    </row>
    <row r="6" spans="1:16" ht="12">
      <c r="A6" s="265"/>
      <c r="B6" s="266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6"/>
    </row>
    <row r="7" spans="1:16" ht="12" customHeight="1">
      <c r="A7" s="265">
        <f>A5+1</f>
        <v>2</v>
      </c>
      <c r="C7" s="267">
        <v>44926</v>
      </c>
      <c r="D7" s="267">
        <v>44957</v>
      </c>
      <c r="E7" s="267">
        <v>44985</v>
      </c>
      <c r="F7" s="267">
        <v>45016</v>
      </c>
      <c r="G7" s="267">
        <v>45046</v>
      </c>
      <c r="H7" s="267">
        <v>45077</v>
      </c>
      <c r="I7" s="267">
        <v>45107</v>
      </c>
      <c r="J7" s="267">
        <v>45138</v>
      </c>
      <c r="K7" s="267">
        <v>45169</v>
      </c>
      <c r="L7" s="267">
        <v>45199</v>
      </c>
      <c r="M7" s="267">
        <v>45230</v>
      </c>
      <c r="N7" s="267">
        <v>45260</v>
      </c>
      <c r="O7" s="267">
        <v>45291</v>
      </c>
      <c r="P7" s="268" t="s">
        <v>72</v>
      </c>
    </row>
    <row r="8" spans="1:16" ht="12">
      <c r="A8" s="265">
        <f>A7+1</f>
        <v>3</v>
      </c>
      <c r="B8" s="269" t="s">
        <v>73</v>
      </c>
      <c r="C8" s="270">
        <f>'[9]CNSLG Balance Sheet Summary'!AV53/1000</f>
        <v>357000</v>
      </c>
      <c r="D8" s="270">
        <f>'[9]CNSLG Balance Sheet Summary'!AW53/1000</f>
        <v>53000</v>
      </c>
      <c r="E8" s="270">
        <f>'[9]CNSLG Balance Sheet Summary'!AX53/1000</f>
        <v>162000</v>
      </c>
      <c r="F8" s="270">
        <f>'[9]CNSLG Balance Sheet Summary'!AY53/1000</f>
        <v>137000</v>
      </c>
      <c r="G8" s="270">
        <f>'[9]CNSLG Balance Sheet Summary'!AZ53/1000</f>
        <v>50000</v>
      </c>
      <c r="H8" s="270">
        <f>'[9]CNSLG Balance Sheet Summary'!BA53/1000</f>
        <v>0</v>
      </c>
      <c r="I8" s="270">
        <f>'[9]CNSLG Balance Sheet Summary'!BB53/1000</f>
        <v>0</v>
      </c>
      <c r="J8" s="270">
        <f>'[9]CNSLG Balance Sheet Summary'!BC53/1000</f>
        <v>0</v>
      </c>
      <c r="K8" s="270">
        <f>'[9]CNSLG Balance Sheet Summary'!BD53/1000</f>
        <v>0</v>
      </c>
      <c r="L8" s="270">
        <f>'[9]CNSLG Balance Sheet Summary'!BE53/1000</f>
        <v>0</v>
      </c>
      <c r="M8" s="270">
        <f>'[9]CNSLG Balance Sheet Summary'!BF53/1000</f>
        <v>0</v>
      </c>
      <c r="N8" s="270">
        <f>'[9]CNSLG Balance Sheet Summary'!BG53/1000</f>
        <v>0</v>
      </c>
      <c r="O8" s="270">
        <f>'[9]CNSLG Balance Sheet Summary'!BH53/1000</f>
        <v>326020.838956398</v>
      </c>
      <c r="P8" s="271">
        <f>ROUND(((C8+O8)+(SUM(D8:N8)*2))/24,3)</f>
        <v>61959.202</v>
      </c>
    </row>
    <row r="9" spans="1:16" ht="5.25" customHeight="1">
      <c r="A9" s="265"/>
      <c r="B9" s="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</row>
    <row r="10" spans="1:16" ht="12">
      <c r="A10" s="265">
        <f>A8+1</f>
        <v>4</v>
      </c>
      <c r="B10" s="269" t="s">
        <v>74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2"/>
    </row>
    <row r="11" spans="1:16" ht="12">
      <c r="A11" s="265">
        <f>A10+1</f>
        <v>5</v>
      </c>
      <c r="B11" s="71" t="s">
        <v>75</v>
      </c>
      <c r="C11" s="270">
        <f>+C8</f>
        <v>357000</v>
      </c>
      <c r="D11" s="270">
        <f aca="true" t="shared" si="0" ref="D11:O11">+D8</f>
        <v>53000</v>
      </c>
      <c r="E11" s="270">
        <f t="shared" si="0"/>
        <v>162000</v>
      </c>
      <c r="F11" s="270">
        <f t="shared" si="0"/>
        <v>137000</v>
      </c>
      <c r="G11" s="270">
        <f t="shared" si="0"/>
        <v>50000</v>
      </c>
      <c r="H11" s="270">
        <f t="shared" si="0"/>
        <v>0</v>
      </c>
      <c r="I11" s="270">
        <f t="shared" si="0"/>
        <v>0</v>
      </c>
      <c r="J11" s="270">
        <f t="shared" si="0"/>
        <v>0</v>
      </c>
      <c r="K11" s="270">
        <f t="shared" si="0"/>
        <v>0</v>
      </c>
      <c r="L11" s="270">
        <f t="shared" si="0"/>
        <v>0</v>
      </c>
      <c r="M11" s="270">
        <f t="shared" si="0"/>
        <v>0</v>
      </c>
      <c r="N11" s="270">
        <f t="shared" si="0"/>
        <v>0</v>
      </c>
      <c r="O11" s="270">
        <f t="shared" si="0"/>
        <v>326020.838956398</v>
      </c>
      <c r="P11" s="271">
        <f>ROUND(((C11+O11)+(SUM(D11:N11)*2))/24,3)</f>
        <v>61959.202</v>
      </c>
    </row>
    <row r="12" spans="1:16" ht="12">
      <c r="A12" s="265">
        <f>A11+1</f>
        <v>6</v>
      </c>
      <c r="B12" s="71" t="s">
        <v>76</v>
      </c>
      <c r="C12" s="274">
        <f>C8-C11</f>
        <v>0</v>
      </c>
      <c r="D12" s="274">
        <f aca="true" t="shared" si="1" ref="D12:O12">D8-D11</f>
        <v>0</v>
      </c>
      <c r="E12" s="274">
        <f t="shared" si="1"/>
        <v>0</v>
      </c>
      <c r="F12" s="274">
        <f t="shared" si="1"/>
        <v>0</v>
      </c>
      <c r="G12" s="274">
        <f t="shared" si="1"/>
        <v>0</v>
      </c>
      <c r="H12" s="274">
        <f t="shared" si="1"/>
        <v>0</v>
      </c>
      <c r="I12" s="274">
        <f t="shared" si="1"/>
        <v>0</v>
      </c>
      <c r="J12" s="274">
        <f t="shared" si="1"/>
        <v>0</v>
      </c>
      <c r="K12" s="274">
        <f t="shared" si="1"/>
        <v>0</v>
      </c>
      <c r="L12" s="274">
        <f t="shared" si="1"/>
        <v>0</v>
      </c>
      <c r="M12" s="274">
        <f t="shared" si="1"/>
        <v>0</v>
      </c>
      <c r="N12" s="274">
        <f t="shared" si="1"/>
        <v>0</v>
      </c>
      <c r="O12" s="274">
        <f t="shared" si="1"/>
        <v>0</v>
      </c>
      <c r="P12" s="271">
        <f>ROUND(((C12+O12)+(SUM(D12:N12)*2))/24,3)</f>
        <v>0</v>
      </c>
    </row>
    <row r="13" spans="1:16" ht="12">
      <c r="A13" s="265">
        <f>A12+1</f>
        <v>7</v>
      </c>
      <c r="B13" s="275" t="s">
        <v>77</v>
      </c>
      <c r="C13" s="276">
        <f aca="true" t="shared" si="2" ref="C13:O13">SUM(C11:C12)</f>
        <v>357000</v>
      </c>
      <c r="D13" s="276">
        <f t="shared" si="2"/>
        <v>53000</v>
      </c>
      <c r="E13" s="276">
        <f t="shared" si="2"/>
        <v>162000</v>
      </c>
      <c r="F13" s="276">
        <f t="shared" si="2"/>
        <v>137000</v>
      </c>
      <c r="G13" s="276">
        <f t="shared" si="2"/>
        <v>50000</v>
      </c>
      <c r="H13" s="276">
        <f t="shared" si="2"/>
        <v>0</v>
      </c>
      <c r="I13" s="276">
        <f t="shared" si="2"/>
        <v>0</v>
      </c>
      <c r="J13" s="276">
        <f t="shared" si="2"/>
        <v>0</v>
      </c>
      <c r="K13" s="276">
        <f t="shared" si="2"/>
        <v>0</v>
      </c>
      <c r="L13" s="276">
        <f t="shared" si="2"/>
        <v>0</v>
      </c>
      <c r="M13" s="276">
        <f t="shared" si="2"/>
        <v>0</v>
      </c>
      <c r="N13" s="276">
        <f t="shared" si="2"/>
        <v>0</v>
      </c>
      <c r="O13" s="276">
        <f t="shared" si="2"/>
        <v>326020.838956398</v>
      </c>
      <c r="P13" s="277">
        <f>ROUND(((C13+O13)+(SUM(D13:N13)*2))/24,3)</f>
        <v>61959.202</v>
      </c>
    </row>
    <row r="14" spans="1:18" ht="12" customHeight="1">
      <c r="A14" s="265">
        <v>8</v>
      </c>
      <c r="R14" s="278"/>
    </row>
    <row r="15" spans="1:16" ht="12" customHeight="1">
      <c r="A15" s="265">
        <f aca="true" t="shared" si="3" ref="A15:A20">A14+1</f>
        <v>9</v>
      </c>
      <c r="B15" s="275" t="s">
        <v>134</v>
      </c>
      <c r="C15" s="279">
        <f>SUM('Pg 2 Cost of Total Debt'!I10:I28)/1000</f>
        <v>4823860</v>
      </c>
      <c r="D15" s="280">
        <f>C15</f>
        <v>4823860</v>
      </c>
      <c r="E15" s="280">
        <f aca="true" t="shared" si="4" ref="E15:K15">D15</f>
        <v>4823860</v>
      </c>
      <c r="F15" s="280">
        <f t="shared" si="4"/>
        <v>4823860</v>
      </c>
      <c r="G15" s="280">
        <f t="shared" si="4"/>
        <v>4823860</v>
      </c>
      <c r="H15" s="280">
        <f>SUM('Pg 2 Cost of Total Debt'!I10:I29)/1000</f>
        <v>5223860</v>
      </c>
      <c r="I15" s="280">
        <f t="shared" si="4"/>
        <v>5223860</v>
      </c>
      <c r="J15" s="280">
        <f t="shared" si="4"/>
        <v>5223860</v>
      </c>
      <c r="K15" s="280">
        <f t="shared" si="4"/>
        <v>5223860</v>
      </c>
      <c r="L15" s="279">
        <f>SUM('Pg 2 Cost of Total Debt'!I10:I29)/1000</f>
        <v>5223860</v>
      </c>
      <c r="M15" s="280">
        <f>L15</f>
        <v>5223860</v>
      </c>
      <c r="N15" s="280">
        <f>M15</f>
        <v>5223860</v>
      </c>
      <c r="O15" s="280">
        <f>N15</f>
        <v>5223860</v>
      </c>
      <c r="P15" s="281">
        <f>ROUND(((C15+O15)+(SUM(D15:N15)*2))/24,3)</f>
        <v>5073860</v>
      </c>
    </row>
    <row r="16" spans="1:18" ht="12" customHeight="1" thickBot="1">
      <c r="A16" s="265">
        <f>A15+1</f>
        <v>10</v>
      </c>
      <c r="B16" s="282" t="s">
        <v>135</v>
      </c>
      <c r="C16" s="283">
        <f>+C13+C15</f>
        <v>5180860</v>
      </c>
      <c r="D16" s="283">
        <f>C16</f>
        <v>5180860</v>
      </c>
      <c r="E16" s="283">
        <f aca="true" t="shared" si="5" ref="E16:O16">D16</f>
        <v>5180860</v>
      </c>
      <c r="F16" s="283">
        <f t="shared" si="5"/>
        <v>5180860</v>
      </c>
      <c r="G16" s="283">
        <f t="shared" si="5"/>
        <v>5180860</v>
      </c>
      <c r="H16" s="283">
        <f t="shared" si="5"/>
        <v>5180860</v>
      </c>
      <c r="I16" s="283">
        <f t="shared" si="5"/>
        <v>5180860</v>
      </c>
      <c r="J16" s="283">
        <f t="shared" si="5"/>
        <v>5180860</v>
      </c>
      <c r="K16" s="283">
        <f t="shared" si="5"/>
        <v>5180860</v>
      </c>
      <c r="L16" s="283">
        <f t="shared" si="5"/>
        <v>5180860</v>
      </c>
      <c r="M16" s="283">
        <f t="shared" si="5"/>
        <v>5180860</v>
      </c>
      <c r="N16" s="283">
        <f t="shared" si="5"/>
        <v>5180860</v>
      </c>
      <c r="O16" s="283">
        <f t="shared" si="5"/>
        <v>5180860</v>
      </c>
      <c r="P16" s="284">
        <f>+P13+P15</f>
        <v>5135819.202</v>
      </c>
      <c r="R16" s="278"/>
    </row>
    <row r="17" spans="1:18" ht="12" customHeight="1" thickTop="1">
      <c r="A17" s="265">
        <f t="shared" si="3"/>
        <v>11</v>
      </c>
      <c r="B17" s="282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6"/>
      <c r="R17" s="278"/>
    </row>
    <row r="18" spans="1:18" ht="12" customHeight="1">
      <c r="A18" s="265">
        <f t="shared" si="3"/>
        <v>12</v>
      </c>
      <c r="B18" s="287" t="s">
        <v>137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90">
        <f>+P13/P16*(1-'Pg 1 CofCap'!D22)</f>
        <v>0.0061143411356089986</v>
      </c>
      <c r="R18" s="278"/>
    </row>
    <row r="19" spans="1:18" ht="12" customHeight="1">
      <c r="A19" s="265">
        <f t="shared" si="3"/>
        <v>13</v>
      </c>
      <c r="B19" s="287" t="s">
        <v>136</v>
      </c>
      <c r="C19" s="289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95"/>
      <c r="P19" s="290">
        <f>P15/P16*(1-'Pg 1 CofCap'!D22)</f>
        <v>0.5007054628353844</v>
      </c>
      <c r="R19" s="278"/>
    </row>
    <row r="20" spans="1:18" ht="12" customHeight="1">
      <c r="A20" s="265">
        <f t="shared" si="3"/>
        <v>14</v>
      </c>
      <c r="B20" s="282" t="s">
        <v>139</v>
      </c>
      <c r="C20" s="289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95"/>
      <c r="P20" s="291">
        <f>SUM(P18:P19)</f>
        <v>0.5068198039709935</v>
      </c>
      <c r="R20" s="278"/>
    </row>
    <row r="21" spans="1:2" ht="12" customHeight="1">
      <c r="A21" s="265"/>
      <c r="B21" s="269"/>
    </row>
    <row r="22" spans="2:15" ht="1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</sheetData>
  <sheetProtection/>
  <mergeCells count="1">
    <mergeCell ref="B3:P3"/>
  </mergeCells>
  <printOptions horizontalCentered="1"/>
  <pageMargins left="0.27" right="0.23" top="0.61" bottom="0.77" header="0.27" footer="0.27"/>
  <pageSetup horizontalDpi="600" verticalDpi="600" orientation="landscape" scale="73" r:id="rId1"/>
  <headerFooter alignWithMargins="0">
    <oddHeader>&amp;C&amp;20
</oddHeader>
    <oddFooter>&amp;C&amp;A&amp;R&amp;"Times New Roman,Regular"Exhibit No. CGP-4
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Perkins Coie</cp:lastModifiedBy>
  <cp:lastPrinted>2024-01-17T18:44:35Z</cp:lastPrinted>
  <dcterms:created xsi:type="dcterms:W3CDTF">2016-12-21T02:43:36Z</dcterms:created>
  <dcterms:modified xsi:type="dcterms:W3CDTF">2024-02-02T22:35:14Z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DocketNumber">
    <vt:lpwstr>240004</vt:lpwstr>
  </property>
  <property fmtid="{D5CDD505-2E9C-101B-9397-08002B2CF9AE}" pid="9" name="Date1">
    <vt:lpwstr>2024-02-15T00:00:00Z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2024-01-03T00:00:00Z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