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1431DFF-2000-413B-A78B-94B1DE607696}" xr6:coauthVersionLast="47" xr6:coauthVersionMax="47" xr10:uidLastSave="{00000000-0000-0000-0000-000000000000}"/>
  <bookViews>
    <workbookView xWindow="525" yWindow="1020" windowWidth="21600" windowHeight="11385" xr2:uid="{00000000-000D-0000-FFFF-FFFF00000000}"/>
  </bookViews>
  <sheets>
    <sheet name="Exhibit JP-2 PCAM Calcul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0">'Exhibit JP-2 PCAM Calculation'!$A$1:$P$45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'[4]DSM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N36" i="1"/>
  <c r="M36" i="1"/>
  <c r="L36" i="1"/>
  <c r="K36" i="1"/>
  <c r="J36" i="1"/>
  <c r="I36" i="1"/>
  <c r="H36" i="1"/>
  <c r="G36" i="1"/>
  <c r="F36" i="1"/>
  <c r="E36" i="1"/>
  <c r="A18" i="1"/>
  <c r="A20" i="1" s="1"/>
  <c r="C14" i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C9" i="1"/>
  <c r="D9" i="1"/>
  <c r="A21" i="1" l="1"/>
  <c r="N14" i="1"/>
  <c r="N16" i="1" s="1"/>
  <c r="N20" i="1" s="1"/>
  <c r="F14" i="1"/>
  <c r="F16" i="1" s="1"/>
  <c r="M14" i="1"/>
  <c r="M16" i="1" s="1"/>
  <c r="M20" i="1" s="1"/>
  <c r="E14" i="1"/>
  <c r="E16" i="1" s="1"/>
  <c r="E20" i="1" s="1"/>
  <c r="L14" i="1"/>
  <c r="L16" i="1" s="1"/>
  <c r="L20" i="1" s="1"/>
  <c r="D14" i="1"/>
  <c r="D16" i="1" s="1"/>
  <c r="D20" i="1" s="1"/>
  <c r="D21" i="1" s="1"/>
  <c r="K14" i="1"/>
  <c r="K16" i="1" s="1"/>
  <c r="K20" i="1" s="1"/>
  <c r="J14" i="1"/>
  <c r="J16" i="1" s="1"/>
  <c r="J20" i="1" s="1"/>
  <c r="I14" i="1"/>
  <c r="I16" i="1" s="1"/>
  <c r="O14" i="1"/>
  <c r="O16" i="1" s="1"/>
  <c r="O20" i="1" s="1"/>
  <c r="G14" i="1"/>
  <c r="G16" i="1" s="1"/>
  <c r="D11" i="1"/>
  <c r="H14" i="1"/>
  <c r="H16" i="1" s="1"/>
  <c r="H20" i="1" s="1"/>
  <c r="F20" i="1"/>
  <c r="I20" i="1"/>
  <c r="G20" i="1"/>
  <c r="P18" i="1"/>
  <c r="C21" i="1"/>
  <c r="C20" i="1"/>
  <c r="A24" i="1"/>
  <c r="A25" i="1" s="1"/>
  <c r="A26" i="1" s="1"/>
  <c r="E21" i="1" l="1"/>
  <c r="A29" i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P16" i="1"/>
  <c r="I39" i="1"/>
  <c r="H39" i="1"/>
  <c r="O39" i="1"/>
  <c r="G39" i="1"/>
  <c r="N39" i="1"/>
  <c r="F39" i="1"/>
  <c r="M39" i="1"/>
  <c r="E39" i="1"/>
  <c r="L39" i="1"/>
  <c r="D39" i="1"/>
  <c r="K39" i="1"/>
  <c r="J39" i="1"/>
  <c r="M26" i="1" l="1"/>
  <c r="E26" i="1"/>
  <c r="L26" i="1"/>
  <c r="D26" i="1"/>
  <c r="N26" i="1"/>
  <c r="K26" i="1"/>
  <c r="J26" i="1"/>
  <c r="I26" i="1"/>
  <c r="H26" i="1"/>
  <c r="F26" i="1"/>
  <c r="O26" i="1"/>
  <c r="G26" i="1"/>
  <c r="A30" i="1"/>
  <c r="J30" i="1" l="1"/>
  <c r="J25" i="1"/>
  <c r="J31" i="1"/>
  <c r="J29" i="1"/>
  <c r="J32" i="1"/>
  <c r="K32" i="1"/>
  <c r="K25" i="1"/>
  <c r="K29" i="1" s="1"/>
  <c r="K31" i="1"/>
  <c r="K30" i="1"/>
  <c r="N32" i="1"/>
  <c r="N30" i="1"/>
  <c r="N25" i="1"/>
  <c r="N29" i="1" s="1"/>
  <c r="N31" i="1"/>
  <c r="G32" i="1"/>
  <c r="G30" i="1"/>
  <c r="G25" i="1"/>
  <c r="G29" i="1" s="1"/>
  <c r="G31" i="1"/>
  <c r="D31" i="1"/>
  <c r="D29" i="1"/>
  <c r="D33" i="1" s="1"/>
  <c r="D32" i="1"/>
  <c r="D30" i="1"/>
  <c r="D25" i="1"/>
  <c r="A31" i="1"/>
  <c r="O32" i="1"/>
  <c r="P26" i="1"/>
  <c r="O30" i="1"/>
  <c r="O25" i="1"/>
  <c r="O29" i="1" s="1"/>
  <c r="O31" i="1"/>
  <c r="L31" i="1"/>
  <c r="L32" i="1"/>
  <c r="L30" i="1"/>
  <c r="L25" i="1"/>
  <c r="L29" i="1" s="1"/>
  <c r="F31" i="1"/>
  <c r="F32" i="1"/>
  <c r="F30" i="1"/>
  <c r="F25" i="1"/>
  <c r="F29" i="1" s="1"/>
  <c r="E31" i="1"/>
  <c r="E29" i="1"/>
  <c r="E33" i="1" s="1"/>
  <c r="E38" i="1" s="1"/>
  <c r="E40" i="1" s="1"/>
  <c r="E32" i="1"/>
  <c r="E30" i="1"/>
  <c r="E25" i="1"/>
  <c r="I30" i="1"/>
  <c r="I25" i="1"/>
  <c r="I31" i="1"/>
  <c r="I29" i="1"/>
  <c r="I32" i="1"/>
  <c r="H32" i="1"/>
  <c r="H31" i="1"/>
  <c r="H30" i="1"/>
  <c r="H25" i="1"/>
  <c r="H29" i="1" s="1"/>
  <c r="H33" i="1" s="1"/>
  <c r="H38" i="1" s="1"/>
  <c r="M31" i="1"/>
  <c r="M25" i="1"/>
  <c r="M29" i="1" s="1"/>
  <c r="M32" i="1"/>
  <c r="M30" i="1"/>
  <c r="M33" i="1" l="1"/>
  <c r="M38" i="1" s="1"/>
  <c r="F33" i="1"/>
  <c r="F38" i="1" s="1"/>
  <c r="F40" i="1" s="1"/>
  <c r="L33" i="1"/>
  <c r="L38" i="1" s="1"/>
  <c r="G33" i="1"/>
  <c r="G38" i="1" s="1"/>
  <c r="N33" i="1"/>
  <c r="N38" i="1" s="1"/>
  <c r="O33" i="1"/>
  <c r="O38" i="1" s="1"/>
  <c r="J33" i="1"/>
  <c r="J38" i="1" s="1"/>
  <c r="I33" i="1"/>
  <c r="I38" i="1" s="1"/>
  <c r="K33" i="1"/>
  <c r="K38" i="1" s="1"/>
  <c r="D38" i="1"/>
  <c r="D40" i="1" s="1"/>
  <c r="A32" i="1"/>
  <c r="A33" i="1" l="1"/>
  <c r="A36" i="1" s="1"/>
  <c r="A37" i="1"/>
  <c r="A38" i="1" s="1"/>
  <c r="A44" i="1" s="1"/>
  <c r="A45" i="1" s="1"/>
  <c r="P33" i="1"/>
  <c r="D44" i="1"/>
  <c r="D42" i="1"/>
  <c r="D45" i="1" l="1"/>
  <c r="E37" i="1" s="1"/>
  <c r="E42" i="1" l="1"/>
  <c r="E44" i="1"/>
  <c r="E45" i="1" l="1"/>
  <c r="F37" i="1" s="1"/>
  <c r="F42" i="1" l="1"/>
  <c r="F44" i="1"/>
  <c r="F45" i="1" l="1"/>
  <c r="G37" i="1" s="1"/>
  <c r="G42" i="1" l="1"/>
  <c r="G44" i="1"/>
  <c r="G45" i="1" l="1"/>
  <c r="H37" i="1" s="1"/>
  <c r="H42" i="1" l="1"/>
  <c r="H44" i="1"/>
  <c r="H45" i="1" l="1"/>
  <c r="I37" i="1" s="1"/>
  <c r="I42" i="1" l="1"/>
  <c r="I44" i="1"/>
  <c r="I45" i="1" l="1"/>
  <c r="J37" i="1" s="1"/>
  <c r="J42" i="1" l="1"/>
  <c r="J44" i="1"/>
  <c r="J45" i="1" l="1"/>
  <c r="K37" i="1" s="1"/>
  <c r="K44" i="1" l="1"/>
  <c r="K42" i="1"/>
  <c r="K45" i="1" s="1"/>
  <c r="L37" i="1" s="1"/>
  <c r="L44" i="1" l="1"/>
  <c r="L42" i="1"/>
  <c r="L45" i="1" s="1"/>
  <c r="M37" i="1" s="1"/>
  <c r="M44" i="1" l="1"/>
  <c r="M42" i="1"/>
  <c r="M45" i="1" s="1"/>
  <c r="N37" i="1" s="1"/>
  <c r="N42" i="1" l="1"/>
  <c r="N44" i="1"/>
  <c r="N45" i="1" l="1"/>
  <c r="O37" i="1" s="1"/>
  <c r="O42" i="1" l="1"/>
  <c r="O44" i="1"/>
  <c r="O45" i="1" l="1"/>
  <c r="P45" i="1" s="1"/>
</calcChain>
</file>

<file path=xl/sharedStrings.xml><?xml version="1.0" encoding="utf-8"?>
<sst xmlns="http://schemas.openxmlformats.org/spreadsheetml/2006/main" count="62" uniqueCount="61">
  <si>
    <t>Line No.</t>
  </si>
  <si>
    <t>Base NPC in Rates:</t>
  </si>
  <si>
    <t>UE-191024</t>
  </si>
  <si>
    <t>Total Annual NPC in Rates</t>
  </si>
  <si>
    <t>Retail Sales @ Meter in Rates</t>
  </si>
  <si>
    <t>NPC $/MWh - Final NPC October Update</t>
  </si>
  <si>
    <t>3a</t>
  </si>
  <si>
    <t>NPC $/MWh - Settlement NPC in Rates</t>
  </si>
  <si>
    <t>Settlement / Line 2</t>
  </si>
  <si>
    <t>3b</t>
  </si>
  <si>
    <t>Difference Between Final NPC and Settlement NPC</t>
  </si>
  <si>
    <t>Line 3 - Line 3a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</si>
  <si>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</si>
  <si>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</si>
  <si>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</si>
  <si>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</si>
  <si>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</si>
  <si>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</si>
  <si>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</si>
  <si>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</si>
  <si>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</si>
  <si>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</si>
  <si>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</si>
  <si>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</si>
  <si>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</si>
  <si>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</si>
  <si>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</si>
  <si>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</si>
  <si>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</si>
  <si>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</si>
  <si>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</si>
  <si>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</si>
  <si>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</si>
  <si>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</si>
  <si>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</si>
  <si>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</si>
  <si>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</si>
  <si>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</si>
  <si>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</si>
  <si>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</si>
  <si>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</si>
  <si>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Line 17</t>
  </si>
  <si>
    <t>20a</t>
  </si>
  <si>
    <t>DNBA Adjustment</t>
  </si>
  <si>
    <t>Line 3b x Line 5</t>
  </si>
  <si>
    <t>20b</t>
  </si>
  <si>
    <t>Total Adjustment</t>
  </si>
  <si>
    <t>Line 20 + Line 20a</t>
  </si>
  <si>
    <t>20c</t>
  </si>
  <si>
    <t>Incremental Deferral After Sharing and DNBA Adjustment</t>
  </si>
  <si>
    <t>Line 19 + Line 20b</t>
  </si>
  <si>
    <t>Carrying Charge</t>
  </si>
  <si>
    <t>[Line 19  + (Line 20b x 50%)] x Line 18/12</t>
  </si>
  <si>
    <t>Ending PCAM Balance</t>
  </si>
  <si>
    <t>Line 20c + Line 21</t>
  </si>
  <si>
    <t>Washington Power Cost Adjustment Mechanism</t>
  </si>
  <si>
    <t>Deferral Period: January 1, 2022 - December 31, 2022</t>
  </si>
  <si>
    <t>Exhibit No. JP-2: Power Cost Adjustment Mechanism Calculation</t>
  </si>
  <si>
    <t>(4.1)</t>
  </si>
  <si>
    <t>(7.1)</t>
  </si>
  <si>
    <t>(3.1)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</si>
</sst>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 applyBorder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0" fillId="0" borderId="0" xfId="0" applyFont="1"/>
    <xf numFmtId="44" fontId="4" fillId="0" borderId="1" xfId="2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44" fontId="2" fillId="0" borderId="0" xfId="0" applyNumberFormat="1" applyFont="1" applyBorder="1"/>
    <xf numFmtId="44" fontId="4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4" applyNumberFormat="1" applyFont="1" applyFill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1" fontId="4" fillId="0" borderId="0" xfId="4" applyNumberFormat="1" applyFont="1" applyFill="1" applyAlignment="1">
      <alignment horizontal="right" vertical="center"/>
    </xf>
    <xf numFmtId="41" fontId="0" fillId="0" borderId="1" xfId="0" applyNumberFormat="1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/>
    <xf numFmtId="0" fontId="0" fillId="0" borderId="0" xfId="0" applyFont="1" applyFill="1" applyAlignment="1">
      <alignment horizontal="left" vertical="center" wrapText="1"/>
    </xf>
    <xf numFmtId="41" fontId="1" fillId="0" borderId="1" xfId="4" applyNumberFormat="1" applyFont="1" applyFill="1" applyBorder="1" applyAlignment="1">
      <alignment horizontal="center" vertical="center"/>
    </xf>
    <xf numFmtId="41" fontId="1" fillId="0" borderId="0" xfId="4" applyNumberFormat="1" applyFont="1" applyFill="1" applyBorder="1" applyAlignment="1">
      <alignment horizontal="center" vertical="center"/>
    </xf>
    <xf numFmtId="41" fontId="2" fillId="0" borderId="0" xfId="0" applyNumberFormat="1" applyFont="1" applyBorder="1"/>
    <xf numFmtId="0" fontId="4" fillId="0" borderId="0" xfId="0" applyFont="1" applyFill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5" fontId="4" fillId="0" borderId="0" xfId="4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1" fontId="0" fillId="0" borderId="0" xfId="0" applyNumberFormat="1" applyFont="1"/>
    <xf numFmtId="166" fontId="0" fillId="0" borderId="0" xfId="1" applyNumberFormat="1" applyFont="1"/>
    <xf numFmtId="41" fontId="4" fillId="0" borderId="0" xfId="4" applyNumberFormat="1" applyFont="1" applyFill="1" applyBorder="1" applyAlignment="1">
      <alignment horizontal="right" vertical="center"/>
    </xf>
    <xf numFmtId="165" fontId="0" fillId="0" borderId="0" xfId="0" applyNumberFormat="1" applyBorder="1"/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center" vertical="center"/>
    </xf>
    <xf numFmtId="9" fontId="0" fillId="0" borderId="0" xfId="3" applyFont="1"/>
    <xf numFmtId="166" fontId="4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4" fillId="0" borderId="0" xfId="4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10" fontId="0" fillId="0" borderId="0" xfId="3" applyNumberFormat="1" applyFont="1" applyFill="1"/>
    <xf numFmtId="165" fontId="0" fillId="0" borderId="0" xfId="2" applyNumberFormat="1" applyFont="1" applyFill="1" applyAlignment="1">
      <alignment horizontal="center"/>
    </xf>
    <xf numFmtId="43" fontId="0" fillId="0" borderId="0" xfId="0" applyNumberFormat="1"/>
    <xf numFmtId="166" fontId="0" fillId="0" borderId="0" xfId="1" applyNumberFormat="1" applyFont="1" applyFill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">
    <cellStyle name="Comma" xfId="1" builtinId="3"/>
    <cellStyle name="Currency" xfId="2" builtinId="4"/>
    <cellStyle name="Currency 2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19.42578125" style="2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1" t="s">
        <v>55</v>
      </c>
    </row>
    <row r="2" spans="1:16" x14ac:dyDescent="0.2">
      <c r="A2" s="1" t="s">
        <v>56</v>
      </c>
    </row>
    <row r="3" spans="1:16" x14ac:dyDescent="0.2">
      <c r="A3" s="1" t="s">
        <v>57</v>
      </c>
    </row>
    <row r="4" spans="1:16" x14ac:dyDescent="0.2">
      <c r="C4" s="3"/>
      <c r="D4" s="4"/>
      <c r="E4" s="4"/>
      <c r="F4" s="4"/>
      <c r="G4" s="4"/>
    </row>
    <row r="5" spans="1:16" ht="25.5" x14ac:dyDescent="0.2">
      <c r="A5" s="5" t="s">
        <v>0</v>
      </c>
      <c r="B5" s="6"/>
      <c r="C5" s="7"/>
      <c r="E5" s="8"/>
      <c r="F5" s="8"/>
      <c r="G5" s="8"/>
      <c r="H5" s="9"/>
    </row>
    <row r="6" spans="1:16" x14ac:dyDescent="0.2">
      <c r="A6" s="10" t="s">
        <v>1</v>
      </c>
      <c r="B6" s="11"/>
      <c r="C6" s="12"/>
      <c r="D6" s="9" t="s">
        <v>2</v>
      </c>
      <c r="E6" s="13"/>
      <c r="F6" s="13"/>
      <c r="G6" s="13"/>
      <c r="H6" s="4"/>
    </row>
    <row r="7" spans="1:16" x14ac:dyDescent="0.2">
      <c r="A7" s="14">
        <v>1</v>
      </c>
      <c r="B7" s="15" t="s">
        <v>3</v>
      </c>
      <c r="C7" s="16" t="s">
        <v>58</v>
      </c>
      <c r="D7" s="17">
        <v>119524079.43418483</v>
      </c>
      <c r="E7" s="17"/>
      <c r="F7" s="17"/>
      <c r="G7" s="17"/>
      <c r="H7" s="18"/>
    </row>
    <row r="8" spans="1:16" x14ac:dyDescent="0.2">
      <c r="A8" s="19">
        <v>2</v>
      </c>
      <c r="B8" t="s">
        <v>4</v>
      </c>
      <c r="C8" s="16" t="s">
        <v>59</v>
      </c>
      <c r="D8" s="20">
        <v>4081606.818594561</v>
      </c>
      <c r="E8" s="20"/>
      <c r="F8" s="20"/>
      <c r="G8" s="20"/>
      <c r="H8" s="18"/>
    </row>
    <row r="9" spans="1:16" x14ac:dyDescent="0.2">
      <c r="A9" s="19">
        <v>3</v>
      </c>
      <c r="B9" s="21" t="s">
        <v>5</v>
      </c>
      <c r="C9" s="16" t="str">
        <f>"Line "&amp;A7&amp;" / Line "&amp;A8</f>
        <v>Line 1 / Line 2</v>
      </c>
      <c r="D9" s="22">
        <f>+D7/D8</f>
        <v>29.283584810195197</v>
      </c>
      <c r="E9" s="23"/>
      <c r="F9" s="23"/>
      <c r="G9" s="23"/>
      <c r="H9" s="23"/>
      <c r="I9" s="24"/>
    </row>
    <row r="10" spans="1:16" x14ac:dyDescent="0.2">
      <c r="A10" s="19" t="s">
        <v>6</v>
      </c>
      <c r="B10" s="21" t="s">
        <v>7</v>
      </c>
      <c r="C10" s="16" t="s">
        <v>8</v>
      </c>
      <c r="D10" s="25">
        <v>24.906974445292967</v>
      </c>
      <c r="E10" s="23"/>
      <c r="F10" s="23"/>
      <c r="G10" s="23"/>
      <c r="H10" s="23"/>
      <c r="I10" s="24"/>
    </row>
    <row r="11" spans="1:16" x14ac:dyDescent="0.2">
      <c r="A11" s="19" t="s">
        <v>9</v>
      </c>
      <c r="B11" s="21" t="s">
        <v>10</v>
      </c>
      <c r="C11" s="16" t="s">
        <v>11</v>
      </c>
      <c r="D11" s="25">
        <f>D9-D10</f>
        <v>4.3766103649022305</v>
      </c>
      <c r="E11" s="23"/>
      <c r="F11" s="23"/>
      <c r="G11" s="23"/>
      <c r="H11" s="23"/>
      <c r="I11" s="24"/>
    </row>
    <row r="12" spans="1:16" x14ac:dyDescent="0.2">
      <c r="A12" s="26"/>
      <c r="B12" s="11"/>
      <c r="C12" s="16"/>
      <c r="D12" s="27"/>
      <c r="E12" s="27"/>
      <c r="F12" s="27"/>
      <c r="G12" s="27"/>
      <c r="H12" s="4"/>
      <c r="I12" s="4"/>
    </row>
    <row r="13" spans="1:16" x14ac:dyDescent="0.2">
      <c r="A13" s="28" t="s">
        <v>12</v>
      </c>
      <c r="B13" s="29"/>
      <c r="C13" s="16"/>
      <c r="D13" s="30">
        <v>44562</v>
      </c>
      <c r="E13" s="30">
        <f>EDATE(D13,1)</f>
        <v>44593</v>
      </c>
      <c r="F13" s="30">
        <f t="shared" ref="F13:O13" si="0">EDATE(E13,1)</f>
        <v>44621</v>
      </c>
      <c r="G13" s="30">
        <f t="shared" si="0"/>
        <v>44652</v>
      </c>
      <c r="H13" s="30">
        <f t="shared" si="0"/>
        <v>44682</v>
      </c>
      <c r="I13" s="30">
        <f t="shared" si="0"/>
        <v>44713</v>
      </c>
      <c r="J13" s="30">
        <f t="shared" si="0"/>
        <v>44743</v>
      </c>
      <c r="K13" s="30">
        <f t="shared" si="0"/>
        <v>44774</v>
      </c>
      <c r="L13" s="30">
        <f t="shared" si="0"/>
        <v>44805</v>
      </c>
      <c r="M13" s="30">
        <f t="shared" si="0"/>
        <v>44835</v>
      </c>
      <c r="N13" s="30">
        <f t="shared" si="0"/>
        <v>44866</v>
      </c>
      <c r="O13" s="30">
        <f t="shared" si="0"/>
        <v>44896</v>
      </c>
      <c r="P13" s="31" t="s">
        <v>13</v>
      </c>
    </row>
    <row r="14" spans="1:16" x14ac:dyDescent="0.2">
      <c r="A14" s="14">
        <v>4</v>
      </c>
      <c r="B14" s="29" t="s">
        <v>14</v>
      </c>
      <c r="C14" s="16" t="str">
        <f>"Line "&amp;A9</f>
        <v>Line 3</v>
      </c>
      <c r="D14" s="32">
        <f>$D$9</f>
        <v>29.283584810195197</v>
      </c>
      <c r="E14" s="32">
        <f t="shared" ref="E14:O14" si="1">$D$9</f>
        <v>29.283584810195197</v>
      </c>
      <c r="F14" s="32">
        <f t="shared" si="1"/>
        <v>29.283584810195197</v>
      </c>
      <c r="G14" s="32">
        <f t="shared" si="1"/>
        <v>29.283584810195197</v>
      </c>
      <c r="H14" s="32">
        <f t="shared" si="1"/>
        <v>29.283584810195197</v>
      </c>
      <c r="I14" s="32">
        <f t="shared" si="1"/>
        <v>29.283584810195197</v>
      </c>
      <c r="J14" s="32">
        <f t="shared" si="1"/>
        <v>29.283584810195197</v>
      </c>
      <c r="K14" s="32">
        <f t="shared" si="1"/>
        <v>29.283584810195197</v>
      </c>
      <c r="L14" s="32">
        <f t="shared" si="1"/>
        <v>29.283584810195197</v>
      </c>
      <c r="M14" s="32">
        <f t="shared" si="1"/>
        <v>29.283584810195197</v>
      </c>
      <c r="N14" s="32">
        <f t="shared" si="1"/>
        <v>29.283584810195197</v>
      </c>
      <c r="O14" s="32">
        <f t="shared" si="1"/>
        <v>29.283584810195197</v>
      </c>
    </row>
    <row r="15" spans="1:16" x14ac:dyDescent="0.2">
      <c r="A15" s="14">
        <v>5</v>
      </c>
      <c r="B15" s="29" t="s">
        <v>15</v>
      </c>
      <c r="C15" s="16" t="s">
        <v>59</v>
      </c>
      <c r="D15" s="33">
        <v>435632.30099999998</v>
      </c>
      <c r="E15" s="33">
        <v>345609.62400000001</v>
      </c>
      <c r="F15" s="33">
        <v>322249.19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</row>
    <row r="16" spans="1:16" x14ac:dyDescent="0.2">
      <c r="A16" s="14">
        <v>6</v>
      </c>
      <c r="B16" s="34" t="s">
        <v>16</v>
      </c>
      <c r="C16" s="35" t="s">
        <v>17</v>
      </c>
      <c r="D16" s="36">
        <f>D14*D15</f>
        <v>12756875.432393981</v>
      </c>
      <c r="E16" s="36">
        <f t="shared" ref="E16:O16" si="2">E14*E15</f>
        <v>10120688.735623674</v>
      </c>
      <c r="F16" s="36">
        <f t="shared" si="2"/>
        <v>9436611.4853817057</v>
      </c>
      <c r="G16" s="36">
        <f t="shared" si="2"/>
        <v>0</v>
      </c>
      <c r="H16" s="36">
        <f t="shared" si="2"/>
        <v>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7">
        <f>SUM(D16:O16)</f>
        <v>32314175.653399363</v>
      </c>
    </row>
    <row r="17" spans="1:24" x14ac:dyDescent="0.2">
      <c r="A17" s="14"/>
      <c r="B17" s="38"/>
      <c r="C17" s="39"/>
      <c r="D17" s="40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1"/>
      <c r="P17" s="41"/>
    </row>
    <row r="18" spans="1:24" x14ac:dyDescent="0.2">
      <c r="A18" s="14">
        <f>MAX($A$13:A17)+1</f>
        <v>7</v>
      </c>
      <c r="B18" s="42" t="s">
        <v>18</v>
      </c>
      <c r="C18" s="16" t="s">
        <v>60</v>
      </c>
      <c r="D18" s="43">
        <v>18990443.207375031</v>
      </c>
      <c r="E18" s="43">
        <v>12460258.440230358</v>
      </c>
      <c r="F18" s="43">
        <v>9707826.2591122687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37">
        <f>SUM(D18:O18)</f>
        <v>41158527.906717658</v>
      </c>
    </row>
    <row r="19" spans="1:24" x14ac:dyDescent="0.2">
      <c r="A19" s="14"/>
      <c r="B19" s="42"/>
      <c r="C19" s="1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4" x14ac:dyDescent="0.2">
      <c r="A20" s="14">
        <f>MAX($A$13:A19)+1</f>
        <v>8</v>
      </c>
      <c r="B20" s="34" t="s">
        <v>19</v>
      </c>
      <c r="C20" s="16" t="str">
        <f>"Line "&amp;A18&amp;" - Line "&amp;A16</f>
        <v>Line 7 - Line 6</v>
      </c>
      <c r="D20" s="36">
        <f t="shared" ref="D20:O20" si="3">+D18-D16</f>
        <v>6233567.7749810498</v>
      </c>
      <c r="E20" s="36">
        <f t="shared" si="3"/>
        <v>2339569.7046066839</v>
      </c>
      <c r="F20" s="36">
        <f t="shared" si="3"/>
        <v>271214.773730563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45"/>
    </row>
    <row r="21" spans="1:24" ht="25.5" x14ac:dyDescent="0.2">
      <c r="A21" s="14">
        <f>MAX($A$13:A20)+1</f>
        <v>9</v>
      </c>
      <c r="B21" s="34" t="s">
        <v>20</v>
      </c>
      <c r="C21" s="46" t="str">
        <f>"Line "&amp;A20&amp;" + Prior Month Line "&amp;A21</f>
        <v>Line 8 + Prior Month Line 9</v>
      </c>
      <c r="D21" s="47">
        <f>+D20</f>
        <v>6233567.7749810498</v>
      </c>
      <c r="E21" s="47">
        <f t="shared" ref="E21:J21" si="4">+E20+D21</f>
        <v>8573137.4795877337</v>
      </c>
      <c r="F21" s="47">
        <f t="shared" si="4"/>
        <v>8844352.2533182967</v>
      </c>
      <c r="G21" s="47">
        <f t="shared" si="4"/>
        <v>8844352.2533182967</v>
      </c>
      <c r="H21" s="47">
        <f t="shared" si="4"/>
        <v>8844352.2533182967</v>
      </c>
      <c r="I21" s="47">
        <f t="shared" si="4"/>
        <v>8844352.2533182967</v>
      </c>
      <c r="J21" s="47">
        <f t="shared" si="4"/>
        <v>8844352.2533182967</v>
      </c>
      <c r="K21" s="47">
        <f>+K20+J21</f>
        <v>8844352.2533182967</v>
      </c>
      <c r="L21" s="47">
        <f>+L20+K21</f>
        <v>8844352.2533182967</v>
      </c>
      <c r="M21" s="47">
        <f>+M20+L21</f>
        <v>8844352.2533182967</v>
      </c>
      <c r="N21" s="47">
        <f>+N20+M21</f>
        <v>8844352.2533182967</v>
      </c>
      <c r="O21" s="47">
        <f>+O20+N21</f>
        <v>8844352.2533182967</v>
      </c>
      <c r="P21" s="48">
        <f>+O21</f>
        <v>8844352.2533182967</v>
      </c>
    </row>
    <row r="22" spans="1:24" x14ac:dyDescent="0.2">
      <c r="A22" s="14"/>
      <c r="B22" s="34"/>
      <c r="C22" s="46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1"/>
    </row>
    <row r="23" spans="1:24" x14ac:dyDescent="0.2">
      <c r="A23" s="52" t="s">
        <v>21</v>
      </c>
      <c r="B23" s="34"/>
      <c r="C23" s="53"/>
      <c r="D23" s="49"/>
      <c r="E23" s="49"/>
      <c r="F23" s="49"/>
      <c r="G23" s="49"/>
      <c r="H23" s="51"/>
      <c r="I23" s="51"/>
      <c r="J23" s="51"/>
      <c r="K23" s="51"/>
      <c r="L23" s="51"/>
      <c r="M23" s="51"/>
      <c r="N23" s="51"/>
      <c r="O23" s="51"/>
    </row>
    <row r="24" spans="1:24" x14ac:dyDescent="0.2">
      <c r="A24" s="14">
        <f>MAX($A$13:A23)+1</f>
        <v>10</v>
      </c>
      <c r="B24" s="42" t="s">
        <v>22</v>
      </c>
      <c r="C24" s="53"/>
      <c r="D24" s="49"/>
      <c r="E24" s="49"/>
      <c r="F24" s="49"/>
      <c r="G24" s="49"/>
      <c r="H24" s="51"/>
      <c r="I24" s="51"/>
      <c r="J24" s="51"/>
      <c r="K24" s="51"/>
      <c r="L24" s="51"/>
      <c r="M24" s="51"/>
      <c r="N24" s="51"/>
      <c r="O24" s="51"/>
      <c r="P24" s="54">
        <v>4000000</v>
      </c>
      <c r="Q24" s="51"/>
      <c r="R24" s="55"/>
      <c r="S24" s="55"/>
      <c r="T24" s="55"/>
    </row>
    <row r="25" spans="1:24" x14ac:dyDescent="0.2">
      <c r="A25" s="14">
        <f>MAX($A$13:A24)+1</f>
        <v>11</v>
      </c>
      <c r="B25" s="42" t="s">
        <v>23</v>
      </c>
      <c r="C25" s="53"/>
      <c r="D25" s="56">
        <f>D26</f>
        <v>2233567.7749810498</v>
      </c>
      <c r="E25" s="56">
        <f>E26-D26</f>
        <v>2339569.7046066839</v>
      </c>
      <c r="F25" s="56">
        <f>F26-E26</f>
        <v>271214.773730563</v>
      </c>
      <c r="G25" s="56">
        <f>G26-F26</f>
        <v>0</v>
      </c>
      <c r="H25" s="56">
        <f>H26-G26</f>
        <v>0</v>
      </c>
      <c r="I25" s="56">
        <f t="shared" ref="I25:O25" si="5">I26-H26</f>
        <v>0</v>
      </c>
      <c r="J25" s="56">
        <f t="shared" si="5"/>
        <v>0</v>
      </c>
      <c r="K25" s="56">
        <f t="shared" si="5"/>
        <v>0</v>
      </c>
      <c r="L25" s="56">
        <f t="shared" si="5"/>
        <v>0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7"/>
      <c r="R25" s="55"/>
      <c r="S25" s="55"/>
      <c r="T25" s="55"/>
    </row>
    <row r="26" spans="1:24" ht="12.75" customHeight="1" x14ac:dyDescent="0.2">
      <c r="A26" s="14">
        <f>MAX($A$13:A25)+1</f>
        <v>12</v>
      </c>
      <c r="B26" s="42" t="s">
        <v>24</v>
      </c>
      <c r="C26" s="53"/>
      <c r="D26" s="47">
        <f t="shared" ref="D26:O26" si="6">IF(OR($P$21&gt;$P$24,$P$21&lt;-$P$24),IF(AND($P$21&gt;$P$24,D21&gt;$P$24),D21-$P$24,IF(AND($P$21&lt;-$P$24,D21&lt;-$P$24),D21+$P$24,0)),0)</f>
        <v>2233567.7749810498</v>
      </c>
      <c r="E26" s="47">
        <f t="shared" si="6"/>
        <v>4573137.4795877337</v>
      </c>
      <c r="F26" s="47">
        <f t="shared" si="6"/>
        <v>4844352.2533182967</v>
      </c>
      <c r="G26" s="47">
        <f t="shared" si="6"/>
        <v>4844352.2533182967</v>
      </c>
      <c r="H26" s="47">
        <f t="shared" si="6"/>
        <v>4844352.2533182967</v>
      </c>
      <c r="I26" s="47">
        <f t="shared" si="6"/>
        <v>4844352.2533182967</v>
      </c>
      <c r="J26" s="47">
        <f t="shared" si="6"/>
        <v>4844352.2533182967</v>
      </c>
      <c r="K26" s="47">
        <f t="shared" si="6"/>
        <v>4844352.2533182967</v>
      </c>
      <c r="L26" s="47">
        <f t="shared" si="6"/>
        <v>4844352.2533182967</v>
      </c>
      <c r="M26" s="47">
        <f t="shared" si="6"/>
        <v>4844352.2533182967</v>
      </c>
      <c r="N26" s="47">
        <f t="shared" si="6"/>
        <v>4844352.2533182967</v>
      </c>
      <c r="O26" s="47">
        <f t="shared" si="6"/>
        <v>4844352.2533182967</v>
      </c>
      <c r="P26" s="47">
        <f>+O26</f>
        <v>4844352.2533182967</v>
      </c>
      <c r="R26" s="55"/>
      <c r="S26" s="55"/>
      <c r="T26" s="55"/>
    </row>
    <row r="27" spans="1:24" x14ac:dyDescent="0.2">
      <c r="A27" s="14"/>
      <c r="B27" s="42"/>
      <c r="C27" s="53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1"/>
      <c r="R27" s="79" t="s">
        <v>25</v>
      </c>
      <c r="S27" s="79"/>
      <c r="T27" s="79"/>
      <c r="U27" s="79"/>
    </row>
    <row r="28" spans="1:24" x14ac:dyDescent="0.2">
      <c r="A28" s="38" t="s">
        <v>26</v>
      </c>
      <c r="B28" s="42"/>
      <c r="C28" s="53"/>
      <c r="D28" s="49"/>
      <c r="E28" s="49"/>
      <c r="F28" s="49"/>
      <c r="G28" s="49"/>
      <c r="H28" s="51"/>
      <c r="I28" s="51"/>
      <c r="J28" s="51"/>
      <c r="K28" s="51"/>
      <c r="L28" s="51"/>
      <c r="M28" s="51"/>
      <c r="N28" s="51"/>
      <c r="O28" s="51"/>
      <c r="R28" t="s">
        <v>27</v>
      </c>
      <c r="S28" s="58" t="s">
        <v>28</v>
      </c>
      <c r="T28" t="s">
        <v>29</v>
      </c>
      <c r="U28" t="s">
        <v>30</v>
      </c>
    </row>
    <row r="29" spans="1:24" ht="25.5" x14ac:dyDescent="0.2">
      <c r="A29" s="14">
        <f>MAX($A$13:A28)+1</f>
        <v>13</v>
      </c>
      <c r="B29" s="59" t="s">
        <v>31</v>
      </c>
      <c r="C29" s="53"/>
      <c r="D29" s="49">
        <f>IF(D26=0,0,IF(AND($P$21&gt;$P$24,$P$21&lt;$S$29),D25*$T$29,IF(AND($P$21&gt;$S$29,D26&lt;($S$29-$R$29)),D25*$T$29,IF(AND($P$21&gt;$S$29,D26&gt;($S$29-$R$29)),($S$29-$R$29)*$T$29,0))))</f>
        <v>1116783.8874905249</v>
      </c>
      <c r="E29" s="49">
        <f>IF(E26=0,SUM($D$29:D29),IF(AND($P$21&gt;$P$24,$P$21&lt;$S$29),E25*$T$29,IF(AND($P$21&gt;$S$29,E26&lt;($S$29-$R$29)),E25*$T$29,IF(AND($P$21&gt;$S$29,E26&gt;($S$29-$R$29)),(($S$29-$R$29)*$T$29)-SUM($D$29:D29),0))))</f>
        <v>1169784.852303342</v>
      </c>
      <c r="F29" s="49">
        <f>IF(F26=0,SUM($D$29:E29),IF(AND($P$21&gt;$P$24,$P$21&lt;$S$29),F25*$T$29,IF(AND($P$21&gt;$S$29,F26&lt;($S$29-$R$29)),F25*$T$29,IF(AND($P$21&gt;$S$29,F26&gt;($S$29-$R$29)),(($S$29-$R$29)*$T$29)-SUM($D$29:E29),0))))</f>
        <v>135607.3868652815</v>
      </c>
      <c r="G29" s="49">
        <f>IF(G26=0,SUM($D$29:F29),IF(AND($P$21&gt;$P$24,$P$21&lt;$S$29),G25*$T$29,IF(AND($P$21&gt;$S$29,G26&lt;($S$29-$R$29)),G25*$T$29,IF(AND($P$21&gt;$S$29,G26&gt;($S$29-$R$29)),(($S$29-$R$29)*$T$29)-SUM($D$29:F29),0))))</f>
        <v>0</v>
      </c>
      <c r="H29" s="49">
        <f>IF(H26=0,SUM($D$29:G29),IF(AND($P$21&gt;$P$24,$P$21&lt;$S$29),H25*$T$29,IF(AND($P$21&gt;$S$29,H26&lt;($S$29-$R$29)),H25*$T$29,IF(AND($P$21&gt;$S$29,H26&gt;($S$29-$R$29)),(($S$29-$R$29)*$T$29)-SUM($D$29:G29),0))))</f>
        <v>0</v>
      </c>
      <c r="I29" s="49">
        <f>IF(I26=0,SUM($D$29:H29),IF(AND($P$21&gt;$P$24,$P$21&lt;$S$29),I25*$T$29,IF(AND($P$21&gt;$S$29,I26&lt;($S$29-$R$29)),I25*$T$29,IF(AND($P$21&gt;$S$29,I26&gt;($S$29-$R$29)),(($S$29-$R$29)*$T$29)-SUM($D$29:H29),0))))</f>
        <v>0</v>
      </c>
      <c r="J29" s="49">
        <f>IF(J26=0,SUM($D$29:I29),IF(AND($P$21&gt;$P$24,$P$21&lt;$S$29),J25*$T$29,IF(AND($P$21&gt;$S$29,J26&lt;($S$29-$R$29)),J25*$T$29,IF(AND($P$21&gt;$S$29,J26&gt;($S$29-$R$29)),(($S$29-$R$29)*$T$29)-SUM($D$29:I29),0))))</f>
        <v>0</v>
      </c>
      <c r="K29" s="49">
        <f>IF(K26=0,SUM($D$29:J29),IF(AND($P$21&gt;$P$24,$P$21&lt;$S$29),K25*$T$29,IF(AND($P$21&gt;$S$29,K26&lt;($S$29-$R$29)),K25*$T$29,IF(AND($P$21&gt;$S$29,K26&gt;($S$29-$R$29)),(($S$29-$R$29)*$T$29)-SUM($D$29:J29),0))))</f>
        <v>0</v>
      </c>
      <c r="L29" s="49">
        <f>IF(L26=0,SUM($D$29:K29),IF(AND($P$21&gt;$P$24,$P$21&lt;$S$29),L25*$T$29,IF(AND($P$21&gt;$S$29,L26&lt;($S$29-$R$29)),L25*$T$29,IF(AND($P$21&gt;$S$29,L26&gt;($S$29-$R$29)),(($S$29-$R$29)*$T$29)-SUM($D$29:K29),0))))</f>
        <v>0</v>
      </c>
      <c r="M29" s="49">
        <f>IF(M26=0,SUM($D$29:L29),IF(AND($P$21&gt;$P$24,$P$21&lt;$S$29),M25*$T$29,IF(AND($P$21&gt;$S$29,M26&lt;($S$29-$R$29)),M25*$T$29,IF(AND($P$21&gt;$S$29,M26&gt;($S$29-$R$29)),(($S$29-$R$29)*$T$29)-SUM($D$29:L29),0))))</f>
        <v>0</v>
      </c>
      <c r="N29" s="49">
        <f>IF(N26=0,SUM($D$29:M29),IF(AND($P$21&gt;$P$24,$P$21&lt;$S$29),N25*$T$29,IF(AND($P$21&gt;$S$29,N26&lt;($S$29-$R$29)),N25*$T$29,IF(AND($P$21&gt;$S$29,N26&gt;($S$29-$R$29)),(($S$29-$R$29)*$T$29)-SUM($D$29:M29),0))))</f>
        <v>0</v>
      </c>
      <c r="O29" s="49">
        <f>IF(O26=0,SUM($D$29:N29),IF(AND($P$21&gt;$P$24,$P$21&lt;$S$29),O25*$T$29,IF(AND($P$21&gt;$S$29,O26&lt;($S$29-$R$29)),O25*$T$29,IF(AND($P$21&gt;$S$29,O26&gt;($S$29-$R$29)),(($S$29-$R$29)*$T$29)-SUM($D$29:N29),0))))</f>
        <v>0</v>
      </c>
      <c r="P29" s="60"/>
      <c r="R29" s="17">
        <v>4000000</v>
      </c>
      <c r="S29" s="17">
        <v>10000000</v>
      </c>
      <c r="T29" s="61">
        <v>0.5</v>
      </c>
      <c r="U29" s="61">
        <v>0.5</v>
      </c>
    </row>
    <row r="30" spans="1:24" x14ac:dyDescent="0.2">
      <c r="A30" s="14">
        <f>MAX($A$13:A29)+1</f>
        <v>14</v>
      </c>
      <c r="B30" s="59" t="s">
        <v>32</v>
      </c>
      <c r="C30" s="53"/>
      <c r="D30" s="62">
        <f>IF(D26=0,0,IF(AND($P$21&gt;$R$30,D26&gt;($S$29-$R$29)),(D25-(D29/$T$29))*$T$30,0))</f>
        <v>0</v>
      </c>
      <c r="E30" s="62">
        <f>IF(E26=0,SUM($D$30:D30),IF(AND($P$21&gt;$R$30,E26&gt;($S$29-$R$29)),(E25-(E29/$T$29))*$T$30,0))</f>
        <v>0</v>
      </c>
      <c r="F30" s="62">
        <f>IF(F26=0,SUM($D$30:E30),IF(AND($P$21&gt;$R$30,F26&gt;($S$29-$R$29)),(F25-(F29/$T$29))*$T$30,0))</f>
        <v>0</v>
      </c>
      <c r="G30" s="62">
        <f>IF(G26=0,SUM($D$30:F30),IF(AND($P$21&gt;$R$30,G26&gt;($S$29-$R$29)),(G25-(G29/$T$29))*$T$30,0))</f>
        <v>0</v>
      </c>
      <c r="H30" s="62">
        <f>IF(H26=0,SUM($D$30:G30),IF(AND($P$21&gt;$R$30,H26&gt;($S$29-$R$29)),(H25-(H29/$T$29))*$T$30,0))</f>
        <v>0</v>
      </c>
      <c r="I30" s="62">
        <f>IF(I26=0,SUM($D$30:H30),IF(AND($P$21&gt;$R$30,I26&gt;($S$29-$R$29)),(I25-(I29/$T$29))*$T$30,0))</f>
        <v>0</v>
      </c>
      <c r="J30" s="62">
        <f>IF(J26=0,SUM($D$30:I30),IF(AND($P$21&gt;$R$30,J26&gt;($S$29-$R$29)),(J25-(J29/$T$29))*$T$30,0))</f>
        <v>0</v>
      </c>
      <c r="K30" s="62">
        <f>IF(K26=0,SUM($D$30:J30),IF(AND($P$21&gt;$R$30,K26&gt;($S$29-$R$29)),(K25-(K29/$T$29))*$T$30,0))</f>
        <v>0</v>
      </c>
      <c r="L30" s="62">
        <f>IF(L26=0,SUM($D$30:K30),IF(AND($P$21&gt;$R$30,L26&gt;($S$29-$R$29)),(L25-(L29/$T$29))*$T$30,0))</f>
        <v>0</v>
      </c>
      <c r="M30" s="62">
        <f>IF(M26=0,SUM($D$30:L30),IF(AND($P$21&gt;$R$30,M26&gt;($S$29-$R$29)),(M25-(M29/$T$29))*$T$30,0))</f>
        <v>0</v>
      </c>
      <c r="N30" s="62">
        <f>IF(N26=0,SUM($D$30:M30),IF(AND($P$21&gt;$R$30,N26&gt;($S$29-$R$29)),(N25-(N29/$T$29))*$T$30,0))</f>
        <v>0</v>
      </c>
      <c r="O30" s="62">
        <f>IF(O26=0,SUM($D$30:N30),IF(AND($P$21&gt;$R$30,O26&gt;($S$29-$R$29)),(O25-(O29/$T$29))*$T$30,0))</f>
        <v>0</v>
      </c>
      <c r="P30" s="60"/>
      <c r="R30" s="63">
        <v>10000000</v>
      </c>
      <c r="S30" s="41"/>
      <c r="T30" s="61">
        <v>0.9</v>
      </c>
      <c r="U30" s="61">
        <v>0.1</v>
      </c>
    </row>
    <row r="31" spans="1:24" ht="25.5" x14ac:dyDescent="0.2">
      <c r="A31" s="14">
        <f>MAX($A$13:A30)+1</f>
        <v>15</v>
      </c>
      <c r="B31" s="59" t="s">
        <v>33</v>
      </c>
      <c r="C31" s="53"/>
      <c r="D31" s="62">
        <f>IF(D26=0,0,IF(AND($P$21&lt;$R$31,$P$21&gt;$S$31),D25*$T$31,IF(AND($P$21&lt;$S$31,D26&gt;($S$31-$R$31)),D25*$T$31,IF(AND($P$21&lt;$S$31,D26&lt;($S$31-$R$31)),($S$31-$R$31),0))))</f>
        <v>0</v>
      </c>
      <c r="E31" s="62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62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62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62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62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62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62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62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62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62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62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60"/>
      <c r="R31" s="63">
        <v>-4000000</v>
      </c>
      <c r="S31" s="63">
        <v>-10000000</v>
      </c>
      <c r="T31" s="61">
        <v>0.75</v>
      </c>
      <c r="U31" s="61">
        <v>0.25</v>
      </c>
      <c r="X31" s="51"/>
    </row>
    <row r="32" spans="1:24" x14ac:dyDescent="0.2">
      <c r="A32" s="14">
        <f>MAX($A$13:A31)+1</f>
        <v>16</v>
      </c>
      <c r="B32" s="59" t="s">
        <v>34</v>
      </c>
      <c r="C32" s="53"/>
      <c r="D32" s="62">
        <f>IF(D26=0,0,IF(AND($P$21&lt;$R$32,D26&lt;($S$31-$R$31)),(D25-(D31/$T$31))*$T$32,0))</f>
        <v>0</v>
      </c>
      <c r="E32" s="62">
        <f>IF(E26=0,-SUM($D$32:D32),IF(AND($P$21&lt;$R$32,E26&lt;($S$31-$R$31)),(E25-(E31/$T$31))*$T$32,0))</f>
        <v>0</v>
      </c>
      <c r="F32" s="62">
        <f>IF(F26=0,-SUM($D$32:E32),IF(AND($P$21&lt;$R$32,F26&lt;($S$31-$R$31)),(F25-(F31/$T$31))*$T$32,0))</f>
        <v>0</v>
      </c>
      <c r="G32" s="62">
        <f>IF(G26=0,-SUM($D$32:F32),IF(AND($P$21&lt;$R$32,G26&lt;($S$31-$R$31)),(G25-(G31/$T$31))*$T$32,0))</f>
        <v>0</v>
      </c>
      <c r="H32" s="62">
        <f>IF(H26=0,-SUM($D$32:G32),IF(AND($P$21&lt;$R$32,H26&lt;($S$31-$R$31)),(H25-(H31/$T$31))*$T$32,0))</f>
        <v>0</v>
      </c>
      <c r="I32" s="62">
        <f>IF(I26=0,-SUM($D$32:H32),IF(AND($P$21&lt;$R$32,I26&lt;($S$31-$R$31)),(I25-(I31/$T$31))*$T$32,0))</f>
        <v>0</v>
      </c>
      <c r="J32" s="62">
        <f>IF(J26=0,-SUM($D$32:I32),IF(AND($P$21&lt;$R$32,J26&lt;($S$31-$R$31)),(J25-(J31/$T$31))*$T$32,0))</f>
        <v>0</v>
      </c>
      <c r="K32" s="62">
        <f>IF(K26=0,-SUM($D$32:J32),IF(AND($P$21&lt;$R$32,K26&lt;($S$31-$R$31)),(K25-(K31/$T$31))*$T$32,0))</f>
        <v>0</v>
      </c>
      <c r="L32" s="62">
        <f>IF(L26=0,-SUM($D$32:K32),IF(AND($P$21&lt;$R$32,L26&lt;($S$31-$R$31)),(L25-(L31/$T$31))*$T$32,0))</f>
        <v>0</v>
      </c>
      <c r="M32" s="62">
        <f>IF(M26=0,-SUM($D$32:L32),IF(AND($P$21&lt;$R$32,M26&lt;($S$31-$R$31)),(M25-(M31/$T$31))*$T$32,0))</f>
        <v>0</v>
      </c>
      <c r="N32" s="62">
        <f>IF(N26=0,-SUM($D$32:M32),IF(AND($P$21&lt;$R$32,N26&lt;($S$31-$R$31)),(N25-(N31/$T$31))*$T$32,0))</f>
        <v>0</v>
      </c>
      <c r="O32" s="62">
        <f>IF(O26=0,-SUM($D$32:N32),IF(AND($P$21&lt;$R$32,O26&lt;($S$31-$R$31)),(O25-(O31/$T$31))*$T$32,0))</f>
        <v>0</v>
      </c>
      <c r="P32" s="60"/>
      <c r="R32" s="63">
        <v>-10000000</v>
      </c>
      <c r="S32" s="41"/>
      <c r="T32" s="61">
        <v>0.9</v>
      </c>
      <c r="U32" s="61">
        <v>0.1</v>
      </c>
    </row>
    <row r="33" spans="1:17" x14ac:dyDescent="0.2">
      <c r="A33" s="14">
        <f>MAX($A$13:A32)+1</f>
        <v>17</v>
      </c>
      <c r="B33" s="64" t="s">
        <v>35</v>
      </c>
      <c r="C33" s="53"/>
      <c r="D33" s="47">
        <f t="shared" ref="D33:O33" si="7">SUM(D29:D32)</f>
        <v>1116783.8874905249</v>
      </c>
      <c r="E33" s="47">
        <f t="shared" si="7"/>
        <v>1169784.852303342</v>
      </c>
      <c r="F33" s="47">
        <f t="shared" si="7"/>
        <v>135607.3868652815</v>
      </c>
      <c r="G33" s="47">
        <f t="shared" si="7"/>
        <v>0</v>
      </c>
      <c r="H33" s="47">
        <f t="shared" si="7"/>
        <v>0</v>
      </c>
      <c r="I33" s="47">
        <f t="shared" si="7"/>
        <v>0</v>
      </c>
      <c r="J33" s="47">
        <f t="shared" si="7"/>
        <v>0</v>
      </c>
      <c r="K33" s="47">
        <f t="shared" si="7"/>
        <v>0</v>
      </c>
      <c r="L33" s="47">
        <f t="shared" si="7"/>
        <v>0</v>
      </c>
      <c r="M33" s="47">
        <f t="shared" si="7"/>
        <v>0</v>
      </c>
      <c r="N33" s="47">
        <f t="shared" si="7"/>
        <v>0</v>
      </c>
      <c r="O33" s="47">
        <f t="shared" si="7"/>
        <v>0</v>
      </c>
      <c r="P33" s="47">
        <f>SUM(D33:O33)</f>
        <v>2422176.1266591484</v>
      </c>
    </row>
    <row r="34" spans="1:17" x14ac:dyDescent="0.2">
      <c r="A34" s="14"/>
      <c r="B34" s="65"/>
      <c r="C34" s="5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7" x14ac:dyDescent="0.2">
      <c r="A35" s="38" t="s">
        <v>36</v>
      </c>
      <c r="B35" s="59"/>
      <c r="C35" s="53"/>
      <c r="D35" s="67"/>
      <c r="E35" s="67"/>
      <c r="F35" s="67"/>
      <c r="G35" s="67"/>
      <c r="N35" s="51"/>
      <c r="O35" s="55"/>
    </row>
    <row r="36" spans="1:17" x14ac:dyDescent="0.2">
      <c r="A36" s="14">
        <f>MAX($A$13:A35)+1</f>
        <v>18</v>
      </c>
      <c r="B36" s="59" t="s">
        <v>37</v>
      </c>
      <c r="C36" s="2" t="s">
        <v>38</v>
      </c>
      <c r="D36" s="68">
        <v>3.2500000000000001E-2</v>
      </c>
      <c r="E36" s="68">
        <f>$D$36</f>
        <v>3.2500000000000001E-2</v>
      </c>
      <c r="F36" s="68">
        <f t="shared" ref="F36:O36" si="8">$D$36</f>
        <v>3.2500000000000001E-2</v>
      </c>
      <c r="G36" s="68">
        <f t="shared" si="8"/>
        <v>3.2500000000000001E-2</v>
      </c>
      <c r="H36" s="68">
        <f t="shared" si="8"/>
        <v>3.2500000000000001E-2</v>
      </c>
      <c r="I36" s="68">
        <f t="shared" si="8"/>
        <v>3.2500000000000001E-2</v>
      </c>
      <c r="J36" s="68">
        <f t="shared" si="8"/>
        <v>3.2500000000000001E-2</v>
      </c>
      <c r="K36" s="68">
        <f t="shared" si="8"/>
        <v>3.2500000000000001E-2</v>
      </c>
      <c r="L36" s="68">
        <f t="shared" si="8"/>
        <v>3.2500000000000001E-2</v>
      </c>
      <c r="M36" s="68">
        <f t="shared" si="8"/>
        <v>3.2500000000000001E-2</v>
      </c>
      <c r="N36" s="68">
        <f t="shared" si="8"/>
        <v>3.2500000000000001E-2</v>
      </c>
      <c r="O36" s="68">
        <f t="shared" si="8"/>
        <v>3.2500000000000001E-2</v>
      </c>
    </row>
    <row r="37" spans="1:17" x14ac:dyDescent="0.2">
      <c r="A37" s="14">
        <f>MAX($A$13:A36)+1</f>
        <v>19</v>
      </c>
      <c r="B37" s="34" t="s">
        <v>39</v>
      </c>
      <c r="C37" s="16"/>
      <c r="D37" s="69">
        <v>0</v>
      </c>
      <c r="E37" s="17">
        <f t="shared" ref="E37:O37" si="9">+D45</f>
        <v>3027470.8873236803</v>
      </c>
      <c r="F37" s="17">
        <f t="shared" si="9"/>
        <v>5721686.19689833</v>
      </c>
      <c r="G37" s="17">
        <f t="shared" si="9"/>
        <v>7285242.4585941741</v>
      </c>
      <c r="H37" s="17">
        <f t="shared" si="9"/>
        <v>7304973.3235862004</v>
      </c>
      <c r="I37" s="17">
        <f t="shared" si="9"/>
        <v>7324757.6263375795</v>
      </c>
      <c r="J37" s="17">
        <f t="shared" si="9"/>
        <v>7344595.5115755768</v>
      </c>
      <c r="K37" s="17">
        <f t="shared" si="9"/>
        <v>7364487.1244194275</v>
      </c>
      <c r="L37" s="17">
        <f t="shared" si="9"/>
        <v>7384432.6103813965</v>
      </c>
      <c r="M37" s="17">
        <f t="shared" si="9"/>
        <v>7404432.1153678466</v>
      </c>
      <c r="N37" s="17">
        <f t="shared" si="9"/>
        <v>7424485.7856803015</v>
      </c>
      <c r="O37" s="17">
        <f t="shared" si="9"/>
        <v>7444593.768016519</v>
      </c>
      <c r="Q37" s="70"/>
    </row>
    <row r="38" spans="1:17" x14ac:dyDescent="0.2">
      <c r="A38" s="14">
        <f>MAX($A$13:A37)+1</f>
        <v>20</v>
      </c>
      <c r="B38" s="34" t="s">
        <v>40</v>
      </c>
      <c r="C38" s="16" t="s">
        <v>41</v>
      </c>
      <c r="D38" s="71">
        <f t="shared" ref="D38:O38" si="10">+D33</f>
        <v>1116783.8874905249</v>
      </c>
      <c r="E38" s="71">
        <f t="shared" si="10"/>
        <v>1169784.852303342</v>
      </c>
      <c r="F38" s="71">
        <f t="shared" si="10"/>
        <v>135607.3868652815</v>
      </c>
      <c r="G38" s="71">
        <f t="shared" si="10"/>
        <v>0</v>
      </c>
      <c r="H38" s="71">
        <f t="shared" si="10"/>
        <v>0</v>
      </c>
      <c r="I38" s="71">
        <f t="shared" si="10"/>
        <v>0</v>
      </c>
      <c r="J38" s="71">
        <f t="shared" si="10"/>
        <v>0</v>
      </c>
      <c r="K38" s="71">
        <f t="shared" si="10"/>
        <v>0</v>
      </c>
      <c r="L38" s="71">
        <f t="shared" si="10"/>
        <v>0</v>
      </c>
      <c r="M38" s="71">
        <f t="shared" si="10"/>
        <v>0</v>
      </c>
      <c r="N38" s="71">
        <f t="shared" si="10"/>
        <v>0</v>
      </c>
      <c r="O38" s="71">
        <f t="shared" si="10"/>
        <v>0</v>
      </c>
      <c r="Q38" s="71"/>
    </row>
    <row r="39" spans="1:17" x14ac:dyDescent="0.2">
      <c r="A39" s="14" t="s">
        <v>42</v>
      </c>
      <c r="B39" s="34" t="s">
        <v>43</v>
      </c>
      <c r="C39" s="16" t="s">
        <v>44</v>
      </c>
      <c r="D39" s="72">
        <f t="shared" ref="D39:O39" si="11">$D$11*D15</f>
        <v>1906592.8438428082</v>
      </c>
      <c r="E39" s="72">
        <f t="shared" si="11"/>
        <v>1512598.6626083627</v>
      </c>
      <c r="F39" s="72">
        <f t="shared" si="11"/>
        <v>1410359.1450353481</v>
      </c>
      <c r="G39" s="72">
        <f t="shared" si="11"/>
        <v>0</v>
      </c>
      <c r="H39" s="72">
        <f t="shared" si="11"/>
        <v>0</v>
      </c>
      <c r="I39" s="72">
        <f t="shared" si="11"/>
        <v>0</v>
      </c>
      <c r="J39" s="72">
        <f t="shared" si="11"/>
        <v>0</v>
      </c>
      <c r="K39" s="72">
        <f t="shared" si="11"/>
        <v>0</v>
      </c>
      <c r="L39" s="72">
        <f t="shared" si="11"/>
        <v>0</v>
      </c>
      <c r="M39" s="72">
        <f t="shared" si="11"/>
        <v>0</v>
      </c>
      <c r="N39" s="72">
        <f t="shared" si="11"/>
        <v>0</v>
      </c>
      <c r="O39" s="72">
        <f t="shared" si="11"/>
        <v>0</v>
      </c>
      <c r="Q39" s="71"/>
    </row>
    <row r="40" spans="1:17" x14ac:dyDescent="0.2">
      <c r="A40" s="14" t="s">
        <v>45</v>
      </c>
      <c r="B40" s="34" t="s">
        <v>46</v>
      </c>
      <c r="C40" s="16" t="s">
        <v>47</v>
      </c>
      <c r="D40" s="71">
        <f>D38+D39</f>
        <v>3023376.7313333331</v>
      </c>
      <c r="E40" s="71">
        <f t="shared" ref="E40:F40" si="12">E38+E39</f>
        <v>2682383.5149117047</v>
      </c>
      <c r="F40" s="71">
        <f t="shared" si="12"/>
        <v>1545966.5319006296</v>
      </c>
      <c r="G40" s="71"/>
      <c r="H40" s="71"/>
      <c r="I40" s="71"/>
      <c r="J40" s="71"/>
      <c r="K40" s="71"/>
      <c r="L40" s="71"/>
      <c r="M40" s="71"/>
      <c r="N40" s="71"/>
      <c r="O40" s="71"/>
      <c r="Q40" s="71"/>
    </row>
    <row r="41" spans="1:17" x14ac:dyDescent="0.2">
      <c r="A41" s="14"/>
      <c r="B41" s="34"/>
      <c r="C41" s="16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Q41" s="71"/>
    </row>
    <row r="42" spans="1:17" x14ac:dyDescent="0.2">
      <c r="A42" s="14" t="s">
        <v>48</v>
      </c>
      <c r="B42" s="34" t="s">
        <v>49</v>
      </c>
      <c r="C42" s="16" t="s">
        <v>50</v>
      </c>
      <c r="D42" s="71">
        <f>D37+D40</f>
        <v>3023376.7313333331</v>
      </c>
      <c r="E42" s="71">
        <f t="shared" ref="E42:O42" si="13">E37+E40</f>
        <v>5709854.402235385</v>
      </c>
      <c r="F42" s="71">
        <f t="shared" si="13"/>
        <v>7267652.7287989594</v>
      </c>
      <c r="G42" s="71">
        <f t="shared" si="13"/>
        <v>7285242.4585941741</v>
      </c>
      <c r="H42" s="71">
        <f t="shared" si="13"/>
        <v>7304973.3235862004</v>
      </c>
      <c r="I42" s="71">
        <f t="shared" si="13"/>
        <v>7324757.6263375795</v>
      </c>
      <c r="J42" s="71">
        <f t="shared" si="13"/>
        <v>7344595.5115755768</v>
      </c>
      <c r="K42" s="71">
        <f t="shared" si="13"/>
        <v>7364487.1244194275</v>
      </c>
      <c r="L42" s="71">
        <f t="shared" si="13"/>
        <v>7384432.6103813965</v>
      </c>
      <c r="M42" s="71">
        <f t="shared" si="13"/>
        <v>7404432.1153678466</v>
      </c>
      <c r="N42" s="71">
        <f t="shared" si="13"/>
        <v>7424485.7856803015</v>
      </c>
      <c r="O42" s="71">
        <f t="shared" si="13"/>
        <v>7444593.768016519</v>
      </c>
      <c r="Q42" s="71"/>
    </row>
    <row r="43" spans="1:17" x14ac:dyDescent="0.2">
      <c r="A43" s="14"/>
      <c r="B43" s="34"/>
      <c r="C43" s="1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Q43" s="71"/>
    </row>
    <row r="44" spans="1:17" ht="25.5" x14ac:dyDescent="0.2">
      <c r="A44" s="14">
        <f>MAX($A$13:A38)+1</f>
        <v>21</v>
      </c>
      <c r="B44" s="73" t="s">
        <v>51</v>
      </c>
      <c r="C44" s="74" t="s">
        <v>52</v>
      </c>
      <c r="D44" s="75">
        <f>+((D40*0.5)+D37)*D36/12</f>
        <v>4094.1559903472221</v>
      </c>
      <c r="E44" s="75">
        <f t="shared" ref="E44:O44" si="14">+((E40*0.5)+E37)*E36/12</f>
        <v>11831.794662944571</v>
      </c>
      <c r="F44" s="75">
        <f t="shared" si="14"/>
        <v>17589.72979521508</v>
      </c>
      <c r="G44" s="75">
        <f t="shared" si="14"/>
        <v>19730.864992025887</v>
      </c>
      <c r="H44" s="75">
        <f t="shared" si="14"/>
        <v>19784.302751379295</v>
      </c>
      <c r="I44" s="75">
        <f t="shared" si="14"/>
        <v>19837.885237997612</v>
      </c>
      <c r="J44" s="75">
        <f t="shared" si="14"/>
        <v>19891.612843850522</v>
      </c>
      <c r="K44" s="75">
        <f t="shared" si="14"/>
        <v>19945.485961969283</v>
      </c>
      <c r="L44" s="75">
        <f t="shared" si="14"/>
        <v>19999.504986449614</v>
      </c>
      <c r="M44" s="75">
        <f t="shared" si="14"/>
        <v>20053.670312454586</v>
      </c>
      <c r="N44" s="75">
        <f t="shared" si="14"/>
        <v>20107.982336217483</v>
      </c>
      <c r="O44" s="75">
        <f t="shared" si="14"/>
        <v>20162.44145504474</v>
      </c>
      <c r="P44" s="4"/>
    </row>
    <row r="45" spans="1:17" ht="13.5" thickBot="1" x14ac:dyDescent="0.25">
      <c r="A45" s="14">
        <f>MAX($A$13:A44)+1</f>
        <v>22</v>
      </c>
      <c r="B45" s="76" t="s">
        <v>53</v>
      </c>
      <c r="C45" s="74" t="s">
        <v>54</v>
      </c>
      <c r="D45" s="77">
        <f>D42+D44</f>
        <v>3027470.8873236803</v>
      </c>
      <c r="E45" s="77">
        <f t="shared" ref="E45:O45" si="15">E42+E44</f>
        <v>5721686.19689833</v>
      </c>
      <c r="F45" s="77">
        <f t="shared" si="15"/>
        <v>7285242.4585941741</v>
      </c>
      <c r="G45" s="77">
        <f t="shared" si="15"/>
        <v>7304973.3235862004</v>
      </c>
      <c r="H45" s="77">
        <f t="shared" si="15"/>
        <v>7324757.6263375795</v>
      </c>
      <c r="I45" s="77">
        <f t="shared" si="15"/>
        <v>7344595.5115755768</v>
      </c>
      <c r="J45" s="77">
        <f t="shared" si="15"/>
        <v>7364487.1244194275</v>
      </c>
      <c r="K45" s="77">
        <f t="shared" si="15"/>
        <v>7384432.6103813965</v>
      </c>
      <c r="L45" s="77">
        <f t="shared" si="15"/>
        <v>7404432.1153678466</v>
      </c>
      <c r="M45" s="77">
        <f t="shared" si="15"/>
        <v>7424485.7856803015</v>
      </c>
      <c r="N45" s="77">
        <f t="shared" si="15"/>
        <v>7444593.768016519</v>
      </c>
      <c r="O45" s="77">
        <f t="shared" si="15"/>
        <v>7464756.2094715638</v>
      </c>
      <c r="P45" s="78">
        <f>O45</f>
        <v>7464756.2094715638</v>
      </c>
    </row>
    <row r="46" spans="1:17" ht="13.5" thickTop="1" x14ac:dyDescent="0.2">
      <c r="P46" s="4"/>
    </row>
  </sheetData>
  <mergeCells count="1">
    <mergeCell ref="R27:U27"/>
  </mergeCells>
  <pageMargins left="0.25" right="0.25" top="0.75" bottom="0.75" header="0.3" footer="0.3"/>
  <pageSetup scale="47" orientation="landscape" horizontalDpi="2400" verticalDpi="24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FFF31E-EEDA-4AB6-9F51-991A43C847A2}"/>
</file>

<file path=customXml/itemProps2.xml><?xml version="1.0" encoding="utf-8"?>
<ds:datastoreItem xmlns:ds="http://schemas.openxmlformats.org/officeDocument/2006/customXml" ds:itemID="{02AE3A7E-E94F-4C8E-BAE7-67EF0A05FFB8}"/>
</file>

<file path=customXml/itemProps3.xml><?xml version="1.0" encoding="utf-8"?>
<ds:datastoreItem xmlns:ds="http://schemas.openxmlformats.org/officeDocument/2006/customXml" ds:itemID="{D82DF3F0-8A1A-41FF-8A68-C1361B0663BF}"/>
</file>

<file path=customXml/itemProps4.xml><?xml version="1.0" encoding="utf-8"?>
<ds:datastoreItem xmlns:ds="http://schemas.openxmlformats.org/officeDocument/2006/customXml" ds:itemID="{E770C834-2DC9-484C-8663-52C3721CF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JP-2 PCAM Calculation</vt:lpstr>
      <vt:lpstr>'Exhibit JP-2 PCAM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2022-06-13T22:11:41Z</dcterms:created>
  <dcterms:modified xsi:type="dcterms:W3CDTF">2022-06-15T15:23:41Z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